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864B1D2-C7FE-42E6-9E57-3AB7B6703240}" xr6:coauthVersionLast="38" xr6:coauthVersionMax="38" xr10:uidLastSave="{00000000-0000-0000-0000-000000000000}"/>
  <bookViews>
    <workbookView xWindow="0" yWindow="0" windowWidth="19320" windowHeight="12015" activeTab="1" xr2:uid="{00000000-000D-0000-FFFF-FFFF00000000}"/>
  </bookViews>
  <sheets>
    <sheet name="入库数量" sheetId="1" r:id="rId1"/>
    <sheet name="材料单价" sheetId="3" r:id="rId2"/>
    <sheet name="3" sheetId="2" r:id="rId3"/>
  </sheets>
  <calcPr calcId="162913"/>
</workbook>
</file>

<file path=xl/calcChain.xml><?xml version="1.0" encoding="utf-8"?>
<calcChain xmlns="http://schemas.openxmlformats.org/spreadsheetml/2006/main">
  <c r="P20" i="3" l="1"/>
  <c r="O19" i="3"/>
  <c r="P19" i="3" s="1"/>
  <c r="O18" i="3"/>
  <c r="P18" i="3" s="1"/>
  <c r="O12" i="3"/>
  <c r="P12" i="3" s="1"/>
  <c r="O13" i="3"/>
  <c r="P13" i="3" s="1"/>
  <c r="O14" i="3"/>
  <c r="P14" i="3" s="1"/>
  <c r="O15" i="3"/>
  <c r="P15" i="3" s="1"/>
  <c r="O16" i="3"/>
  <c r="P16" i="3" s="1"/>
  <c r="O17" i="3"/>
  <c r="P17" i="3" s="1"/>
  <c r="O11" i="3"/>
  <c r="P11" i="3" s="1"/>
  <c r="O6" i="3"/>
  <c r="P6" i="3" s="1"/>
  <c r="O7" i="3"/>
  <c r="P7" i="3" s="1"/>
  <c r="O8" i="3"/>
  <c r="P8" i="3" s="1"/>
  <c r="O9" i="3"/>
  <c r="P9" i="3" s="1"/>
  <c r="O10" i="3"/>
  <c r="P10" i="3" s="1"/>
  <c r="O5" i="3"/>
  <c r="P5" i="3" s="1"/>
  <c r="O4" i="3"/>
  <c r="P4" i="3" s="1"/>
  <c r="O3" i="3"/>
  <c r="P3" i="3" s="1"/>
  <c r="I33" i="3" l="1"/>
  <c r="I32" i="3"/>
  <c r="I31" i="3"/>
  <c r="I30" i="3"/>
  <c r="I29" i="3"/>
  <c r="I28" i="3"/>
  <c r="I27" i="3"/>
  <c r="I26" i="3" l="1"/>
  <c r="I25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3" i="3"/>
  <c r="H4" i="3"/>
  <c r="M4" i="3" s="1"/>
  <c r="H5" i="3"/>
  <c r="M5" i="3" s="1"/>
  <c r="H6" i="3"/>
  <c r="H7" i="3"/>
  <c r="H8" i="3"/>
  <c r="M8" i="3" s="1"/>
  <c r="H9" i="3"/>
  <c r="M9" i="3" s="1"/>
  <c r="H10" i="3"/>
  <c r="H11" i="3"/>
  <c r="H12" i="3"/>
  <c r="M12" i="3" s="1"/>
  <c r="H13" i="3"/>
  <c r="M13" i="3" s="1"/>
  <c r="H14" i="3"/>
  <c r="H15" i="3"/>
  <c r="H16" i="3"/>
  <c r="M16" i="3" s="1"/>
  <c r="H17" i="3"/>
  <c r="M17" i="3" s="1"/>
  <c r="H18" i="3"/>
  <c r="H19" i="3"/>
  <c r="H20" i="3"/>
  <c r="M20" i="3" s="1"/>
  <c r="H3" i="3"/>
  <c r="M3" i="3" s="1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M10" i="2"/>
  <c r="M9" i="2"/>
  <c r="M8" i="2"/>
  <c r="M7" i="2"/>
  <c r="M6" i="2"/>
  <c r="M5" i="2"/>
  <c r="M3" i="2"/>
  <c r="O3" i="2"/>
  <c r="M14" i="2"/>
  <c r="M15" i="2"/>
  <c r="M16" i="2"/>
  <c r="M17" i="2"/>
  <c r="M13" i="2"/>
  <c r="M12" i="2"/>
  <c r="O12" i="2"/>
  <c r="M11" i="2"/>
  <c r="M4" i="2"/>
  <c r="E10" i="2"/>
  <c r="M19" i="3" l="1"/>
  <c r="M15" i="3"/>
  <c r="M11" i="3"/>
  <c r="M7" i="3"/>
  <c r="M18" i="3"/>
  <c r="M14" i="3"/>
  <c r="M10" i="3"/>
  <c r="M6" i="3"/>
  <c r="G17" i="2"/>
  <c r="E17" i="2"/>
  <c r="N20" i="2" l="1"/>
  <c r="N18" i="2"/>
  <c r="G19" i="2"/>
  <c r="E19" i="2"/>
  <c r="G20" i="2" l="1"/>
  <c r="E20" i="2"/>
  <c r="I18" i="2"/>
  <c r="G18" i="2"/>
  <c r="E18" i="2"/>
  <c r="G16" i="2"/>
  <c r="E16" i="2"/>
  <c r="G15" i="2"/>
  <c r="E15" i="2"/>
  <c r="G14" i="2"/>
  <c r="E14" i="2"/>
  <c r="I13" i="2"/>
  <c r="G13" i="2"/>
  <c r="E13" i="2"/>
  <c r="G12" i="2"/>
  <c r="E12" i="2"/>
  <c r="G11" i="2"/>
  <c r="E11" i="2"/>
  <c r="G10" i="2"/>
  <c r="I10" i="2" s="1"/>
  <c r="G9" i="2"/>
  <c r="I9" i="2" s="1"/>
  <c r="E9" i="2"/>
  <c r="G8" i="2"/>
  <c r="I8" i="2" s="1"/>
  <c r="E8" i="2"/>
  <c r="G7" i="2"/>
  <c r="I7" i="2" s="1"/>
  <c r="E7" i="2"/>
  <c r="G6" i="2"/>
  <c r="I6" i="2" s="1"/>
  <c r="E6" i="2"/>
  <c r="G5" i="2"/>
  <c r="I5" i="2" s="1"/>
  <c r="E5" i="2"/>
  <c r="G4" i="2"/>
  <c r="I4" i="2" s="1"/>
  <c r="E4" i="2"/>
  <c r="G3" i="2"/>
  <c r="I3" i="2" s="1"/>
  <c r="E3" i="2"/>
  <c r="L11" i="2" l="1"/>
  <c r="I12" i="2"/>
  <c r="L12" i="2" s="1"/>
  <c r="I11" i="2"/>
  <c r="I15" i="2"/>
  <c r="L15" i="2" s="1"/>
  <c r="I16" i="2"/>
  <c r="L16" i="2" s="1"/>
  <c r="L13" i="2"/>
  <c r="I14" i="2"/>
  <c r="L14" i="2" s="1"/>
  <c r="L18" i="2"/>
  <c r="I20" i="2"/>
  <c r="L20" i="2" s="1"/>
  <c r="L10" i="2"/>
  <c r="L3" i="2"/>
  <c r="L4" i="2"/>
  <c r="L5" i="2"/>
  <c r="L6" i="2"/>
  <c r="L7" i="2"/>
  <c r="L8" i="2"/>
  <c r="L9" i="2"/>
</calcChain>
</file>

<file path=xl/sharedStrings.xml><?xml version="1.0" encoding="utf-8"?>
<sst xmlns="http://schemas.openxmlformats.org/spreadsheetml/2006/main" count="215" uniqueCount="84">
  <si>
    <t>18年11月-12月</t>
  </si>
  <si>
    <t>气悬库房</t>
  </si>
  <si>
    <t>橡塑件</t>
  </si>
  <si>
    <t>XSJ0032</t>
  </si>
  <si>
    <t>二孔进口气阀</t>
  </si>
  <si>
    <t>个</t>
  </si>
  <si>
    <t>北京光华荣昌汽车部件有限公司</t>
  </si>
  <si>
    <t>2019/1</t>
  </si>
  <si>
    <t>2019/2</t>
  </si>
  <si>
    <t>黑色双联阀</t>
  </si>
  <si>
    <t>2019/3</t>
  </si>
  <si>
    <t>2019/4</t>
  </si>
  <si>
    <t>三通4-4-4</t>
  </si>
  <si>
    <t>两通4-6</t>
  </si>
  <si>
    <t>紧固箍4</t>
  </si>
  <si>
    <t>紧固箍6</t>
  </si>
  <si>
    <t>2019/5</t>
  </si>
  <si>
    <t>四孔进口气阀</t>
  </si>
  <si>
    <t>注：本表格为光华荣昌提供进口部件综合表格；
    不区分北京、西安、天津地区的申请或付款情况；
    本次数据仅对数量负责。</t>
  </si>
  <si>
    <t>时间</t>
    <phoneticPr fontId="7" type="noConversion"/>
  </si>
  <si>
    <t>材料名称</t>
    <phoneticPr fontId="7" type="noConversion"/>
  </si>
  <si>
    <t>数量</t>
    <phoneticPr fontId="7" type="noConversion"/>
  </si>
  <si>
    <t>单价
（EUR：元/个）</t>
    <phoneticPr fontId="7" type="noConversion"/>
  </si>
  <si>
    <t>金额
（EUR：元）</t>
    <phoneticPr fontId="7" type="noConversion"/>
  </si>
  <si>
    <t>汇率</t>
    <phoneticPr fontId="7" type="noConversion"/>
  </si>
  <si>
    <t>单价
（CNY：元/个）</t>
    <phoneticPr fontId="7" type="noConversion"/>
  </si>
  <si>
    <t>关税</t>
    <phoneticPr fontId="7" type="noConversion"/>
  </si>
  <si>
    <t>运费单价
（元/个）</t>
    <phoneticPr fontId="7" type="noConversion"/>
  </si>
  <si>
    <t>财务费用</t>
    <phoneticPr fontId="7" type="noConversion"/>
  </si>
  <si>
    <t>单位成本
（元/个）</t>
    <phoneticPr fontId="7" type="noConversion"/>
  </si>
  <si>
    <t>占比</t>
    <phoneticPr fontId="7" type="noConversion"/>
  </si>
  <si>
    <t>关税金额
（元/个）</t>
    <phoneticPr fontId="7" type="noConversion"/>
  </si>
  <si>
    <t>2019.4.3</t>
    <phoneticPr fontId="7" type="noConversion"/>
  </si>
  <si>
    <t>四孔气阀</t>
    <phoneticPr fontId="7" type="noConversion"/>
  </si>
  <si>
    <t>座椅高度调节气阀</t>
    <phoneticPr fontId="7" type="noConversion"/>
  </si>
  <si>
    <t>2.19.3.19</t>
    <phoneticPr fontId="7" type="noConversion"/>
  </si>
  <si>
    <t>速降气阀</t>
    <phoneticPr fontId="7" type="noConversion"/>
  </si>
  <si>
    <t>速降气阀配套塑料件</t>
    <phoneticPr fontId="7" type="noConversion"/>
  </si>
  <si>
    <t>三通</t>
    <phoneticPr fontId="7" type="noConversion"/>
  </si>
  <si>
    <t>两通</t>
    <phoneticPr fontId="7" type="noConversion"/>
  </si>
  <si>
    <t>紧固箍4</t>
    <phoneticPr fontId="7" type="noConversion"/>
  </si>
  <si>
    <t>2019.3.7</t>
    <phoneticPr fontId="7" type="noConversion"/>
  </si>
  <si>
    <t>四孔气阀</t>
    <phoneticPr fontId="7" type="noConversion"/>
  </si>
  <si>
    <t>2.19.2.25</t>
    <phoneticPr fontId="7" type="noConversion"/>
  </si>
  <si>
    <t>2019.1.29</t>
    <phoneticPr fontId="7" type="noConversion"/>
  </si>
  <si>
    <t>2019.2.10</t>
  </si>
  <si>
    <t>黑色二联阀</t>
  </si>
  <si>
    <t>紧固箍6</t>
    <phoneticPr fontId="7" type="noConversion"/>
  </si>
  <si>
    <t>实付货款</t>
    <phoneticPr fontId="7" type="noConversion"/>
  </si>
  <si>
    <t>关税</t>
    <phoneticPr fontId="7" type="noConversion"/>
  </si>
  <si>
    <t>单位材料成本</t>
    <phoneticPr fontId="7" type="noConversion"/>
  </si>
  <si>
    <t>单位关税</t>
    <phoneticPr fontId="7" type="noConversion"/>
  </si>
  <si>
    <t>运费</t>
    <phoneticPr fontId="7" type="noConversion"/>
  </si>
  <si>
    <t>单位运费</t>
    <phoneticPr fontId="7" type="noConversion"/>
  </si>
  <si>
    <t>材料成本</t>
    <phoneticPr fontId="7" type="noConversion"/>
  </si>
  <si>
    <t>座椅高度调节气阀</t>
  </si>
  <si>
    <t>平均成本</t>
    <phoneticPr fontId="5" type="noConversion"/>
  </si>
  <si>
    <t>四孔气阀</t>
  </si>
  <si>
    <t>四孔气阀</t>
    <phoneticPr fontId="7" type="noConversion"/>
  </si>
  <si>
    <t>速降气阀</t>
  </si>
  <si>
    <r>
      <t>2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19.3.19</t>
    </r>
    <phoneticPr fontId="5" type="noConversion"/>
  </si>
  <si>
    <t>2019.2.25</t>
  </si>
  <si>
    <t>2019.2.25</t>
    <phoneticPr fontId="7" type="noConversion"/>
  </si>
  <si>
    <t>2019.3.19</t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</si>
  <si>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019.</t>
    </r>
    <r>
      <rPr>
        <sz val="11"/>
        <color theme="1"/>
        <rFont val="宋体"/>
        <family val="3"/>
        <charset val="134"/>
        <scheme val="minor"/>
      </rPr>
      <t>1.29</t>
    </r>
    <phoneticPr fontId="5" type="noConversion"/>
  </si>
  <si>
    <r>
      <t>2</t>
    </r>
    <r>
      <rPr>
        <sz val="11"/>
        <color theme="1"/>
        <rFont val="宋体"/>
        <family val="3"/>
        <charset val="134"/>
        <scheme val="minor"/>
      </rPr>
      <t>019.</t>
    </r>
    <r>
      <rPr>
        <sz val="11"/>
        <color theme="1"/>
        <rFont val="宋体"/>
        <family val="3"/>
        <charset val="134"/>
        <scheme val="minor"/>
      </rPr>
      <t>3.7</t>
    </r>
    <phoneticPr fontId="5" type="noConversion"/>
  </si>
  <si>
    <r>
      <t>2</t>
    </r>
    <r>
      <rPr>
        <sz val="11"/>
        <color theme="1"/>
        <rFont val="宋体"/>
        <family val="3"/>
        <charset val="134"/>
        <scheme val="minor"/>
      </rPr>
      <t>019.</t>
    </r>
    <r>
      <rPr>
        <sz val="11"/>
        <color theme="1"/>
        <rFont val="宋体"/>
        <family val="3"/>
        <charset val="134"/>
        <scheme val="minor"/>
      </rPr>
      <t>4.3</t>
    </r>
    <phoneticPr fontId="5" type="noConversion"/>
  </si>
  <si>
    <t>速降气阀配套塑料件</t>
  </si>
  <si>
    <t>三通</t>
  </si>
  <si>
    <t>两通</t>
  </si>
  <si>
    <t>紧固箍4</t>
    <phoneticPr fontId="7" type="noConversion"/>
  </si>
  <si>
    <t>材料名称</t>
  </si>
  <si>
    <t>材料名称</t>
    <phoneticPr fontId="7" type="noConversion"/>
  </si>
  <si>
    <t>运费分配</t>
    <phoneticPr fontId="5" type="noConversion"/>
  </si>
  <si>
    <t>材料承担的运费</t>
    <phoneticPr fontId="5" type="noConversion"/>
  </si>
  <si>
    <t>海关汇率</t>
    <phoneticPr fontId="7" type="noConversion"/>
  </si>
  <si>
    <t>二孔进口气阀</t>
    <phoneticPr fontId="5" type="noConversion"/>
  </si>
  <si>
    <t>XSJ0011</t>
    <phoneticPr fontId="5" type="noConversion"/>
  </si>
  <si>
    <t>XSJ0032</t>
    <phoneticPr fontId="5" type="noConversion"/>
  </si>
  <si>
    <t>XSJ0096</t>
    <phoneticPr fontId="5" type="noConversion"/>
  </si>
  <si>
    <t>XSJ0097</t>
    <phoneticPr fontId="5" type="noConversion"/>
  </si>
  <si>
    <t>XSJ0098</t>
    <phoneticPr fontId="5" type="noConversion"/>
  </si>
  <si>
    <t>XSJ0099</t>
    <phoneticPr fontId="5" type="noConversion"/>
  </si>
  <si>
    <t>XSJ0100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</si>
</sst>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_-* #,##0.00_-;\-* #,##0.00_-;_-* &quot;-&quot;_-;_-@_-"/>
  </numFmts>
  <fonts count="10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穝灿砰"/>
      <charset val="134"/>
    </font>
    <font>
      <sz val="9"/>
      <color theme="1"/>
      <name val="穝灿砰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9" fontId="6" fillId="0" borderId="6" xfId="2" applyNumberFormat="1" applyFont="1" applyBorder="1" applyAlignment="1">
      <alignment vertical="center"/>
    </xf>
    <xf numFmtId="43" fontId="6" fillId="0" borderId="6" xfId="1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9" fontId="8" fillId="0" borderId="6" xfId="2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3" fontId="8" fillId="0" borderId="6" xfId="0" applyNumberFormat="1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9" fontId="8" fillId="0" borderId="0" xfId="2" applyNumberFormat="1" applyFont="1" applyAlignment="1">
      <alignment horizontal="center" vertical="center"/>
    </xf>
    <xf numFmtId="2" fontId="0" fillId="0" borderId="0" xfId="0" applyNumberFormat="1">
      <alignment vertical="center"/>
    </xf>
    <xf numFmtId="0" fontId="0" fillId="3" borderId="0" xfId="0" applyFill="1">
      <alignment vertical="center"/>
    </xf>
    <xf numFmtId="178" fontId="0" fillId="3" borderId="0" xfId="3" applyNumberFormat="1" applyFont="1" applyFill="1">
      <alignment vertical="center"/>
    </xf>
    <xf numFmtId="178" fontId="0" fillId="4" borderId="0" xfId="3" applyNumberFormat="1" applyFont="1" applyFill="1">
      <alignment vertical="center"/>
    </xf>
    <xf numFmtId="2" fontId="0" fillId="3" borderId="0" xfId="0" applyNumberFormat="1" applyFill="1">
      <alignment vertical="center"/>
    </xf>
    <xf numFmtId="0" fontId="4" fillId="0" borderId="0" xfId="0" applyFont="1">
      <alignment vertical="center"/>
    </xf>
    <xf numFmtId="0" fontId="8" fillId="0" borderId="6" xfId="0" applyFont="1" applyFill="1" applyBorder="1" applyAlignment="1">
      <alignment horizontal="center" vertical="center"/>
    </xf>
    <xf numFmtId="177" fontId="8" fillId="0" borderId="6" xfId="3" applyNumberFormat="1" applyFont="1" applyBorder="1" applyAlignment="1">
      <alignment horizontal="center" vertical="center"/>
    </xf>
    <xf numFmtId="178" fontId="8" fillId="0" borderId="6" xfId="3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6" xfId="0" applyFont="1" applyBorder="1">
      <alignment vertical="center"/>
    </xf>
    <xf numFmtId="2" fontId="0" fillId="0" borderId="6" xfId="0" applyNumberFormat="1" applyBorder="1">
      <alignment vertical="center"/>
    </xf>
    <xf numFmtId="0" fontId="0" fillId="0" borderId="0" xfId="0" applyFill="1">
      <alignment vertical="center"/>
    </xf>
    <xf numFmtId="0" fontId="0" fillId="0" borderId="6" xfId="0" applyFill="1" applyBorder="1">
      <alignment vertical="center"/>
    </xf>
    <xf numFmtId="0" fontId="0" fillId="5" borderId="6" xfId="0" applyFill="1" applyBorder="1">
      <alignment vertical="center"/>
    </xf>
    <xf numFmtId="0" fontId="0" fillId="2" borderId="6" xfId="0" applyFill="1" applyBorder="1">
      <alignment vertical="center"/>
    </xf>
    <xf numFmtId="0" fontId="0" fillId="3" borderId="6" xfId="0" applyFill="1" applyBorder="1">
      <alignment vertical="center"/>
    </xf>
    <xf numFmtId="0" fontId="0" fillId="4" borderId="6" xfId="0" applyFill="1" applyBorder="1">
      <alignment vertical="center"/>
    </xf>
    <xf numFmtId="0" fontId="0" fillId="0" borderId="6" xfId="0" applyBorder="1" applyAlignment="1"/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9" fontId="6" fillId="0" borderId="6" xfId="2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</cellXfs>
  <cellStyles count="4">
    <cellStyle name="百分比" xfId="2" builtinId="5"/>
    <cellStyle name="常规" xfId="0" builtinId="0"/>
    <cellStyle name="千位分隔" xfId="1" builtinId="3"/>
    <cellStyle name="千位分隔[0]" xfId="3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M24"/>
  <sheetViews>
    <sheetView workbookViewId="0">
      <selection activeCell="M5" sqref="M5:M13"/>
    </sheetView>
  </sheetViews>
  <sheetFormatPr defaultColWidth="9" defaultRowHeight="13.5"/>
  <cols>
    <col min="2" max="2" width="14.5" style="1" customWidth="1"/>
    <col min="6" max="6" width="12.875" customWidth="1"/>
    <col min="9" max="9" width="29.625" customWidth="1"/>
  </cols>
  <sheetData>
    <row r="5" spans="2:13">
      <c r="B5" s="37" t="s">
        <v>0</v>
      </c>
      <c r="C5" s="3" t="s">
        <v>1</v>
      </c>
      <c r="D5" s="3" t="s">
        <v>2</v>
      </c>
      <c r="E5" s="3" t="s">
        <v>78</v>
      </c>
      <c r="F5" s="3" t="s">
        <v>76</v>
      </c>
      <c r="G5" s="3" t="s">
        <v>5</v>
      </c>
      <c r="H5" s="3">
        <v>4000</v>
      </c>
      <c r="I5" s="3" t="s">
        <v>6</v>
      </c>
      <c r="M5" s="3">
        <v>4000</v>
      </c>
    </row>
    <row r="6" spans="2:13">
      <c r="B6" s="37"/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>
        <v>6000</v>
      </c>
      <c r="I6" s="3" t="s">
        <v>6</v>
      </c>
      <c r="M6" s="3">
        <v>6000</v>
      </c>
    </row>
    <row r="7" spans="2:13">
      <c r="B7" s="37"/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>
        <v>14000</v>
      </c>
      <c r="I7" s="3" t="s">
        <v>6</v>
      </c>
      <c r="M7" s="3">
        <v>14000</v>
      </c>
    </row>
    <row r="8" spans="2:13">
      <c r="B8" s="37"/>
      <c r="C8" s="3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>
        <v>18000</v>
      </c>
      <c r="I8" s="3" t="s">
        <v>6</v>
      </c>
      <c r="M8" s="3">
        <v>18000</v>
      </c>
    </row>
    <row r="9" spans="2:13">
      <c r="B9" s="2" t="s">
        <v>7</v>
      </c>
      <c r="C9" s="3" t="s">
        <v>1</v>
      </c>
      <c r="D9" s="4" t="s">
        <v>2</v>
      </c>
      <c r="E9" s="4" t="s">
        <v>3</v>
      </c>
      <c r="F9" s="4" t="s">
        <v>4</v>
      </c>
      <c r="G9" s="4" t="s">
        <v>5</v>
      </c>
      <c r="H9" s="4">
        <v>10000</v>
      </c>
      <c r="I9" s="4" t="s">
        <v>6</v>
      </c>
      <c r="M9" s="4">
        <v>10000</v>
      </c>
    </row>
    <row r="10" spans="2:13">
      <c r="B10" s="38" t="s">
        <v>8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>
        <v>6000</v>
      </c>
      <c r="I10" s="4" t="s">
        <v>6</v>
      </c>
      <c r="M10" s="4">
        <v>6000</v>
      </c>
    </row>
    <row r="11" spans="2:13">
      <c r="B11" s="39"/>
      <c r="C11" s="4" t="s">
        <v>1</v>
      </c>
      <c r="D11" s="4" t="s">
        <v>2</v>
      </c>
      <c r="E11" s="5" t="s">
        <v>77</v>
      </c>
      <c r="F11" s="5" t="s">
        <v>9</v>
      </c>
      <c r="G11" s="4" t="s">
        <v>5</v>
      </c>
      <c r="H11" s="4">
        <v>300</v>
      </c>
      <c r="I11" s="4" t="s">
        <v>6</v>
      </c>
      <c r="M11" s="4">
        <v>5000</v>
      </c>
    </row>
    <row r="12" spans="2:13">
      <c r="B12" s="2" t="s">
        <v>10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4">
        <v>5000</v>
      </c>
      <c r="I12" s="4" t="s">
        <v>6</v>
      </c>
      <c r="M12" s="4">
        <v>10000</v>
      </c>
    </row>
    <row r="13" spans="2:13">
      <c r="B13" s="38" t="s">
        <v>11</v>
      </c>
      <c r="C13" s="4" t="s">
        <v>1</v>
      </c>
      <c r="D13" s="4" t="s">
        <v>2</v>
      </c>
      <c r="E13" s="4" t="s">
        <v>3</v>
      </c>
      <c r="F13" s="4" t="s">
        <v>4</v>
      </c>
      <c r="G13" s="4" t="s">
        <v>5</v>
      </c>
      <c r="H13" s="4">
        <v>10000</v>
      </c>
      <c r="I13" s="4" t="s">
        <v>6</v>
      </c>
      <c r="M13" s="3">
        <v>22000</v>
      </c>
    </row>
    <row r="14" spans="2:13">
      <c r="B14" s="40"/>
      <c r="C14" s="4" t="s">
        <v>1</v>
      </c>
      <c r="D14" s="4" t="s">
        <v>2</v>
      </c>
      <c r="E14" s="4" t="s">
        <v>79</v>
      </c>
      <c r="F14" s="3" t="s">
        <v>12</v>
      </c>
      <c r="G14" s="4" t="s">
        <v>5</v>
      </c>
      <c r="H14" s="3">
        <v>44000</v>
      </c>
      <c r="I14" s="4" t="s">
        <v>6</v>
      </c>
    </row>
    <row r="15" spans="2:13">
      <c r="B15" s="40"/>
      <c r="C15" s="4" t="s">
        <v>1</v>
      </c>
      <c r="D15" s="4" t="s">
        <v>2</v>
      </c>
      <c r="E15" s="4" t="s">
        <v>80</v>
      </c>
      <c r="F15" s="3" t="s">
        <v>13</v>
      </c>
      <c r="G15" s="4" t="s">
        <v>5</v>
      </c>
      <c r="H15" s="3">
        <v>33000</v>
      </c>
      <c r="I15" s="4" t="s">
        <v>6</v>
      </c>
    </row>
    <row r="16" spans="2:13">
      <c r="B16" s="40"/>
      <c r="C16" s="4" t="s">
        <v>1</v>
      </c>
      <c r="D16" s="4" t="s">
        <v>2</v>
      </c>
      <c r="E16" s="4" t="s">
        <v>81</v>
      </c>
      <c r="F16" s="3" t="s">
        <v>14</v>
      </c>
      <c r="G16" s="4" t="s">
        <v>5</v>
      </c>
      <c r="H16" s="3">
        <v>198000</v>
      </c>
      <c r="I16" s="4" t="s">
        <v>6</v>
      </c>
    </row>
    <row r="17" spans="2:9">
      <c r="B17" s="39"/>
      <c r="C17" s="4" t="s">
        <v>1</v>
      </c>
      <c r="D17" s="4" t="s">
        <v>2</v>
      </c>
      <c r="E17" s="4" t="s">
        <v>82</v>
      </c>
      <c r="F17" s="3" t="s">
        <v>15</v>
      </c>
      <c r="G17" s="4" t="s">
        <v>5</v>
      </c>
      <c r="H17" s="3">
        <v>33000</v>
      </c>
      <c r="I17" s="4" t="s">
        <v>6</v>
      </c>
    </row>
    <row r="18" spans="2:9">
      <c r="B18" s="37" t="s">
        <v>16</v>
      </c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3">
        <v>22000</v>
      </c>
      <c r="I18" s="4" t="s">
        <v>6</v>
      </c>
    </row>
    <row r="19" spans="2:9">
      <c r="B19" s="37"/>
      <c r="C19" s="4" t="s">
        <v>1</v>
      </c>
      <c r="D19" s="4" t="s">
        <v>2</v>
      </c>
      <c r="E19" s="4" t="s">
        <v>83</v>
      </c>
      <c r="F19" s="4" t="s">
        <v>17</v>
      </c>
      <c r="G19" s="4" t="s">
        <v>5</v>
      </c>
      <c r="H19" s="3">
        <v>3000</v>
      </c>
      <c r="I19" s="4" t="s">
        <v>6</v>
      </c>
    </row>
    <row r="21" spans="2:9">
      <c r="B21" s="41" t="s">
        <v>18</v>
      </c>
      <c r="C21" s="41"/>
      <c r="D21" s="41"/>
      <c r="E21" s="41"/>
      <c r="F21" s="41"/>
      <c r="G21" s="41"/>
      <c r="H21" s="41"/>
      <c r="I21" s="41"/>
    </row>
    <row r="22" spans="2:9">
      <c r="B22" s="41"/>
      <c r="C22" s="41"/>
      <c r="D22" s="41"/>
      <c r="E22" s="41"/>
      <c r="F22" s="41"/>
      <c r="G22" s="41"/>
      <c r="H22" s="41"/>
      <c r="I22" s="41"/>
    </row>
    <row r="23" spans="2:9">
      <c r="B23" s="41"/>
      <c r="C23" s="41"/>
      <c r="D23" s="41"/>
      <c r="E23" s="41"/>
      <c r="F23" s="41"/>
      <c r="G23" s="41"/>
      <c r="H23" s="41"/>
      <c r="I23" s="41"/>
    </row>
    <row r="24" spans="2:9">
      <c r="B24" s="41"/>
      <c r="C24" s="41"/>
      <c r="D24" s="41"/>
      <c r="E24" s="41"/>
      <c r="F24" s="41"/>
      <c r="G24" s="41"/>
      <c r="H24" s="41"/>
      <c r="I24" s="41"/>
    </row>
  </sheetData>
  <mergeCells count="5">
    <mergeCell ref="B5:B8"/>
    <mergeCell ref="B10:B11"/>
    <mergeCell ref="B13:B17"/>
    <mergeCell ref="B18:B19"/>
    <mergeCell ref="B21:I2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tabSelected="1" topLeftCell="A10" zoomScaleNormal="100" workbookViewId="0">
      <selection activeCell="Q28" sqref="Q28"/>
    </sheetView>
  </sheetViews>
  <sheetFormatPr defaultColWidth="9" defaultRowHeight="13.5"/>
  <cols>
    <col min="2" max="2" width="18.125" customWidth="1"/>
    <col min="3" max="5" width="10.5" bestFit="1" customWidth="1"/>
    <col min="6" max="6" width="10.625" bestFit="1" customWidth="1"/>
    <col min="7" max="7" width="12.25" bestFit="1" customWidth="1"/>
    <col min="9" max="9" width="10.75" customWidth="1"/>
    <col min="10" max="10" width="8" customWidth="1"/>
    <col min="11" max="11" width="10" customWidth="1"/>
    <col min="12" max="12" width="7.25" customWidth="1"/>
    <col min="13" max="13" width="7.375" customWidth="1"/>
    <col min="16" max="16" width="9.5" bestFit="1" customWidth="1"/>
  </cols>
  <sheetData>
    <row r="1" spans="1:16" ht="13.5" customHeight="1">
      <c r="A1" s="42" t="s">
        <v>19</v>
      </c>
      <c r="B1" s="42" t="s">
        <v>72</v>
      </c>
      <c r="C1" s="42" t="s">
        <v>21</v>
      </c>
      <c r="D1" s="51" t="s">
        <v>22</v>
      </c>
      <c r="E1" s="51" t="s">
        <v>23</v>
      </c>
      <c r="F1" s="42" t="s">
        <v>75</v>
      </c>
      <c r="G1" s="42" t="s">
        <v>48</v>
      </c>
      <c r="H1" s="49" t="s">
        <v>50</v>
      </c>
      <c r="I1" s="42" t="s">
        <v>49</v>
      </c>
      <c r="J1" s="42" t="s">
        <v>51</v>
      </c>
      <c r="K1" s="42" t="s">
        <v>52</v>
      </c>
      <c r="L1" s="42" t="s">
        <v>53</v>
      </c>
      <c r="M1" s="42" t="s">
        <v>54</v>
      </c>
      <c r="N1" s="43" t="s">
        <v>73</v>
      </c>
      <c r="O1" s="47" t="s">
        <v>74</v>
      </c>
      <c r="P1" s="42" t="s">
        <v>53</v>
      </c>
    </row>
    <row r="2" spans="1:16" ht="21.75" customHeight="1">
      <c r="A2" s="42"/>
      <c r="B2" s="42"/>
      <c r="C2" s="42"/>
      <c r="D2" s="42"/>
      <c r="E2" s="42"/>
      <c r="F2" s="42"/>
      <c r="G2" s="42"/>
      <c r="H2" s="50"/>
      <c r="I2" s="42"/>
      <c r="J2" s="42"/>
      <c r="K2" s="42"/>
      <c r="L2" s="42"/>
      <c r="M2" s="42"/>
      <c r="N2" s="43"/>
      <c r="O2" s="48"/>
      <c r="P2" s="42"/>
    </row>
    <row r="3" spans="1:16">
      <c r="A3" s="8" t="s">
        <v>32</v>
      </c>
      <c r="B3" s="8" t="s">
        <v>58</v>
      </c>
      <c r="C3" s="8">
        <v>5000</v>
      </c>
      <c r="D3" s="8">
        <v>5.8</v>
      </c>
      <c r="E3" s="8">
        <f>C3*D3</f>
        <v>29000</v>
      </c>
      <c r="F3" s="8">
        <v>7.617</v>
      </c>
      <c r="G3" s="26">
        <v>219837.40000000002</v>
      </c>
      <c r="H3" s="25">
        <f>G3/C3</f>
        <v>43.967480000000002</v>
      </c>
      <c r="I3" s="26">
        <v>11172</v>
      </c>
      <c r="J3" s="25">
        <f>I3/C3</f>
        <v>2.2343999999999999</v>
      </c>
      <c r="K3" s="26">
        <v>3328.9766666666669</v>
      </c>
      <c r="L3" s="25">
        <f>K3/C3</f>
        <v>0.66579533333333341</v>
      </c>
      <c r="M3" s="25">
        <f>H3+J3+L3</f>
        <v>46.867675333333338</v>
      </c>
      <c r="N3" s="44">
        <v>9986.93</v>
      </c>
      <c r="O3" s="33">
        <f>N3/(C3+C4)*C3</f>
        <v>3328.9766666666669</v>
      </c>
      <c r="P3" s="29">
        <f>O3/C3</f>
        <v>0.66579533333333341</v>
      </c>
    </row>
    <row r="4" spans="1:16">
      <c r="A4" s="8" t="s">
        <v>32</v>
      </c>
      <c r="B4" s="24" t="s">
        <v>34</v>
      </c>
      <c r="C4" s="24">
        <v>10000</v>
      </c>
      <c r="D4" s="8">
        <v>3</v>
      </c>
      <c r="E4" s="8">
        <f>C4*D4</f>
        <v>30000</v>
      </c>
      <c r="F4" s="8">
        <v>7.617</v>
      </c>
      <c r="G4" s="26">
        <v>230583</v>
      </c>
      <c r="H4" s="25">
        <f t="shared" ref="H4:H20" si="0">G4/C4</f>
        <v>23.058299999999999</v>
      </c>
      <c r="I4" s="26">
        <v>11557.25</v>
      </c>
      <c r="J4" s="25">
        <f t="shared" ref="J4:J20" si="1">I4/C4</f>
        <v>1.1557249999999999</v>
      </c>
      <c r="K4" s="26">
        <v>6657.9533333333338</v>
      </c>
      <c r="L4" s="25">
        <f t="shared" ref="L4:L20" si="2">K4/C4</f>
        <v>0.66579533333333341</v>
      </c>
      <c r="M4" s="25">
        <f t="shared" ref="M4:M20" si="3">H4+J4+L4</f>
        <v>24.879820333333331</v>
      </c>
      <c r="N4" s="44"/>
      <c r="O4" s="33">
        <f>N3/(C3+C4)*C4</f>
        <v>6657.9533333333338</v>
      </c>
      <c r="P4" s="29">
        <f t="shared" ref="P4:P20" si="4">O4/C4</f>
        <v>0.66579533333333341</v>
      </c>
    </row>
    <row r="5" spans="1:16">
      <c r="A5" s="8" t="s">
        <v>63</v>
      </c>
      <c r="B5" s="24" t="s">
        <v>36</v>
      </c>
      <c r="C5" s="24">
        <v>5000</v>
      </c>
      <c r="D5" s="8">
        <v>2.33</v>
      </c>
      <c r="E5" s="8">
        <f t="shared" ref="E5:E20" si="5">C5*D5</f>
        <v>11650</v>
      </c>
      <c r="F5" s="8">
        <v>7.6622000000000003</v>
      </c>
      <c r="G5" s="26">
        <v>88313.99</v>
      </c>
      <c r="H5" s="25">
        <f t="shared" si="0"/>
        <v>17.662798000000002</v>
      </c>
      <c r="I5" s="26">
        <v>4548.7</v>
      </c>
      <c r="J5" s="25">
        <f t="shared" si="1"/>
        <v>0.90973999999999999</v>
      </c>
      <c r="K5" s="26">
        <v>157.27555555555554</v>
      </c>
      <c r="L5" s="25">
        <f t="shared" si="2"/>
        <v>3.1455111111111107E-2</v>
      </c>
      <c r="M5" s="25">
        <f t="shared" si="3"/>
        <v>18.603993111111112</v>
      </c>
      <c r="N5" s="45">
        <v>5661.92</v>
      </c>
      <c r="O5" s="34">
        <f>$N$5/180000*C5</f>
        <v>157.27555555555557</v>
      </c>
      <c r="P5" s="29">
        <f t="shared" si="4"/>
        <v>3.1455111111111114E-2</v>
      </c>
    </row>
    <row r="6" spans="1:16">
      <c r="A6" s="8" t="s">
        <v>63</v>
      </c>
      <c r="B6" s="24" t="s">
        <v>37</v>
      </c>
      <c r="C6" s="24">
        <v>5000</v>
      </c>
      <c r="D6" s="8">
        <v>0.27</v>
      </c>
      <c r="E6" s="8">
        <f t="shared" si="5"/>
        <v>1350</v>
      </c>
      <c r="F6" s="8">
        <v>7.6622000000000003</v>
      </c>
      <c r="G6" s="26">
        <v>10233.810000000001</v>
      </c>
      <c r="H6" s="25">
        <f t="shared" si="0"/>
        <v>2.0467620000000002</v>
      </c>
      <c r="I6" s="26">
        <v>1054.3</v>
      </c>
      <c r="J6" s="25">
        <f t="shared" si="1"/>
        <v>0.21085999999999999</v>
      </c>
      <c r="K6" s="26">
        <v>157.27555555555554</v>
      </c>
      <c r="L6" s="25">
        <f t="shared" si="2"/>
        <v>3.1455111111111107E-2</v>
      </c>
      <c r="M6" s="25">
        <f t="shared" si="3"/>
        <v>2.2890771111111112</v>
      </c>
      <c r="N6" s="45"/>
      <c r="O6" s="34">
        <f t="shared" ref="O6:O10" si="6">$N$5/180000*C6</f>
        <v>157.27555555555557</v>
      </c>
      <c r="P6" s="29">
        <f t="shared" si="4"/>
        <v>3.1455111111111114E-2</v>
      </c>
    </row>
    <row r="7" spans="1:16">
      <c r="A7" s="8" t="s">
        <v>63</v>
      </c>
      <c r="B7" s="24" t="s">
        <v>38</v>
      </c>
      <c r="C7" s="24">
        <v>25000</v>
      </c>
      <c r="D7" s="8">
        <v>9.7000000000000003E-2</v>
      </c>
      <c r="E7" s="8">
        <f t="shared" si="5"/>
        <v>2425</v>
      </c>
      <c r="F7" s="8">
        <v>7.6622000000000003</v>
      </c>
      <c r="G7" s="26">
        <v>18382.955000000002</v>
      </c>
      <c r="H7" s="25">
        <f t="shared" si="0"/>
        <v>0.73531820000000003</v>
      </c>
      <c r="I7" s="26">
        <v>1893.7</v>
      </c>
      <c r="J7" s="25">
        <f t="shared" si="1"/>
        <v>7.5747999999999996E-2</v>
      </c>
      <c r="K7" s="26">
        <v>786.37777777777785</v>
      </c>
      <c r="L7" s="25">
        <f t="shared" si="2"/>
        <v>3.1455111111111114E-2</v>
      </c>
      <c r="M7" s="25">
        <f t="shared" si="3"/>
        <v>0.84252131111111117</v>
      </c>
      <c r="N7" s="45"/>
      <c r="O7" s="34">
        <f t="shared" si="6"/>
        <v>786.37777777777785</v>
      </c>
      <c r="P7" s="29">
        <f t="shared" si="4"/>
        <v>3.1455111111111114E-2</v>
      </c>
    </row>
    <row r="8" spans="1:16">
      <c r="A8" s="8" t="s">
        <v>63</v>
      </c>
      <c r="B8" s="24" t="s">
        <v>39</v>
      </c>
      <c r="C8" s="24">
        <v>10000</v>
      </c>
      <c r="D8" s="8">
        <v>7.4999999999999997E-2</v>
      </c>
      <c r="E8" s="8">
        <f t="shared" si="5"/>
        <v>750</v>
      </c>
      <c r="F8" s="8">
        <v>7.6622000000000003</v>
      </c>
      <c r="G8" s="26">
        <v>5685.4500000000007</v>
      </c>
      <c r="H8" s="25">
        <f t="shared" si="0"/>
        <v>0.56854500000000008</v>
      </c>
      <c r="I8" s="26">
        <v>585.80000000000007</v>
      </c>
      <c r="J8" s="25">
        <f t="shared" si="1"/>
        <v>5.8580000000000007E-2</v>
      </c>
      <c r="K8" s="26">
        <v>314.55111111111108</v>
      </c>
      <c r="L8" s="25">
        <f t="shared" si="2"/>
        <v>3.1455111111111107E-2</v>
      </c>
      <c r="M8" s="25">
        <f t="shared" si="3"/>
        <v>0.65858011111111114</v>
      </c>
      <c r="N8" s="45"/>
      <c r="O8" s="34">
        <f t="shared" si="6"/>
        <v>314.55111111111114</v>
      </c>
      <c r="P8" s="29">
        <f t="shared" si="4"/>
        <v>3.1455111111111114E-2</v>
      </c>
    </row>
    <row r="9" spans="1:16">
      <c r="A9" s="8" t="s">
        <v>63</v>
      </c>
      <c r="B9" s="24" t="s">
        <v>40</v>
      </c>
      <c r="C9" s="24">
        <v>125000</v>
      </c>
      <c r="D9" s="8">
        <v>4.4999999999999998E-2</v>
      </c>
      <c r="E9" s="8">
        <f t="shared" si="5"/>
        <v>5625</v>
      </c>
      <c r="F9" s="8">
        <v>7.6622000000000003</v>
      </c>
      <c r="G9" s="26">
        <v>42640.875</v>
      </c>
      <c r="H9" s="25">
        <f t="shared" si="0"/>
        <v>0.34112700000000001</v>
      </c>
      <c r="I9" s="26">
        <v>4392.5</v>
      </c>
      <c r="J9" s="25">
        <f t="shared" si="1"/>
        <v>3.5139999999999998E-2</v>
      </c>
      <c r="K9" s="26">
        <v>3931.8888888888887</v>
      </c>
      <c r="L9" s="25">
        <f t="shared" si="2"/>
        <v>3.1455111111111107E-2</v>
      </c>
      <c r="M9" s="25">
        <f t="shared" si="3"/>
        <v>0.40772211111111112</v>
      </c>
      <c r="N9" s="45"/>
      <c r="O9" s="34">
        <f t="shared" si="6"/>
        <v>3931.8888888888891</v>
      </c>
      <c r="P9" s="29">
        <f t="shared" si="4"/>
        <v>3.1455111111111114E-2</v>
      </c>
    </row>
    <row r="10" spans="1:16">
      <c r="A10" s="8" t="s">
        <v>63</v>
      </c>
      <c r="B10" s="24" t="s">
        <v>47</v>
      </c>
      <c r="C10" s="24">
        <v>10000</v>
      </c>
      <c r="D10" s="8">
        <v>0.09</v>
      </c>
      <c r="E10" s="8">
        <f t="shared" si="5"/>
        <v>900</v>
      </c>
      <c r="F10" s="8"/>
      <c r="G10" s="26">
        <v>6822.54</v>
      </c>
      <c r="H10" s="25">
        <f t="shared" si="0"/>
        <v>0.68225400000000003</v>
      </c>
      <c r="I10" s="26">
        <v>702.80000000000018</v>
      </c>
      <c r="J10" s="25">
        <f t="shared" si="1"/>
        <v>7.0280000000000023E-2</v>
      </c>
      <c r="K10" s="26">
        <v>314.55111111111108</v>
      </c>
      <c r="L10" s="25">
        <f t="shared" si="2"/>
        <v>3.1455111111111107E-2</v>
      </c>
      <c r="M10" s="25">
        <f t="shared" si="3"/>
        <v>0.78398911111111114</v>
      </c>
      <c r="N10" s="45"/>
      <c r="O10" s="34">
        <f t="shared" si="6"/>
        <v>314.55111111111114</v>
      </c>
      <c r="P10" s="29">
        <f t="shared" si="4"/>
        <v>3.1455111111111114E-2</v>
      </c>
    </row>
    <row r="11" spans="1:16">
      <c r="A11" s="8" t="s">
        <v>41</v>
      </c>
      <c r="B11" s="24" t="s">
        <v>34</v>
      </c>
      <c r="C11" s="24">
        <v>5000</v>
      </c>
      <c r="D11" s="8">
        <v>3</v>
      </c>
      <c r="E11" s="8">
        <f t="shared" si="5"/>
        <v>15000</v>
      </c>
      <c r="F11" s="8">
        <v>7.6622000000000003</v>
      </c>
      <c r="G11" s="26">
        <v>115291.5</v>
      </c>
      <c r="H11" s="25">
        <f t="shared" si="0"/>
        <v>23.058299999999999</v>
      </c>
      <c r="I11" s="26">
        <v>5815.1500000000005</v>
      </c>
      <c r="J11" s="25">
        <f t="shared" si="1"/>
        <v>1.16303</v>
      </c>
      <c r="K11" s="26">
        <v>329.31333333333333</v>
      </c>
      <c r="L11" s="25">
        <f t="shared" si="2"/>
        <v>6.5862666666666667E-2</v>
      </c>
      <c r="M11" s="25">
        <f t="shared" si="3"/>
        <v>24.287192666666666</v>
      </c>
      <c r="N11" s="46">
        <v>10867.34</v>
      </c>
      <c r="O11" s="35">
        <f>$N$11/165000*C11</f>
        <v>329.31333333333333</v>
      </c>
      <c r="P11" s="29">
        <f t="shared" si="4"/>
        <v>6.5862666666666667E-2</v>
      </c>
    </row>
    <row r="12" spans="1:16">
      <c r="A12" s="8" t="s">
        <v>41</v>
      </c>
      <c r="B12" s="24" t="s">
        <v>42</v>
      </c>
      <c r="C12" s="24">
        <v>5000</v>
      </c>
      <c r="D12" s="8">
        <v>5.8</v>
      </c>
      <c r="E12" s="8">
        <f t="shared" si="5"/>
        <v>29000</v>
      </c>
      <c r="F12" s="8">
        <v>7.6622000000000003</v>
      </c>
      <c r="G12" s="26">
        <v>222870.78234398784</v>
      </c>
      <c r="H12" s="25">
        <f t="shared" si="0"/>
        <v>44.574156468797568</v>
      </c>
      <c r="I12" s="26">
        <v>11242.650000000001</v>
      </c>
      <c r="J12" s="25">
        <f t="shared" si="1"/>
        <v>2.2485300000000001</v>
      </c>
      <c r="K12" s="26">
        <v>329.31333333333333</v>
      </c>
      <c r="L12" s="25">
        <f t="shared" si="2"/>
        <v>6.5862666666666667E-2</v>
      </c>
      <c r="M12" s="25">
        <f t="shared" si="3"/>
        <v>46.888549135464238</v>
      </c>
      <c r="N12" s="46"/>
      <c r="O12" s="35">
        <f t="shared" ref="O12:O17" si="7">$N$11/165000*C12</f>
        <v>329.31333333333333</v>
      </c>
      <c r="P12" s="29">
        <f t="shared" si="4"/>
        <v>6.5862666666666667E-2</v>
      </c>
    </row>
    <row r="13" spans="1:16">
      <c r="A13" s="8" t="s">
        <v>41</v>
      </c>
      <c r="B13" s="24" t="s">
        <v>36</v>
      </c>
      <c r="C13" s="24">
        <v>5000</v>
      </c>
      <c r="D13" s="8">
        <v>2.33</v>
      </c>
      <c r="E13" s="8">
        <f t="shared" si="5"/>
        <v>11650</v>
      </c>
      <c r="F13" s="8"/>
      <c r="G13" s="26">
        <v>89532.572907153735</v>
      </c>
      <c r="H13" s="25">
        <f t="shared" si="0"/>
        <v>17.906514581430748</v>
      </c>
      <c r="I13" s="26">
        <v>4516.45</v>
      </c>
      <c r="J13" s="25">
        <f t="shared" si="1"/>
        <v>0.90328999999999993</v>
      </c>
      <c r="K13" s="26">
        <v>329.31333333333333</v>
      </c>
      <c r="L13" s="25">
        <f t="shared" si="2"/>
        <v>6.5862666666666667E-2</v>
      </c>
      <c r="M13" s="25">
        <f t="shared" si="3"/>
        <v>18.875667248097415</v>
      </c>
      <c r="N13" s="46"/>
      <c r="O13" s="35">
        <f t="shared" si="7"/>
        <v>329.31333333333333</v>
      </c>
      <c r="P13" s="29">
        <f t="shared" si="4"/>
        <v>6.5862666666666667E-2</v>
      </c>
    </row>
    <row r="14" spans="1:16">
      <c r="A14" s="8" t="s">
        <v>41</v>
      </c>
      <c r="B14" s="24" t="s">
        <v>37</v>
      </c>
      <c r="C14" s="24">
        <v>5000</v>
      </c>
      <c r="D14" s="8">
        <v>0.27</v>
      </c>
      <c r="E14" s="8">
        <f t="shared" si="5"/>
        <v>1350</v>
      </c>
      <c r="F14" s="8">
        <v>7.6622000000000003</v>
      </c>
      <c r="G14" s="26">
        <v>10375.019178082192</v>
      </c>
      <c r="H14" s="25">
        <f t="shared" si="0"/>
        <v>2.0750038356164384</v>
      </c>
      <c r="I14" s="26">
        <v>1046.7</v>
      </c>
      <c r="J14" s="25">
        <f t="shared" si="1"/>
        <v>0.20934</v>
      </c>
      <c r="K14" s="26">
        <v>329.31333333333333</v>
      </c>
      <c r="L14" s="25">
        <f t="shared" si="2"/>
        <v>6.5862666666666667E-2</v>
      </c>
      <c r="M14" s="25">
        <f t="shared" si="3"/>
        <v>2.3502065022831053</v>
      </c>
      <c r="N14" s="46"/>
      <c r="O14" s="35">
        <f t="shared" si="7"/>
        <v>329.31333333333333</v>
      </c>
      <c r="P14" s="29">
        <f t="shared" si="4"/>
        <v>6.5862666666666667E-2</v>
      </c>
    </row>
    <row r="15" spans="1:16">
      <c r="A15" s="8" t="s">
        <v>41</v>
      </c>
      <c r="B15" s="24" t="s">
        <v>39</v>
      </c>
      <c r="C15" s="24">
        <v>10000</v>
      </c>
      <c r="D15" s="8">
        <v>7.4999999999999997E-2</v>
      </c>
      <c r="E15" s="8">
        <f t="shared" si="5"/>
        <v>750</v>
      </c>
      <c r="F15" s="8">
        <v>7.6622000000000003</v>
      </c>
      <c r="G15" s="26">
        <v>5763.899543378996</v>
      </c>
      <c r="H15" s="25">
        <f t="shared" si="0"/>
        <v>0.57638995433789963</v>
      </c>
      <c r="I15" s="26">
        <v>581.5</v>
      </c>
      <c r="J15" s="25">
        <f t="shared" si="1"/>
        <v>5.815E-2</v>
      </c>
      <c r="K15" s="26">
        <v>658.62666666666667</v>
      </c>
      <c r="L15" s="25">
        <f t="shared" si="2"/>
        <v>6.5862666666666667E-2</v>
      </c>
      <c r="M15" s="25">
        <f t="shared" si="3"/>
        <v>0.70040262100456629</v>
      </c>
      <c r="N15" s="46"/>
      <c r="O15" s="35">
        <f t="shared" si="7"/>
        <v>658.62666666666667</v>
      </c>
      <c r="P15" s="29">
        <f t="shared" si="4"/>
        <v>6.5862666666666667E-2</v>
      </c>
    </row>
    <row r="16" spans="1:16">
      <c r="A16" s="8" t="s">
        <v>41</v>
      </c>
      <c r="B16" s="24" t="s">
        <v>70</v>
      </c>
      <c r="C16" s="24">
        <v>125000</v>
      </c>
      <c r="D16" s="8">
        <v>4.4999999999999998E-2</v>
      </c>
      <c r="E16" s="8">
        <f t="shared" si="5"/>
        <v>5625</v>
      </c>
      <c r="F16" s="8">
        <v>7.6622000000000003</v>
      </c>
      <c r="G16" s="26">
        <v>43229.246575342469</v>
      </c>
      <c r="H16" s="25">
        <f t="shared" si="0"/>
        <v>0.34583397260273974</v>
      </c>
      <c r="I16" s="26">
        <v>4361.38</v>
      </c>
      <c r="J16" s="25">
        <f t="shared" si="1"/>
        <v>3.4891039999999998E-2</v>
      </c>
      <c r="K16" s="26">
        <v>8232.8333333333339</v>
      </c>
      <c r="L16" s="25">
        <f t="shared" si="2"/>
        <v>6.5862666666666667E-2</v>
      </c>
      <c r="M16" s="25">
        <f t="shared" si="3"/>
        <v>0.4465876792694064</v>
      </c>
      <c r="N16" s="46"/>
      <c r="O16" s="35">
        <f t="shared" si="7"/>
        <v>8232.8333333333339</v>
      </c>
      <c r="P16" s="29">
        <f t="shared" si="4"/>
        <v>6.5862666666666667E-2</v>
      </c>
    </row>
    <row r="17" spans="1:16">
      <c r="A17" s="8" t="s">
        <v>41</v>
      </c>
      <c r="B17" s="24" t="s">
        <v>47</v>
      </c>
      <c r="C17" s="24">
        <v>10000</v>
      </c>
      <c r="D17" s="8">
        <v>0.09</v>
      </c>
      <c r="E17" s="8">
        <f t="shared" si="5"/>
        <v>900</v>
      </c>
      <c r="F17" s="8">
        <v>7.6622000000000003</v>
      </c>
      <c r="G17" s="26">
        <v>6916.6794520547946</v>
      </c>
      <c r="H17" s="25">
        <f t="shared" si="0"/>
        <v>0.69166794520547947</v>
      </c>
      <c r="I17" s="26">
        <v>697.82</v>
      </c>
      <c r="J17" s="25">
        <f t="shared" si="1"/>
        <v>6.9782000000000011E-2</v>
      </c>
      <c r="K17" s="26">
        <v>658.62666666666667</v>
      </c>
      <c r="L17" s="25">
        <f t="shared" si="2"/>
        <v>6.5862666666666667E-2</v>
      </c>
      <c r="M17" s="25">
        <f t="shared" si="3"/>
        <v>0.82731261187214611</v>
      </c>
      <c r="N17" s="46"/>
      <c r="O17" s="35">
        <f t="shared" si="7"/>
        <v>658.62666666666667</v>
      </c>
      <c r="P17" s="29">
        <f t="shared" si="4"/>
        <v>6.5862666666666667E-2</v>
      </c>
    </row>
    <row r="18" spans="1:16">
      <c r="A18" s="8" t="s">
        <v>62</v>
      </c>
      <c r="B18" s="24" t="s">
        <v>38</v>
      </c>
      <c r="C18" s="24">
        <v>60000</v>
      </c>
      <c r="D18" s="8">
        <v>9.7000000000000003E-2</v>
      </c>
      <c r="E18" s="8">
        <f t="shared" si="5"/>
        <v>5820</v>
      </c>
      <c r="F18" s="8">
        <v>7.7141999999999999</v>
      </c>
      <c r="G18" s="26">
        <v>44729.61</v>
      </c>
      <c r="H18" s="25">
        <f t="shared" si="0"/>
        <v>0.74549350000000003</v>
      </c>
      <c r="I18" s="26">
        <v>4702.6000000000004</v>
      </c>
      <c r="J18" s="25">
        <f t="shared" si="1"/>
        <v>7.8376666666666678E-2</v>
      </c>
      <c r="K18" s="26">
        <v>5181.3999999999996</v>
      </c>
      <c r="L18" s="25">
        <f t="shared" si="2"/>
        <v>8.6356666666666665E-2</v>
      </c>
      <c r="M18" s="25">
        <f t="shared" si="3"/>
        <v>0.91022683333333332</v>
      </c>
      <c r="N18" s="31">
        <v>5181.3999999999996</v>
      </c>
      <c r="O18" s="31">
        <f>N18</f>
        <v>5181.3999999999996</v>
      </c>
      <c r="P18" s="29">
        <f t="shared" si="4"/>
        <v>8.6356666666666665E-2</v>
      </c>
    </row>
    <row r="19" spans="1:16">
      <c r="A19" s="8" t="s">
        <v>45</v>
      </c>
      <c r="B19" s="24" t="s">
        <v>46</v>
      </c>
      <c r="C19" s="24">
        <v>300</v>
      </c>
      <c r="D19" s="8">
        <v>5</v>
      </c>
      <c r="E19" s="8">
        <f t="shared" si="5"/>
        <v>1500</v>
      </c>
      <c r="F19" s="8">
        <v>7.7141999999999999</v>
      </c>
      <c r="G19" s="26">
        <v>11628.75</v>
      </c>
      <c r="H19" s="25">
        <f t="shared" si="0"/>
        <v>38.762500000000003</v>
      </c>
      <c r="I19" s="26">
        <v>906.35</v>
      </c>
      <c r="J19" s="25">
        <f t="shared" si="1"/>
        <v>3.0211666666666668</v>
      </c>
      <c r="K19" s="26">
        <v>4116.8999999999996</v>
      </c>
      <c r="L19" s="25">
        <f t="shared" si="2"/>
        <v>13.722999999999999</v>
      </c>
      <c r="M19" s="25">
        <f t="shared" si="3"/>
        <v>55.506666666666668</v>
      </c>
      <c r="N19" s="32">
        <v>4116.8999999999996</v>
      </c>
      <c r="O19" s="32">
        <f>N19</f>
        <v>4116.8999999999996</v>
      </c>
      <c r="P19" s="29">
        <f t="shared" si="4"/>
        <v>13.722999999999999</v>
      </c>
    </row>
    <row r="20" spans="1:16">
      <c r="A20" s="8" t="s">
        <v>44</v>
      </c>
      <c r="B20" s="24" t="s">
        <v>34</v>
      </c>
      <c r="C20" s="24">
        <v>6000</v>
      </c>
      <c r="D20" s="8">
        <v>3</v>
      </c>
      <c r="E20" s="8">
        <f t="shared" si="5"/>
        <v>18000</v>
      </c>
      <c r="F20" s="8">
        <v>7.8346999999999998</v>
      </c>
      <c r="G20" s="26">
        <v>139496.4</v>
      </c>
      <c r="H20" s="25">
        <f t="shared" si="0"/>
        <v>23.249399999999998</v>
      </c>
      <c r="I20" s="26">
        <v>7171.9500000000007</v>
      </c>
      <c r="J20" s="25">
        <f t="shared" si="1"/>
        <v>1.1953250000000002</v>
      </c>
      <c r="K20" s="26">
        <v>5337.18</v>
      </c>
      <c r="L20" s="25">
        <f t="shared" si="2"/>
        <v>0.88953000000000004</v>
      </c>
      <c r="M20" s="25">
        <f t="shared" si="3"/>
        <v>25.334254999999999</v>
      </c>
      <c r="N20" s="36">
        <v>5337.18</v>
      </c>
      <c r="O20" s="36">
        <v>5337.18</v>
      </c>
      <c r="P20" s="29">
        <f t="shared" si="4"/>
        <v>0.88953000000000004</v>
      </c>
    </row>
    <row r="21" spans="1:16">
      <c r="C21" s="30"/>
    </row>
    <row r="24" spans="1:16">
      <c r="B24" s="27" t="s">
        <v>71</v>
      </c>
      <c r="C24" s="28" t="s">
        <v>64</v>
      </c>
      <c r="D24" s="28" t="s">
        <v>45</v>
      </c>
      <c r="E24" s="28" t="s">
        <v>61</v>
      </c>
      <c r="F24" s="28" t="s">
        <v>65</v>
      </c>
      <c r="G24" s="28" t="s">
        <v>60</v>
      </c>
      <c r="H24" s="28" t="s">
        <v>66</v>
      </c>
      <c r="I24" s="28" t="s">
        <v>56</v>
      </c>
    </row>
    <row r="25" spans="1:16">
      <c r="B25" s="27" t="s">
        <v>55</v>
      </c>
      <c r="C25" s="29">
        <v>25.334254999999999</v>
      </c>
      <c r="D25" s="29"/>
      <c r="E25" s="29"/>
      <c r="F25" s="29">
        <v>24.287192666666666</v>
      </c>
      <c r="G25" s="29"/>
      <c r="H25" s="29">
        <v>24.879820333333331</v>
      </c>
      <c r="I25" s="29">
        <f>(C25+F25+H25)/3</f>
        <v>24.833755999999997</v>
      </c>
    </row>
    <row r="26" spans="1:16">
      <c r="B26" s="27" t="s">
        <v>57</v>
      </c>
      <c r="C26" s="27"/>
      <c r="D26" s="27"/>
      <c r="E26" s="29"/>
      <c r="F26" s="29">
        <v>46.888549135464238</v>
      </c>
      <c r="G26" s="29"/>
      <c r="H26" s="29">
        <v>46.867675333333338</v>
      </c>
      <c r="I26" s="29">
        <f>(C26+F26+H26)/2</f>
        <v>46.878112234398785</v>
      </c>
    </row>
    <row r="27" spans="1:16">
      <c r="B27" s="27" t="s">
        <v>59</v>
      </c>
      <c r="C27" s="27"/>
      <c r="D27" s="27"/>
      <c r="E27" s="29"/>
      <c r="F27" s="29">
        <v>18.875667248097415</v>
      </c>
      <c r="G27" s="29">
        <v>18.603993111111112</v>
      </c>
      <c r="H27" s="29"/>
      <c r="I27" s="29">
        <f>(F27+G27)/2</f>
        <v>18.739830179604262</v>
      </c>
    </row>
    <row r="28" spans="1:16">
      <c r="B28" s="27" t="s">
        <v>67</v>
      </c>
      <c r="C28" s="27"/>
      <c r="D28" s="27"/>
      <c r="E28" s="29"/>
      <c r="F28" s="29">
        <v>2.3502065022831053</v>
      </c>
      <c r="G28" s="29">
        <v>2.2890771111111112</v>
      </c>
      <c r="H28" s="29"/>
      <c r="I28" s="29">
        <f>(F28+G28)/2</f>
        <v>2.3196418066971081</v>
      </c>
    </row>
    <row r="29" spans="1:16">
      <c r="B29" s="27" t="s">
        <v>68</v>
      </c>
      <c r="C29" s="27"/>
      <c r="D29" s="27"/>
      <c r="E29" s="29">
        <v>0.91022683333333332</v>
      </c>
      <c r="F29" s="29"/>
      <c r="G29" s="29">
        <v>0.84252131111111117</v>
      </c>
      <c r="H29" s="29"/>
      <c r="I29" s="29">
        <f>(E29+G29)/2</f>
        <v>0.87637407222222219</v>
      </c>
    </row>
    <row r="30" spans="1:16">
      <c r="B30" s="27" t="s">
        <v>69</v>
      </c>
      <c r="C30" s="27"/>
      <c r="D30" s="27"/>
      <c r="E30" s="29"/>
      <c r="F30" s="29">
        <v>0.70040262100456629</v>
      </c>
      <c r="G30" s="29">
        <v>0.65858011111111114</v>
      </c>
      <c r="H30" s="29"/>
      <c r="I30" s="29">
        <f>(F30+G30)/2</f>
        <v>0.67949136605783877</v>
      </c>
    </row>
    <row r="31" spans="1:16">
      <c r="B31" s="27" t="s">
        <v>14</v>
      </c>
      <c r="C31" s="27"/>
      <c r="D31" s="27"/>
      <c r="E31" s="29"/>
      <c r="F31" s="29">
        <v>0.4465876792694064</v>
      </c>
      <c r="G31" s="29">
        <v>0.40772211111111112</v>
      </c>
      <c r="H31" s="29"/>
      <c r="I31" s="29">
        <f>(F31+G31)/2</f>
        <v>0.42715489519025873</v>
      </c>
    </row>
    <row r="32" spans="1:16">
      <c r="B32" s="27" t="s">
        <v>15</v>
      </c>
      <c r="C32" s="27"/>
      <c r="D32" s="27"/>
      <c r="E32" s="29"/>
      <c r="F32" s="29">
        <v>0.82731261187214611</v>
      </c>
      <c r="G32" s="29">
        <v>0.78398911111111114</v>
      </c>
      <c r="H32" s="29"/>
      <c r="I32" s="29">
        <f>(F32+G32)/2</f>
        <v>0.80565086149162868</v>
      </c>
    </row>
    <row r="33" spans="2:9">
      <c r="B33" s="27" t="s">
        <v>46</v>
      </c>
      <c r="C33" s="27"/>
      <c r="D33" s="29">
        <v>55.506666666666668</v>
      </c>
      <c r="E33" s="29"/>
      <c r="F33" s="29"/>
      <c r="G33" s="29"/>
      <c r="H33" s="29"/>
      <c r="I33" s="29">
        <f>D33</f>
        <v>55.506666666666668</v>
      </c>
    </row>
  </sheetData>
  <mergeCells count="19">
    <mergeCell ref="F1:F2"/>
    <mergeCell ref="A1:A2"/>
    <mergeCell ref="B1:B2"/>
    <mergeCell ref="C1:C2"/>
    <mergeCell ref="D1:D2"/>
    <mergeCell ref="E1:E2"/>
    <mergeCell ref="M1:M2"/>
    <mergeCell ref="G1:G2"/>
    <mergeCell ref="H1:H2"/>
    <mergeCell ref="I1:I2"/>
    <mergeCell ref="J1:J2"/>
    <mergeCell ref="K1:K2"/>
    <mergeCell ref="L1:L2"/>
    <mergeCell ref="P1:P2"/>
    <mergeCell ref="N1:N2"/>
    <mergeCell ref="N3:N4"/>
    <mergeCell ref="N5:N10"/>
    <mergeCell ref="N11:N17"/>
    <mergeCell ref="O1:O2"/>
  </mergeCells>
  <phoneticPr fontId="5" type="noConversion"/>
  <pageMargins left="0.7" right="0.7" top="0.75" bottom="0.75" header="0.3" footer="0.3"/>
  <pageSetup paperSize="9" orientation="landscape" r:id="rId1"/>
  <ignoredErrors>
    <ignoredError sqref="I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1"/>
  <sheetViews>
    <sheetView workbookViewId="0">
      <selection activeCell="A19" sqref="A19:XFD19"/>
    </sheetView>
  </sheetViews>
  <sheetFormatPr defaultColWidth="9" defaultRowHeight="13.5"/>
  <cols>
    <col min="2" max="2" width="16.75" bestFit="1" customWidth="1"/>
    <col min="11" max="11" width="8.5" bestFit="1" customWidth="1"/>
    <col min="13" max="13" width="13.875" bestFit="1" customWidth="1"/>
    <col min="14" max="14" width="10.5" bestFit="1" customWidth="1"/>
  </cols>
  <sheetData>
    <row r="1" spans="1:15">
      <c r="A1" s="42" t="s">
        <v>19</v>
      </c>
      <c r="B1" s="42" t="s">
        <v>20</v>
      </c>
      <c r="C1" s="42" t="s">
        <v>21</v>
      </c>
      <c r="D1" s="51" t="s">
        <v>22</v>
      </c>
      <c r="E1" s="51" t="s">
        <v>23</v>
      </c>
      <c r="F1" s="42" t="s">
        <v>24</v>
      </c>
      <c r="G1" s="51" t="s">
        <v>25</v>
      </c>
      <c r="H1" s="52" t="s">
        <v>26</v>
      </c>
      <c r="I1" s="52"/>
      <c r="J1" s="51" t="s">
        <v>27</v>
      </c>
      <c r="K1" s="53" t="s">
        <v>28</v>
      </c>
      <c r="L1" s="51" t="s">
        <v>29</v>
      </c>
    </row>
    <row r="2" spans="1:15" ht="24">
      <c r="A2" s="42"/>
      <c r="B2" s="42"/>
      <c r="C2" s="42"/>
      <c r="D2" s="42"/>
      <c r="E2" s="42"/>
      <c r="F2" s="42"/>
      <c r="G2" s="42"/>
      <c r="H2" s="6" t="s">
        <v>30</v>
      </c>
      <c r="I2" s="7" t="s">
        <v>31</v>
      </c>
      <c r="J2" s="51"/>
      <c r="K2" s="53"/>
      <c r="L2" s="42"/>
    </row>
    <row r="3" spans="1:15">
      <c r="A3" s="8" t="s">
        <v>32</v>
      </c>
      <c r="B3" s="8" t="s">
        <v>33</v>
      </c>
      <c r="C3" s="8">
        <v>5000</v>
      </c>
      <c r="D3" s="8">
        <v>5.8</v>
      </c>
      <c r="E3" s="8">
        <f>C3*D3</f>
        <v>29000</v>
      </c>
      <c r="F3" s="8">
        <v>7.617</v>
      </c>
      <c r="G3" s="9">
        <f>F3*D3</f>
        <v>44.178599999999996</v>
      </c>
      <c r="H3" s="10">
        <v>0.05</v>
      </c>
      <c r="I3" s="9">
        <f>G3*H3</f>
        <v>2.2089300000000001</v>
      </c>
      <c r="J3" s="11">
        <v>5.0999999999999997E-2</v>
      </c>
      <c r="K3" s="12"/>
      <c r="L3" s="13">
        <f>G3+I3+J3+K3</f>
        <v>46.43853</v>
      </c>
      <c r="M3" s="18">
        <f>N3/51700*29000</f>
        <v>219837.40000000002</v>
      </c>
      <c r="N3" s="22">
        <v>391917.02</v>
      </c>
      <c r="O3">
        <f>N3/7.6622</f>
        <v>51149.411396204749</v>
      </c>
    </row>
    <row r="4" spans="1:15">
      <c r="A4" s="8" t="s">
        <v>32</v>
      </c>
      <c r="B4" s="14" t="s">
        <v>34</v>
      </c>
      <c r="C4" s="8">
        <v>10000</v>
      </c>
      <c r="D4" s="8">
        <v>3</v>
      </c>
      <c r="E4" s="8">
        <f>C4*D4</f>
        <v>30000</v>
      </c>
      <c r="F4" s="8">
        <v>7.617</v>
      </c>
      <c r="G4" s="9">
        <f t="shared" ref="G4:G20" si="0">F4*D4</f>
        <v>22.850999999999999</v>
      </c>
      <c r="H4" s="10">
        <v>0.05</v>
      </c>
      <c r="I4" s="9">
        <f t="shared" ref="I4:I20" si="1">G4*H4</f>
        <v>1.14255</v>
      </c>
      <c r="J4" s="11">
        <v>5.0999999999999997E-2</v>
      </c>
      <c r="K4" s="12"/>
      <c r="L4" s="13">
        <f t="shared" ref="L4:L20" si="2">G4+I4+J4+K4</f>
        <v>24.044549999999997</v>
      </c>
      <c r="M4" s="20">
        <f>345874.5/15000*10000</f>
        <v>230583</v>
      </c>
      <c r="O4">
        <v>51700</v>
      </c>
    </row>
    <row r="5" spans="1:15">
      <c r="A5" s="8" t="s">
        <v>35</v>
      </c>
      <c r="B5" s="8" t="s">
        <v>36</v>
      </c>
      <c r="C5" s="8">
        <v>5000</v>
      </c>
      <c r="D5" s="8">
        <v>2.33</v>
      </c>
      <c r="E5" s="8">
        <f t="shared" ref="E5:E20" si="3">C5*D5</f>
        <v>11650</v>
      </c>
      <c r="F5" s="8">
        <v>7.6622000000000003</v>
      </c>
      <c r="G5" s="9">
        <f t="shared" si="0"/>
        <v>17.852926</v>
      </c>
      <c r="H5" s="10">
        <v>4.9999999999999996E-2</v>
      </c>
      <c r="I5" s="9">
        <f t="shared" si="1"/>
        <v>0.89264629999999989</v>
      </c>
      <c r="J5" s="11">
        <v>5.0999999999999997E-2</v>
      </c>
      <c r="K5" s="12"/>
      <c r="L5" s="13">
        <f t="shared" si="2"/>
        <v>18.796572299999998</v>
      </c>
      <c r="M5">
        <f>391917.02/51700*11650</f>
        <v>88313.99</v>
      </c>
    </row>
    <row r="6" spans="1:15">
      <c r="A6" s="8" t="s">
        <v>35</v>
      </c>
      <c r="B6" s="8" t="s">
        <v>37</v>
      </c>
      <c r="C6" s="8">
        <v>5000</v>
      </c>
      <c r="D6" s="8">
        <v>0.27</v>
      </c>
      <c r="E6" s="8">
        <f t="shared" si="3"/>
        <v>1350</v>
      </c>
      <c r="F6" s="8">
        <v>7.6622000000000003</v>
      </c>
      <c r="G6" s="9">
        <f t="shared" si="0"/>
        <v>2.068794</v>
      </c>
      <c r="H6" s="10">
        <v>9.9999999999999992E-2</v>
      </c>
      <c r="I6" s="9">
        <f t="shared" si="1"/>
        <v>0.20687939999999999</v>
      </c>
      <c r="J6" s="11">
        <v>5.0999999999999997E-2</v>
      </c>
      <c r="K6" s="12"/>
      <c r="L6" s="13">
        <f t="shared" si="2"/>
        <v>2.3266734000000002</v>
      </c>
      <c r="M6">
        <f>391917.02/51700*1350</f>
        <v>10233.810000000001</v>
      </c>
    </row>
    <row r="7" spans="1:15">
      <c r="A7" s="8" t="s">
        <v>35</v>
      </c>
      <c r="B7" s="8" t="s">
        <v>38</v>
      </c>
      <c r="C7" s="8">
        <v>25000</v>
      </c>
      <c r="D7" s="8">
        <v>9.7000000000000003E-2</v>
      </c>
      <c r="E7" s="8">
        <f t="shared" si="3"/>
        <v>2425</v>
      </c>
      <c r="F7" s="8">
        <v>7.6622000000000003</v>
      </c>
      <c r="G7" s="9">
        <f t="shared" si="0"/>
        <v>0.74323340000000004</v>
      </c>
      <c r="H7" s="10">
        <v>0.1</v>
      </c>
      <c r="I7" s="9">
        <f t="shared" si="1"/>
        <v>7.4323340000000002E-2</v>
      </c>
      <c r="J7" s="11">
        <v>5.0999999999999997E-2</v>
      </c>
      <c r="K7" s="12"/>
      <c r="L7" s="13">
        <f t="shared" si="2"/>
        <v>0.86855674000000005</v>
      </c>
      <c r="M7" s="23">
        <f>391917.02/51700*2425</f>
        <v>18382.955000000002</v>
      </c>
    </row>
    <row r="8" spans="1:15">
      <c r="A8" s="8" t="s">
        <v>35</v>
      </c>
      <c r="B8" s="8" t="s">
        <v>39</v>
      </c>
      <c r="C8" s="8">
        <v>10000</v>
      </c>
      <c r="D8" s="8">
        <v>7.4999999999999997E-2</v>
      </c>
      <c r="E8" s="8">
        <f t="shared" si="3"/>
        <v>750</v>
      </c>
      <c r="F8" s="8">
        <v>7.6622000000000003</v>
      </c>
      <c r="G8" s="9">
        <f t="shared" si="0"/>
        <v>0.57466499999999998</v>
      </c>
      <c r="H8" s="10">
        <v>0.1</v>
      </c>
      <c r="I8" s="9">
        <f t="shared" si="1"/>
        <v>5.7466500000000004E-2</v>
      </c>
      <c r="J8" s="11">
        <v>5.0999999999999997E-2</v>
      </c>
      <c r="K8" s="12"/>
      <c r="L8" s="13">
        <f t="shared" si="2"/>
        <v>0.6831315</v>
      </c>
      <c r="M8">
        <f>391917.02/51700*750</f>
        <v>5685.4500000000007</v>
      </c>
    </row>
    <row r="9" spans="1:15">
      <c r="A9" s="8" t="s">
        <v>35</v>
      </c>
      <c r="B9" s="8" t="s">
        <v>40</v>
      </c>
      <c r="C9" s="8">
        <v>125000</v>
      </c>
      <c r="D9" s="8">
        <v>4.4999999999999998E-2</v>
      </c>
      <c r="E9" s="8">
        <f t="shared" si="3"/>
        <v>5625</v>
      </c>
      <c r="F9" s="8">
        <v>7.6622000000000003</v>
      </c>
      <c r="G9" s="9">
        <f t="shared" si="0"/>
        <v>0.34479900000000002</v>
      </c>
      <c r="H9" s="10">
        <v>0.1</v>
      </c>
      <c r="I9" s="9">
        <f t="shared" si="1"/>
        <v>3.4479900000000001E-2</v>
      </c>
      <c r="J9" s="11">
        <v>5.0999999999999997E-2</v>
      </c>
      <c r="K9" s="12"/>
      <c r="L9" s="13">
        <f t="shared" si="2"/>
        <v>0.43027890000000002</v>
      </c>
      <c r="M9">
        <f>391917.02/51700*5625</f>
        <v>42640.875</v>
      </c>
    </row>
    <row r="10" spans="1:15">
      <c r="A10" s="8" t="s">
        <v>35</v>
      </c>
      <c r="B10" s="8" t="s">
        <v>47</v>
      </c>
      <c r="C10" s="8">
        <v>10000</v>
      </c>
      <c r="D10" s="8">
        <v>0.09</v>
      </c>
      <c r="E10" s="8">
        <f t="shared" si="3"/>
        <v>900</v>
      </c>
      <c r="F10" s="8"/>
      <c r="G10" s="9">
        <f t="shared" si="0"/>
        <v>0</v>
      </c>
      <c r="H10" s="10"/>
      <c r="I10" s="9">
        <f t="shared" si="1"/>
        <v>0</v>
      </c>
      <c r="J10" s="8"/>
      <c r="K10" s="12"/>
      <c r="L10" s="13">
        <f t="shared" si="2"/>
        <v>0</v>
      </c>
      <c r="M10">
        <f>391917.02/51700*900</f>
        <v>6822.54</v>
      </c>
    </row>
    <row r="11" spans="1:15">
      <c r="A11" s="8" t="s">
        <v>41</v>
      </c>
      <c r="B11" s="14" t="s">
        <v>34</v>
      </c>
      <c r="C11" s="8">
        <v>5000</v>
      </c>
      <c r="D11" s="8">
        <v>3</v>
      </c>
      <c r="E11" s="8">
        <f t="shared" si="3"/>
        <v>15000</v>
      </c>
      <c r="F11" s="8">
        <v>7.6622000000000003</v>
      </c>
      <c r="G11" s="9">
        <f t="shared" si="0"/>
        <v>22.986600000000003</v>
      </c>
      <c r="H11" s="10">
        <v>0.05</v>
      </c>
      <c r="I11" s="9">
        <f t="shared" si="1"/>
        <v>1.1493300000000002</v>
      </c>
      <c r="J11" s="8">
        <v>4.7E-2</v>
      </c>
      <c r="K11" s="12"/>
      <c r="L11" s="13">
        <f t="shared" si="2"/>
        <v>24.182930000000002</v>
      </c>
      <c r="M11" s="19">
        <f>345874.5/15000*5000</f>
        <v>115291.5</v>
      </c>
    </row>
    <row r="12" spans="1:15">
      <c r="A12" s="8" t="s">
        <v>41</v>
      </c>
      <c r="B12" s="8" t="s">
        <v>42</v>
      </c>
      <c r="C12" s="8">
        <v>5000</v>
      </c>
      <c r="D12" s="8">
        <v>5.8</v>
      </c>
      <c r="E12" s="8">
        <f t="shared" si="3"/>
        <v>29000</v>
      </c>
      <c r="F12" s="8">
        <v>7.6622000000000003</v>
      </c>
      <c r="G12" s="9">
        <f t="shared" si="0"/>
        <v>44.440759999999997</v>
      </c>
      <c r="H12" s="10">
        <v>5.000000000000001E-2</v>
      </c>
      <c r="I12" s="9">
        <f t="shared" si="1"/>
        <v>2.2220380000000004</v>
      </c>
      <c r="J12" s="8">
        <v>4.7E-2</v>
      </c>
      <c r="K12" s="12"/>
      <c r="L12" s="13">
        <f t="shared" si="2"/>
        <v>46.709797999999992</v>
      </c>
      <c r="M12" s="21">
        <f>378688.2/49275*29000</f>
        <v>222870.78234398784</v>
      </c>
      <c r="N12" s="19">
        <v>378688.23</v>
      </c>
      <c r="O12">
        <f>N12/7.685</f>
        <v>49276.282368249835</v>
      </c>
    </row>
    <row r="13" spans="1:15">
      <c r="A13" s="8" t="s">
        <v>41</v>
      </c>
      <c r="B13" s="8" t="s">
        <v>36</v>
      </c>
      <c r="C13" s="8">
        <v>5000</v>
      </c>
      <c r="D13" s="8">
        <v>2.33</v>
      </c>
      <c r="E13" s="8">
        <f t="shared" si="3"/>
        <v>11650</v>
      </c>
      <c r="F13" s="8"/>
      <c r="G13" s="9">
        <f t="shared" si="0"/>
        <v>0</v>
      </c>
      <c r="H13" s="10">
        <v>4.9999999999999996E-2</v>
      </c>
      <c r="I13" s="9">
        <f t="shared" si="1"/>
        <v>0</v>
      </c>
      <c r="J13" s="8">
        <v>4.7E-2</v>
      </c>
      <c r="K13" s="12"/>
      <c r="L13" s="13">
        <f t="shared" si="2"/>
        <v>4.7E-2</v>
      </c>
      <c r="M13" s="21">
        <f>378688.2/49275*11650</f>
        <v>89532.572907153735</v>
      </c>
      <c r="N13">
        <v>49275</v>
      </c>
    </row>
    <row r="14" spans="1:15">
      <c r="A14" s="8" t="s">
        <v>41</v>
      </c>
      <c r="B14" s="8" t="s">
        <v>37</v>
      </c>
      <c r="C14" s="8">
        <v>5000</v>
      </c>
      <c r="D14" s="8">
        <v>0.27</v>
      </c>
      <c r="E14" s="8">
        <f t="shared" si="3"/>
        <v>1350</v>
      </c>
      <c r="F14" s="8">
        <v>7.6622000000000003</v>
      </c>
      <c r="G14" s="9">
        <f t="shared" si="0"/>
        <v>2.068794</v>
      </c>
      <c r="H14" s="10">
        <v>0.1</v>
      </c>
      <c r="I14" s="9">
        <f t="shared" si="1"/>
        <v>0.20687940000000002</v>
      </c>
      <c r="J14" s="8">
        <v>4.7E-2</v>
      </c>
      <c r="K14" s="12"/>
      <c r="L14" s="13">
        <f t="shared" si="2"/>
        <v>2.3226734000000002</v>
      </c>
      <c r="M14" s="21">
        <f>378688.2/49275*1350</f>
        <v>10375.019178082192</v>
      </c>
    </row>
    <row r="15" spans="1:15">
      <c r="A15" s="8" t="s">
        <v>41</v>
      </c>
      <c r="B15" s="8" t="s">
        <v>39</v>
      </c>
      <c r="C15" s="8">
        <v>10000</v>
      </c>
      <c r="D15" s="8">
        <v>7.4999999999999997E-2</v>
      </c>
      <c r="E15" s="8">
        <f t="shared" si="3"/>
        <v>750</v>
      </c>
      <c r="F15" s="8">
        <v>7.6622000000000003</v>
      </c>
      <c r="G15" s="9">
        <f t="shared" si="0"/>
        <v>0.57466499999999998</v>
      </c>
      <c r="H15" s="10">
        <v>0.1</v>
      </c>
      <c r="I15" s="9">
        <f t="shared" si="1"/>
        <v>5.7466500000000004E-2</v>
      </c>
      <c r="J15" s="8">
        <v>4.7E-2</v>
      </c>
      <c r="K15" s="12"/>
      <c r="L15" s="13">
        <f t="shared" si="2"/>
        <v>0.6791315</v>
      </c>
      <c r="M15" s="21">
        <f>378688.2/49275*750</f>
        <v>5763.899543378996</v>
      </c>
    </row>
    <row r="16" spans="1:15">
      <c r="A16" s="8" t="s">
        <v>41</v>
      </c>
      <c r="B16" s="8" t="s">
        <v>40</v>
      </c>
      <c r="C16" s="8">
        <v>125000</v>
      </c>
      <c r="D16" s="8">
        <v>4.4999999999999998E-2</v>
      </c>
      <c r="E16" s="8">
        <f t="shared" si="3"/>
        <v>5625</v>
      </c>
      <c r="F16" s="8">
        <v>7.6622000000000003</v>
      </c>
      <c r="G16" s="9">
        <f t="shared" si="0"/>
        <v>0.34479900000000002</v>
      </c>
      <c r="H16" s="10">
        <v>0.10000000000000002</v>
      </c>
      <c r="I16" s="9">
        <f t="shared" si="1"/>
        <v>3.4479900000000008E-2</v>
      </c>
      <c r="J16" s="8">
        <v>4.7E-2</v>
      </c>
      <c r="K16" s="12"/>
      <c r="L16" s="13">
        <f t="shared" si="2"/>
        <v>0.42627890000000002</v>
      </c>
      <c r="M16" s="21">
        <f>378688.2/49275*5625</f>
        <v>43229.246575342469</v>
      </c>
    </row>
    <row r="17" spans="1:14">
      <c r="A17" s="8" t="s">
        <v>41</v>
      </c>
      <c r="B17" s="8" t="s">
        <v>47</v>
      </c>
      <c r="C17" s="8">
        <v>10000</v>
      </c>
      <c r="D17" s="8">
        <v>0.09</v>
      </c>
      <c r="E17" s="8">
        <f t="shared" si="3"/>
        <v>900</v>
      </c>
      <c r="F17" s="8">
        <v>7.6622000000000003</v>
      </c>
      <c r="G17" s="9">
        <f t="shared" si="0"/>
        <v>0.68959800000000004</v>
      </c>
      <c r="H17" s="10"/>
      <c r="I17" s="9"/>
      <c r="J17" s="8"/>
      <c r="K17" s="12"/>
      <c r="L17" s="13"/>
      <c r="M17" s="21">
        <f>378688.2/49275*900</f>
        <v>6916.6794520547946</v>
      </c>
    </row>
    <row r="18" spans="1:14">
      <c r="A18" s="8" t="s">
        <v>43</v>
      </c>
      <c r="B18" s="8" t="s">
        <v>38</v>
      </c>
      <c r="C18" s="8">
        <v>60000</v>
      </c>
      <c r="D18" s="8">
        <v>9.7000000000000003E-2</v>
      </c>
      <c r="E18" s="8">
        <f t="shared" si="3"/>
        <v>5820</v>
      </c>
      <c r="F18" s="8">
        <v>7.7141999999999999</v>
      </c>
      <c r="G18" s="9">
        <f t="shared" si="0"/>
        <v>0.74827739999999998</v>
      </c>
      <c r="H18" s="10">
        <v>0.1</v>
      </c>
      <c r="I18" s="9">
        <f t="shared" si="1"/>
        <v>7.4827740000000004E-2</v>
      </c>
      <c r="J18" s="8">
        <v>4.7E-2</v>
      </c>
      <c r="K18" s="12"/>
      <c r="L18" s="13">
        <f t="shared" si="2"/>
        <v>0.87010514000000005</v>
      </c>
      <c r="M18">
        <v>44729.61</v>
      </c>
      <c r="N18">
        <f>M18/7.7</f>
        <v>5809.0402597402599</v>
      </c>
    </row>
    <row r="19" spans="1:14">
      <c r="A19" s="8" t="s">
        <v>45</v>
      </c>
      <c r="B19" s="8" t="s">
        <v>46</v>
      </c>
      <c r="C19" s="8">
        <v>300</v>
      </c>
      <c r="D19" s="8">
        <v>5</v>
      </c>
      <c r="E19" s="8">
        <f t="shared" si="3"/>
        <v>1500</v>
      </c>
      <c r="F19" s="8">
        <v>7.7141999999999999</v>
      </c>
      <c r="G19" s="9">
        <f t="shared" si="0"/>
        <v>38.570999999999998</v>
      </c>
      <c r="H19" s="10">
        <v>0.05</v>
      </c>
      <c r="I19" s="9">
        <v>3.0211666666666668</v>
      </c>
      <c r="J19" s="8">
        <v>13.722999999999999</v>
      </c>
      <c r="K19" s="12"/>
      <c r="L19" s="13"/>
      <c r="M19" s="19">
        <v>11628.75</v>
      </c>
    </row>
    <row r="20" spans="1:14">
      <c r="A20" s="8" t="s">
        <v>44</v>
      </c>
      <c r="B20" s="14" t="s">
        <v>34</v>
      </c>
      <c r="C20" s="8">
        <v>6000</v>
      </c>
      <c r="D20" s="8">
        <v>3</v>
      </c>
      <c r="E20" s="8">
        <f t="shared" si="3"/>
        <v>18000</v>
      </c>
      <c r="F20" s="8">
        <v>7.8346999999999998</v>
      </c>
      <c r="G20" s="9">
        <f t="shared" si="0"/>
        <v>23.504100000000001</v>
      </c>
      <c r="H20" s="10">
        <v>0.05</v>
      </c>
      <c r="I20" s="9">
        <f t="shared" si="1"/>
        <v>1.1752050000000001</v>
      </c>
      <c r="J20" s="8">
        <v>4.7E-2</v>
      </c>
      <c r="K20" s="12"/>
      <c r="L20" s="13">
        <f t="shared" si="2"/>
        <v>24.726305</v>
      </c>
      <c r="M20" s="19">
        <v>139496.4</v>
      </c>
      <c r="N20">
        <f>M20/7.7</f>
        <v>18116.415584415583</v>
      </c>
    </row>
    <row r="21" spans="1:14">
      <c r="A21" s="15"/>
      <c r="B21" s="15"/>
      <c r="C21" s="15"/>
      <c r="D21" s="15"/>
      <c r="E21" s="15"/>
      <c r="F21" s="15"/>
      <c r="G21" s="16"/>
      <c r="H21" s="17"/>
      <c r="I21" s="16"/>
      <c r="J21" s="15"/>
      <c r="K21" s="15"/>
      <c r="L21" s="15"/>
    </row>
  </sheetData>
  <mergeCells count="11">
    <mergeCell ref="F1:F2"/>
    <mergeCell ref="A1:A2"/>
    <mergeCell ref="B1:B2"/>
    <mergeCell ref="C1:C2"/>
    <mergeCell ref="D1:D2"/>
    <mergeCell ref="E1:E2"/>
    <mergeCell ref="G1:G2"/>
    <mergeCell ref="H1:I1"/>
    <mergeCell ref="J1:J2"/>
    <mergeCell ref="K1:K2"/>
    <mergeCell ref="L1:L2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入库数量</vt:lpstr>
      <vt:lpstr>材料单价</vt:lpstr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Xiaoling Li</dc:creator>
  <cp:lastModifiedBy>admin</cp:lastModifiedBy>
  <cp:lastPrinted>2019-05-16T00:51:13Z</cp:lastPrinted>
  <dcterms:created xsi:type="dcterms:W3CDTF">2019-05-15T01:59:00Z</dcterms:created>
  <dcterms:modified xsi:type="dcterms:W3CDTF">2019-06-21T07:58:58Z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