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 tabRatio="691"/>
  </bookViews>
  <sheets>
    <sheet name="月度付款 " sheetId="20" r:id="rId1"/>
    <sheet name="月付款明细" sheetId="19" r:id="rId2"/>
    <sheet name="Sheet1" sheetId="21" r:id="rId3"/>
  </sheets>
  <externalReferences>
    <externalReference r:id="rId4"/>
  </externalReferences>
  <definedNames>
    <definedName name="_xlnm._FilterDatabase" localSheetId="0" hidden="1">'月度付款 '!$A$3:$T$57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C17" authorId="0">
      <text>
        <r>
          <rPr>
            <sz val="9"/>
            <rFont val="宋体"/>
            <charset val="134"/>
          </rPr>
          <t>黄骅市雍丰塑料制品有限公司</t>
        </r>
      </text>
    </comment>
  </commentList>
</comments>
</file>

<file path=xl/comments2.xml><?xml version="1.0" encoding="utf-8"?>
<comments xmlns="http://schemas.openxmlformats.org/spreadsheetml/2006/main">
  <authors>
    <author>lenovo</author>
    <author>Administrator</author>
  </authors>
  <commentList>
    <comment ref="G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银行承兑付款</t>
        </r>
      </text>
    </comment>
    <comment ref="J3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河北代付承兑
</t>
        </r>
      </text>
    </comment>
    <comment ref="J3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河北代付承兑</t>
        </r>
      </text>
    </comment>
  </commentList>
</comments>
</file>

<file path=xl/sharedStrings.xml><?xml version="1.0" encoding="utf-8"?>
<sst xmlns="http://schemas.openxmlformats.org/spreadsheetml/2006/main" count="661" uniqueCount="258">
  <si>
    <t>2019年12月供应商付款明细</t>
  </si>
  <si>
    <t>单位：潍坊光华荣昌汽车技术有限公司</t>
  </si>
  <si>
    <t>单位：元</t>
  </si>
  <si>
    <t>序号</t>
  </si>
  <si>
    <t>供应商代码</t>
  </si>
  <si>
    <t>供应商名称</t>
  </si>
  <si>
    <t>账期</t>
  </si>
  <si>
    <t>2019.9月底余额</t>
  </si>
  <si>
    <t>2019.11月底余额</t>
  </si>
  <si>
    <t>10月账期开始~19.12.30已付款</t>
  </si>
  <si>
    <t>12月账期开始~19.12.30已付款</t>
  </si>
  <si>
    <t>按账期应付</t>
  </si>
  <si>
    <t>付款计划</t>
  </si>
  <si>
    <t>贴息费</t>
  </si>
  <si>
    <t>实付金额</t>
  </si>
  <si>
    <t>支付比例</t>
  </si>
  <si>
    <t>支付方式</t>
  </si>
  <si>
    <t>备注</t>
  </si>
  <si>
    <t>A</t>
  </si>
  <si>
    <t>B</t>
  </si>
  <si>
    <t>C</t>
  </si>
  <si>
    <t>D</t>
  </si>
  <si>
    <t>E=A-C/B-D</t>
  </si>
  <si>
    <t>F</t>
  </si>
  <si>
    <t>G</t>
  </si>
  <si>
    <t>H</t>
  </si>
  <si>
    <t>I=F/E(%)</t>
  </si>
  <si>
    <t>现金扣点</t>
  </si>
  <si>
    <t>承兑</t>
  </si>
  <si>
    <t>现金</t>
  </si>
  <si>
    <t>10月份挂账金额</t>
  </si>
  <si>
    <t>11月份挂账金额</t>
  </si>
  <si>
    <t>12月份挂账金额</t>
  </si>
  <si>
    <t>北京浦东三浦标准件有限公司</t>
  </si>
  <si>
    <t>90天</t>
  </si>
  <si>
    <t>北京瑞隆祥模具有限公司</t>
  </si>
  <si>
    <t>1911184A</t>
  </si>
  <si>
    <t>万华化学（烟台）销售有限公司</t>
  </si>
  <si>
    <t>天津市益中汽车安全带厂</t>
  </si>
  <si>
    <t>黄骅市泰行汽车配件厂</t>
  </si>
  <si>
    <t>黄骅市长生汽车灯镜有限公司</t>
  </si>
  <si>
    <t>黄骅市广亿汽车部件有限公司</t>
  </si>
  <si>
    <t>黄骅市鑫祺汽车配件有限公司</t>
  </si>
  <si>
    <t>海兴中盛弹簧有限公司</t>
  </si>
  <si>
    <t>1913025A</t>
  </si>
  <si>
    <t>河北新强力机械制造有限公司</t>
  </si>
  <si>
    <t>黄骅市亚征汽车配件有限公司</t>
  </si>
  <si>
    <t>黄骅天丰汽车配件有限公司</t>
  </si>
  <si>
    <t>黄骅雍丰包装有限公司</t>
  </si>
  <si>
    <t>1913050A</t>
  </si>
  <si>
    <t>黄骅市恒伟五金制品有限公司</t>
  </si>
  <si>
    <t>黄骅市常郭镇街西纸箱厂</t>
  </si>
  <si>
    <t>河北岳钢数控设备有限公司</t>
  </si>
  <si>
    <t>黄骅市建昌塑料制品有限公司</t>
  </si>
  <si>
    <t>深州市卓伦橡塑模具有限公司</t>
  </si>
  <si>
    <t>保定市京苑汽车装饰配件厂</t>
  </si>
  <si>
    <t>保定兆龙通用电器塑业有限公司</t>
  </si>
  <si>
    <t>1913247A</t>
  </si>
  <si>
    <t>德州志鹏海绵制品有限公司</t>
  </si>
  <si>
    <t>黄骅万昌五金制品有限公司</t>
  </si>
  <si>
    <t>文安县德实汽车配件有限公司</t>
  </si>
  <si>
    <t>黄骅再兴汽车配件有限公司</t>
  </si>
  <si>
    <t>黄骅市致远摩托车配件有限公司</t>
  </si>
  <si>
    <t>江苏力乐汽车部件股份有限公司</t>
  </si>
  <si>
    <t>常州华阳万联汽车附件有限公司</t>
  </si>
  <si>
    <t>苏州苏宁标准件有限公司</t>
  </si>
  <si>
    <t>诸城市新汇众物流有限公司</t>
  </si>
  <si>
    <t>诸城市友和物流有限公司</t>
  </si>
  <si>
    <t>黄骅市京港机电设备有限公司</t>
  </si>
  <si>
    <t>E257</t>
  </si>
  <si>
    <t>邓景亮</t>
  </si>
  <si>
    <t>青岛福基纺织有限公司</t>
  </si>
  <si>
    <t>诸城市黄海剑杆织布厂</t>
  </si>
  <si>
    <t>襄阳杰创化工新材料有限公司</t>
  </si>
  <si>
    <t>L1172</t>
  </si>
  <si>
    <t>合肥光码商贸有限公司</t>
  </si>
  <si>
    <t>L4382</t>
  </si>
  <si>
    <t>诸城市仁德物流有限公司</t>
  </si>
  <si>
    <t>黄骅同辉汽车配件有限公司</t>
  </si>
  <si>
    <t>北京旺博林包装材料有限公司</t>
  </si>
  <si>
    <t>黄骅汇铭汽车部件有限公司</t>
  </si>
  <si>
    <t>济南市天桥区岳铭五金工具经营</t>
  </si>
  <si>
    <t>L1031</t>
  </si>
  <si>
    <t>江阴长青工艺品有限公司</t>
  </si>
  <si>
    <t>L1091</t>
  </si>
  <si>
    <t>湖南精正设备制造有限公司</t>
  </si>
  <si>
    <t>L1171</t>
  </si>
  <si>
    <t>北京鹏宇兴业精密模具制造有限</t>
  </si>
  <si>
    <t>L2036</t>
  </si>
  <si>
    <t>厦门市三友和机械有限公司</t>
  </si>
  <si>
    <t>L2037</t>
  </si>
  <si>
    <t>廊坊华文机电设备有限公司</t>
  </si>
  <si>
    <t>L3002</t>
  </si>
  <si>
    <t>北京华伟唐运输服务有限公</t>
  </si>
  <si>
    <t>L3016</t>
  </si>
  <si>
    <t>北京市金能祥远物流有限公</t>
  </si>
  <si>
    <t>1932389A</t>
  </si>
  <si>
    <t>溧阳鑫岩汽车零部件有限公司</t>
  </si>
  <si>
    <t>1937678</t>
  </si>
  <si>
    <t>日照联成工程机械有限公司</t>
  </si>
  <si>
    <t>L3146</t>
  </si>
  <si>
    <t>张绍林</t>
  </si>
  <si>
    <t>合计</t>
  </si>
  <si>
    <t xml:space="preserve">经办人：                                          部门批准：                                                财务审核：                                                财务经理：                                                              总经理：  </t>
  </si>
  <si>
    <t>付款明细</t>
  </si>
  <si>
    <t>19.4月</t>
  </si>
  <si>
    <t>4月扣点</t>
  </si>
  <si>
    <t>4月考核</t>
  </si>
  <si>
    <t>19.5月</t>
  </si>
  <si>
    <t>5月扣点</t>
  </si>
  <si>
    <t>5月考核</t>
  </si>
  <si>
    <t>19.6月</t>
  </si>
  <si>
    <t>6月扣点</t>
  </si>
  <si>
    <t>6月考核</t>
  </si>
  <si>
    <t>19.7月</t>
  </si>
  <si>
    <t>7月扣点</t>
  </si>
  <si>
    <t>7月考核</t>
  </si>
  <si>
    <t>19.8月</t>
  </si>
  <si>
    <t>8月扣点</t>
  </si>
  <si>
    <t>8月考核</t>
  </si>
  <si>
    <t>19.9月</t>
  </si>
  <si>
    <t>9月扣点</t>
  </si>
  <si>
    <t>9月考核</t>
  </si>
  <si>
    <t>19.10月</t>
  </si>
  <si>
    <t>10月扣点</t>
  </si>
  <si>
    <t>10月考核</t>
  </si>
  <si>
    <t>19.11月</t>
  </si>
  <si>
    <t>11月扣点</t>
  </si>
  <si>
    <t>11月考核</t>
  </si>
  <si>
    <t>19.12月</t>
  </si>
  <si>
    <t>12月扣点</t>
  </si>
  <si>
    <t>12月考核</t>
  </si>
  <si>
    <t>供应商</t>
  </si>
  <si>
    <t>生效日期</t>
  </si>
  <si>
    <t>参考号</t>
  </si>
  <si>
    <t>T</t>
  </si>
  <si>
    <t>发票号</t>
  </si>
  <si>
    <t>借/贷</t>
  </si>
  <si>
    <t>期初</t>
  </si>
  <si>
    <t>借方发生</t>
  </si>
  <si>
    <t>贷方发生</t>
  </si>
  <si>
    <t>期末</t>
  </si>
  <si>
    <t>摘要</t>
  </si>
  <si>
    <t>1911101</t>
  </si>
  <si>
    <t>H1191304</t>
  </si>
  <si>
    <t>CNY</t>
  </si>
  <si>
    <t>CK</t>
  </si>
  <si>
    <t/>
  </si>
  <si>
    <t>贷</t>
  </si>
  <si>
    <t>支付货款</t>
  </si>
  <si>
    <t>1911127</t>
  </si>
  <si>
    <t>Z91105</t>
  </si>
  <si>
    <t>1911138</t>
  </si>
  <si>
    <t>4522</t>
  </si>
  <si>
    <t>VO</t>
  </si>
  <si>
    <t>01554004</t>
  </si>
  <si>
    <t>采购材料</t>
  </si>
  <si>
    <t>1912220</t>
  </si>
  <si>
    <t>2066</t>
  </si>
  <si>
    <t>00001531</t>
  </si>
  <si>
    <t>平</t>
  </si>
  <si>
    <t>1913001</t>
  </si>
  <si>
    <t>5684</t>
  </si>
  <si>
    <t>11631136</t>
  </si>
  <si>
    <t>1913005</t>
  </si>
  <si>
    <t>5685</t>
  </si>
  <si>
    <t>1913006</t>
  </si>
  <si>
    <t>5670</t>
  </si>
  <si>
    <t>1913010</t>
  </si>
  <si>
    <t>5100</t>
  </si>
  <si>
    <t>07148506</t>
  </si>
  <si>
    <t>16年至19年3月来票</t>
  </si>
  <si>
    <t>1913017</t>
  </si>
  <si>
    <t>5714</t>
  </si>
  <si>
    <t>叉车服务费</t>
  </si>
  <si>
    <t>1913023</t>
  </si>
  <si>
    <t>5682</t>
  </si>
  <si>
    <t>10334805</t>
  </si>
  <si>
    <t>Z91117</t>
  </si>
  <si>
    <t>1913027</t>
  </si>
  <si>
    <t>5312</t>
  </si>
  <si>
    <t>11773160</t>
  </si>
  <si>
    <t>6月来票</t>
  </si>
  <si>
    <t>1913032</t>
  </si>
  <si>
    <t>4219</t>
  </si>
  <si>
    <t>L2020转入1913032</t>
  </si>
  <si>
    <t>L2020转入1913032天丰</t>
  </si>
  <si>
    <t>1913045</t>
  </si>
  <si>
    <t>5678</t>
  </si>
  <si>
    <t>11693775</t>
  </si>
  <si>
    <t>Z91124</t>
  </si>
  <si>
    <t>1913078</t>
  </si>
  <si>
    <t>5215</t>
  </si>
  <si>
    <t>11860000</t>
  </si>
  <si>
    <t>3.4.5月暂估来票</t>
  </si>
  <si>
    <t>1913092</t>
  </si>
  <si>
    <t>Z960</t>
  </si>
  <si>
    <t>0付款</t>
  </si>
  <si>
    <t>1913101</t>
  </si>
  <si>
    <t>5666</t>
  </si>
  <si>
    <t>1913200</t>
  </si>
  <si>
    <t>5675</t>
  </si>
  <si>
    <t>03529630</t>
  </si>
  <si>
    <t>1913218</t>
  </si>
  <si>
    <t>5719</t>
  </si>
  <si>
    <t>1913219</t>
  </si>
  <si>
    <t>5676</t>
  </si>
  <si>
    <t>02591183</t>
  </si>
  <si>
    <t>5690</t>
  </si>
  <si>
    <t>01439727</t>
  </si>
  <si>
    <t>1913273</t>
  </si>
  <si>
    <t>Z91107</t>
  </si>
  <si>
    <t>1913289</t>
  </si>
  <si>
    <t>5723</t>
  </si>
  <si>
    <t>1913717</t>
  </si>
  <si>
    <t>5689</t>
  </si>
  <si>
    <t>11627623</t>
  </si>
  <si>
    <t>1932313</t>
  </si>
  <si>
    <t>5686</t>
  </si>
  <si>
    <t>00496984</t>
  </si>
  <si>
    <t>1932347</t>
  </si>
  <si>
    <t>5683</t>
  </si>
  <si>
    <t>00191984</t>
  </si>
  <si>
    <t>5668</t>
  </si>
  <si>
    <t>09705214</t>
  </si>
  <si>
    <t>1937004</t>
  </si>
  <si>
    <t>H1111083</t>
  </si>
  <si>
    <t>支付材料款</t>
  </si>
  <si>
    <t>1937012</t>
  </si>
  <si>
    <t>5699</t>
  </si>
  <si>
    <t>8月份运费</t>
  </si>
  <si>
    <t>1937013</t>
  </si>
  <si>
    <t>Z91033</t>
  </si>
  <si>
    <t>核销</t>
  </si>
  <si>
    <t>1937015</t>
  </si>
  <si>
    <t>5446</t>
  </si>
  <si>
    <t>11630876</t>
  </si>
  <si>
    <t>7月来票</t>
  </si>
  <si>
    <t>1937320</t>
  </si>
  <si>
    <t>5677</t>
  </si>
  <si>
    <t>00447973</t>
  </si>
  <si>
    <t>1937338</t>
  </si>
  <si>
    <t>5681</t>
  </si>
  <si>
    <t>1942576</t>
  </si>
  <si>
    <t>Z666377</t>
  </si>
  <si>
    <t>付承兑货款</t>
  </si>
  <si>
    <t>Z66342</t>
  </si>
  <si>
    <t>支付欠款</t>
  </si>
  <si>
    <t>H1111048</t>
  </si>
  <si>
    <t>H1111102</t>
  </si>
  <si>
    <t>5444</t>
  </si>
  <si>
    <t>07994200</t>
  </si>
  <si>
    <t>Z91063</t>
  </si>
  <si>
    <t>Z9987</t>
  </si>
  <si>
    <t>4854</t>
  </si>
  <si>
    <t>运费</t>
  </si>
  <si>
    <t>5704</t>
  </si>
  <si>
    <t>H115006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</si>
</sst>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##,##0.00"/>
    <numFmt numFmtId="177" formatCode="yyyy/mm/dd"/>
    <numFmt numFmtId="178" formatCode="_-* #,##0_-;\-* #,##0_-;_-* &quot;-&quot;_-;_-@_-"/>
    <numFmt numFmtId="179" formatCode="yyyy&quot;年&quot;m&quot;月&quot;;@"/>
    <numFmt numFmtId="180" formatCode="0.00_ "/>
    <numFmt numFmtId="181" formatCode="_ \¥* #,##0.00_ ;_ \¥* \-#,##0.00_ ;_ \¥* &quot;-&quot;??_ ;_ @_ "/>
    <numFmt numFmtId="182" formatCode="#,##0.00_);[Red]\(#,##0.00\)"/>
    <numFmt numFmtId="183" formatCode="_-* #,##0.00_-;\-* #,##0.00_-;_-* &quot;-&quot;??_-;_-@_-"/>
  </numFmts>
  <fonts count="40">
    <font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b/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color indexed="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4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b/>
      <sz val="9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MS Sans Serif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6" fillId="20" borderId="18" applyNumberFormat="0" applyAlignment="0" applyProtection="0">
      <alignment vertical="center"/>
    </xf>
    <xf numFmtId="0" fontId="32" fillId="20" borderId="12" applyNumberFormat="0" applyAlignment="0" applyProtection="0">
      <alignment vertical="center"/>
    </xf>
    <xf numFmtId="0" fontId="34" fillId="22" borderId="16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7" fillId="0" borderId="0"/>
    <xf numFmtId="43" fontId="37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177" fontId="2" fillId="2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0" fillId="3" borderId="0" xfId="0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" fontId="4" fillId="0" borderId="3" xfId="5" applyNumberFormat="1" applyFont="1" applyFill="1" applyBorder="1" applyAlignment="1">
      <alignment horizontal="center" vertical="center" wrapText="1" shrinkToFit="1"/>
    </xf>
    <xf numFmtId="4" fontId="4" fillId="0" borderId="3" xfId="5" applyNumberFormat="1" applyFont="1" applyFill="1" applyBorder="1" applyAlignment="1">
      <alignment horizontal="center" vertical="center" shrinkToFit="1"/>
    </xf>
    <xf numFmtId="4" fontId="4" fillId="3" borderId="3" xfId="5" applyNumberFormat="1" applyFont="1" applyFill="1" applyBorder="1" applyAlignment="1">
      <alignment horizontal="center" vertical="center" wrapText="1" shrinkToFit="1"/>
    </xf>
    <xf numFmtId="4" fontId="4" fillId="3" borderId="3" xfId="5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/>
    </xf>
    <xf numFmtId="4" fontId="6" fillId="0" borderId="3" xfId="5" applyNumberFormat="1" applyFont="1" applyFill="1" applyBorder="1" applyAlignment="1">
      <alignment horizontal="left" shrinkToFit="1"/>
    </xf>
    <xf numFmtId="4" fontId="6" fillId="3" borderId="3" xfId="5" applyNumberFormat="1" applyFont="1" applyFill="1" applyBorder="1" applyAlignment="1">
      <alignment horizontal="left" shrinkToFit="1"/>
    </xf>
    <xf numFmtId="0" fontId="5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" fontId="5" fillId="0" borderId="3" xfId="5" applyNumberFormat="1" applyFont="1" applyFill="1" applyBorder="1" applyAlignment="1">
      <alignment horizontal="left" vertical="center"/>
    </xf>
    <xf numFmtId="4" fontId="6" fillId="3" borderId="3" xfId="5" applyNumberFormat="1" applyFont="1" applyFill="1" applyBorder="1" applyAlignment="1">
      <alignment horizontal="left" vertical="center"/>
    </xf>
    <xf numFmtId="0" fontId="7" fillId="0" borderId="3" xfId="49" applyFont="1" applyFill="1" applyBorder="1" applyAlignment="1">
      <alignment horizontal="left" vertical="center"/>
    </xf>
    <xf numFmtId="0" fontId="8" fillId="0" borderId="3" xfId="0" applyFont="1" applyFill="1" applyBorder="1" applyAlignment="1"/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5" fillId="3" borderId="3" xfId="0" applyFont="1" applyFill="1" applyBorder="1">
      <alignment vertical="center"/>
    </xf>
    <xf numFmtId="4" fontId="5" fillId="3" borderId="3" xfId="5" applyNumberFormat="1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0" fillId="3" borderId="3" xfId="0" applyFill="1" applyBorder="1">
      <alignment vertical="center"/>
    </xf>
    <xf numFmtId="0" fontId="10" fillId="3" borderId="3" xfId="0" applyFont="1" applyFill="1" applyBorder="1">
      <alignment vertical="center"/>
    </xf>
    <xf numFmtId="0" fontId="0" fillId="0" borderId="0" xfId="0" applyFill="1">
      <alignment vertical="center"/>
    </xf>
    <xf numFmtId="0" fontId="11" fillId="0" borderId="0" xfId="49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left" vertical="center"/>
    </xf>
    <xf numFmtId="0" fontId="13" fillId="0" borderId="9" xfId="49" applyFont="1" applyFill="1" applyBorder="1" applyAlignment="1">
      <alignment horizontal="center" vertical="center"/>
    </xf>
    <xf numFmtId="0" fontId="14" fillId="0" borderId="3" xfId="49" applyFont="1" applyFill="1" applyBorder="1" applyAlignment="1">
      <alignment horizontal="center" vertical="center"/>
    </xf>
    <xf numFmtId="0" fontId="14" fillId="0" borderId="10" xfId="49" applyFont="1" applyFill="1" applyBorder="1" applyAlignment="1">
      <alignment horizontal="center" vertical="center"/>
    </xf>
    <xf numFmtId="179" fontId="14" fillId="0" borderId="3" xfId="49" applyNumberFormat="1" applyFont="1" applyFill="1" applyBorder="1" applyAlignment="1">
      <alignment horizontal="center" vertical="center" wrapText="1"/>
    </xf>
    <xf numFmtId="0" fontId="14" fillId="0" borderId="8" xfId="49" applyFont="1" applyFill="1" applyBorder="1" applyAlignment="1">
      <alignment horizontal="center" vertical="center"/>
    </xf>
    <xf numFmtId="179" fontId="14" fillId="0" borderId="3" xfId="49" applyNumberFormat="1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4" fontId="15" fillId="0" borderId="3" xfId="5" applyNumberFormat="1" applyFont="1" applyFill="1" applyBorder="1" applyAlignment="1">
      <alignment horizontal="left" shrinkToFit="1"/>
    </xf>
    <xf numFmtId="4" fontId="15" fillId="0" borderId="3" xfId="5" applyNumberFormat="1" applyFont="1" applyFill="1" applyBorder="1" applyAlignment="1">
      <alignment horizontal="right" shrinkToFit="1"/>
    </xf>
    <xf numFmtId="4" fontId="13" fillId="0" borderId="3" xfId="5" applyNumberFormat="1" applyFont="1" applyFill="1" applyBorder="1" applyAlignment="1">
      <alignment horizontal="right" shrinkToFit="1"/>
    </xf>
    <xf numFmtId="0" fontId="15" fillId="0" borderId="3" xfId="5" applyNumberFormat="1" applyFont="1" applyFill="1" applyBorder="1" applyAlignment="1">
      <alignment horizontal="left" shrinkToFit="1"/>
    </xf>
    <xf numFmtId="0" fontId="7" fillId="0" borderId="3" xfId="0" applyNumberFormat="1" applyFont="1" applyFill="1" applyBorder="1" applyAlignment="1">
      <alignment horizontal="left" vertical="center"/>
    </xf>
    <xf numFmtId="0" fontId="7" fillId="0" borderId="7" xfId="49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/>
    </xf>
    <xf numFmtId="4" fontId="15" fillId="0" borderId="3" xfId="5" applyNumberFormat="1" applyFont="1" applyFill="1" applyBorder="1" applyAlignment="1">
      <alignment horizontal="center" shrinkToFit="1"/>
    </xf>
    <xf numFmtId="180" fontId="6" fillId="0" borderId="3" xfId="5" applyNumberFormat="1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left" vertical="center"/>
    </xf>
    <xf numFmtId="4" fontId="15" fillId="0" borderId="0" xfId="5" applyNumberFormat="1" applyFont="1" applyFill="1" applyBorder="1" applyAlignment="1">
      <alignment horizontal="right" shrinkToFit="1"/>
    </xf>
    <xf numFmtId="0" fontId="11" fillId="0" borderId="0" xfId="0" applyFont="1" applyFill="1" applyBorder="1" applyAlignment="1">
      <alignment horizontal="center" vertical="center"/>
    </xf>
    <xf numFmtId="10" fontId="13" fillId="0" borderId="9" xfId="49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181" fontId="14" fillId="0" borderId="3" xfId="49" applyNumberFormat="1" applyFont="1" applyFill="1" applyBorder="1" applyAlignment="1">
      <alignment horizontal="center" vertical="center"/>
    </xf>
    <xf numFmtId="10" fontId="14" fillId="0" borderId="3" xfId="49" applyNumberFormat="1" applyFont="1" applyFill="1" applyBorder="1" applyAlignment="1">
      <alignment horizontal="center" vertical="center"/>
    </xf>
    <xf numFmtId="182" fontId="13" fillId="0" borderId="3" xfId="0" applyNumberFormat="1" applyFont="1" applyFill="1" applyBorder="1" applyAlignment="1">
      <alignment horizontal="center" vertical="center" wrapText="1"/>
    </xf>
    <xf numFmtId="43" fontId="15" fillId="5" borderId="3" xfId="8" applyFont="1" applyFill="1" applyBorder="1" applyAlignment="1">
      <alignment vertical="center"/>
    </xf>
    <xf numFmtId="180" fontId="15" fillId="0" borderId="3" xfId="8" applyNumberFormat="1" applyFont="1" applyFill="1" applyBorder="1" applyAlignment="1">
      <alignment horizontal="center" vertical="center"/>
    </xf>
    <xf numFmtId="43" fontId="15" fillId="0" borderId="3" xfId="8" applyFont="1" applyFill="1" applyBorder="1" applyAlignment="1">
      <alignment vertical="center"/>
    </xf>
    <xf numFmtId="10" fontId="15" fillId="0" borderId="3" xfId="8" applyNumberFormat="1" applyFont="1" applyFill="1" applyBorder="1" applyAlignment="1">
      <alignment horizontal="center" vertical="center"/>
    </xf>
    <xf numFmtId="183" fontId="15" fillId="0" borderId="3" xfId="0" applyNumberFormat="1" applyFont="1" applyFill="1" applyBorder="1" applyAlignment="1">
      <alignment horizontal="center" vertical="center" wrapText="1"/>
    </xf>
    <xf numFmtId="183" fontId="16" fillId="0" borderId="3" xfId="0" applyNumberFormat="1" applyFont="1" applyFill="1" applyBorder="1" applyAlignment="1">
      <alignment horizontal="center" vertical="center" wrapText="1"/>
    </xf>
    <xf numFmtId="180" fontId="13" fillId="0" borderId="3" xfId="8" applyNumberFormat="1" applyFont="1" applyFill="1" applyBorder="1" applyAlignment="1">
      <alignment horizontal="center" vertical="center"/>
    </xf>
    <xf numFmtId="43" fontId="13" fillId="0" borderId="3" xfId="8" applyFont="1" applyFill="1" applyBorder="1" applyAlignment="1">
      <alignment vertical="center"/>
    </xf>
    <xf numFmtId="183" fontId="13" fillId="0" borderId="3" xfId="0" applyNumberFormat="1" applyFont="1" applyFill="1" applyBorder="1" applyAlignment="1">
      <alignment horizontal="center" vertical="center" wrapText="1"/>
    </xf>
    <xf numFmtId="183" fontId="17" fillId="0" borderId="3" xfId="0" applyNumberFormat="1" applyFont="1" applyFill="1" applyBorder="1" applyAlignment="1">
      <alignment horizontal="center" vertical="center" wrapText="1"/>
    </xf>
    <xf numFmtId="183" fontId="15" fillId="6" borderId="3" xfId="0" applyNumberFormat="1" applyFont="1" applyFill="1" applyBorder="1" applyAlignment="1">
      <alignment horizontal="center" vertical="center" wrapText="1"/>
    </xf>
    <xf numFmtId="183" fontId="17" fillId="6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83" fontId="13" fillId="0" borderId="0" xfId="0" applyNumberFormat="1" applyFont="1" applyFill="1" applyBorder="1" applyAlignment="1">
      <alignment horizontal="center" vertical="center" wrapText="1"/>
    </xf>
    <xf numFmtId="183" fontId="15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4" fontId="15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00B05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Shell\tmp2554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  <sheetName val="Sheet1"/>
    </sheetNames>
    <sheetDataSet>
      <sheetData sheetId="0"/>
      <sheetData sheetId="1"/>
      <sheetData sheetId="2"/>
      <sheetData sheetId="3">
        <row r="1">
          <cell r="B1" t="str">
            <v>供应商名称</v>
          </cell>
        </row>
        <row r="1">
          <cell r="D1" t="str">
            <v>借方</v>
          </cell>
          <cell r="E1" t="str">
            <v>贷方</v>
          </cell>
        </row>
        <row r="2">
          <cell r="B2" t="str">
            <v>北京浦东三浦标准件有限公司</v>
          </cell>
        </row>
        <row r="2">
          <cell r="D2">
            <v>36900</v>
          </cell>
          <cell r="E2">
            <v>91455.67</v>
          </cell>
        </row>
        <row r="3">
          <cell r="B3" t="str">
            <v>天津市益中汽车安全带厂</v>
          </cell>
        </row>
        <row r="3">
          <cell r="D3">
            <v>5000</v>
          </cell>
          <cell r="E3">
            <v>0</v>
          </cell>
        </row>
        <row r="4">
          <cell r="B4" t="str">
            <v>黄骅市泰行汽车配件厂</v>
          </cell>
        </row>
        <row r="4">
          <cell r="D4">
            <v>0</v>
          </cell>
          <cell r="E4">
            <v>49787.55</v>
          </cell>
        </row>
        <row r="5">
          <cell r="B5" t="str">
            <v>黄骅市长生汽车灯镜有限公司</v>
          </cell>
        </row>
        <row r="5">
          <cell r="D5">
            <v>800000</v>
          </cell>
          <cell r="E5">
            <v>691081.05</v>
          </cell>
        </row>
        <row r="6">
          <cell r="B6" t="str">
            <v>黄骅市广亿汽车部件有限公司</v>
          </cell>
        </row>
        <row r="6">
          <cell r="D6">
            <v>500000</v>
          </cell>
          <cell r="E6">
            <v>422572.57</v>
          </cell>
        </row>
        <row r="7">
          <cell r="B7" t="str">
            <v>黄骅市鑫祺汽车配件有限公司</v>
          </cell>
        </row>
        <row r="7">
          <cell r="D7">
            <v>500000</v>
          </cell>
          <cell r="E7">
            <v>199396.1</v>
          </cell>
        </row>
        <row r="8">
          <cell r="B8" t="str">
            <v>海兴中盛弹簧有限公司</v>
          </cell>
        </row>
        <row r="8">
          <cell r="D8">
            <v>0</v>
          </cell>
          <cell r="E8">
            <v>915.61</v>
          </cell>
        </row>
        <row r="9">
          <cell r="B9" t="str">
            <v>河北新强力机械制造有限公司</v>
          </cell>
        </row>
        <row r="9">
          <cell r="D9">
            <v>100000</v>
          </cell>
          <cell r="E9">
            <v>155403.01</v>
          </cell>
        </row>
        <row r="10">
          <cell r="B10" t="str">
            <v>黄骅市亚征汽车配件有限公司</v>
          </cell>
        </row>
        <row r="10">
          <cell r="D10">
            <v>0</v>
          </cell>
          <cell r="E10">
            <v>18867.93</v>
          </cell>
        </row>
        <row r="11">
          <cell r="B11" t="str">
            <v>黄骅雍丰包装有限公司</v>
          </cell>
        </row>
        <row r="11">
          <cell r="D11">
            <v>200000</v>
          </cell>
          <cell r="E11">
            <v>155607.14</v>
          </cell>
        </row>
        <row r="12">
          <cell r="B12" t="str">
            <v>黄骅市恒伟五金制品有限公司</v>
          </cell>
        </row>
        <row r="12">
          <cell r="D12">
            <v>38030</v>
          </cell>
          <cell r="E12">
            <v>204551.66</v>
          </cell>
        </row>
        <row r="13">
          <cell r="B13" t="str">
            <v>黄骅市建昌塑料制品有限公司</v>
          </cell>
        </row>
        <row r="13">
          <cell r="D13">
            <v>40000</v>
          </cell>
          <cell r="E13">
            <v>74117.43</v>
          </cell>
        </row>
        <row r="14">
          <cell r="B14" t="str">
            <v>深州市卓伦橡塑模具有限公司</v>
          </cell>
        </row>
        <row r="14">
          <cell r="D14">
            <v>0</v>
          </cell>
          <cell r="E14">
            <v>15560</v>
          </cell>
        </row>
        <row r="15">
          <cell r="B15" t="str">
            <v>德州志鹏海绵制品有限公司</v>
          </cell>
        </row>
        <row r="15">
          <cell r="D15">
            <v>0</v>
          </cell>
          <cell r="E15">
            <v>13218.56</v>
          </cell>
        </row>
        <row r="16">
          <cell r="B16" t="str">
            <v>文安县德实汽车配件有限公司</v>
          </cell>
        </row>
        <row r="16">
          <cell r="D16">
            <v>1200000</v>
          </cell>
          <cell r="E16">
            <v>742891.63</v>
          </cell>
        </row>
        <row r="17">
          <cell r="B17" t="str">
            <v>黄骅市致远摩托车配件有限公司</v>
          </cell>
        </row>
        <row r="17">
          <cell r="D17">
            <v>50000</v>
          </cell>
          <cell r="E17">
            <v>98536.7</v>
          </cell>
        </row>
        <row r="18">
          <cell r="B18" t="str">
            <v>江苏力乐汽车部件股份有限公司</v>
          </cell>
        </row>
        <row r="18">
          <cell r="D18">
            <v>503000</v>
          </cell>
          <cell r="E18">
            <v>532091.18</v>
          </cell>
        </row>
        <row r="19">
          <cell r="B19" t="str">
            <v>常州华阳万联汽车附件有限公司</v>
          </cell>
        </row>
        <row r="19">
          <cell r="D19">
            <v>100000</v>
          </cell>
          <cell r="E19">
            <v>177673.92</v>
          </cell>
        </row>
        <row r="20">
          <cell r="B20" t="str">
            <v>诸城市新汇众物流有限公司</v>
          </cell>
        </row>
        <row r="20">
          <cell r="D20">
            <v>0</v>
          </cell>
          <cell r="E20">
            <v>250258.77</v>
          </cell>
        </row>
        <row r="21">
          <cell r="B21" t="str">
            <v>黄骅市京港机电设备有限公司</v>
          </cell>
        </row>
        <row r="21">
          <cell r="D21">
            <v>0</v>
          </cell>
          <cell r="E21">
            <v>1550.59</v>
          </cell>
        </row>
        <row r="22">
          <cell r="B22" t="str">
            <v>青岛福基纺织有限公司</v>
          </cell>
        </row>
        <row r="22">
          <cell r="D22">
            <v>500000</v>
          </cell>
          <cell r="E22">
            <v>532456</v>
          </cell>
        </row>
        <row r="23">
          <cell r="B23" t="str">
            <v>日照联成工程机械有限公司</v>
          </cell>
        </row>
        <row r="23">
          <cell r="D23">
            <v>0</v>
          </cell>
          <cell r="E23">
            <v>89194.36</v>
          </cell>
        </row>
        <row r="24">
          <cell r="B24" t="str">
            <v>邓景亮</v>
          </cell>
        </row>
        <row r="24">
          <cell r="D24">
            <v>0</v>
          </cell>
          <cell r="E24">
            <v>52000</v>
          </cell>
        </row>
        <row r="25">
          <cell r="B25" t="str">
            <v>北京市金能祥远物流有限公</v>
          </cell>
        </row>
        <row r="25">
          <cell r="D25">
            <v>0</v>
          </cell>
          <cell r="E25">
            <v>12400</v>
          </cell>
        </row>
        <row r="26">
          <cell r="D26">
            <v>4572930</v>
          </cell>
          <cell r="E26">
            <v>4581587.43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3"/>
  <sheetViews>
    <sheetView tabSelected="1" workbookViewId="0">
      <selection activeCell="J18" sqref="J18"/>
    </sheetView>
  </sheetViews>
  <sheetFormatPr defaultColWidth="9" defaultRowHeight="13.5"/>
  <cols>
    <col min="1" max="1" width="6.875" customWidth="1"/>
    <col min="3" max="3" width="22.5" customWidth="1"/>
    <col min="4" max="4" width="9" customWidth="1"/>
    <col min="5" max="5" width="11.125" customWidth="1"/>
    <col min="6" max="6" width="9" customWidth="1"/>
    <col min="7" max="7" width="9.625" customWidth="1"/>
    <col min="8" max="8" width="9" customWidth="1"/>
    <col min="9" max="9" width="13.875" customWidth="1"/>
    <col min="10" max="10" width="12.25" customWidth="1"/>
    <col min="11" max="11" width="9" customWidth="1"/>
    <col min="12" max="12" width="5.5" customWidth="1"/>
    <col min="13" max="16" width="9" customWidth="1"/>
    <col min="17" max="18" width="11.625" customWidth="1"/>
    <col min="19" max="19" width="10.375" customWidth="1"/>
    <col min="20" max="20" width="9" customWidth="1"/>
    <col min="21" max="21" width="11.5" style="33"/>
    <col min="22" max="22" width="12" customWidth="1"/>
    <col min="23" max="23" width="11.5"/>
    <col min="24" max="24" width="12.625"/>
    <col min="26" max="26" width="11.75" customWidth="1"/>
  </cols>
  <sheetData>
    <row r="1" ht="18.75" spans="1:20">
      <c r="A1" s="41" t="s">
        <v>0</v>
      </c>
      <c r="B1" s="41"/>
      <c r="C1" s="42"/>
      <c r="D1" s="41"/>
      <c r="E1" s="43"/>
      <c r="F1" s="43"/>
      <c r="G1" s="43"/>
      <c r="H1" s="43"/>
      <c r="I1" s="43"/>
      <c r="J1" s="41"/>
      <c r="K1" s="41"/>
      <c r="L1" s="41"/>
      <c r="M1" s="41"/>
      <c r="N1" s="63"/>
      <c r="O1" s="63"/>
      <c r="P1" s="63"/>
      <c r="Q1" s="63"/>
      <c r="R1" s="63"/>
      <c r="S1" s="63"/>
      <c r="T1" s="41"/>
    </row>
    <row r="2" spans="1:20">
      <c r="A2" s="44" t="s">
        <v>1</v>
      </c>
      <c r="B2" s="44"/>
      <c r="C2" s="44"/>
      <c r="D2" s="44"/>
      <c r="E2" s="44"/>
      <c r="F2" s="44"/>
      <c r="G2" s="45"/>
      <c r="H2" s="45"/>
      <c r="I2" s="45"/>
      <c r="J2" s="44"/>
      <c r="K2" s="45"/>
      <c r="L2" s="44"/>
      <c r="M2" s="64"/>
      <c r="N2" s="65"/>
      <c r="O2" s="65"/>
      <c r="P2" s="65"/>
      <c r="Q2" s="65"/>
      <c r="R2" s="65"/>
      <c r="S2" s="65"/>
      <c r="T2" s="44" t="s">
        <v>2</v>
      </c>
    </row>
    <row r="3" ht="45" spans="1:20">
      <c r="A3" s="46" t="s">
        <v>3</v>
      </c>
      <c r="B3" s="47" t="s">
        <v>4</v>
      </c>
      <c r="C3" s="46" t="s">
        <v>5</v>
      </c>
      <c r="D3" s="46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50" t="s">
        <v>11</v>
      </c>
      <c r="J3" s="66" t="s">
        <v>12</v>
      </c>
      <c r="K3" s="50" t="s">
        <v>13</v>
      </c>
      <c r="L3" s="50" t="s">
        <v>14</v>
      </c>
      <c r="M3" s="67" t="s">
        <v>15</v>
      </c>
      <c r="N3" s="68" t="s">
        <v>16</v>
      </c>
      <c r="O3" s="68"/>
      <c r="P3" s="68"/>
      <c r="Q3" s="68"/>
      <c r="R3" s="68"/>
      <c r="S3" s="68"/>
      <c r="T3" s="85" t="s">
        <v>17</v>
      </c>
    </row>
    <row r="4" ht="22.5" spans="1:20">
      <c r="A4" s="46"/>
      <c r="B4" s="49"/>
      <c r="C4" s="46"/>
      <c r="D4" s="46"/>
      <c r="E4" s="50" t="s">
        <v>18</v>
      </c>
      <c r="F4" s="50" t="s">
        <v>19</v>
      </c>
      <c r="G4" s="50" t="s">
        <v>20</v>
      </c>
      <c r="H4" s="50" t="s">
        <v>21</v>
      </c>
      <c r="I4" s="50" t="s">
        <v>22</v>
      </c>
      <c r="J4" s="66" t="s">
        <v>23</v>
      </c>
      <c r="K4" s="50" t="s">
        <v>24</v>
      </c>
      <c r="L4" s="50" t="s">
        <v>25</v>
      </c>
      <c r="M4" s="67" t="s">
        <v>26</v>
      </c>
      <c r="N4" s="68" t="s">
        <v>27</v>
      </c>
      <c r="O4" s="68" t="s">
        <v>28</v>
      </c>
      <c r="P4" s="68" t="s">
        <v>29</v>
      </c>
      <c r="Q4" s="68" t="s">
        <v>30</v>
      </c>
      <c r="R4" s="68" t="s">
        <v>31</v>
      </c>
      <c r="S4" s="68" t="s">
        <v>32</v>
      </c>
      <c r="T4" s="85"/>
    </row>
    <row r="5" spans="1:22">
      <c r="A5" s="51">
        <v>1</v>
      </c>
      <c r="B5" s="26">
        <v>1911127</v>
      </c>
      <c r="C5" s="52" t="s">
        <v>33</v>
      </c>
      <c r="D5" s="51" t="s">
        <v>34</v>
      </c>
      <c r="E5" s="53">
        <v>392249.14</v>
      </c>
      <c r="F5" s="53"/>
      <c r="G5" s="53">
        <f>VLOOKUP(C:C,月付款明细!C:AE,29,0)</f>
        <v>136900</v>
      </c>
      <c r="H5" s="53"/>
      <c r="I5" s="53">
        <f>E5-G5</f>
        <v>255349.14</v>
      </c>
      <c r="J5" s="69">
        <v>50000</v>
      </c>
      <c r="K5" s="70"/>
      <c r="L5" s="71"/>
      <c r="M5" s="72">
        <f t="shared" ref="M5:M53" si="0">IFERROR(J5/I5,"")</f>
        <v>0.195810332472629</v>
      </c>
      <c r="N5" s="73"/>
      <c r="O5" s="73"/>
      <c r="P5" s="73"/>
      <c r="Q5" s="73">
        <v>120985.91</v>
      </c>
      <c r="R5" s="73">
        <f>VLOOKUP(C:C,[1]Sheet1!$B$1:$E$65536,4,0)</f>
        <v>91455.67</v>
      </c>
      <c r="S5" s="73"/>
      <c r="T5" s="86"/>
      <c r="V5" s="33"/>
    </row>
    <row r="6" spans="1:22">
      <c r="A6" s="51">
        <v>2</v>
      </c>
      <c r="B6" s="26">
        <v>1911138</v>
      </c>
      <c r="C6" s="52" t="s">
        <v>35</v>
      </c>
      <c r="D6" s="51" t="s">
        <v>34</v>
      </c>
      <c r="E6" s="53">
        <v>41599.39</v>
      </c>
      <c r="F6" s="53"/>
      <c r="G6" s="53">
        <f>VLOOKUP(C:C,月付款明细!C:AE,29,0)</f>
        <v>0</v>
      </c>
      <c r="H6" s="53"/>
      <c r="I6" s="53">
        <f>E6-G6</f>
        <v>41599.39</v>
      </c>
      <c r="J6" s="69"/>
      <c r="K6" s="70"/>
      <c r="L6" s="71"/>
      <c r="M6" s="72">
        <f t="shared" si="0"/>
        <v>0</v>
      </c>
      <c r="N6" s="73"/>
      <c r="O6" s="73"/>
      <c r="P6" s="74"/>
      <c r="Q6" s="73"/>
      <c r="R6" s="73"/>
      <c r="S6" s="73"/>
      <c r="T6" s="86"/>
      <c r="V6" s="33"/>
    </row>
    <row r="7" spans="1:22">
      <c r="A7" s="51">
        <v>3</v>
      </c>
      <c r="B7" s="26" t="s">
        <v>36</v>
      </c>
      <c r="C7" s="52" t="s">
        <v>37</v>
      </c>
      <c r="D7" s="51" t="s">
        <v>34</v>
      </c>
      <c r="E7" s="53"/>
      <c r="F7" s="53"/>
      <c r="G7" s="53">
        <f>VLOOKUP(C:C,月付款明细!C:AE,29,0)</f>
        <v>0</v>
      </c>
      <c r="H7" s="53"/>
      <c r="I7" s="53">
        <f t="shared" ref="I7:I28" si="1">E7-G7</f>
        <v>0</v>
      </c>
      <c r="J7" s="69"/>
      <c r="K7" s="70"/>
      <c r="L7" s="71"/>
      <c r="M7" s="72" t="str">
        <f t="shared" si="0"/>
        <v/>
      </c>
      <c r="N7" s="73"/>
      <c r="O7" s="73"/>
      <c r="P7" s="74"/>
      <c r="Q7" s="73"/>
      <c r="R7" s="73"/>
      <c r="S7" s="73"/>
      <c r="T7" s="86"/>
      <c r="V7" s="33"/>
    </row>
    <row r="8" spans="1:22">
      <c r="A8" s="51">
        <v>4</v>
      </c>
      <c r="B8" s="26">
        <v>1912220</v>
      </c>
      <c r="C8" s="52" t="s">
        <v>38</v>
      </c>
      <c r="D8" s="51" t="s">
        <v>34</v>
      </c>
      <c r="E8" s="53">
        <v>8666.5</v>
      </c>
      <c r="F8" s="53"/>
      <c r="G8" s="53">
        <f>VLOOKUP(C:C,月付款明细!C:AE,29,0)</f>
        <v>5000</v>
      </c>
      <c r="H8" s="53"/>
      <c r="I8" s="53">
        <f t="shared" si="1"/>
        <v>3666.5</v>
      </c>
      <c r="J8" s="69"/>
      <c r="K8" s="70"/>
      <c r="L8" s="71"/>
      <c r="M8" s="72">
        <f t="shared" si="0"/>
        <v>0</v>
      </c>
      <c r="N8" s="73"/>
      <c r="O8" s="73"/>
      <c r="P8" s="74"/>
      <c r="Q8" s="73"/>
      <c r="R8" s="73">
        <f>VLOOKUP(C:C,[1]Sheet1!$B$1:$E$65536,4,0)</f>
        <v>0</v>
      </c>
      <c r="S8" s="73"/>
      <c r="T8" s="86"/>
      <c r="V8" s="33"/>
    </row>
    <row r="9" spans="1:22">
      <c r="A9" s="51">
        <v>5</v>
      </c>
      <c r="B9" s="26">
        <v>1913001</v>
      </c>
      <c r="C9" s="52" t="s">
        <v>39</v>
      </c>
      <c r="D9" s="51" t="s">
        <v>34</v>
      </c>
      <c r="E9" s="53">
        <v>285436.94</v>
      </c>
      <c r="F9" s="54"/>
      <c r="G9" s="53">
        <f>VLOOKUP(C:C,月付款明细!C:AE,29,0)</f>
        <v>100000</v>
      </c>
      <c r="H9" s="54"/>
      <c r="I9" s="53">
        <f t="shared" si="1"/>
        <v>185436.94</v>
      </c>
      <c r="J9" s="69">
        <v>50000</v>
      </c>
      <c r="K9" s="75"/>
      <c r="L9" s="76"/>
      <c r="M9" s="72">
        <f t="shared" si="0"/>
        <v>0.269633439809781</v>
      </c>
      <c r="N9" s="77"/>
      <c r="O9" s="77"/>
      <c r="P9" s="78"/>
      <c r="Q9" s="73">
        <v>53911.72</v>
      </c>
      <c r="R9" s="73">
        <f>VLOOKUP(C:C,[1]Sheet1!$B$1:$E$65536,4,0)</f>
        <v>49787.55</v>
      </c>
      <c r="S9" s="73"/>
      <c r="T9" s="85"/>
      <c r="V9" s="33"/>
    </row>
    <row r="10" spans="1:22">
      <c r="A10" s="51">
        <v>6</v>
      </c>
      <c r="B10" s="26">
        <v>1913005</v>
      </c>
      <c r="C10" s="52" t="s">
        <v>40</v>
      </c>
      <c r="D10" s="51" t="s">
        <v>34</v>
      </c>
      <c r="E10" s="53">
        <v>2981980.22</v>
      </c>
      <c r="F10" s="53"/>
      <c r="G10" s="53">
        <f>VLOOKUP(C:C,月付款明细!C:AE,29,0)</f>
        <v>1300000</v>
      </c>
      <c r="H10" s="53"/>
      <c r="I10" s="53">
        <f t="shared" si="1"/>
        <v>1681980.22</v>
      </c>
      <c r="J10" s="69">
        <v>20000</v>
      </c>
      <c r="K10" s="70"/>
      <c r="L10" s="71"/>
      <c r="M10" s="72">
        <f t="shared" si="0"/>
        <v>0.0118907462538412</v>
      </c>
      <c r="N10" s="73"/>
      <c r="O10" s="73"/>
      <c r="P10" s="74"/>
      <c r="Q10" s="73">
        <v>603562.91</v>
      </c>
      <c r="R10" s="73">
        <f>VLOOKUP(C:C,[1]Sheet1!$B$1:$E$65536,4,0)</f>
        <v>691081.05</v>
      </c>
      <c r="S10" s="73"/>
      <c r="T10" s="86"/>
      <c r="V10" s="33"/>
    </row>
    <row r="11" spans="1:22">
      <c r="A11" s="51">
        <v>7</v>
      </c>
      <c r="B11" s="26">
        <v>1913006</v>
      </c>
      <c r="C11" s="52" t="s">
        <v>41</v>
      </c>
      <c r="D11" s="51" t="s">
        <v>34</v>
      </c>
      <c r="E11" s="53">
        <v>3515896.26</v>
      </c>
      <c r="F11" s="53"/>
      <c r="G11" s="53">
        <f>VLOOKUP(C:C,月付款明细!C:AE,29,0)</f>
        <v>1050000</v>
      </c>
      <c r="H11" s="53"/>
      <c r="I11" s="53">
        <f t="shared" si="1"/>
        <v>2465896.26</v>
      </c>
      <c r="J11" s="69">
        <v>700000</v>
      </c>
      <c r="K11" s="70"/>
      <c r="L11" s="71"/>
      <c r="M11" s="72">
        <f t="shared" si="0"/>
        <v>0.283872444820529</v>
      </c>
      <c r="N11" s="73"/>
      <c r="O11" s="73"/>
      <c r="P11" s="74"/>
      <c r="Q11" s="73">
        <v>580569.55</v>
      </c>
      <c r="R11" s="73">
        <f>VLOOKUP(C:C,[1]Sheet1!$B$1:$E$65536,4,0)</f>
        <v>422572.57</v>
      </c>
      <c r="S11" s="73"/>
      <c r="T11" s="86"/>
      <c r="V11" s="33"/>
    </row>
    <row r="12" spans="1:22">
      <c r="A12" s="51">
        <v>8</v>
      </c>
      <c r="B12" s="26">
        <v>1913017</v>
      </c>
      <c r="C12" s="52" t="s">
        <v>42</v>
      </c>
      <c r="D12" s="51" t="s">
        <v>34</v>
      </c>
      <c r="E12" s="53">
        <v>1641658.14</v>
      </c>
      <c r="F12" s="53"/>
      <c r="G12" s="53">
        <f>VLOOKUP(C:C,月付款明细!C:AE,29,0)</f>
        <v>820000</v>
      </c>
      <c r="H12" s="53"/>
      <c r="I12" s="53">
        <f t="shared" si="1"/>
        <v>821658.14</v>
      </c>
      <c r="J12" s="69">
        <v>200000</v>
      </c>
      <c r="K12" s="70"/>
      <c r="L12" s="71"/>
      <c r="M12" s="72">
        <f t="shared" si="0"/>
        <v>0.243410233847376</v>
      </c>
      <c r="N12" s="73"/>
      <c r="O12" s="73"/>
      <c r="P12" s="74"/>
      <c r="Q12" s="73">
        <v>326592.27</v>
      </c>
      <c r="R12" s="73">
        <f>VLOOKUP(C:C,[1]Sheet1!$B$1:$E$65536,4,0)</f>
        <v>199396.1</v>
      </c>
      <c r="S12" s="73"/>
      <c r="T12" s="86"/>
      <c r="V12" s="33"/>
    </row>
    <row r="13" spans="1:22">
      <c r="A13" s="51">
        <v>9</v>
      </c>
      <c r="B13" s="26">
        <v>1913023</v>
      </c>
      <c r="C13" s="52" t="s">
        <v>43</v>
      </c>
      <c r="D13" s="51" t="s">
        <v>34</v>
      </c>
      <c r="E13" s="53">
        <v>37822.57</v>
      </c>
      <c r="F13" s="53"/>
      <c r="G13" s="53">
        <f>VLOOKUP(C:C,月付款明细!C:AE,29,0)</f>
        <v>0</v>
      </c>
      <c r="H13" s="53"/>
      <c r="I13" s="53">
        <f t="shared" si="1"/>
        <v>37822.57</v>
      </c>
      <c r="J13" s="69"/>
      <c r="K13" s="70"/>
      <c r="L13" s="71"/>
      <c r="M13" s="72">
        <f t="shared" si="0"/>
        <v>0</v>
      </c>
      <c r="N13" s="73"/>
      <c r="O13" s="73"/>
      <c r="P13" s="74"/>
      <c r="Q13" s="73"/>
      <c r="R13" s="73">
        <f>VLOOKUP(C:C,[1]Sheet1!$B$1:$E$65536,4,0)</f>
        <v>915.61</v>
      </c>
      <c r="S13" s="73"/>
      <c r="T13" s="86"/>
      <c r="V13" s="33"/>
    </row>
    <row r="14" spans="1:22">
      <c r="A14" s="51">
        <v>10</v>
      </c>
      <c r="B14" s="26" t="s">
        <v>44</v>
      </c>
      <c r="C14" s="52" t="s">
        <v>45</v>
      </c>
      <c r="D14" s="51" t="s">
        <v>34</v>
      </c>
      <c r="E14" s="53">
        <v>449868.46</v>
      </c>
      <c r="F14" s="53"/>
      <c r="G14" s="53">
        <f>VLOOKUP(C:C,月付款明细!C:AE,29,0)</f>
        <v>200000</v>
      </c>
      <c r="H14" s="53"/>
      <c r="I14" s="53">
        <f t="shared" si="1"/>
        <v>249868.46</v>
      </c>
      <c r="J14" s="69">
        <v>50000</v>
      </c>
      <c r="K14" s="70"/>
      <c r="L14" s="71"/>
      <c r="M14" s="72">
        <f t="shared" si="0"/>
        <v>0.200105287398017</v>
      </c>
      <c r="N14" s="73"/>
      <c r="O14" s="73"/>
      <c r="P14" s="74"/>
      <c r="Q14" s="73">
        <v>132822.9</v>
      </c>
      <c r="R14" s="73">
        <f>VLOOKUP(C:C,[1]Sheet1!$B$1:$E$65536,4,0)</f>
        <v>155403.01</v>
      </c>
      <c r="S14" s="73"/>
      <c r="T14" s="86"/>
      <c r="V14" s="33"/>
    </row>
    <row r="15" spans="1:22">
      <c r="A15" s="51">
        <v>11</v>
      </c>
      <c r="B15" s="26">
        <v>1913027</v>
      </c>
      <c r="C15" s="52" t="s">
        <v>46</v>
      </c>
      <c r="D15" s="51" t="s">
        <v>34</v>
      </c>
      <c r="E15" s="53">
        <v>64478.58</v>
      </c>
      <c r="F15" s="53"/>
      <c r="G15" s="53">
        <f>VLOOKUP(C:C,月付款明细!C:AE,29,0)</f>
        <v>0</v>
      </c>
      <c r="H15" s="53"/>
      <c r="I15" s="53">
        <f t="shared" si="1"/>
        <v>64478.58</v>
      </c>
      <c r="J15" s="69">
        <v>30000</v>
      </c>
      <c r="K15" s="70"/>
      <c r="L15" s="71"/>
      <c r="M15" s="72">
        <f t="shared" si="0"/>
        <v>0.4652707922538</v>
      </c>
      <c r="N15" s="73"/>
      <c r="O15" s="73"/>
      <c r="P15" s="74"/>
      <c r="Q15" s="73">
        <v>19683.06</v>
      </c>
      <c r="R15" s="73">
        <f>VLOOKUP(C:C,[1]Sheet1!$B$1:$E$65536,4,0)</f>
        <v>18867.93</v>
      </c>
      <c r="S15" s="73"/>
      <c r="T15" s="86"/>
      <c r="V15" s="33"/>
    </row>
    <row r="16" spans="1:22">
      <c r="A16" s="51">
        <v>12</v>
      </c>
      <c r="B16" s="26">
        <v>1913032</v>
      </c>
      <c r="C16" s="52" t="s">
        <v>47</v>
      </c>
      <c r="D16" s="51" t="s">
        <v>34</v>
      </c>
      <c r="E16" s="53">
        <v>92844.09</v>
      </c>
      <c r="F16" s="53"/>
      <c r="G16" s="53">
        <f>VLOOKUP(C:C,月付款明细!C:AE,29,0)</f>
        <v>0</v>
      </c>
      <c r="H16" s="53"/>
      <c r="I16" s="53">
        <f t="shared" si="1"/>
        <v>92844.09</v>
      </c>
      <c r="J16" s="69">
        <v>30000</v>
      </c>
      <c r="K16" s="70"/>
      <c r="L16" s="71"/>
      <c r="M16" s="72">
        <f t="shared" si="0"/>
        <v>0.323122344136283</v>
      </c>
      <c r="N16" s="73"/>
      <c r="O16" s="73"/>
      <c r="P16" s="74"/>
      <c r="Q16" s="73"/>
      <c r="R16" s="73"/>
      <c r="S16" s="73"/>
      <c r="T16" s="86"/>
      <c r="V16" s="33"/>
    </row>
    <row r="17" spans="1:22">
      <c r="A17" s="51">
        <v>13</v>
      </c>
      <c r="B17" s="26">
        <v>1913045</v>
      </c>
      <c r="C17" s="52" t="s">
        <v>48</v>
      </c>
      <c r="D17" s="51" t="s">
        <v>34</v>
      </c>
      <c r="E17" s="53">
        <v>783235.45</v>
      </c>
      <c r="F17" s="53"/>
      <c r="G17" s="53">
        <f>VLOOKUP(C:C,月付款明细!C:AE,29,0)</f>
        <v>430000</v>
      </c>
      <c r="H17" s="53"/>
      <c r="I17" s="53">
        <f t="shared" si="1"/>
        <v>353235.45</v>
      </c>
      <c r="J17" s="69">
        <v>100000</v>
      </c>
      <c r="K17" s="70"/>
      <c r="L17" s="71"/>
      <c r="M17" s="72">
        <f t="shared" si="0"/>
        <v>0.283097293887123</v>
      </c>
      <c r="N17" s="73"/>
      <c r="O17" s="73"/>
      <c r="P17" s="74"/>
      <c r="Q17" s="73">
        <v>242232.81</v>
      </c>
      <c r="R17" s="73">
        <f>VLOOKUP(C:C,[1]Sheet1!$B$1:$E$65536,4,0)</f>
        <v>155607.14</v>
      </c>
      <c r="S17" s="73"/>
      <c r="T17" s="86"/>
      <c r="V17" s="33"/>
    </row>
    <row r="18" spans="1:22">
      <c r="A18" s="51">
        <v>14</v>
      </c>
      <c r="B18" s="26" t="s">
        <v>49</v>
      </c>
      <c r="C18" s="52" t="s">
        <v>50</v>
      </c>
      <c r="D18" s="51" t="s">
        <v>34</v>
      </c>
      <c r="E18" s="53">
        <v>510310.47</v>
      </c>
      <c r="F18" s="53"/>
      <c r="G18" s="53">
        <f>VLOOKUP(C:C,月付款明细!C:AE,29,0)</f>
        <v>138030</v>
      </c>
      <c r="H18" s="53"/>
      <c r="I18" s="53">
        <f t="shared" si="1"/>
        <v>372280.47</v>
      </c>
      <c r="J18" s="69">
        <v>100000</v>
      </c>
      <c r="K18" s="70"/>
      <c r="L18" s="71"/>
      <c r="M18" s="72">
        <f t="shared" si="0"/>
        <v>0.268614681828461</v>
      </c>
      <c r="N18" s="73"/>
      <c r="O18" s="73"/>
      <c r="P18" s="74"/>
      <c r="Q18" s="73"/>
      <c r="R18" s="73">
        <f>VLOOKUP(C:C,[1]Sheet1!$B$1:$E$65536,4,0)</f>
        <v>204551.66</v>
      </c>
      <c r="S18" s="73"/>
      <c r="T18" s="86"/>
      <c r="V18" s="33"/>
    </row>
    <row r="19" spans="1:22">
      <c r="A19" s="51">
        <v>15</v>
      </c>
      <c r="B19" s="26">
        <v>1913078</v>
      </c>
      <c r="C19" s="52" t="s">
        <v>51</v>
      </c>
      <c r="D19" s="51" t="s">
        <v>34</v>
      </c>
      <c r="E19" s="53">
        <v>18919.75</v>
      </c>
      <c r="F19" s="53"/>
      <c r="G19" s="53">
        <f>VLOOKUP(C:C,月付款明细!C:AE,29,0)</f>
        <v>0</v>
      </c>
      <c r="H19" s="53"/>
      <c r="I19" s="53">
        <f t="shared" si="1"/>
        <v>18919.75</v>
      </c>
      <c r="J19" s="69"/>
      <c r="K19" s="70"/>
      <c r="L19" s="71"/>
      <c r="M19" s="72">
        <f t="shared" si="0"/>
        <v>0</v>
      </c>
      <c r="N19" s="73"/>
      <c r="O19" s="73"/>
      <c r="P19" s="74"/>
      <c r="Q19" s="73"/>
      <c r="R19" s="73"/>
      <c r="S19" s="73"/>
      <c r="T19" s="86"/>
      <c r="V19" s="33"/>
    </row>
    <row r="20" spans="1:22">
      <c r="A20" s="51">
        <v>16</v>
      </c>
      <c r="B20" s="26">
        <v>1913092</v>
      </c>
      <c r="C20" s="52" t="s">
        <v>52</v>
      </c>
      <c r="D20" s="51" t="s">
        <v>34</v>
      </c>
      <c r="E20" s="53">
        <v>4168.41</v>
      </c>
      <c r="F20" s="53"/>
      <c r="G20" s="53">
        <f>VLOOKUP(C:C,月付款明细!C:AE,29,0)</f>
        <v>4168.41</v>
      </c>
      <c r="H20" s="53"/>
      <c r="I20" s="53">
        <f t="shared" si="1"/>
        <v>0</v>
      </c>
      <c r="J20" s="69"/>
      <c r="K20" s="70"/>
      <c r="L20" s="71"/>
      <c r="M20" s="72" t="str">
        <f t="shared" si="0"/>
        <v/>
      </c>
      <c r="N20" s="73"/>
      <c r="O20" s="73"/>
      <c r="P20" s="74"/>
      <c r="Q20" s="73"/>
      <c r="R20" s="73"/>
      <c r="S20" s="73"/>
      <c r="T20" s="86"/>
      <c r="V20" s="33"/>
    </row>
    <row r="21" spans="1:22">
      <c r="A21" s="51">
        <v>17</v>
      </c>
      <c r="B21" s="26">
        <v>1913101</v>
      </c>
      <c r="C21" s="52" t="s">
        <v>53</v>
      </c>
      <c r="D21" s="51" t="s">
        <v>34</v>
      </c>
      <c r="E21" s="53">
        <v>610457.75</v>
      </c>
      <c r="F21" s="53"/>
      <c r="G21" s="53">
        <f>VLOOKUP(C:C,月付款明细!C:AE,29,0)</f>
        <v>140000</v>
      </c>
      <c r="H21" s="53"/>
      <c r="I21" s="53">
        <f t="shared" si="1"/>
        <v>470457.75</v>
      </c>
      <c r="J21" s="69">
        <v>20000</v>
      </c>
      <c r="K21" s="70"/>
      <c r="L21" s="71"/>
      <c r="M21" s="72">
        <f t="shared" si="0"/>
        <v>0.0425117877216392</v>
      </c>
      <c r="N21" s="73"/>
      <c r="O21" s="73"/>
      <c r="P21" s="74"/>
      <c r="Q21" s="73">
        <v>80041.16</v>
      </c>
      <c r="R21" s="73">
        <f>VLOOKUP(C:C,[1]Sheet1!$B$1:$E$65536,4,0)</f>
        <v>74117.43</v>
      </c>
      <c r="S21" s="73"/>
      <c r="T21" s="86"/>
      <c r="V21" s="33"/>
    </row>
    <row r="22" spans="1:22">
      <c r="A22" s="51">
        <v>18</v>
      </c>
      <c r="B22" s="26">
        <v>1913200</v>
      </c>
      <c r="C22" s="52" t="s">
        <v>54</v>
      </c>
      <c r="D22" s="51" t="s">
        <v>34</v>
      </c>
      <c r="E22" s="53">
        <v>133090.86</v>
      </c>
      <c r="F22" s="53"/>
      <c r="G22" s="53">
        <f>VLOOKUP(C:C,月付款明细!C:AE,29,0)</f>
        <v>0</v>
      </c>
      <c r="H22" s="53"/>
      <c r="I22" s="53">
        <f t="shared" si="1"/>
        <v>133090.86</v>
      </c>
      <c r="J22" s="69">
        <v>50000</v>
      </c>
      <c r="K22" s="70"/>
      <c r="L22" s="71"/>
      <c r="M22" s="72">
        <f t="shared" si="0"/>
        <v>0.375683198680961</v>
      </c>
      <c r="N22" s="73"/>
      <c r="O22" s="73"/>
      <c r="P22" s="74"/>
      <c r="Q22" s="73"/>
      <c r="R22" s="73">
        <f>VLOOKUP(C:C,[1]Sheet1!$B$1:$E$65536,4,0)</f>
        <v>15560</v>
      </c>
      <c r="S22" s="73"/>
      <c r="T22" s="86"/>
      <c r="V22" s="33"/>
    </row>
    <row r="23" spans="1:22">
      <c r="A23" s="51">
        <v>19</v>
      </c>
      <c r="B23" s="26">
        <v>1913218</v>
      </c>
      <c r="C23" s="52" t="s">
        <v>55</v>
      </c>
      <c r="D23" s="51" t="s">
        <v>34</v>
      </c>
      <c r="E23" s="53">
        <v>532270.28</v>
      </c>
      <c r="F23" s="53"/>
      <c r="G23" s="53">
        <f>VLOOKUP(C:C,月付款明细!C:AE,29,0)</f>
        <v>0</v>
      </c>
      <c r="H23" s="53"/>
      <c r="I23" s="53">
        <f t="shared" si="1"/>
        <v>532270.28</v>
      </c>
      <c r="J23" s="69">
        <v>100000</v>
      </c>
      <c r="K23" s="70"/>
      <c r="L23" s="71"/>
      <c r="M23" s="72">
        <f t="shared" si="0"/>
        <v>0.18787447610263</v>
      </c>
      <c r="N23" s="73"/>
      <c r="O23" s="73"/>
      <c r="P23" s="74"/>
      <c r="Q23" s="73"/>
      <c r="R23" s="73"/>
      <c r="S23" s="73"/>
      <c r="T23" s="86"/>
      <c r="V23" s="33"/>
    </row>
    <row r="24" spans="1:22">
      <c r="A24" s="51">
        <v>20</v>
      </c>
      <c r="B24" s="26">
        <v>1913219</v>
      </c>
      <c r="C24" s="52" t="s">
        <v>56</v>
      </c>
      <c r="D24" s="51" t="s">
        <v>34</v>
      </c>
      <c r="E24" s="53">
        <v>4419.76</v>
      </c>
      <c r="F24" s="53"/>
      <c r="G24" s="53">
        <f>VLOOKUP(C:C,月付款明细!C:AE,29,0)</f>
        <v>0</v>
      </c>
      <c r="H24" s="53"/>
      <c r="I24" s="53">
        <f t="shared" si="1"/>
        <v>4419.76</v>
      </c>
      <c r="J24" s="69"/>
      <c r="K24" s="70"/>
      <c r="L24" s="71"/>
      <c r="M24" s="72">
        <f t="shared" si="0"/>
        <v>0</v>
      </c>
      <c r="N24" s="73"/>
      <c r="O24" s="73"/>
      <c r="P24" s="74"/>
      <c r="Q24" s="73"/>
      <c r="R24" s="73"/>
      <c r="S24" s="73"/>
      <c r="T24" s="86"/>
      <c r="V24" s="33"/>
    </row>
    <row r="25" spans="1:22">
      <c r="A25" s="51">
        <v>21</v>
      </c>
      <c r="B25" s="26" t="s">
        <v>57</v>
      </c>
      <c r="C25" s="52" t="s">
        <v>58</v>
      </c>
      <c r="D25" s="51" t="s">
        <v>34</v>
      </c>
      <c r="E25" s="53">
        <v>286259.6</v>
      </c>
      <c r="F25" s="53"/>
      <c r="G25" s="53">
        <f>VLOOKUP(C:C,月付款明细!C:AE,29,0)</f>
        <v>0</v>
      </c>
      <c r="H25" s="53"/>
      <c r="I25" s="53">
        <f t="shared" si="1"/>
        <v>286259.6</v>
      </c>
      <c r="J25" s="69"/>
      <c r="K25" s="70"/>
      <c r="L25" s="71"/>
      <c r="M25" s="72">
        <f t="shared" si="0"/>
        <v>0</v>
      </c>
      <c r="N25" s="73"/>
      <c r="O25" s="73"/>
      <c r="P25" s="74"/>
      <c r="Q25" s="73">
        <v>35846.42</v>
      </c>
      <c r="R25" s="73">
        <f>VLOOKUP(C:C,[1]Sheet1!$B$1:$E$65536,4,0)</f>
        <v>13218.56</v>
      </c>
      <c r="S25" s="73"/>
      <c r="T25" s="86"/>
      <c r="V25" s="33"/>
    </row>
    <row r="26" spans="1:22">
      <c r="A26" s="51">
        <v>22</v>
      </c>
      <c r="B26" s="26">
        <v>1913273</v>
      </c>
      <c r="C26" s="52" t="s">
        <v>59</v>
      </c>
      <c r="D26" s="51" t="s">
        <v>34</v>
      </c>
      <c r="E26" s="53">
        <v>532.5</v>
      </c>
      <c r="F26" s="53"/>
      <c r="G26" s="53">
        <f>VLOOKUP(C:C,月付款明细!C:AE,29,0)</f>
        <v>0</v>
      </c>
      <c r="H26" s="53"/>
      <c r="I26" s="53">
        <f t="shared" si="1"/>
        <v>532.5</v>
      </c>
      <c r="J26" s="69"/>
      <c r="K26" s="70"/>
      <c r="L26" s="71"/>
      <c r="M26" s="72">
        <f t="shared" si="0"/>
        <v>0</v>
      </c>
      <c r="N26" s="73"/>
      <c r="O26" s="73"/>
      <c r="P26" s="74"/>
      <c r="Q26" s="73"/>
      <c r="R26" s="73"/>
      <c r="S26" s="73"/>
      <c r="T26" s="86"/>
      <c r="V26" s="33"/>
    </row>
    <row r="27" spans="1:22">
      <c r="A27" s="51">
        <v>23</v>
      </c>
      <c r="B27" s="26">
        <v>1913289</v>
      </c>
      <c r="C27" s="52" t="s">
        <v>60</v>
      </c>
      <c r="D27" s="51" t="s">
        <v>34</v>
      </c>
      <c r="E27" s="53">
        <v>5575103.57</v>
      </c>
      <c r="F27" s="53"/>
      <c r="G27" s="53">
        <f>VLOOKUP(C:C,月付款明细!C:AE,29,0)</f>
        <v>1800000</v>
      </c>
      <c r="H27" s="53"/>
      <c r="I27" s="53">
        <f t="shared" si="1"/>
        <v>3775103.57</v>
      </c>
      <c r="J27" s="69">
        <v>2000000</v>
      </c>
      <c r="K27" s="70"/>
      <c r="L27" s="71"/>
      <c r="M27" s="72">
        <f t="shared" si="0"/>
        <v>0.529786789399264</v>
      </c>
      <c r="N27" s="73"/>
      <c r="O27" s="73"/>
      <c r="P27" s="74"/>
      <c r="Q27" s="73">
        <v>980241.06</v>
      </c>
      <c r="R27" s="73">
        <f>VLOOKUP(C:C,[1]Sheet1!$B$1:$E$65536,4,0)</f>
        <v>742891.63</v>
      </c>
      <c r="S27" s="73"/>
      <c r="T27" s="86"/>
      <c r="V27" s="33"/>
    </row>
    <row r="28" spans="1:22">
      <c r="A28" s="51">
        <v>24</v>
      </c>
      <c r="B28" s="26">
        <v>1913659</v>
      </c>
      <c r="C28" s="52" t="s">
        <v>61</v>
      </c>
      <c r="D28" s="51" t="s">
        <v>34</v>
      </c>
      <c r="E28" s="53"/>
      <c r="F28" s="53"/>
      <c r="G28" s="53">
        <f>VLOOKUP(C:C,月付款明细!C:AE,29,0)</f>
        <v>0</v>
      </c>
      <c r="H28" s="53"/>
      <c r="I28" s="53">
        <f t="shared" si="1"/>
        <v>0</v>
      </c>
      <c r="J28" s="69"/>
      <c r="K28" s="70"/>
      <c r="L28" s="71"/>
      <c r="M28" s="72" t="str">
        <f t="shared" si="0"/>
        <v/>
      </c>
      <c r="N28" s="73"/>
      <c r="O28" s="73"/>
      <c r="P28" s="74"/>
      <c r="Q28" s="73"/>
      <c r="R28" s="73"/>
      <c r="S28" s="73"/>
      <c r="T28" s="86"/>
      <c r="V28" s="33"/>
    </row>
    <row r="29" s="40" customFormat="1" spans="1:22">
      <c r="A29" s="51">
        <v>25</v>
      </c>
      <c r="B29" s="26">
        <v>1913665</v>
      </c>
      <c r="C29" s="52" t="s">
        <v>62</v>
      </c>
      <c r="D29" s="51"/>
      <c r="E29" s="53"/>
      <c r="F29" s="53">
        <v>340534.22</v>
      </c>
      <c r="G29" s="53">
        <v>0</v>
      </c>
      <c r="H29" s="53">
        <f>月付款明细!AE27</f>
        <v>100000</v>
      </c>
      <c r="I29" s="53">
        <f>F29-H29</f>
        <v>240534.22</v>
      </c>
      <c r="J29" s="69">
        <v>100000</v>
      </c>
      <c r="K29" s="70"/>
      <c r="L29" s="71"/>
      <c r="M29" s="72">
        <f t="shared" si="0"/>
        <v>0.415741261264198</v>
      </c>
      <c r="N29" s="73"/>
      <c r="O29" s="73"/>
      <c r="P29" s="74"/>
      <c r="Q29" s="73">
        <v>113556.4</v>
      </c>
      <c r="R29" s="73">
        <f>VLOOKUP(C:C,[1]Sheet1!$B$1:$E$65536,4,0)</f>
        <v>98536.7</v>
      </c>
      <c r="S29" s="73"/>
      <c r="T29" s="86"/>
      <c r="U29" s="87"/>
      <c r="V29" s="87"/>
    </row>
    <row r="30" spans="1:22">
      <c r="A30" s="51">
        <v>26</v>
      </c>
      <c r="B30" s="26">
        <v>1932313</v>
      </c>
      <c r="C30" s="52" t="s">
        <v>63</v>
      </c>
      <c r="D30" s="51" t="s">
        <v>34</v>
      </c>
      <c r="E30" s="53">
        <v>2686020.74</v>
      </c>
      <c r="F30" s="53"/>
      <c r="G30" s="53">
        <f>VLOOKUP(C:C,月付款明细!C:AE,29,0)</f>
        <v>1006000</v>
      </c>
      <c r="H30" s="53"/>
      <c r="I30" s="53">
        <f>E30-G30</f>
        <v>1680020.74</v>
      </c>
      <c r="J30" s="69">
        <v>300000</v>
      </c>
      <c r="K30" s="70"/>
      <c r="L30" s="71"/>
      <c r="M30" s="72">
        <f t="shared" si="0"/>
        <v>0.178569224091841</v>
      </c>
      <c r="N30" s="73"/>
      <c r="O30" s="79"/>
      <c r="P30" s="74"/>
      <c r="Q30" s="73">
        <v>378689.58</v>
      </c>
      <c r="R30" s="73">
        <f>VLOOKUP(C:C,[1]Sheet1!$B$1:$E$65536,4,0)</f>
        <v>532091.18</v>
      </c>
      <c r="S30" s="73"/>
      <c r="T30" s="86"/>
      <c r="V30" s="33"/>
    </row>
    <row r="31" spans="1:22">
      <c r="A31" s="51">
        <v>27</v>
      </c>
      <c r="B31" s="26">
        <v>1932347</v>
      </c>
      <c r="C31" s="52" t="s">
        <v>64</v>
      </c>
      <c r="D31" s="51" t="s">
        <v>34</v>
      </c>
      <c r="E31" s="53">
        <v>691380.1</v>
      </c>
      <c r="F31" s="53"/>
      <c r="G31" s="53">
        <f>VLOOKUP(C:C,月付款明细!C:AE,29,0)</f>
        <v>300000</v>
      </c>
      <c r="H31" s="53"/>
      <c r="I31" s="53">
        <f t="shared" ref="I31:I55" si="2">E31-G31</f>
        <v>391380.1</v>
      </c>
      <c r="J31" s="69">
        <v>100000</v>
      </c>
      <c r="K31" s="70"/>
      <c r="L31" s="71"/>
      <c r="M31" s="72">
        <f t="shared" si="0"/>
        <v>0.255506092415021</v>
      </c>
      <c r="N31" s="73"/>
      <c r="O31" s="73"/>
      <c r="P31" s="74"/>
      <c r="Q31" s="73">
        <v>117571.88</v>
      </c>
      <c r="R31" s="73">
        <f>VLOOKUP(C:C,[1]Sheet1!$B$1:$E$65536,4,0)</f>
        <v>177673.92</v>
      </c>
      <c r="S31" s="73"/>
      <c r="T31" s="86"/>
      <c r="V31" s="33"/>
    </row>
    <row r="32" spans="1:22">
      <c r="A32" s="51">
        <v>28</v>
      </c>
      <c r="B32" s="26">
        <v>1937004</v>
      </c>
      <c r="C32" s="52" t="s">
        <v>65</v>
      </c>
      <c r="D32" s="51" t="s">
        <v>34</v>
      </c>
      <c r="E32" s="53">
        <v>530</v>
      </c>
      <c r="F32" s="53"/>
      <c r="G32" s="53">
        <f>VLOOKUP(C:C,月付款明细!C:AE,29,0)</f>
        <v>0</v>
      </c>
      <c r="H32" s="53"/>
      <c r="I32" s="53">
        <f t="shared" si="2"/>
        <v>530</v>
      </c>
      <c r="J32" s="69"/>
      <c r="K32" s="70"/>
      <c r="L32" s="71"/>
      <c r="M32" s="72">
        <f t="shared" si="0"/>
        <v>0</v>
      </c>
      <c r="N32" s="73"/>
      <c r="O32" s="73"/>
      <c r="P32" s="74"/>
      <c r="Q32" s="73"/>
      <c r="R32" s="73"/>
      <c r="S32" s="73"/>
      <c r="T32" s="86"/>
      <c r="V32" s="33"/>
    </row>
    <row r="33" s="40" customFormat="1" spans="1:24">
      <c r="A33" s="51">
        <v>29</v>
      </c>
      <c r="B33" s="26">
        <v>1937012</v>
      </c>
      <c r="C33" s="52" t="s">
        <v>66</v>
      </c>
      <c r="D33" s="51" t="s">
        <v>34</v>
      </c>
      <c r="E33" s="53">
        <v>555482.23</v>
      </c>
      <c r="F33" s="54"/>
      <c r="G33" s="53">
        <f>VLOOKUP(C:C,月付款明细!C:AE,29,0)</f>
        <v>100000</v>
      </c>
      <c r="H33" s="54"/>
      <c r="I33" s="53">
        <f t="shared" si="2"/>
        <v>455482.23</v>
      </c>
      <c r="J33" s="69">
        <v>400000</v>
      </c>
      <c r="K33" s="75"/>
      <c r="L33" s="76"/>
      <c r="M33" s="72">
        <f t="shared" si="0"/>
        <v>0.878190132686406</v>
      </c>
      <c r="N33" s="77"/>
      <c r="O33" s="77"/>
      <c r="P33" s="80"/>
      <c r="Q33" s="73"/>
      <c r="R33" s="73">
        <f>VLOOKUP(C:C,[1]Sheet1!$B$1:$E$65536,4,0)</f>
        <v>250258.77</v>
      </c>
      <c r="S33" s="73"/>
      <c r="T33" s="85"/>
      <c r="U33" s="33"/>
      <c r="V33" s="33"/>
      <c r="W33"/>
      <c r="X33"/>
    </row>
    <row r="34" spans="1:22">
      <c r="A34" s="51">
        <v>30</v>
      </c>
      <c r="B34" s="26">
        <v>1937013</v>
      </c>
      <c r="C34" s="52" t="s">
        <v>67</v>
      </c>
      <c r="D34" s="51" t="s">
        <v>34</v>
      </c>
      <c r="E34" s="53">
        <v>116.5</v>
      </c>
      <c r="F34" s="53"/>
      <c r="G34" s="53">
        <f>VLOOKUP(C:C,月付款明细!C:AE,29,0)</f>
        <v>0</v>
      </c>
      <c r="H34" s="53"/>
      <c r="I34" s="53">
        <f t="shared" si="2"/>
        <v>116.5</v>
      </c>
      <c r="J34" s="69"/>
      <c r="K34" s="70"/>
      <c r="L34" s="71"/>
      <c r="M34" s="72">
        <f t="shared" si="0"/>
        <v>0</v>
      </c>
      <c r="N34" s="73"/>
      <c r="O34" s="73"/>
      <c r="P34" s="74"/>
      <c r="Q34" s="73"/>
      <c r="R34" s="73"/>
      <c r="S34" s="73"/>
      <c r="T34" s="86"/>
      <c r="V34" s="33"/>
    </row>
    <row r="35" s="40" customFormat="1" spans="1:24">
      <c r="A35" s="51">
        <v>31</v>
      </c>
      <c r="B35" s="26">
        <v>1937015</v>
      </c>
      <c r="C35" s="52" t="s">
        <v>68</v>
      </c>
      <c r="D35" s="51" t="s">
        <v>34</v>
      </c>
      <c r="E35" s="53">
        <v>76596.58</v>
      </c>
      <c r="F35" s="53"/>
      <c r="G35" s="53">
        <f>VLOOKUP(C:C,月付款明细!C:AE,29,0)</f>
        <v>0</v>
      </c>
      <c r="H35" s="53"/>
      <c r="I35" s="53">
        <f t="shared" si="2"/>
        <v>76596.58</v>
      </c>
      <c r="J35" s="69"/>
      <c r="K35" s="70"/>
      <c r="L35" s="71"/>
      <c r="M35" s="72">
        <f t="shared" si="0"/>
        <v>0</v>
      </c>
      <c r="N35" s="73"/>
      <c r="O35" s="73"/>
      <c r="P35" s="74"/>
      <c r="Q35" s="73">
        <v>13028.42</v>
      </c>
      <c r="R35" s="73">
        <f>VLOOKUP(C:C,[1]Sheet1!$B$1:$E$65536,4,0)</f>
        <v>1550.59</v>
      </c>
      <c r="S35" s="73"/>
      <c r="T35" s="86"/>
      <c r="U35" s="33"/>
      <c r="V35" s="33"/>
      <c r="W35"/>
      <c r="X35"/>
    </row>
    <row r="36" s="40" customFormat="1" spans="1:24">
      <c r="A36" s="51">
        <v>32</v>
      </c>
      <c r="B36" s="26" t="s">
        <v>69</v>
      </c>
      <c r="C36" s="52" t="s">
        <v>70</v>
      </c>
      <c r="D36" s="51"/>
      <c r="E36" s="53"/>
      <c r="F36" s="53">
        <v>0</v>
      </c>
      <c r="G36" s="53">
        <f>VLOOKUP(C:C,月付款明细!C:AE,29,0)</f>
        <v>0</v>
      </c>
      <c r="H36" s="53">
        <v>0</v>
      </c>
      <c r="I36" s="53">
        <f t="shared" si="2"/>
        <v>0</v>
      </c>
      <c r="J36" s="69"/>
      <c r="K36" s="70"/>
      <c r="L36" s="71"/>
      <c r="M36" s="72" t="str">
        <f t="shared" si="0"/>
        <v/>
      </c>
      <c r="N36" s="73"/>
      <c r="O36" s="73"/>
      <c r="P36" s="74"/>
      <c r="Q36" s="73"/>
      <c r="R36" s="73">
        <f>VLOOKUP(C:C,[1]Sheet1!$B$1:$E$65536,4,0)</f>
        <v>52000</v>
      </c>
      <c r="S36" s="73"/>
      <c r="T36" s="86"/>
      <c r="U36" s="33"/>
      <c r="V36" s="33"/>
      <c r="W36"/>
      <c r="X36"/>
    </row>
    <row r="37" s="40" customFormat="1" spans="1:24">
      <c r="A37" s="51">
        <v>33</v>
      </c>
      <c r="B37" s="26">
        <v>1937320</v>
      </c>
      <c r="C37" s="52" t="s">
        <v>71</v>
      </c>
      <c r="D37" s="51" t="s">
        <v>34</v>
      </c>
      <c r="E37" s="53">
        <v>1316564.81</v>
      </c>
      <c r="F37" s="54"/>
      <c r="G37" s="53">
        <f>VLOOKUP(C:C,月付款明细!C:AE,29,0)</f>
        <v>600000</v>
      </c>
      <c r="H37" s="54"/>
      <c r="I37" s="53">
        <f t="shared" si="2"/>
        <v>716564.81</v>
      </c>
      <c r="J37" s="69">
        <v>300000</v>
      </c>
      <c r="K37" s="75"/>
      <c r="L37" s="76"/>
      <c r="M37" s="72">
        <f t="shared" si="0"/>
        <v>0.418664154049094</v>
      </c>
      <c r="N37" s="77"/>
      <c r="O37" s="77"/>
      <c r="P37" s="77"/>
      <c r="Q37" s="73">
        <v>425964.8</v>
      </c>
      <c r="R37" s="73">
        <f>VLOOKUP(C:C,[1]Sheet1!$B$1:$E$65536,4,0)</f>
        <v>532456</v>
      </c>
      <c r="S37" s="73"/>
      <c r="T37" s="85"/>
      <c r="U37" s="33"/>
      <c r="V37" s="33"/>
      <c r="W37"/>
      <c r="X37"/>
    </row>
    <row r="38" s="40" customFormat="1" spans="1:24">
      <c r="A38" s="51">
        <v>34</v>
      </c>
      <c r="B38" s="26">
        <v>1937338</v>
      </c>
      <c r="C38" s="52" t="s">
        <v>72</v>
      </c>
      <c r="D38" s="51" t="s">
        <v>34</v>
      </c>
      <c r="E38" s="53">
        <v>62120.95</v>
      </c>
      <c r="F38" s="53"/>
      <c r="G38" s="53">
        <f>VLOOKUP(C:C,月付款明细!C:AE,29,0)</f>
        <v>0</v>
      </c>
      <c r="H38" s="53"/>
      <c r="I38" s="53">
        <f t="shared" si="2"/>
        <v>62120.95</v>
      </c>
      <c r="J38" s="69"/>
      <c r="K38" s="70"/>
      <c r="L38" s="71"/>
      <c r="M38" s="72">
        <f t="shared" si="0"/>
        <v>0</v>
      </c>
      <c r="N38" s="73"/>
      <c r="O38" s="73"/>
      <c r="P38" s="74"/>
      <c r="Q38" s="73"/>
      <c r="R38" s="73"/>
      <c r="S38" s="73"/>
      <c r="T38" s="86"/>
      <c r="U38" s="33"/>
      <c r="V38" s="33"/>
      <c r="W38"/>
      <c r="X38"/>
    </row>
    <row r="39" s="40" customFormat="1" spans="1:24">
      <c r="A39" s="51">
        <v>35</v>
      </c>
      <c r="B39" s="26">
        <v>1942576</v>
      </c>
      <c r="C39" s="52" t="s">
        <v>73</v>
      </c>
      <c r="D39" s="51" t="s">
        <v>34</v>
      </c>
      <c r="E39" s="53">
        <v>70491</v>
      </c>
      <c r="F39" s="53"/>
      <c r="G39" s="53">
        <f>VLOOKUP(C:C,月付款明细!C:AE,29,0)</f>
        <v>0</v>
      </c>
      <c r="H39" s="53"/>
      <c r="I39" s="53">
        <f t="shared" si="2"/>
        <v>70491</v>
      </c>
      <c r="J39" s="69">
        <v>20000</v>
      </c>
      <c r="K39" s="70"/>
      <c r="L39" s="71"/>
      <c r="M39" s="72">
        <f t="shared" si="0"/>
        <v>0.283724163368373</v>
      </c>
      <c r="N39" s="73"/>
      <c r="O39" s="73"/>
      <c r="P39" s="74"/>
      <c r="Q39" s="73"/>
      <c r="R39" s="73"/>
      <c r="S39" s="73"/>
      <c r="T39" s="86"/>
      <c r="U39" s="33"/>
      <c r="V39" s="33"/>
      <c r="W39"/>
      <c r="X39"/>
    </row>
    <row r="40" s="40" customFormat="1" spans="1:24">
      <c r="A40" s="51">
        <v>36</v>
      </c>
      <c r="B40" s="26" t="s">
        <v>74</v>
      </c>
      <c r="C40" s="52" t="s">
        <v>75</v>
      </c>
      <c r="D40" s="51" t="s">
        <v>34</v>
      </c>
      <c r="E40" s="53">
        <v>21444.12</v>
      </c>
      <c r="F40" s="53"/>
      <c r="G40" s="53">
        <f>VLOOKUP(C:C,月付款明细!C:AE,29,0)</f>
        <v>0</v>
      </c>
      <c r="H40" s="53"/>
      <c r="I40" s="53">
        <f t="shared" si="2"/>
        <v>21444.12</v>
      </c>
      <c r="J40" s="69"/>
      <c r="K40" s="70"/>
      <c r="L40" s="71"/>
      <c r="M40" s="72">
        <f t="shared" si="0"/>
        <v>0</v>
      </c>
      <c r="N40" s="73"/>
      <c r="O40" s="73"/>
      <c r="P40" s="74"/>
      <c r="Q40" s="73"/>
      <c r="R40" s="73"/>
      <c r="S40" s="73"/>
      <c r="T40" s="86"/>
      <c r="U40" s="33"/>
      <c r="V40" s="33"/>
      <c r="W40"/>
      <c r="X40"/>
    </row>
    <row r="41" s="40" customFormat="1" spans="1:24">
      <c r="A41" s="51">
        <v>37</v>
      </c>
      <c r="B41" s="26" t="s">
        <v>76</v>
      </c>
      <c r="C41" s="52" t="s">
        <v>77</v>
      </c>
      <c r="D41" s="51" t="s">
        <v>34</v>
      </c>
      <c r="E41" s="53">
        <v>39827</v>
      </c>
      <c r="F41" s="53"/>
      <c r="G41" s="53">
        <f>VLOOKUP(C:C,月付款明细!C:AE,29,0)</f>
        <v>0</v>
      </c>
      <c r="H41" s="53"/>
      <c r="I41" s="53">
        <f t="shared" si="2"/>
        <v>39827</v>
      </c>
      <c r="J41" s="69"/>
      <c r="K41" s="70"/>
      <c r="L41" s="71"/>
      <c r="M41" s="72">
        <f t="shared" si="0"/>
        <v>0</v>
      </c>
      <c r="N41" s="73"/>
      <c r="O41" s="73"/>
      <c r="P41" s="73"/>
      <c r="Q41" s="73"/>
      <c r="R41" s="73"/>
      <c r="S41" s="73"/>
      <c r="T41" s="86"/>
      <c r="U41" s="33"/>
      <c r="V41" s="33"/>
      <c r="W41"/>
      <c r="X41"/>
    </row>
    <row r="42" s="40" customFormat="1" spans="1:24">
      <c r="A42" s="51">
        <v>38</v>
      </c>
      <c r="B42" s="26">
        <v>1913010</v>
      </c>
      <c r="C42" s="52" t="s">
        <v>78</v>
      </c>
      <c r="D42" s="51" t="s">
        <v>34</v>
      </c>
      <c r="E42" s="53">
        <v>2115.17</v>
      </c>
      <c r="F42" s="53"/>
      <c r="G42" s="53">
        <f>VLOOKUP(C:C,月付款明细!C:AE,29,0)</f>
        <v>0</v>
      </c>
      <c r="H42" s="53"/>
      <c r="I42" s="53">
        <f t="shared" si="2"/>
        <v>2115.17</v>
      </c>
      <c r="J42" s="69"/>
      <c r="K42" s="70"/>
      <c r="L42" s="71"/>
      <c r="M42" s="72">
        <f t="shared" si="0"/>
        <v>0</v>
      </c>
      <c r="N42" s="73"/>
      <c r="O42" s="73"/>
      <c r="P42" s="73"/>
      <c r="Q42" s="73"/>
      <c r="R42" s="73"/>
      <c r="S42" s="73"/>
      <c r="T42" s="86"/>
      <c r="U42" s="33"/>
      <c r="V42" s="33"/>
      <c r="W42"/>
      <c r="X42"/>
    </row>
    <row r="43" s="40" customFormat="1" spans="1:24">
      <c r="A43" s="51">
        <v>39</v>
      </c>
      <c r="B43" s="26">
        <v>1911101</v>
      </c>
      <c r="C43" s="55" t="s">
        <v>79</v>
      </c>
      <c r="D43" s="51" t="s">
        <v>34</v>
      </c>
      <c r="E43" s="53">
        <v>70.8</v>
      </c>
      <c r="F43" s="53"/>
      <c r="G43" s="53">
        <f>VLOOKUP(C:C,月付款明细!C:AE,29,0)</f>
        <v>0</v>
      </c>
      <c r="H43" s="53"/>
      <c r="I43" s="53">
        <f t="shared" si="2"/>
        <v>70.8</v>
      </c>
      <c r="J43" s="69"/>
      <c r="K43" s="70"/>
      <c r="L43" s="71"/>
      <c r="M43" s="72">
        <f t="shared" si="0"/>
        <v>0</v>
      </c>
      <c r="N43" s="73"/>
      <c r="O43" s="73"/>
      <c r="P43" s="73"/>
      <c r="Q43" s="73"/>
      <c r="R43" s="73"/>
      <c r="S43" s="73"/>
      <c r="T43" s="86"/>
      <c r="U43" s="33"/>
      <c r="V43" s="33"/>
      <c r="W43"/>
      <c r="X43"/>
    </row>
    <row r="44" s="40" customFormat="1" spans="1:24">
      <c r="A44" s="51">
        <v>40</v>
      </c>
      <c r="B44" s="26">
        <v>1913717</v>
      </c>
      <c r="C44" s="55" t="s">
        <v>80</v>
      </c>
      <c r="D44" s="51" t="s">
        <v>34</v>
      </c>
      <c r="E44" s="53">
        <v>35713.36</v>
      </c>
      <c r="F44" s="53"/>
      <c r="G44" s="53">
        <f>VLOOKUP(C:C,月付款明细!C:AE,29,0)</f>
        <v>0</v>
      </c>
      <c r="H44" s="53"/>
      <c r="I44" s="53">
        <f t="shared" si="2"/>
        <v>35713.36</v>
      </c>
      <c r="J44" s="69"/>
      <c r="K44" s="70"/>
      <c r="L44" s="71"/>
      <c r="M44" s="72">
        <f t="shared" si="0"/>
        <v>0</v>
      </c>
      <c r="N44" s="73"/>
      <c r="O44" s="73"/>
      <c r="P44" s="73"/>
      <c r="Q44" s="73"/>
      <c r="R44" s="73"/>
      <c r="S44" s="73"/>
      <c r="T44" s="86"/>
      <c r="U44" s="33"/>
      <c r="V44" s="33"/>
      <c r="W44"/>
      <c r="X44"/>
    </row>
    <row r="45" s="40" customFormat="1" spans="1:24">
      <c r="A45" s="51">
        <v>41</v>
      </c>
      <c r="B45" s="26">
        <v>1937002</v>
      </c>
      <c r="C45" s="55" t="s">
        <v>81</v>
      </c>
      <c r="D45" s="51" t="s">
        <v>34</v>
      </c>
      <c r="E45" s="53"/>
      <c r="F45" s="53"/>
      <c r="G45" s="53">
        <f>VLOOKUP(C:C,月付款明细!C:AE,29,0)</f>
        <v>0</v>
      </c>
      <c r="H45" s="53"/>
      <c r="I45" s="53">
        <f t="shared" si="2"/>
        <v>0</v>
      </c>
      <c r="J45" s="69"/>
      <c r="K45" s="70"/>
      <c r="L45" s="71"/>
      <c r="M45" s="72" t="str">
        <f t="shared" si="0"/>
        <v/>
      </c>
      <c r="N45" s="73"/>
      <c r="O45" s="73"/>
      <c r="P45" s="73"/>
      <c r="Q45" s="73"/>
      <c r="R45" s="73"/>
      <c r="S45" s="73"/>
      <c r="T45" s="86"/>
      <c r="U45" s="33"/>
      <c r="V45" s="33"/>
      <c r="W45"/>
      <c r="X45"/>
    </row>
    <row r="46" s="40" customFormat="1" spans="1:24">
      <c r="A46" s="51">
        <v>42</v>
      </c>
      <c r="B46" s="26" t="s">
        <v>82</v>
      </c>
      <c r="C46" s="55" t="s">
        <v>83</v>
      </c>
      <c r="D46" s="51" t="s">
        <v>34</v>
      </c>
      <c r="E46" s="53">
        <v>47900</v>
      </c>
      <c r="F46" s="53"/>
      <c r="G46" s="53">
        <f>VLOOKUP(C:C,月付款明细!C:AE,29,0)</f>
        <v>0</v>
      </c>
      <c r="H46" s="53"/>
      <c r="I46" s="53">
        <f t="shared" si="2"/>
        <v>47900</v>
      </c>
      <c r="J46" s="69"/>
      <c r="K46" s="70"/>
      <c r="L46" s="71"/>
      <c r="M46" s="72">
        <f t="shared" si="0"/>
        <v>0</v>
      </c>
      <c r="N46" s="73"/>
      <c r="O46" s="73"/>
      <c r="P46" s="73"/>
      <c r="Q46" s="73"/>
      <c r="R46" s="73"/>
      <c r="S46" s="73"/>
      <c r="T46" s="86"/>
      <c r="U46" s="33"/>
      <c r="V46" s="33"/>
      <c r="W46"/>
      <c r="X46"/>
    </row>
    <row r="47" s="40" customFormat="1" spans="1:24">
      <c r="A47" s="51">
        <v>43</v>
      </c>
      <c r="B47" s="26" t="s">
        <v>84</v>
      </c>
      <c r="C47" s="55" t="s">
        <v>85</v>
      </c>
      <c r="D47" s="51" t="s">
        <v>34</v>
      </c>
      <c r="E47" s="53">
        <v>88420</v>
      </c>
      <c r="F47" s="53"/>
      <c r="G47" s="53">
        <f>VLOOKUP(C:C,月付款明细!C:AE,29,0)</f>
        <v>0</v>
      </c>
      <c r="H47" s="53"/>
      <c r="I47" s="53">
        <f t="shared" si="2"/>
        <v>88420</v>
      </c>
      <c r="J47" s="69"/>
      <c r="K47" s="70"/>
      <c r="L47" s="71"/>
      <c r="M47" s="72">
        <f t="shared" si="0"/>
        <v>0</v>
      </c>
      <c r="N47" s="73"/>
      <c r="O47" s="73"/>
      <c r="P47" s="73"/>
      <c r="Q47" s="73"/>
      <c r="R47" s="73"/>
      <c r="S47" s="73"/>
      <c r="T47" s="86"/>
      <c r="U47" s="33"/>
      <c r="V47" s="33"/>
      <c r="W47"/>
      <c r="X47"/>
    </row>
    <row r="48" spans="1:22">
      <c r="A48" s="51">
        <v>45</v>
      </c>
      <c r="B48" s="26" t="s">
        <v>86</v>
      </c>
      <c r="C48" s="55" t="s">
        <v>87</v>
      </c>
      <c r="D48" s="51" t="s">
        <v>34</v>
      </c>
      <c r="E48" s="53">
        <v>1050</v>
      </c>
      <c r="F48" s="53"/>
      <c r="G48" s="53">
        <f>VLOOKUP(C:C,月付款明细!C:AE,29,0)</f>
        <v>0</v>
      </c>
      <c r="H48" s="53"/>
      <c r="I48" s="53">
        <f t="shared" si="2"/>
        <v>1050</v>
      </c>
      <c r="J48" s="69"/>
      <c r="K48" s="70"/>
      <c r="L48" s="71"/>
      <c r="M48" s="72">
        <f t="shared" si="0"/>
        <v>0</v>
      </c>
      <c r="N48" s="73"/>
      <c r="O48" s="73"/>
      <c r="P48" s="73"/>
      <c r="Q48" s="73"/>
      <c r="R48" s="73"/>
      <c r="S48" s="73"/>
      <c r="T48" s="86"/>
      <c r="V48" s="33"/>
    </row>
    <row r="49" spans="1:22">
      <c r="A49" s="51">
        <v>46</v>
      </c>
      <c r="B49" s="26" t="s">
        <v>88</v>
      </c>
      <c r="C49" s="55" t="s">
        <v>89</v>
      </c>
      <c r="D49" s="51" t="s">
        <v>34</v>
      </c>
      <c r="E49" s="53">
        <v>8615.38</v>
      </c>
      <c r="F49" s="53"/>
      <c r="G49" s="53">
        <f>VLOOKUP(C:C,月付款明细!C:AE,29,0)</f>
        <v>0</v>
      </c>
      <c r="H49" s="53"/>
      <c r="I49" s="53">
        <f t="shared" si="2"/>
        <v>8615.38</v>
      </c>
      <c r="J49" s="69"/>
      <c r="K49" s="70"/>
      <c r="L49" s="71"/>
      <c r="M49" s="72">
        <f t="shared" si="0"/>
        <v>0</v>
      </c>
      <c r="N49" s="73"/>
      <c r="O49" s="73"/>
      <c r="P49" s="73"/>
      <c r="Q49" s="73"/>
      <c r="R49" s="73"/>
      <c r="S49" s="73"/>
      <c r="T49" s="86"/>
      <c r="V49" s="33"/>
    </row>
    <row r="50" spans="1:22">
      <c r="A50" s="51">
        <v>47</v>
      </c>
      <c r="B50" s="26" t="s">
        <v>90</v>
      </c>
      <c r="C50" s="55" t="s">
        <v>91</v>
      </c>
      <c r="D50" s="51" t="s">
        <v>34</v>
      </c>
      <c r="E50" s="53">
        <v>11063.25</v>
      </c>
      <c r="F50" s="53"/>
      <c r="G50" s="53">
        <f>VLOOKUP(C:C,月付款明细!C:AE,29,0)</f>
        <v>0</v>
      </c>
      <c r="H50" s="53"/>
      <c r="I50" s="53">
        <f t="shared" si="2"/>
        <v>11063.25</v>
      </c>
      <c r="J50" s="69"/>
      <c r="K50" s="70"/>
      <c r="L50" s="71"/>
      <c r="M50" s="72">
        <f t="shared" si="0"/>
        <v>0</v>
      </c>
      <c r="N50" s="73"/>
      <c r="O50" s="73"/>
      <c r="P50" s="73"/>
      <c r="Q50" s="73"/>
      <c r="R50" s="73"/>
      <c r="S50" s="73"/>
      <c r="T50" s="86"/>
      <c r="V50" s="33"/>
    </row>
    <row r="51" spans="1:22">
      <c r="A51" s="51">
        <v>48</v>
      </c>
      <c r="B51" s="26" t="s">
        <v>92</v>
      </c>
      <c r="C51" s="55" t="s">
        <v>93</v>
      </c>
      <c r="D51" s="51" t="s">
        <v>34</v>
      </c>
      <c r="E51" s="53">
        <v>2200</v>
      </c>
      <c r="F51" s="53"/>
      <c r="G51" s="53">
        <f>VLOOKUP(C:C,月付款明细!C:AE,29,0)</f>
        <v>0</v>
      </c>
      <c r="H51" s="53"/>
      <c r="I51" s="53">
        <f t="shared" si="2"/>
        <v>2200</v>
      </c>
      <c r="J51" s="69"/>
      <c r="K51" s="70"/>
      <c r="L51" s="71"/>
      <c r="M51" s="72">
        <f t="shared" si="0"/>
        <v>0</v>
      </c>
      <c r="N51" s="73"/>
      <c r="O51" s="73"/>
      <c r="P51" s="73"/>
      <c r="Q51" s="73"/>
      <c r="R51" s="73"/>
      <c r="S51" s="73"/>
      <c r="T51" s="86"/>
      <c r="V51" s="33"/>
    </row>
    <row r="52" spans="1:22">
      <c r="A52" s="51">
        <v>49</v>
      </c>
      <c r="B52" s="26" t="s">
        <v>94</v>
      </c>
      <c r="C52" s="56" t="s">
        <v>95</v>
      </c>
      <c r="D52" s="51" t="s">
        <v>34</v>
      </c>
      <c r="E52" s="53">
        <v>294090.72</v>
      </c>
      <c r="F52" s="53"/>
      <c r="G52" s="53">
        <f>VLOOKUP(C:C,月付款明细!C:AE,29,0)</f>
        <v>0</v>
      </c>
      <c r="H52" s="53"/>
      <c r="I52" s="53">
        <f t="shared" si="2"/>
        <v>294090.72</v>
      </c>
      <c r="J52" s="69"/>
      <c r="K52" s="70"/>
      <c r="L52" s="71"/>
      <c r="M52" s="72">
        <f t="shared" si="0"/>
        <v>0</v>
      </c>
      <c r="N52" s="73"/>
      <c r="O52" s="73"/>
      <c r="P52" s="73"/>
      <c r="Q52" s="73"/>
      <c r="R52" s="73">
        <f>VLOOKUP(C:C,[1]Sheet1!$B$1:$E$65536,4,0)</f>
        <v>12400</v>
      </c>
      <c r="S52" s="73"/>
      <c r="T52" s="86"/>
      <c r="V52" s="33"/>
    </row>
    <row r="53" spans="1:22">
      <c r="A53" s="51">
        <v>50</v>
      </c>
      <c r="B53" s="26" t="s">
        <v>96</v>
      </c>
      <c r="C53" s="26" t="s">
        <v>97</v>
      </c>
      <c r="D53" s="51" t="s">
        <v>34</v>
      </c>
      <c r="E53" s="53">
        <v>91706.48</v>
      </c>
      <c r="F53" s="53"/>
      <c r="G53" s="53">
        <f>VLOOKUP(C:C,月付款明细!C:AE,29,0)</f>
        <v>20000</v>
      </c>
      <c r="H53" s="53"/>
      <c r="I53" s="53">
        <f t="shared" si="2"/>
        <v>71706.48</v>
      </c>
      <c r="J53" s="69"/>
      <c r="K53" s="70"/>
      <c r="L53" s="71"/>
      <c r="M53" s="72">
        <f t="shared" si="0"/>
        <v>0</v>
      </c>
      <c r="N53" s="73"/>
      <c r="O53" s="73"/>
      <c r="P53" s="73"/>
      <c r="Q53" s="73"/>
      <c r="R53" s="73"/>
      <c r="S53" s="73"/>
      <c r="T53" s="86"/>
      <c r="V53" s="33"/>
    </row>
    <row r="54" spans="1:22">
      <c r="A54" s="51">
        <v>51</v>
      </c>
      <c r="B54" s="27" t="s">
        <v>98</v>
      </c>
      <c r="C54" s="27" t="s">
        <v>99</v>
      </c>
      <c r="D54" s="51" t="s">
        <v>34</v>
      </c>
      <c r="E54" s="53"/>
      <c r="F54" s="53"/>
      <c r="G54" s="53">
        <f>VLOOKUP(C:C,月付款明细!C:AE,29,0)</f>
        <v>0</v>
      </c>
      <c r="H54" s="53"/>
      <c r="I54" s="53">
        <f t="shared" si="2"/>
        <v>0</v>
      </c>
      <c r="J54" s="69"/>
      <c r="K54" s="70"/>
      <c r="L54" s="71"/>
      <c r="M54" s="72"/>
      <c r="N54" s="73"/>
      <c r="O54" s="73"/>
      <c r="P54" s="73"/>
      <c r="Q54" s="73"/>
      <c r="R54" s="73">
        <f>VLOOKUP(C:C,[1]Sheet1!$B$1:$E$65536,4,0)</f>
        <v>89194.36</v>
      </c>
      <c r="S54" s="73"/>
      <c r="T54" s="86"/>
      <c r="V54" s="33"/>
    </row>
    <row r="55" spans="1:22">
      <c r="A55" s="51">
        <v>52</v>
      </c>
      <c r="B55" s="26" t="s">
        <v>100</v>
      </c>
      <c r="C55" s="26" t="s">
        <v>101</v>
      </c>
      <c r="D55" s="57"/>
      <c r="E55" s="53"/>
      <c r="F55" s="53"/>
      <c r="G55" s="53">
        <f>VLOOKUP(C:C,月付款明细!C:AE,29,0)</f>
        <v>0</v>
      </c>
      <c r="H55" s="53"/>
      <c r="I55" s="53">
        <f t="shared" si="2"/>
        <v>0</v>
      </c>
      <c r="J55" s="69"/>
      <c r="K55" s="70"/>
      <c r="L55" s="71"/>
      <c r="M55" s="72" t="str">
        <f>IFERROR(J55/I55,"")</f>
        <v/>
      </c>
      <c r="N55" s="73"/>
      <c r="O55" s="73"/>
      <c r="P55" s="73"/>
      <c r="Q55" s="73"/>
      <c r="R55" s="73"/>
      <c r="S55" s="73"/>
      <c r="T55" s="86"/>
      <c r="V55" s="33"/>
    </row>
    <row r="56" spans="1:22">
      <c r="A56" s="51"/>
      <c r="B56" s="51"/>
      <c r="C56" s="58" t="s">
        <v>102</v>
      </c>
      <c r="D56" s="57"/>
      <c r="E56" s="59">
        <f>SUM(E5:E55)</f>
        <v>24074787.88</v>
      </c>
      <c r="F56" s="59">
        <f t="shared" ref="F56:L56" si="3">SUM(F5:F55)</f>
        <v>340534.22</v>
      </c>
      <c r="G56" s="60">
        <f t="shared" si="3"/>
        <v>8150098.41</v>
      </c>
      <c r="H56" s="59">
        <f t="shared" si="3"/>
        <v>100000</v>
      </c>
      <c r="I56" s="59">
        <f t="shared" si="3"/>
        <v>16165223.69</v>
      </c>
      <c r="J56" s="59">
        <f t="shared" si="3"/>
        <v>4720000</v>
      </c>
      <c r="K56" s="59">
        <f t="shared" si="3"/>
        <v>0</v>
      </c>
      <c r="L56" s="59">
        <f t="shared" si="3"/>
        <v>0</v>
      </c>
      <c r="M56" s="72">
        <f>J56/I56</f>
        <v>0.291984824368366</v>
      </c>
      <c r="N56" s="73"/>
      <c r="O56" s="73"/>
      <c r="P56" s="73"/>
      <c r="Q56" s="73">
        <f>SUM(Q5:Q55)</f>
        <v>4225300.85</v>
      </c>
      <c r="R56" s="73">
        <f>SUM(R5:R55)</f>
        <v>4581587.43</v>
      </c>
      <c r="S56" s="73"/>
      <c r="T56" s="86"/>
      <c r="V56" s="33"/>
    </row>
    <row r="57" spans="1:22">
      <c r="A57" s="61" t="s">
        <v>103</v>
      </c>
      <c r="B57" s="61"/>
      <c r="C57" s="61"/>
      <c r="D57" s="61"/>
      <c r="E57" s="62"/>
      <c r="F57" s="62"/>
      <c r="G57" s="62"/>
      <c r="H57" s="62"/>
      <c r="I57" s="62"/>
      <c r="J57" s="61"/>
      <c r="K57" s="81"/>
      <c r="L57" s="61"/>
      <c r="M57" s="61"/>
      <c r="N57" s="82"/>
      <c r="O57" s="83"/>
      <c r="P57" s="83"/>
      <c r="Q57" s="88"/>
      <c r="R57" s="88"/>
      <c r="S57" s="88"/>
      <c r="T57" s="61"/>
      <c r="V57" s="33"/>
    </row>
    <row r="62" spans="9:9">
      <c r="I62" s="84"/>
    </row>
    <row r="63" spans="5:5">
      <c r="E63" s="33"/>
    </row>
  </sheetData>
  <autoFilter ref="A3:T57">
    <extLst/>
  </autoFilter>
  <mergeCells count="9">
    <mergeCell ref="A1:T1"/>
    <mergeCell ref="N3:P3"/>
    <mergeCell ref="Q3:R3"/>
    <mergeCell ref="C56:D56"/>
    <mergeCell ref="A3:A4"/>
    <mergeCell ref="B3:B4"/>
    <mergeCell ref="C3:C4"/>
    <mergeCell ref="D3:D4"/>
    <mergeCell ref="T3:T4"/>
  </mergeCells>
  <conditionalFormatting sqref="C41">
    <cfRule type="duplicateValues" dxfId="0" priority="1"/>
  </conditionalFormatting>
  <conditionalFormatting sqref="C5:C6">
    <cfRule type="duplicateValues" dxfId="0" priority="3"/>
  </conditionalFormatting>
  <conditionalFormatting sqref="C7:C40 C42:C51">
    <cfRule type="duplicateValues" dxfId="0" priority="2"/>
  </conditionalFormatting>
  <pageMargins left="0.275" right="0" top="0.393055555555556" bottom="0" header="0.0777777777777778" footer="0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1"/>
  <sheetViews>
    <sheetView workbookViewId="0">
      <pane xSplit="3" ySplit="2" topLeftCell="D32" activePane="bottomRight" state="frozenSplit"/>
      <selection/>
      <selection pane="topRight"/>
      <selection pane="bottomLeft"/>
      <selection pane="bottomRight" activeCell="AG53" sqref="AG53"/>
    </sheetView>
  </sheetViews>
  <sheetFormatPr defaultColWidth="9" defaultRowHeight="13.5"/>
  <cols>
    <col min="1" max="1" width="5.625" customWidth="1"/>
    <col min="2" max="2" width="12.5" customWidth="1"/>
    <col min="3" max="3" width="24.625" customWidth="1"/>
    <col min="4" max="6" width="9" hidden="1" customWidth="1"/>
    <col min="7" max="7" width="11.625" style="10" hidden="1" customWidth="1"/>
    <col min="8" max="15" width="9" style="10" hidden="1" customWidth="1"/>
    <col min="16" max="16" width="10.375" hidden="1" customWidth="1"/>
    <col min="17" max="18" width="9" hidden="1" customWidth="1"/>
    <col min="19" max="19" width="12" hidden="1" customWidth="1"/>
    <col min="20" max="20" width="10.375" hidden="1" customWidth="1"/>
    <col min="21" max="21" width="9" hidden="1" customWidth="1"/>
    <col min="22" max="22" width="12" customWidth="1"/>
    <col min="23" max="23" width="11.625" customWidth="1"/>
    <col min="31" max="31" width="11.5"/>
  </cols>
  <sheetData>
    <row r="1" spans="1:18">
      <c r="A1" s="11" t="s">
        <v>3</v>
      </c>
      <c r="B1" s="11" t="s">
        <v>4</v>
      </c>
      <c r="C1" s="11" t="s">
        <v>5</v>
      </c>
      <c r="D1" s="12" t="s">
        <v>104</v>
      </c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3"/>
      <c r="Q1" s="13"/>
      <c r="R1" s="13"/>
    </row>
    <row r="2" ht="14.25" spans="1:30">
      <c r="A2" s="11"/>
      <c r="B2" s="11"/>
      <c r="C2" s="11"/>
      <c r="D2" s="15" t="s">
        <v>105</v>
      </c>
      <c r="E2" s="16" t="s">
        <v>106</v>
      </c>
      <c r="F2" s="15" t="s">
        <v>107</v>
      </c>
      <c r="G2" s="17" t="s">
        <v>108</v>
      </c>
      <c r="H2" s="18" t="s">
        <v>109</v>
      </c>
      <c r="I2" s="17" t="s">
        <v>110</v>
      </c>
      <c r="J2" s="17" t="s">
        <v>111</v>
      </c>
      <c r="K2" s="18" t="s">
        <v>112</v>
      </c>
      <c r="L2" s="17" t="s">
        <v>113</v>
      </c>
      <c r="M2" s="17" t="s">
        <v>114</v>
      </c>
      <c r="N2" s="18" t="s">
        <v>115</v>
      </c>
      <c r="O2" s="17" t="s">
        <v>116</v>
      </c>
      <c r="P2" s="17" t="s">
        <v>117</v>
      </c>
      <c r="Q2" s="18" t="s">
        <v>118</v>
      </c>
      <c r="R2" s="17" t="s">
        <v>119</v>
      </c>
      <c r="S2" s="17" t="s">
        <v>120</v>
      </c>
      <c r="T2" s="18" t="s">
        <v>121</v>
      </c>
      <c r="U2" s="17" t="s">
        <v>122</v>
      </c>
      <c r="V2" s="17" t="s">
        <v>123</v>
      </c>
      <c r="W2" s="18" t="s">
        <v>124</v>
      </c>
      <c r="X2" s="17" t="s">
        <v>125</v>
      </c>
      <c r="Y2" s="17" t="s">
        <v>126</v>
      </c>
      <c r="Z2" s="18" t="s">
        <v>127</v>
      </c>
      <c r="AA2" s="17" t="s">
        <v>128</v>
      </c>
      <c r="AB2" s="17" t="s">
        <v>129</v>
      </c>
      <c r="AC2" s="18" t="s">
        <v>130</v>
      </c>
      <c r="AD2" s="17" t="s">
        <v>131</v>
      </c>
    </row>
    <row r="3" spans="1:31">
      <c r="A3" s="19">
        <v>1</v>
      </c>
      <c r="B3" s="19">
        <v>1911127</v>
      </c>
      <c r="C3" s="19" t="s">
        <v>33</v>
      </c>
      <c r="D3" s="20"/>
      <c r="E3" s="20"/>
      <c r="F3" s="20"/>
      <c r="G3" s="21">
        <v>19400</v>
      </c>
      <c r="H3" s="21">
        <v>600</v>
      </c>
      <c r="I3" s="21"/>
      <c r="J3" s="21">
        <v>47500</v>
      </c>
      <c r="K3" s="21"/>
      <c r="L3" s="21"/>
      <c r="M3" s="35">
        <v>100000</v>
      </c>
      <c r="N3" s="35"/>
      <c r="O3" s="35"/>
      <c r="P3" s="35"/>
      <c r="Q3" s="38"/>
      <c r="R3" s="38"/>
      <c r="S3" s="39">
        <v>97000</v>
      </c>
      <c r="T3" s="39">
        <v>3000</v>
      </c>
      <c r="U3" s="38"/>
      <c r="V3" s="38"/>
      <c r="W3" s="38"/>
      <c r="X3" s="38"/>
      <c r="Y3" s="35">
        <f>29100+6900</f>
        <v>36000</v>
      </c>
      <c r="Z3" s="35">
        <v>900</v>
      </c>
      <c r="AA3" s="38"/>
      <c r="AB3" s="35">
        <v>100000</v>
      </c>
      <c r="AC3" s="35"/>
      <c r="AD3" s="38"/>
      <c r="AE3" s="33">
        <f>SUM(V3:AD3)</f>
        <v>136900</v>
      </c>
    </row>
    <row r="4" spans="1:31">
      <c r="A4" s="19">
        <v>2</v>
      </c>
      <c r="B4" s="19">
        <v>1911138</v>
      </c>
      <c r="C4" s="19" t="s">
        <v>35</v>
      </c>
      <c r="D4" s="20"/>
      <c r="E4" s="20"/>
      <c r="F4" s="20"/>
      <c r="G4" s="21"/>
      <c r="H4" s="21"/>
      <c r="I4" s="21"/>
      <c r="J4" s="21"/>
      <c r="K4" s="21"/>
      <c r="L4" s="21"/>
      <c r="M4" s="35"/>
      <c r="N4" s="35"/>
      <c r="O4" s="35"/>
      <c r="P4" s="35"/>
      <c r="Q4" s="38"/>
      <c r="R4" s="38"/>
      <c r="S4" s="35"/>
      <c r="T4" s="35"/>
      <c r="U4" s="38"/>
      <c r="V4" s="38"/>
      <c r="W4" s="38"/>
      <c r="X4" s="38"/>
      <c r="Y4" s="38"/>
      <c r="Z4" s="38"/>
      <c r="AA4" s="38"/>
      <c r="AB4" s="38"/>
      <c r="AC4" s="38"/>
      <c r="AD4" s="38"/>
      <c r="AE4" s="33">
        <f t="shared" ref="AE4:AE51" si="0">SUM(V4:AD4)</f>
        <v>0</v>
      </c>
    </row>
    <row r="5" spans="1:31">
      <c r="A5" s="19">
        <v>3</v>
      </c>
      <c r="B5" s="19" t="s">
        <v>36</v>
      </c>
      <c r="C5" s="22" t="s">
        <v>37</v>
      </c>
      <c r="D5" s="20"/>
      <c r="E5" s="20"/>
      <c r="F5" s="20"/>
      <c r="G5" s="21">
        <v>1000000</v>
      </c>
      <c r="H5" s="21"/>
      <c r="I5" s="21"/>
      <c r="J5" s="21">
        <v>354180</v>
      </c>
      <c r="K5" s="21"/>
      <c r="L5" s="21"/>
      <c r="M5" s="35"/>
      <c r="N5" s="35"/>
      <c r="O5" s="35"/>
      <c r="P5" s="35"/>
      <c r="Q5" s="38"/>
      <c r="R5" s="38"/>
      <c r="S5" s="35"/>
      <c r="T5" s="35"/>
      <c r="U5" s="38"/>
      <c r="V5" s="38"/>
      <c r="W5" s="38"/>
      <c r="X5" s="38"/>
      <c r="Y5" s="38"/>
      <c r="Z5" s="38"/>
      <c r="AA5" s="38"/>
      <c r="AB5" s="38"/>
      <c r="AC5" s="38"/>
      <c r="AD5" s="38"/>
      <c r="AE5" s="33">
        <f t="shared" si="0"/>
        <v>0</v>
      </c>
    </row>
    <row r="6" spans="1:31">
      <c r="A6" s="19">
        <v>4</v>
      </c>
      <c r="B6" s="19">
        <v>1912220</v>
      </c>
      <c r="C6" s="23" t="s">
        <v>38</v>
      </c>
      <c r="D6" s="20"/>
      <c r="E6" s="20"/>
      <c r="F6" s="20"/>
      <c r="G6" s="21"/>
      <c r="H6" s="21"/>
      <c r="I6" s="21"/>
      <c r="J6" s="21"/>
      <c r="K6" s="21"/>
      <c r="L6" s="21"/>
      <c r="M6" s="35"/>
      <c r="N6" s="35"/>
      <c r="O6" s="35"/>
      <c r="P6" s="35"/>
      <c r="Q6" s="38"/>
      <c r="R6" s="38"/>
      <c r="S6" s="35"/>
      <c r="T6" s="35"/>
      <c r="U6" s="38"/>
      <c r="V6" s="38"/>
      <c r="W6" s="38"/>
      <c r="X6" s="38"/>
      <c r="Y6" s="35">
        <v>4850</v>
      </c>
      <c r="Z6" s="35">
        <v>150</v>
      </c>
      <c r="AA6" s="38"/>
      <c r="AB6" s="35"/>
      <c r="AC6" s="35"/>
      <c r="AD6" s="38"/>
      <c r="AE6" s="33">
        <f t="shared" si="0"/>
        <v>5000</v>
      </c>
    </row>
    <row r="7" spans="1:31">
      <c r="A7" s="19">
        <v>5</v>
      </c>
      <c r="B7" s="19">
        <v>1913001</v>
      </c>
      <c r="C7" s="19" t="s">
        <v>39</v>
      </c>
      <c r="D7" s="20"/>
      <c r="E7" s="20"/>
      <c r="F7" s="20"/>
      <c r="G7" s="21">
        <v>29100</v>
      </c>
      <c r="H7" s="21">
        <v>900</v>
      </c>
      <c r="I7" s="21"/>
      <c r="J7" s="21">
        <v>76000</v>
      </c>
      <c r="K7" s="21">
        <v>4000</v>
      </c>
      <c r="L7" s="21"/>
      <c r="M7" s="35"/>
      <c r="N7" s="35"/>
      <c r="O7" s="35"/>
      <c r="P7" s="35"/>
      <c r="Q7" s="38"/>
      <c r="R7" s="38"/>
      <c r="S7" s="35">
        <v>48500</v>
      </c>
      <c r="T7" s="39">
        <v>1500</v>
      </c>
      <c r="U7" s="38"/>
      <c r="V7" s="35">
        <v>48500</v>
      </c>
      <c r="W7" s="35">
        <v>1500</v>
      </c>
      <c r="X7" s="38"/>
      <c r="Y7" s="35"/>
      <c r="Z7" s="35"/>
      <c r="AA7" s="35"/>
      <c r="AB7" s="35">
        <v>50000</v>
      </c>
      <c r="AC7" s="35"/>
      <c r="AD7" s="35"/>
      <c r="AE7" s="33">
        <f t="shared" si="0"/>
        <v>100000</v>
      </c>
    </row>
    <row r="8" spans="1:31">
      <c r="A8" s="19">
        <v>6</v>
      </c>
      <c r="B8" s="19">
        <v>1913005</v>
      </c>
      <c r="C8" s="19" t="s">
        <v>40</v>
      </c>
      <c r="D8" s="20"/>
      <c r="E8" s="20"/>
      <c r="F8" s="20"/>
      <c r="G8" s="21">
        <v>194000</v>
      </c>
      <c r="H8" s="21">
        <v>6000</v>
      </c>
      <c r="I8" s="21"/>
      <c r="J8" s="21">
        <v>950000</v>
      </c>
      <c r="K8" s="21">
        <v>50000</v>
      </c>
      <c r="L8" s="21"/>
      <c r="M8" s="35">
        <v>500000</v>
      </c>
      <c r="N8" s="35"/>
      <c r="O8" s="35"/>
      <c r="P8" s="35">
        <v>97000</v>
      </c>
      <c r="Q8" s="35">
        <v>3000</v>
      </c>
      <c r="R8" s="38"/>
      <c r="S8" s="35">
        <v>970000</v>
      </c>
      <c r="T8" s="39">
        <v>30000</v>
      </c>
      <c r="U8" s="38"/>
      <c r="V8" s="38"/>
      <c r="W8" s="38"/>
      <c r="X8" s="38"/>
      <c r="Y8" s="35">
        <f>500000+300000</f>
        <v>800000</v>
      </c>
      <c r="Z8" s="35"/>
      <c r="AA8" s="35"/>
      <c r="AB8" s="35">
        <v>500000</v>
      </c>
      <c r="AC8" s="35"/>
      <c r="AD8" s="35"/>
      <c r="AE8" s="33">
        <f t="shared" si="0"/>
        <v>1300000</v>
      </c>
    </row>
    <row r="9" spans="1:31">
      <c r="A9" s="19">
        <v>7</v>
      </c>
      <c r="B9" s="19">
        <v>1913006</v>
      </c>
      <c r="C9" s="19" t="s">
        <v>41</v>
      </c>
      <c r="D9" s="20"/>
      <c r="E9" s="20"/>
      <c r="F9" s="20"/>
      <c r="G9" s="21">
        <v>97000</v>
      </c>
      <c r="H9" s="21">
        <v>3000</v>
      </c>
      <c r="I9" s="21"/>
      <c r="J9" s="21">
        <v>617500</v>
      </c>
      <c r="K9" s="21">
        <v>32500</v>
      </c>
      <c r="L9" s="21"/>
      <c r="M9" s="35">
        <f>400000+97000</f>
        <v>497000</v>
      </c>
      <c r="N9" s="35">
        <v>3000</v>
      </c>
      <c r="O9" s="35"/>
      <c r="P9" s="35"/>
      <c r="Q9" s="38"/>
      <c r="R9" s="38"/>
      <c r="S9" s="35">
        <v>776000</v>
      </c>
      <c r="T9" s="39">
        <v>24000</v>
      </c>
      <c r="U9" s="35"/>
      <c r="V9" s="35">
        <v>100000</v>
      </c>
      <c r="W9" s="38"/>
      <c r="X9" s="38"/>
      <c r="Y9" s="35">
        <v>500000</v>
      </c>
      <c r="Z9" s="35"/>
      <c r="AA9" s="35"/>
      <c r="AB9" s="35">
        <v>450000</v>
      </c>
      <c r="AC9" s="35"/>
      <c r="AD9" s="35"/>
      <c r="AE9" s="33">
        <f t="shared" si="0"/>
        <v>1050000</v>
      </c>
    </row>
    <row r="10" spans="1:31">
      <c r="A10" s="19">
        <v>8</v>
      </c>
      <c r="B10" s="19">
        <v>1913017</v>
      </c>
      <c r="C10" s="19" t="s">
        <v>42</v>
      </c>
      <c r="D10" s="20">
        <v>48500</v>
      </c>
      <c r="E10" s="20">
        <v>1500</v>
      </c>
      <c r="F10" s="20"/>
      <c r="G10" s="21"/>
      <c r="H10" s="21"/>
      <c r="I10" s="21"/>
      <c r="J10" s="21">
        <v>427500</v>
      </c>
      <c r="K10" s="21">
        <v>22500</v>
      </c>
      <c r="L10" s="21"/>
      <c r="M10" s="35">
        <v>100000</v>
      </c>
      <c r="N10" s="35"/>
      <c r="O10" s="35"/>
      <c r="P10" s="35"/>
      <c r="Q10" s="38"/>
      <c r="R10" s="38"/>
      <c r="S10" s="35">
        <v>291000</v>
      </c>
      <c r="T10" s="39">
        <v>9000</v>
      </c>
      <c r="U10" s="35">
        <v>948</v>
      </c>
      <c r="V10" s="35">
        <v>19400</v>
      </c>
      <c r="W10" s="35">
        <v>600</v>
      </c>
      <c r="X10" s="38"/>
      <c r="Y10" s="35">
        <v>500000</v>
      </c>
      <c r="Z10" s="35"/>
      <c r="AA10" s="35"/>
      <c r="AB10" s="35">
        <v>300000</v>
      </c>
      <c r="AC10" s="35"/>
      <c r="AD10" s="35"/>
      <c r="AE10" s="33">
        <f t="shared" si="0"/>
        <v>820000</v>
      </c>
    </row>
    <row r="11" spans="1:31">
      <c r="A11" s="19">
        <v>9</v>
      </c>
      <c r="B11" s="19">
        <v>1913023</v>
      </c>
      <c r="C11" s="19" t="s">
        <v>43</v>
      </c>
      <c r="D11" s="20"/>
      <c r="E11" s="20"/>
      <c r="F11" s="20"/>
      <c r="G11" s="21"/>
      <c r="H11" s="21"/>
      <c r="I11" s="21"/>
      <c r="J11" s="21"/>
      <c r="K11" s="21"/>
      <c r="L11" s="21"/>
      <c r="M11" s="35"/>
      <c r="N11" s="35"/>
      <c r="O11" s="35"/>
      <c r="P11" s="35"/>
      <c r="Q11" s="38"/>
      <c r="R11" s="38"/>
      <c r="S11" s="35"/>
      <c r="T11" s="35"/>
      <c r="U11" s="35"/>
      <c r="V11" s="38"/>
      <c r="W11" s="38"/>
      <c r="X11" s="38"/>
      <c r="Y11" s="35"/>
      <c r="Z11" s="35"/>
      <c r="AA11" s="35"/>
      <c r="AB11" s="35"/>
      <c r="AC11" s="35"/>
      <c r="AD11" s="35"/>
      <c r="AE11" s="33">
        <f t="shared" si="0"/>
        <v>0</v>
      </c>
    </row>
    <row r="12" spans="1:31">
      <c r="A12" s="19">
        <v>10</v>
      </c>
      <c r="B12" s="19" t="s">
        <v>44</v>
      </c>
      <c r="C12" s="22" t="s">
        <v>45</v>
      </c>
      <c r="D12" s="20"/>
      <c r="E12" s="20"/>
      <c r="F12" s="20"/>
      <c r="G12" s="21">
        <v>50000</v>
      </c>
      <c r="H12" s="21"/>
      <c r="I12" s="21"/>
      <c r="J12" s="21">
        <v>261900</v>
      </c>
      <c r="K12" s="21">
        <v>8100</v>
      </c>
      <c r="L12" s="21"/>
      <c r="M12" s="35">
        <v>100000</v>
      </c>
      <c r="N12" s="35"/>
      <c r="O12" s="35"/>
      <c r="P12" s="35"/>
      <c r="Q12" s="38"/>
      <c r="R12" s="38"/>
      <c r="S12" s="35">
        <v>194000</v>
      </c>
      <c r="T12" s="39">
        <v>6000</v>
      </c>
      <c r="U12" s="35">
        <v>360</v>
      </c>
      <c r="V12" s="38"/>
      <c r="W12" s="38"/>
      <c r="X12" s="38"/>
      <c r="Y12" s="35">
        <v>100000</v>
      </c>
      <c r="Z12" s="35"/>
      <c r="AA12" s="35"/>
      <c r="AB12" s="35">
        <v>100000</v>
      </c>
      <c r="AC12" s="35"/>
      <c r="AD12" s="35"/>
      <c r="AE12" s="33">
        <f t="shared" si="0"/>
        <v>200000</v>
      </c>
    </row>
    <row r="13" spans="1:31">
      <c r="A13" s="19">
        <v>11</v>
      </c>
      <c r="B13" s="19">
        <v>1913027</v>
      </c>
      <c r="C13" s="19" t="s">
        <v>46</v>
      </c>
      <c r="D13" s="20"/>
      <c r="E13" s="20"/>
      <c r="F13" s="20"/>
      <c r="G13" s="21"/>
      <c r="H13" s="21"/>
      <c r="I13" s="21"/>
      <c r="J13" s="21">
        <v>28500</v>
      </c>
      <c r="K13" s="21">
        <v>1500</v>
      </c>
      <c r="L13" s="21"/>
      <c r="M13" s="35"/>
      <c r="N13" s="35"/>
      <c r="O13" s="35"/>
      <c r="P13" s="35"/>
      <c r="Q13" s="38"/>
      <c r="R13" s="38"/>
      <c r="S13" s="35"/>
      <c r="T13" s="35"/>
      <c r="U13" s="35"/>
      <c r="V13" s="38"/>
      <c r="W13" s="38"/>
      <c r="X13" s="38"/>
      <c r="Y13" s="35"/>
      <c r="Z13" s="35"/>
      <c r="AA13" s="35"/>
      <c r="AB13" s="35"/>
      <c r="AC13" s="35"/>
      <c r="AD13" s="35"/>
      <c r="AE13" s="33">
        <f t="shared" si="0"/>
        <v>0</v>
      </c>
    </row>
    <row r="14" spans="1:31">
      <c r="A14" s="19">
        <v>12</v>
      </c>
      <c r="B14" s="19">
        <v>1913032</v>
      </c>
      <c r="C14" s="19" t="s">
        <v>47</v>
      </c>
      <c r="D14" s="20"/>
      <c r="E14" s="20"/>
      <c r="F14" s="20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8"/>
      <c r="R14" s="38"/>
      <c r="S14" s="35"/>
      <c r="T14" s="35"/>
      <c r="U14" s="35"/>
      <c r="V14" s="38"/>
      <c r="W14" s="38"/>
      <c r="X14" s="38"/>
      <c r="Y14" s="35"/>
      <c r="Z14" s="35"/>
      <c r="AA14" s="35"/>
      <c r="AB14" s="35"/>
      <c r="AC14" s="35"/>
      <c r="AD14" s="35"/>
      <c r="AE14" s="33">
        <f t="shared" si="0"/>
        <v>0</v>
      </c>
    </row>
    <row r="15" spans="1:31">
      <c r="A15" s="19">
        <v>13</v>
      </c>
      <c r="B15" s="19">
        <v>1913045</v>
      </c>
      <c r="C15" s="22" t="s">
        <v>48</v>
      </c>
      <c r="D15" s="20"/>
      <c r="E15" s="20"/>
      <c r="F15" s="20"/>
      <c r="G15" s="21">
        <v>100000</v>
      </c>
      <c r="H15" s="21"/>
      <c r="I15" s="21"/>
      <c r="J15" s="21">
        <v>237500</v>
      </c>
      <c r="K15" s="21">
        <v>12500</v>
      </c>
      <c r="L15" s="21"/>
      <c r="M15" s="35">
        <v>100000</v>
      </c>
      <c r="N15" s="35"/>
      <c r="O15" s="35"/>
      <c r="P15" s="35"/>
      <c r="Q15" s="38"/>
      <c r="R15" s="38"/>
      <c r="S15" s="35">
        <v>194000</v>
      </c>
      <c r="T15" s="39">
        <v>6000</v>
      </c>
      <c r="U15" s="35"/>
      <c r="V15" s="35">
        <f>10000+20000</f>
        <v>30000</v>
      </c>
      <c r="W15" s="38"/>
      <c r="X15" s="38"/>
      <c r="Y15" s="35">
        <f>100000+100000</f>
        <v>200000</v>
      </c>
      <c r="Z15" s="35"/>
      <c r="AA15" s="35"/>
      <c r="AB15" s="35">
        <v>200000</v>
      </c>
      <c r="AC15" s="35"/>
      <c r="AD15" s="35"/>
      <c r="AE15" s="33">
        <f t="shared" si="0"/>
        <v>430000</v>
      </c>
    </row>
    <row r="16" spans="1:31">
      <c r="A16" s="19">
        <v>14</v>
      </c>
      <c r="B16" s="19" t="s">
        <v>49</v>
      </c>
      <c r="C16" s="19" t="s">
        <v>50</v>
      </c>
      <c r="D16" s="20"/>
      <c r="E16" s="20"/>
      <c r="F16" s="20"/>
      <c r="G16" s="21">
        <v>97000</v>
      </c>
      <c r="H16" s="21">
        <v>3000</v>
      </c>
      <c r="I16" s="21"/>
      <c r="J16" s="21">
        <v>237500</v>
      </c>
      <c r="K16" s="21">
        <v>12500</v>
      </c>
      <c r="L16" s="21"/>
      <c r="M16" s="35">
        <f>48500+145500</f>
        <v>194000</v>
      </c>
      <c r="N16" s="35">
        <f>1500+4500</f>
        <v>6000</v>
      </c>
      <c r="O16" s="35"/>
      <c r="P16" s="35">
        <v>120000</v>
      </c>
      <c r="Q16" s="35"/>
      <c r="R16" s="35">
        <v>1000</v>
      </c>
      <c r="S16" s="35">
        <f>145500+500000</f>
        <v>645500</v>
      </c>
      <c r="T16" s="39">
        <v>4500</v>
      </c>
      <c r="U16" s="35">
        <v>564</v>
      </c>
      <c r="V16" s="38"/>
      <c r="W16" s="38"/>
      <c r="X16" s="38"/>
      <c r="Y16" s="35">
        <v>38030</v>
      </c>
      <c r="Z16" s="35"/>
      <c r="AA16" s="35"/>
      <c r="AB16" s="35">
        <v>100000</v>
      </c>
      <c r="AC16" s="35"/>
      <c r="AD16" s="35"/>
      <c r="AE16" s="33">
        <f t="shared" si="0"/>
        <v>138030</v>
      </c>
    </row>
    <row r="17" spans="1:31">
      <c r="A17" s="19">
        <v>15</v>
      </c>
      <c r="B17" s="19">
        <v>1913078</v>
      </c>
      <c r="C17" s="19" t="s">
        <v>51</v>
      </c>
      <c r="D17" s="20"/>
      <c r="E17" s="20"/>
      <c r="F17" s="20"/>
      <c r="G17" s="21"/>
      <c r="H17" s="21"/>
      <c r="I17" s="21"/>
      <c r="J17" s="21"/>
      <c r="K17" s="21"/>
      <c r="L17" s="21"/>
      <c r="M17" s="35"/>
      <c r="N17" s="35"/>
      <c r="O17" s="35"/>
      <c r="P17" s="35"/>
      <c r="Q17" s="38"/>
      <c r="R17" s="35"/>
      <c r="S17" s="35"/>
      <c r="T17" s="35"/>
      <c r="U17" s="35"/>
      <c r="V17" s="38"/>
      <c r="W17" s="38"/>
      <c r="X17" s="38"/>
      <c r="Y17" s="35"/>
      <c r="Z17" s="35"/>
      <c r="AA17" s="35"/>
      <c r="AB17" s="35"/>
      <c r="AC17" s="35"/>
      <c r="AD17" s="35"/>
      <c r="AE17" s="33">
        <f t="shared" si="0"/>
        <v>0</v>
      </c>
    </row>
    <row r="18" spans="1:31">
      <c r="A18" s="19">
        <v>16</v>
      </c>
      <c r="B18" s="19">
        <v>1913092</v>
      </c>
      <c r="C18" s="19" t="s">
        <v>52</v>
      </c>
      <c r="D18" s="20"/>
      <c r="E18" s="20"/>
      <c r="F18" s="20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8"/>
      <c r="R18" s="35"/>
      <c r="S18" s="35"/>
      <c r="T18" s="35"/>
      <c r="U18" s="35"/>
      <c r="V18" s="35">
        <v>4043.36</v>
      </c>
      <c r="W18" s="35">
        <v>125.05</v>
      </c>
      <c r="X18" s="38"/>
      <c r="Y18" s="35"/>
      <c r="Z18" s="35"/>
      <c r="AA18" s="35"/>
      <c r="AB18" s="35"/>
      <c r="AC18" s="35"/>
      <c r="AD18" s="35"/>
      <c r="AE18" s="33">
        <f t="shared" si="0"/>
        <v>4168.41</v>
      </c>
    </row>
    <row r="19" spans="1:31">
      <c r="A19" s="19">
        <v>17</v>
      </c>
      <c r="B19" s="19">
        <v>1913101</v>
      </c>
      <c r="C19" s="19" t="s">
        <v>53</v>
      </c>
      <c r="D19" s="20"/>
      <c r="E19" s="20"/>
      <c r="F19" s="20"/>
      <c r="G19" s="21">
        <v>19400</v>
      </c>
      <c r="H19" s="21">
        <v>600</v>
      </c>
      <c r="I19" s="21"/>
      <c r="J19" s="21">
        <v>190000</v>
      </c>
      <c r="K19" s="21">
        <v>10000</v>
      </c>
      <c r="L19" s="21"/>
      <c r="M19" s="35">
        <v>100000</v>
      </c>
      <c r="N19" s="35"/>
      <c r="O19" s="35"/>
      <c r="P19" s="35"/>
      <c r="Q19" s="38"/>
      <c r="R19" s="35"/>
      <c r="S19" s="35">
        <v>48500</v>
      </c>
      <c r="T19" s="39">
        <v>1500</v>
      </c>
      <c r="U19" s="35"/>
      <c r="V19" s="38"/>
      <c r="W19" s="38"/>
      <c r="X19" s="38"/>
      <c r="Y19" s="35">
        <v>40000</v>
      </c>
      <c r="Z19" s="35"/>
      <c r="AA19" s="35"/>
      <c r="AB19" s="35">
        <v>100000</v>
      </c>
      <c r="AC19" s="35"/>
      <c r="AD19" s="35"/>
      <c r="AE19" s="33">
        <f t="shared" si="0"/>
        <v>140000</v>
      </c>
    </row>
    <row r="20" spans="1:31">
      <c r="A20" s="19">
        <v>18</v>
      </c>
      <c r="B20" s="19">
        <v>1913200</v>
      </c>
      <c r="C20" s="19" t="s">
        <v>54</v>
      </c>
      <c r="D20" s="20"/>
      <c r="E20" s="20"/>
      <c r="F20" s="20"/>
      <c r="G20" s="21">
        <v>9700</v>
      </c>
      <c r="H20" s="21">
        <v>300</v>
      </c>
      <c r="I20" s="21"/>
      <c r="J20" s="21">
        <v>9500</v>
      </c>
      <c r="K20" s="21">
        <v>500</v>
      </c>
      <c r="L20" s="21"/>
      <c r="M20" s="35"/>
      <c r="N20" s="35">
        <v>300</v>
      </c>
      <c r="O20" s="35"/>
      <c r="P20" s="35"/>
      <c r="Q20" s="38"/>
      <c r="R20" s="35"/>
      <c r="S20" s="35"/>
      <c r="T20" s="35"/>
      <c r="U20" s="35"/>
      <c r="V20" s="38"/>
      <c r="W20" s="38"/>
      <c r="X20" s="38"/>
      <c r="Y20" s="35"/>
      <c r="Z20" s="35"/>
      <c r="AA20" s="35"/>
      <c r="AB20" s="35"/>
      <c r="AC20" s="35"/>
      <c r="AD20" s="35"/>
      <c r="AE20" s="33">
        <f t="shared" si="0"/>
        <v>0</v>
      </c>
    </row>
    <row r="21" spans="1:31">
      <c r="A21" s="19">
        <v>19</v>
      </c>
      <c r="B21" s="19">
        <v>1913218</v>
      </c>
      <c r="C21" s="19" t="s">
        <v>55</v>
      </c>
      <c r="D21" s="20"/>
      <c r="E21" s="20"/>
      <c r="F21" s="20"/>
      <c r="G21" s="21"/>
      <c r="H21" s="21"/>
      <c r="I21" s="21"/>
      <c r="J21" s="21">
        <v>190000</v>
      </c>
      <c r="K21" s="21">
        <v>10000</v>
      </c>
      <c r="L21" s="21"/>
      <c r="M21" s="35">
        <v>200000</v>
      </c>
      <c r="N21" s="35"/>
      <c r="O21" s="35"/>
      <c r="P21" s="35"/>
      <c r="Q21" s="38"/>
      <c r="R21" s="35"/>
      <c r="S21" s="35">
        <v>47500</v>
      </c>
      <c r="T21" s="39">
        <v>2500</v>
      </c>
      <c r="U21" s="35">
        <v>240</v>
      </c>
      <c r="V21" s="38"/>
      <c r="W21" s="38"/>
      <c r="X21" s="38"/>
      <c r="Y21" s="35"/>
      <c r="Z21" s="35"/>
      <c r="AA21" s="35"/>
      <c r="AB21" s="35"/>
      <c r="AC21" s="35"/>
      <c r="AD21" s="35"/>
      <c r="AE21" s="33">
        <f t="shared" si="0"/>
        <v>0</v>
      </c>
    </row>
    <row r="22" spans="1:31">
      <c r="A22" s="19">
        <v>20</v>
      </c>
      <c r="B22" s="19">
        <v>1913219</v>
      </c>
      <c r="C22" s="19" t="s">
        <v>56</v>
      </c>
      <c r="D22" s="20"/>
      <c r="E22" s="20"/>
      <c r="F22" s="20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8"/>
      <c r="R22" s="35"/>
      <c r="S22" s="35"/>
      <c r="T22" s="35"/>
      <c r="U22" s="35"/>
      <c r="V22" s="38"/>
      <c r="W22" s="38"/>
      <c r="X22" s="38"/>
      <c r="Y22" s="35"/>
      <c r="Z22" s="35"/>
      <c r="AA22" s="35"/>
      <c r="AB22" s="35"/>
      <c r="AC22" s="35"/>
      <c r="AD22" s="35"/>
      <c r="AE22" s="33">
        <f t="shared" si="0"/>
        <v>0</v>
      </c>
    </row>
    <row r="23" spans="1:31">
      <c r="A23" s="19">
        <v>21</v>
      </c>
      <c r="B23" s="19" t="s">
        <v>57</v>
      </c>
      <c r="C23" s="19" t="s">
        <v>58</v>
      </c>
      <c r="D23" s="20"/>
      <c r="E23" s="20"/>
      <c r="F23" s="20"/>
      <c r="G23" s="21"/>
      <c r="H23" s="21"/>
      <c r="I23" s="21"/>
      <c r="J23" s="21">
        <v>85500</v>
      </c>
      <c r="K23" s="21">
        <v>4500</v>
      </c>
      <c r="L23" s="21"/>
      <c r="M23" s="35">
        <v>95000</v>
      </c>
      <c r="N23" s="35">
        <v>5000</v>
      </c>
      <c r="O23" s="35"/>
      <c r="P23" s="35"/>
      <c r="Q23" s="38"/>
      <c r="R23" s="35"/>
      <c r="S23" s="35">
        <v>190000</v>
      </c>
      <c r="T23" s="39">
        <v>10000</v>
      </c>
      <c r="U23" s="35"/>
      <c r="V23" s="38"/>
      <c r="W23" s="38"/>
      <c r="X23" s="38"/>
      <c r="Y23" s="35"/>
      <c r="Z23" s="35"/>
      <c r="AA23" s="35"/>
      <c r="AB23" s="35"/>
      <c r="AC23" s="35"/>
      <c r="AD23" s="35"/>
      <c r="AE23" s="33">
        <f t="shared" si="0"/>
        <v>0</v>
      </c>
    </row>
    <row r="24" spans="1:31">
      <c r="A24" s="19">
        <v>22</v>
      </c>
      <c r="B24" s="19">
        <v>1913273</v>
      </c>
      <c r="C24" s="19" t="s">
        <v>59</v>
      </c>
      <c r="D24" s="20"/>
      <c r="E24" s="20"/>
      <c r="F24" s="20"/>
      <c r="G24" s="21"/>
      <c r="H24" s="21"/>
      <c r="I24" s="21"/>
      <c r="J24" s="21"/>
      <c r="K24" s="21"/>
      <c r="L24" s="21"/>
      <c r="M24" s="35"/>
      <c r="N24" s="35"/>
      <c r="O24" s="35"/>
      <c r="P24" s="35"/>
      <c r="Q24" s="38"/>
      <c r="R24" s="35"/>
      <c r="S24" s="35">
        <v>4850</v>
      </c>
      <c r="T24" s="39">
        <v>150</v>
      </c>
      <c r="U24" s="35"/>
      <c r="V24" s="38"/>
      <c r="W24" s="38"/>
      <c r="X24" s="38"/>
      <c r="Y24" s="35"/>
      <c r="Z24" s="35"/>
      <c r="AA24" s="35"/>
      <c r="AB24" s="35"/>
      <c r="AC24" s="35"/>
      <c r="AD24" s="35"/>
      <c r="AE24" s="33">
        <f t="shared" si="0"/>
        <v>0</v>
      </c>
    </row>
    <row r="25" spans="1:31">
      <c r="A25" s="19">
        <v>23</v>
      </c>
      <c r="B25" s="19">
        <v>1913289</v>
      </c>
      <c r="C25" s="19" t="s">
        <v>60</v>
      </c>
      <c r="D25" s="20">
        <v>145500</v>
      </c>
      <c r="E25" s="20">
        <v>4500</v>
      </c>
      <c r="F25" s="20"/>
      <c r="G25" s="21">
        <v>291000</v>
      </c>
      <c r="H25" s="21">
        <v>9000</v>
      </c>
      <c r="I25" s="21"/>
      <c r="J25" s="21">
        <v>1520000</v>
      </c>
      <c r="K25" s="21">
        <v>80000</v>
      </c>
      <c r="L25" s="21"/>
      <c r="M25" s="35">
        <v>1000000</v>
      </c>
      <c r="N25" s="35"/>
      <c r="O25" s="35"/>
      <c r="P25" s="35"/>
      <c r="Q25" s="38"/>
      <c r="R25" s="35">
        <v>250</v>
      </c>
      <c r="S25" s="35">
        <f>500000+970000</f>
        <v>1470000</v>
      </c>
      <c r="T25" s="39">
        <v>30000</v>
      </c>
      <c r="U25" s="35">
        <v>2400</v>
      </c>
      <c r="V25" s="35">
        <v>97000</v>
      </c>
      <c r="W25" s="35">
        <v>3000</v>
      </c>
      <c r="X25" s="38"/>
      <c r="Y25" s="35">
        <f>500000+97000+600000</f>
        <v>1197000</v>
      </c>
      <c r="Z25" s="35">
        <v>3000</v>
      </c>
      <c r="AA25" s="35"/>
      <c r="AB25" s="35">
        <v>500000</v>
      </c>
      <c r="AC25" s="35"/>
      <c r="AD25" s="35"/>
      <c r="AE25" s="33">
        <f t="shared" si="0"/>
        <v>1800000</v>
      </c>
    </row>
    <row r="26" spans="1:31">
      <c r="A26" s="19">
        <v>24</v>
      </c>
      <c r="B26" s="19">
        <v>1913659</v>
      </c>
      <c r="C26" s="19" t="s">
        <v>61</v>
      </c>
      <c r="D26" s="20"/>
      <c r="E26" s="20"/>
      <c r="F26" s="20"/>
      <c r="G26" s="21"/>
      <c r="H26" s="21"/>
      <c r="I26" s="21"/>
      <c r="J26" s="21"/>
      <c r="K26" s="21"/>
      <c r="L26" s="21"/>
      <c r="M26" s="35"/>
      <c r="N26" s="35"/>
      <c r="O26" s="35"/>
      <c r="P26" s="35">
        <v>728.85</v>
      </c>
      <c r="Q26" s="38"/>
      <c r="R26" s="35"/>
      <c r="S26" s="35"/>
      <c r="T26" s="35"/>
      <c r="U26" s="35"/>
      <c r="V26" s="38"/>
      <c r="W26" s="38"/>
      <c r="X26" s="38"/>
      <c r="Y26" s="35"/>
      <c r="Z26" s="35"/>
      <c r="AA26" s="35"/>
      <c r="AB26" s="35"/>
      <c r="AC26" s="35"/>
      <c r="AD26" s="35"/>
      <c r="AE26" s="33">
        <f t="shared" si="0"/>
        <v>0</v>
      </c>
    </row>
    <row r="27" spans="1:31">
      <c r="A27" s="19">
        <v>25</v>
      </c>
      <c r="B27" s="19">
        <v>1913665</v>
      </c>
      <c r="C27" s="22" t="s">
        <v>62</v>
      </c>
      <c r="D27" s="20"/>
      <c r="E27" s="20"/>
      <c r="F27" s="20"/>
      <c r="G27" s="21">
        <v>48500</v>
      </c>
      <c r="H27" s="21"/>
      <c r="I27" s="21"/>
      <c r="J27" s="21">
        <v>171000</v>
      </c>
      <c r="K27" s="21">
        <v>9000</v>
      </c>
      <c r="L27" s="21"/>
      <c r="M27" s="35">
        <v>145500</v>
      </c>
      <c r="N27" s="35">
        <v>4500</v>
      </c>
      <c r="O27" s="35"/>
      <c r="P27" s="35"/>
      <c r="Q27" s="38"/>
      <c r="R27" s="38"/>
      <c r="S27" s="35">
        <v>95000</v>
      </c>
      <c r="T27" s="39">
        <v>5000</v>
      </c>
      <c r="U27" s="35">
        <v>240</v>
      </c>
      <c r="V27" s="38"/>
      <c r="W27" s="38"/>
      <c r="X27" s="38"/>
      <c r="Y27" s="35">
        <v>48500</v>
      </c>
      <c r="Z27" s="35">
        <v>1500</v>
      </c>
      <c r="AA27" s="35"/>
      <c r="AB27" s="35">
        <v>100000</v>
      </c>
      <c r="AC27" s="35"/>
      <c r="AD27" s="35"/>
      <c r="AE27" s="33">
        <f>SUM(AB27:AD27)</f>
        <v>100000</v>
      </c>
    </row>
    <row r="28" spans="1:31">
      <c r="A28" s="19">
        <v>26</v>
      </c>
      <c r="B28" s="19">
        <v>1932313</v>
      </c>
      <c r="C28" s="19" t="s">
        <v>63</v>
      </c>
      <c r="D28" s="20">
        <v>291000</v>
      </c>
      <c r="E28" s="20">
        <v>9000</v>
      </c>
      <c r="F28" s="20">
        <v>3000</v>
      </c>
      <c r="G28" s="21"/>
      <c r="H28" s="21"/>
      <c r="I28" s="21">
        <v>3000</v>
      </c>
      <c r="J28" s="21">
        <v>436500</v>
      </c>
      <c r="K28" s="21">
        <v>13500</v>
      </c>
      <c r="L28" s="21">
        <v>3000</v>
      </c>
      <c r="M28" s="35">
        <v>300000</v>
      </c>
      <c r="N28" s="35"/>
      <c r="O28" s="35">
        <v>3000</v>
      </c>
      <c r="P28" s="35"/>
      <c r="Q28" s="35">
        <v>3000</v>
      </c>
      <c r="R28" s="38"/>
      <c r="S28" s="35">
        <v>300000</v>
      </c>
      <c r="T28" s="35"/>
      <c r="U28" s="35">
        <v>3000</v>
      </c>
      <c r="V28" s="35">
        <v>100000</v>
      </c>
      <c r="W28" s="38"/>
      <c r="X28" s="35">
        <v>3000</v>
      </c>
      <c r="Y28" s="35">
        <v>500000</v>
      </c>
      <c r="Z28" s="35"/>
      <c r="AA28" s="35">
        <v>3000</v>
      </c>
      <c r="AB28" s="35">
        <v>400000</v>
      </c>
      <c r="AC28" s="35"/>
      <c r="AD28" s="35"/>
      <c r="AE28" s="33">
        <f t="shared" si="0"/>
        <v>1006000</v>
      </c>
    </row>
    <row r="29" spans="1:31">
      <c r="A29" s="19">
        <v>27</v>
      </c>
      <c r="B29" s="19">
        <v>1932347</v>
      </c>
      <c r="C29" s="19" t="s">
        <v>64</v>
      </c>
      <c r="D29" s="20"/>
      <c r="E29" s="20"/>
      <c r="F29" s="20"/>
      <c r="G29" s="21"/>
      <c r="H29" s="21"/>
      <c r="I29" s="21"/>
      <c r="J29" s="21">
        <v>145500</v>
      </c>
      <c r="K29" s="21">
        <v>4500</v>
      </c>
      <c r="L29" s="21"/>
      <c r="M29" s="35">
        <v>100000</v>
      </c>
      <c r="N29" s="35"/>
      <c r="O29" s="35"/>
      <c r="P29" s="35"/>
      <c r="Q29" s="38"/>
      <c r="R29" s="38"/>
      <c r="S29" s="35">
        <v>200000</v>
      </c>
      <c r="T29" s="35"/>
      <c r="U29" s="35"/>
      <c r="V29" s="35">
        <v>100000</v>
      </c>
      <c r="W29" s="38"/>
      <c r="X29" s="38"/>
      <c r="Y29" s="35">
        <v>100000</v>
      </c>
      <c r="Z29" s="35"/>
      <c r="AA29" s="35"/>
      <c r="AB29" s="35">
        <v>100000</v>
      </c>
      <c r="AC29" s="35"/>
      <c r="AD29" s="35"/>
      <c r="AE29" s="33">
        <f t="shared" si="0"/>
        <v>300000</v>
      </c>
    </row>
    <row r="30" spans="1:31">
      <c r="A30" s="19">
        <v>28</v>
      </c>
      <c r="B30" s="19">
        <v>1937004</v>
      </c>
      <c r="C30" s="22" t="s">
        <v>65</v>
      </c>
      <c r="D30" s="20"/>
      <c r="E30" s="20"/>
      <c r="F30" s="20"/>
      <c r="G30" s="21"/>
      <c r="H30" s="21"/>
      <c r="I30" s="21"/>
      <c r="J30" s="21"/>
      <c r="K30" s="21"/>
      <c r="L30" s="21"/>
      <c r="M30" s="35"/>
      <c r="N30" s="35"/>
      <c r="O30" s="35"/>
      <c r="P30" s="35"/>
      <c r="Q30" s="38"/>
      <c r="R30" s="38"/>
      <c r="S30" s="35"/>
      <c r="T30" s="35"/>
      <c r="U30" s="35"/>
      <c r="V30" s="35"/>
      <c r="W30" s="38"/>
      <c r="X30" s="38"/>
      <c r="Y30" s="35"/>
      <c r="Z30" s="35"/>
      <c r="AA30" s="35"/>
      <c r="AB30" s="35"/>
      <c r="AC30" s="35"/>
      <c r="AD30" s="35"/>
      <c r="AE30" s="33">
        <f t="shared" si="0"/>
        <v>0</v>
      </c>
    </row>
    <row r="31" spans="1:31">
      <c r="A31" s="19">
        <v>29</v>
      </c>
      <c r="B31" s="19">
        <v>1937012</v>
      </c>
      <c r="C31" s="22" t="s">
        <v>66</v>
      </c>
      <c r="D31" s="20"/>
      <c r="E31" s="20"/>
      <c r="F31" s="20"/>
      <c r="G31" s="21">
        <v>50000</v>
      </c>
      <c r="H31" s="21"/>
      <c r="I31" s="21"/>
      <c r="J31" s="21">
        <v>150000</v>
      </c>
      <c r="K31" s="21"/>
      <c r="L31" s="21"/>
      <c r="M31" s="35">
        <v>80000</v>
      </c>
      <c r="N31" s="35"/>
      <c r="O31" s="35"/>
      <c r="P31" s="35"/>
      <c r="Q31" s="38"/>
      <c r="R31" s="38"/>
      <c r="S31" s="35">
        <v>200000</v>
      </c>
      <c r="T31" s="35"/>
      <c r="U31" s="38"/>
      <c r="V31" s="35"/>
      <c r="W31" s="38"/>
      <c r="X31" s="38"/>
      <c r="Y31" s="35"/>
      <c r="Z31" s="35"/>
      <c r="AA31" s="35"/>
      <c r="AB31" s="35">
        <v>100000</v>
      </c>
      <c r="AC31" s="35"/>
      <c r="AD31" s="35"/>
      <c r="AE31" s="33">
        <f t="shared" si="0"/>
        <v>100000</v>
      </c>
    </row>
    <row r="32" spans="1:31">
      <c r="A32" s="19">
        <v>30</v>
      </c>
      <c r="B32" s="19">
        <v>1937013</v>
      </c>
      <c r="C32" s="19" t="s">
        <v>67</v>
      </c>
      <c r="D32" s="20"/>
      <c r="E32" s="20"/>
      <c r="F32" s="20"/>
      <c r="G32" s="21"/>
      <c r="H32" s="21"/>
      <c r="I32" s="21"/>
      <c r="J32" s="21"/>
      <c r="K32" s="21"/>
      <c r="L32" s="21"/>
      <c r="M32" s="35">
        <v>40000</v>
      </c>
      <c r="N32" s="35">
        <v>22500</v>
      </c>
      <c r="O32" s="35"/>
      <c r="P32" s="35"/>
      <c r="Q32" s="38"/>
      <c r="R32" s="38"/>
      <c r="S32" s="35"/>
      <c r="T32" s="35"/>
      <c r="U32" s="38"/>
      <c r="V32" s="35"/>
      <c r="W32" s="38"/>
      <c r="X32" s="38"/>
      <c r="Y32" s="35"/>
      <c r="Z32" s="35"/>
      <c r="AA32" s="35"/>
      <c r="AB32" s="35"/>
      <c r="AC32" s="35"/>
      <c r="AD32" s="35"/>
      <c r="AE32" s="33">
        <f t="shared" si="0"/>
        <v>0</v>
      </c>
    </row>
    <row r="33" spans="1:31">
      <c r="A33" s="19">
        <v>31</v>
      </c>
      <c r="B33" s="19">
        <v>1937015</v>
      </c>
      <c r="C33" s="19" t="s">
        <v>68</v>
      </c>
      <c r="D33" s="20"/>
      <c r="E33" s="20"/>
      <c r="F33" s="20"/>
      <c r="G33" s="21"/>
      <c r="H33" s="21"/>
      <c r="I33" s="21"/>
      <c r="J33" s="21">
        <v>28500</v>
      </c>
      <c r="K33" s="21">
        <v>1500</v>
      </c>
      <c r="L33" s="21"/>
      <c r="M33" s="35"/>
      <c r="N33" s="35"/>
      <c r="O33" s="35"/>
      <c r="P33" s="35"/>
      <c r="Q33" s="38"/>
      <c r="R33" s="38"/>
      <c r="S33" s="35"/>
      <c r="T33" s="35"/>
      <c r="U33" s="38"/>
      <c r="V33" s="35"/>
      <c r="W33" s="38"/>
      <c r="X33" s="38"/>
      <c r="Y33" s="35"/>
      <c r="Z33" s="35"/>
      <c r="AA33" s="35"/>
      <c r="AB33" s="35"/>
      <c r="AC33" s="35"/>
      <c r="AD33" s="35"/>
      <c r="AE33" s="33">
        <f t="shared" si="0"/>
        <v>0</v>
      </c>
    </row>
    <row r="34" spans="1:31">
      <c r="A34" s="19">
        <v>32</v>
      </c>
      <c r="B34" s="19" t="s">
        <v>69</v>
      </c>
      <c r="C34" s="19" t="s">
        <v>70</v>
      </c>
      <c r="D34" s="20"/>
      <c r="E34" s="20"/>
      <c r="F34" s="20"/>
      <c r="G34" s="21"/>
      <c r="H34" s="21"/>
      <c r="I34" s="21"/>
      <c r="J34" s="21"/>
      <c r="K34" s="21"/>
      <c r="L34" s="21"/>
      <c r="M34" s="35"/>
      <c r="N34" s="35"/>
      <c r="O34" s="35"/>
      <c r="P34" s="35"/>
      <c r="Q34" s="38"/>
      <c r="R34" s="38"/>
      <c r="S34" s="35"/>
      <c r="T34" s="35"/>
      <c r="U34" s="38"/>
      <c r="V34" s="35"/>
      <c r="W34" s="38"/>
      <c r="X34" s="38"/>
      <c r="Y34" s="35"/>
      <c r="Z34" s="35"/>
      <c r="AA34" s="35"/>
      <c r="AB34" s="35"/>
      <c r="AC34" s="35"/>
      <c r="AD34" s="35"/>
      <c r="AE34" s="33">
        <f t="shared" si="0"/>
        <v>0</v>
      </c>
    </row>
    <row r="35" spans="1:31">
      <c r="A35" s="19">
        <v>33</v>
      </c>
      <c r="B35" s="19">
        <v>1937320</v>
      </c>
      <c r="C35" s="22" t="s">
        <v>71</v>
      </c>
      <c r="D35" s="20"/>
      <c r="E35" s="20"/>
      <c r="F35" s="20"/>
      <c r="G35" s="21">
        <v>200000</v>
      </c>
      <c r="H35" s="21"/>
      <c r="I35" s="21"/>
      <c r="J35" s="21">
        <v>350000</v>
      </c>
      <c r="K35" s="21"/>
      <c r="L35" s="21"/>
      <c r="M35" s="35">
        <v>300000</v>
      </c>
      <c r="N35" s="35"/>
      <c r="O35" s="35"/>
      <c r="P35" s="35">
        <v>100000</v>
      </c>
      <c r="Q35" s="38"/>
      <c r="R35" s="38"/>
      <c r="S35" s="35">
        <v>500000</v>
      </c>
      <c r="T35" s="35"/>
      <c r="U35" s="38"/>
      <c r="V35" s="35">
        <v>100000</v>
      </c>
      <c r="W35" s="38"/>
      <c r="X35" s="38"/>
      <c r="Y35" s="35">
        <v>500000</v>
      </c>
      <c r="Z35" s="35"/>
      <c r="AA35" s="35"/>
      <c r="AB35" s="35"/>
      <c r="AC35" s="35"/>
      <c r="AD35" s="35"/>
      <c r="AE35" s="33">
        <f t="shared" si="0"/>
        <v>600000</v>
      </c>
    </row>
    <row r="36" spans="1:31">
      <c r="A36" s="19">
        <v>34</v>
      </c>
      <c r="B36" s="19">
        <v>1937338</v>
      </c>
      <c r="C36" s="19" t="s">
        <v>72</v>
      </c>
      <c r="D36" s="20"/>
      <c r="E36" s="20"/>
      <c r="F36" s="20"/>
      <c r="G36" s="21"/>
      <c r="H36" s="21"/>
      <c r="I36" s="21"/>
      <c r="J36" s="21"/>
      <c r="K36" s="21"/>
      <c r="L36" s="21"/>
      <c r="M36" s="35"/>
      <c r="N36" s="35"/>
      <c r="O36" s="35"/>
      <c r="P36" s="35"/>
      <c r="Q36" s="38"/>
      <c r="R36" s="38"/>
      <c r="S36" s="35">
        <v>47500</v>
      </c>
      <c r="T36" s="39">
        <v>2500</v>
      </c>
      <c r="U36" s="38"/>
      <c r="V36" s="38"/>
      <c r="W36" s="38"/>
      <c r="X36" s="38"/>
      <c r="Y36" s="35"/>
      <c r="Z36" s="35"/>
      <c r="AA36" s="35"/>
      <c r="AB36" s="35"/>
      <c r="AC36" s="35"/>
      <c r="AD36" s="35"/>
      <c r="AE36" s="33">
        <f t="shared" si="0"/>
        <v>0</v>
      </c>
    </row>
    <row r="37" spans="1:31">
      <c r="A37" s="19">
        <v>35</v>
      </c>
      <c r="B37" s="19">
        <v>1942576</v>
      </c>
      <c r="C37" s="19" t="s">
        <v>73</v>
      </c>
      <c r="D37" s="20"/>
      <c r="E37" s="20"/>
      <c r="F37" s="20"/>
      <c r="G37" s="21"/>
      <c r="H37" s="21"/>
      <c r="I37" s="21"/>
      <c r="J37" s="21">
        <v>100000</v>
      </c>
      <c r="K37" s="21"/>
      <c r="L37" s="21"/>
      <c r="M37" s="35"/>
      <c r="N37" s="35"/>
      <c r="O37" s="35"/>
      <c r="P37" s="35"/>
      <c r="Q37" s="38"/>
      <c r="R37" s="38"/>
      <c r="S37" s="35"/>
      <c r="T37" s="35"/>
      <c r="U37" s="38"/>
      <c r="V37" s="38"/>
      <c r="W37" s="38"/>
      <c r="X37" s="38"/>
      <c r="Y37" s="35"/>
      <c r="Z37" s="35"/>
      <c r="AA37" s="35"/>
      <c r="AB37" s="35"/>
      <c r="AC37" s="35"/>
      <c r="AD37" s="35"/>
      <c r="AE37" s="33">
        <f t="shared" si="0"/>
        <v>0</v>
      </c>
    </row>
    <row r="38" spans="1:31">
      <c r="A38" s="19">
        <v>36</v>
      </c>
      <c r="B38" s="19" t="s">
        <v>74</v>
      </c>
      <c r="C38" s="22" t="s">
        <v>75</v>
      </c>
      <c r="D38" s="20"/>
      <c r="E38" s="20"/>
      <c r="F38" s="20"/>
      <c r="G38" s="21"/>
      <c r="H38" s="21"/>
      <c r="I38" s="21"/>
      <c r="J38" s="21"/>
      <c r="K38" s="21"/>
      <c r="L38" s="21"/>
      <c r="M38" s="35"/>
      <c r="N38" s="35"/>
      <c r="O38" s="35"/>
      <c r="P38" s="35"/>
      <c r="Q38" s="38"/>
      <c r="R38" s="38"/>
      <c r="S38" s="35"/>
      <c r="T38" s="35"/>
      <c r="U38" s="38"/>
      <c r="V38" s="38"/>
      <c r="W38" s="38"/>
      <c r="X38" s="38"/>
      <c r="Y38" s="35"/>
      <c r="Z38" s="35"/>
      <c r="AA38" s="35"/>
      <c r="AB38" s="35"/>
      <c r="AC38" s="35"/>
      <c r="AD38" s="35"/>
      <c r="AE38" s="33">
        <f t="shared" si="0"/>
        <v>0</v>
      </c>
    </row>
    <row r="39" spans="1:31">
      <c r="A39" s="19">
        <v>37</v>
      </c>
      <c r="B39" s="19" t="s">
        <v>76</v>
      </c>
      <c r="C39" s="19" t="s">
        <v>77</v>
      </c>
      <c r="D39" s="20"/>
      <c r="E39" s="20"/>
      <c r="F39" s="20"/>
      <c r="G39" s="21"/>
      <c r="H39" s="21"/>
      <c r="I39" s="21"/>
      <c r="J39" s="21"/>
      <c r="K39" s="21"/>
      <c r="L39" s="21"/>
      <c r="M39" s="35"/>
      <c r="N39" s="35"/>
      <c r="O39" s="35"/>
      <c r="P39" s="35"/>
      <c r="Q39" s="38"/>
      <c r="R39" s="38"/>
      <c r="S39" s="35">
        <v>20000</v>
      </c>
      <c r="T39" s="35"/>
      <c r="U39" s="38"/>
      <c r="V39" s="38"/>
      <c r="W39" s="38"/>
      <c r="X39" s="38"/>
      <c r="Y39" s="35"/>
      <c r="Z39" s="35"/>
      <c r="AA39" s="35"/>
      <c r="AB39" s="35"/>
      <c r="AC39" s="35"/>
      <c r="AD39" s="35"/>
      <c r="AE39" s="33">
        <f t="shared" si="0"/>
        <v>0</v>
      </c>
    </row>
    <row r="40" spans="1:31">
      <c r="A40" s="19">
        <v>38</v>
      </c>
      <c r="B40" s="19">
        <v>1913010</v>
      </c>
      <c r="C40" s="19" t="s">
        <v>78</v>
      </c>
      <c r="D40" s="20"/>
      <c r="E40" s="20"/>
      <c r="F40" s="20"/>
      <c r="G40" s="21"/>
      <c r="H40" s="21"/>
      <c r="I40" s="21"/>
      <c r="J40" s="21"/>
      <c r="K40" s="21"/>
      <c r="L40" s="21"/>
      <c r="M40" s="35"/>
      <c r="N40" s="35"/>
      <c r="O40" s="35"/>
      <c r="P40" s="35"/>
      <c r="Q40" s="38"/>
      <c r="R40" s="38"/>
      <c r="S40" s="35"/>
      <c r="T40" s="35"/>
      <c r="U40" s="38"/>
      <c r="V40" s="38"/>
      <c r="W40" s="38"/>
      <c r="X40" s="38"/>
      <c r="Y40" s="35"/>
      <c r="Z40" s="35"/>
      <c r="AA40" s="35"/>
      <c r="AB40" s="35"/>
      <c r="AC40" s="35"/>
      <c r="AD40" s="35"/>
      <c r="AE40" s="33">
        <f t="shared" si="0"/>
        <v>0</v>
      </c>
    </row>
    <row r="41" spans="1:31">
      <c r="A41" s="19">
        <v>39</v>
      </c>
      <c r="B41" s="19">
        <v>1911101</v>
      </c>
      <c r="C41" s="19" t="s">
        <v>79</v>
      </c>
      <c r="D41" s="20"/>
      <c r="E41" s="20"/>
      <c r="F41" s="20"/>
      <c r="G41" s="21"/>
      <c r="H41" s="21"/>
      <c r="I41" s="21"/>
      <c r="J41" s="21"/>
      <c r="K41" s="21"/>
      <c r="L41" s="21"/>
      <c r="M41" s="35"/>
      <c r="N41" s="35"/>
      <c r="O41" s="35"/>
      <c r="P41" s="35"/>
      <c r="Q41" s="38"/>
      <c r="R41" s="38"/>
      <c r="S41" s="35"/>
      <c r="T41" s="35"/>
      <c r="U41" s="38"/>
      <c r="V41" s="38"/>
      <c r="W41" s="38"/>
      <c r="X41" s="38"/>
      <c r="Y41" s="35"/>
      <c r="Z41" s="35"/>
      <c r="AA41" s="35"/>
      <c r="AB41" s="35"/>
      <c r="AC41" s="35"/>
      <c r="AD41" s="35"/>
      <c r="AE41" s="33">
        <f t="shared" si="0"/>
        <v>0</v>
      </c>
    </row>
    <row r="42" spans="1:31">
      <c r="A42" s="19">
        <v>40</v>
      </c>
      <c r="B42" s="19">
        <v>1913717</v>
      </c>
      <c r="C42" s="19" t="s">
        <v>80</v>
      </c>
      <c r="D42" s="20"/>
      <c r="E42" s="20"/>
      <c r="F42" s="20"/>
      <c r="G42" s="21"/>
      <c r="H42" s="21"/>
      <c r="I42" s="21"/>
      <c r="J42" s="21"/>
      <c r="K42" s="21"/>
      <c r="L42" s="21"/>
      <c r="M42" s="35"/>
      <c r="N42" s="35"/>
      <c r="O42" s="35"/>
      <c r="P42" s="35"/>
      <c r="Q42" s="38"/>
      <c r="R42" s="38"/>
      <c r="S42" s="35">
        <v>29100</v>
      </c>
      <c r="T42" s="39">
        <v>900</v>
      </c>
      <c r="U42" s="38"/>
      <c r="V42" s="38"/>
      <c r="W42" s="38"/>
      <c r="X42" s="38"/>
      <c r="Y42" s="35"/>
      <c r="Z42" s="35"/>
      <c r="AA42" s="35"/>
      <c r="AB42" s="35"/>
      <c r="AC42" s="35"/>
      <c r="AD42" s="35"/>
      <c r="AE42" s="33">
        <f t="shared" si="0"/>
        <v>0</v>
      </c>
    </row>
    <row r="43" spans="1:31">
      <c r="A43" s="19">
        <v>41</v>
      </c>
      <c r="B43" s="19">
        <v>1937002</v>
      </c>
      <c r="C43" s="19" t="s">
        <v>81</v>
      </c>
      <c r="D43" s="20"/>
      <c r="E43" s="20"/>
      <c r="F43" s="20"/>
      <c r="G43" s="21"/>
      <c r="H43" s="21"/>
      <c r="I43" s="21"/>
      <c r="J43" s="21"/>
      <c r="K43" s="21"/>
      <c r="L43" s="21"/>
      <c r="M43" s="35"/>
      <c r="N43" s="35"/>
      <c r="O43" s="35"/>
      <c r="P43" s="35"/>
      <c r="Q43" s="38"/>
      <c r="R43" s="38"/>
      <c r="S43" s="35"/>
      <c r="T43" s="35"/>
      <c r="U43" s="38"/>
      <c r="V43" s="38"/>
      <c r="W43" s="38"/>
      <c r="X43" s="38"/>
      <c r="Y43" s="35"/>
      <c r="Z43" s="35"/>
      <c r="AA43" s="35"/>
      <c r="AB43" s="35"/>
      <c r="AC43" s="35"/>
      <c r="AD43" s="35"/>
      <c r="AE43" s="33">
        <f t="shared" si="0"/>
        <v>0</v>
      </c>
    </row>
    <row r="44" spans="1:31">
      <c r="A44" s="19">
        <v>42</v>
      </c>
      <c r="B44" s="19" t="s">
        <v>82</v>
      </c>
      <c r="C44" s="19" t="s">
        <v>83</v>
      </c>
      <c r="D44" s="20"/>
      <c r="E44" s="20"/>
      <c r="F44" s="20"/>
      <c r="G44" s="21"/>
      <c r="H44" s="21"/>
      <c r="I44" s="21"/>
      <c r="J44" s="21"/>
      <c r="K44" s="21"/>
      <c r="L44" s="21"/>
      <c r="M44" s="35"/>
      <c r="N44" s="35"/>
      <c r="O44" s="35"/>
      <c r="P44" s="35"/>
      <c r="Q44" s="38"/>
      <c r="R44" s="38"/>
      <c r="S44" s="35"/>
      <c r="T44" s="35"/>
      <c r="U44" s="38"/>
      <c r="V44" s="38"/>
      <c r="W44" s="38"/>
      <c r="X44" s="38"/>
      <c r="Y44" s="35"/>
      <c r="Z44" s="35"/>
      <c r="AA44" s="35"/>
      <c r="AB44" s="35"/>
      <c r="AC44" s="35"/>
      <c r="AD44" s="35"/>
      <c r="AE44" s="33">
        <f t="shared" si="0"/>
        <v>0</v>
      </c>
    </row>
    <row r="45" spans="1:31">
      <c r="A45" s="19">
        <v>43</v>
      </c>
      <c r="B45" s="19" t="s">
        <v>84</v>
      </c>
      <c r="C45" s="19" t="s">
        <v>85</v>
      </c>
      <c r="D45" s="20"/>
      <c r="E45" s="20"/>
      <c r="F45" s="20"/>
      <c r="G45" s="21"/>
      <c r="H45" s="21"/>
      <c r="I45" s="21"/>
      <c r="J45" s="21"/>
      <c r="K45" s="21"/>
      <c r="L45" s="21"/>
      <c r="M45" s="35"/>
      <c r="N45" s="35"/>
      <c r="O45" s="35"/>
      <c r="P45" s="35"/>
      <c r="Q45" s="38"/>
      <c r="R45" s="38"/>
      <c r="S45" s="35"/>
      <c r="T45" s="35"/>
      <c r="U45" s="38"/>
      <c r="V45" s="38"/>
      <c r="W45" s="38"/>
      <c r="X45" s="38"/>
      <c r="Y45" s="35"/>
      <c r="Z45" s="35"/>
      <c r="AA45" s="35"/>
      <c r="AB45" s="35"/>
      <c r="AC45" s="35"/>
      <c r="AD45" s="35"/>
      <c r="AE45" s="33">
        <f t="shared" si="0"/>
        <v>0</v>
      </c>
    </row>
    <row r="46" spans="1:31">
      <c r="A46" s="19">
        <v>45</v>
      </c>
      <c r="B46" s="19" t="s">
        <v>86</v>
      </c>
      <c r="C46" s="19" t="s">
        <v>87</v>
      </c>
      <c r="D46" s="20"/>
      <c r="E46" s="20"/>
      <c r="F46" s="20"/>
      <c r="G46" s="21"/>
      <c r="H46" s="21"/>
      <c r="I46" s="21"/>
      <c r="J46" s="21"/>
      <c r="K46" s="21"/>
      <c r="L46" s="21"/>
      <c r="M46" s="35"/>
      <c r="N46" s="35"/>
      <c r="O46" s="35"/>
      <c r="P46" s="35"/>
      <c r="Q46" s="38"/>
      <c r="R46" s="38"/>
      <c r="S46" s="35"/>
      <c r="T46" s="35"/>
      <c r="U46" s="38"/>
      <c r="V46" s="38"/>
      <c r="W46" s="38"/>
      <c r="X46" s="38"/>
      <c r="Y46" s="35"/>
      <c r="Z46" s="35"/>
      <c r="AA46" s="35"/>
      <c r="AB46" s="35"/>
      <c r="AC46" s="35"/>
      <c r="AD46" s="35"/>
      <c r="AE46" s="33">
        <f t="shared" si="0"/>
        <v>0</v>
      </c>
    </row>
    <row r="47" spans="1:31">
      <c r="A47" s="19">
        <v>46</v>
      </c>
      <c r="B47" s="19" t="s">
        <v>88</v>
      </c>
      <c r="C47" s="19" t="s">
        <v>89</v>
      </c>
      <c r="D47" s="20"/>
      <c r="E47" s="20"/>
      <c r="F47" s="20"/>
      <c r="G47" s="21"/>
      <c r="H47" s="21"/>
      <c r="I47" s="21"/>
      <c r="J47" s="21"/>
      <c r="K47" s="21"/>
      <c r="L47" s="21"/>
      <c r="M47" s="35"/>
      <c r="N47" s="35"/>
      <c r="O47" s="35"/>
      <c r="P47" s="35"/>
      <c r="Q47" s="38"/>
      <c r="R47" s="38"/>
      <c r="S47" s="35"/>
      <c r="T47" s="35"/>
      <c r="U47" s="38"/>
      <c r="V47" s="38"/>
      <c r="W47" s="38"/>
      <c r="X47" s="38"/>
      <c r="Y47" s="35"/>
      <c r="Z47" s="35"/>
      <c r="AA47" s="35"/>
      <c r="AB47" s="35"/>
      <c r="AC47" s="35"/>
      <c r="AD47" s="35"/>
      <c r="AE47" s="33">
        <f t="shared" si="0"/>
        <v>0</v>
      </c>
    </row>
    <row r="48" spans="1:31">
      <c r="A48" s="19">
        <v>47</v>
      </c>
      <c r="B48" s="19" t="s">
        <v>90</v>
      </c>
      <c r="C48" s="19" t="s">
        <v>91</v>
      </c>
      <c r="D48" s="20"/>
      <c r="E48" s="20"/>
      <c r="F48" s="20"/>
      <c r="G48" s="21"/>
      <c r="H48" s="21"/>
      <c r="I48" s="21"/>
      <c r="J48" s="21"/>
      <c r="K48" s="21"/>
      <c r="L48" s="21"/>
      <c r="M48" s="35"/>
      <c r="N48" s="35"/>
      <c r="O48" s="35"/>
      <c r="P48" s="35"/>
      <c r="Q48" s="38"/>
      <c r="R48" s="38"/>
      <c r="S48" s="35"/>
      <c r="T48" s="35"/>
      <c r="U48" s="38"/>
      <c r="V48" s="38"/>
      <c r="W48" s="38"/>
      <c r="X48" s="38"/>
      <c r="Y48" s="35"/>
      <c r="Z48" s="35"/>
      <c r="AA48" s="35"/>
      <c r="AB48" s="35"/>
      <c r="AC48" s="35"/>
      <c r="AD48" s="35"/>
      <c r="AE48" s="33">
        <f t="shared" si="0"/>
        <v>0</v>
      </c>
    </row>
    <row r="49" spans="1:31">
      <c r="A49" s="19">
        <v>48</v>
      </c>
      <c r="B49" s="19" t="s">
        <v>92</v>
      </c>
      <c r="C49" s="19" t="s">
        <v>93</v>
      </c>
      <c r="D49" s="20"/>
      <c r="E49" s="20"/>
      <c r="F49" s="20"/>
      <c r="G49" s="21"/>
      <c r="H49" s="21"/>
      <c r="I49" s="21"/>
      <c r="J49" s="21"/>
      <c r="K49" s="21"/>
      <c r="L49" s="21"/>
      <c r="M49" s="35"/>
      <c r="N49" s="35"/>
      <c r="O49" s="35"/>
      <c r="P49" s="35"/>
      <c r="Q49" s="38"/>
      <c r="R49" s="38"/>
      <c r="S49" s="35"/>
      <c r="T49" s="35"/>
      <c r="U49" s="38"/>
      <c r="V49" s="38"/>
      <c r="W49" s="38"/>
      <c r="X49" s="38"/>
      <c r="Y49" s="35"/>
      <c r="Z49" s="35"/>
      <c r="AA49" s="35"/>
      <c r="AB49" s="35"/>
      <c r="AC49" s="35"/>
      <c r="AD49" s="35"/>
      <c r="AE49" s="33">
        <f t="shared" si="0"/>
        <v>0</v>
      </c>
    </row>
    <row r="50" spans="1:31">
      <c r="A50" s="19">
        <v>49</v>
      </c>
      <c r="B50" s="19" t="s">
        <v>94</v>
      </c>
      <c r="C50" s="19" t="s">
        <v>95</v>
      </c>
      <c r="D50" s="24"/>
      <c r="E50" s="24"/>
      <c r="F50" s="24"/>
      <c r="G50" s="25"/>
      <c r="H50" s="25"/>
      <c r="I50" s="36"/>
      <c r="J50" s="21"/>
      <c r="K50" s="36"/>
      <c r="L50" s="36"/>
      <c r="M50" s="35"/>
      <c r="N50" s="35"/>
      <c r="O50" s="35"/>
      <c r="P50" s="35"/>
      <c r="Q50" s="38"/>
      <c r="R50" s="38"/>
      <c r="S50" s="35"/>
      <c r="T50" s="35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3">
        <f t="shared" si="0"/>
        <v>0</v>
      </c>
    </row>
    <row r="51" spans="1:31">
      <c r="A51" s="19">
        <v>50</v>
      </c>
      <c r="B51" s="26" t="s">
        <v>100</v>
      </c>
      <c r="C51" s="26" t="s">
        <v>101</v>
      </c>
      <c r="D51" s="24"/>
      <c r="E51" s="24"/>
      <c r="F51" s="24"/>
      <c r="G51" s="25"/>
      <c r="H51" s="25"/>
      <c r="I51" s="36"/>
      <c r="J51" s="21"/>
      <c r="K51" s="36"/>
      <c r="L51" s="36"/>
      <c r="M51" s="35"/>
      <c r="N51" s="35"/>
      <c r="O51" s="35"/>
      <c r="P51" s="35"/>
      <c r="Q51" s="38"/>
      <c r="R51" s="38"/>
      <c r="S51" s="35">
        <v>52000</v>
      </c>
      <c r="T51" s="35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3">
        <f t="shared" si="0"/>
        <v>0</v>
      </c>
    </row>
    <row r="52" spans="1:31">
      <c r="A52" s="19">
        <v>51</v>
      </c>
      <c r="B52" s="27" t="s">
        <v>98</v>
      </c>
      <c r="C52" s="27" t="s">
        <v>99</v>
      </c>
      <c r="D52" s="24"/>
      <c r="E52" s="24"/>
      <c r="F52" s="24"/>
      <c r="G52" s="25"/>
      <c r="H52" s="25"/>
      <c r="I52" s="36"/>
      <c r="J52" s="21"/>
      <c r="K52" s="36"/>
      <c r="L52" s="36"/>
      <c r="M52" s="35"/>
      <c r="N52" s="35"/>
      <c r="O52" s="35"/>
      <c r="P52" s="35"/>
      <c r="Q52" s="38"/>
      <c r="R52" s="38"/>
      <c r="S52" s="35"/>
      <c r="T52" s="35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3"/>
    </row>
    <row r="53" spans="1:31">
      <c r="A53" s="19">
        <v>52</v>
      </c>
      <c r="B53" s="19" t="s">
        <v>96</v>
      </c>
      <c r="C53" s="19" t="s">
        <v>97</v>
      </c>
      <c r="D53" s="24"/>
      <c r="E53" s="24"/>
      <c r="F53" s="24"/>
      <c r="G53" s="25"/>
      <c r="H53" s="25"/>
      <c r="I53" s="36"/>
      <c r="J53" s="21">
        <v>19000</v>
      </c>
      <c r="K53" s="36">
        <v>1000</v>
      </c>
      <c r="L53" s="36"/>
      <c r="M53" s="35"/>
      <c r="N53" s="35"/>
      <c r="O53" s="35"/>
      <c r="P53" s="35"/>
      <c r="Q53" s="38"/>
      <c r="R53" s="38"/>
      <c r="S53" s="38"/>
      <c r="T53" s="38"/>
      <c r="U53" s="38"/>
      <c r="V53" s="35">
        <v>19400</v>
      </c>
      <c r="W53" s="35">
        <v>600</v>
      </c>
      <c r="X53" s="38"/>
      <c r="Y53" s="38"/>
      <c r="Z53" s="38"/>
      <c r="AA53" s="38"/>
      <c r="AB53" s="38"/>
      <c r="AC53" s="38"/>
      <c r="AD53" s="38"/>
      <c r="AE53" s="33">
        <f>SUM(S53:AA53)</f>
        <v>20000</v>
      </c>
    </row>
    <row r="54" spans="1:31">
      <c r="A54" s="28" t="s">
        <v>102</v>
      </c>
      <c r="B54" s="29"/>
      <c r="C54" s="30"/>
      <c r="D54" s="31">
        <f>SUM(D3:D50)</f>
        <v>485000</v>
      </c>
      <c r="E54" s="31">
        <f t="shared" ref="E54:L54" si="1">SUM(E3:E50)</f>
        <v>15000</v>
      </c>
      <c r="F54" s="31">
        <f t="shared" si="1"/>
        <v>3000</v>
      </c>
      <c r="G54" s="32">
        <f t="shared" si="1"/>
        <v>2205100</v>
      </c>
      <c r="H54" s="32">
        <f t="shared" si="1"/>
        <v>23400</v>
      </c>
      <c r="I54" s="32">
        <f t="shared" si="1"/>
        <v>3000</v>
      </c>
      <c r="J54" s="32">
        <f t="shared" si="1"/>
        <v>6614580</v>
      </c>
      <c r="K54" s="37">
        <f t="shared" si="1"/>
        <v>277100</v>
      </c>
      <c r="L54" s="37">
        <f t="shared" si="1"/>
        <v>3000</v>
      </c>
      <c r="M54" s="37">
        <f t="shared" ref="M54:AE54" si="2">SUM(M3:M53)</f>
        <v>3951500</v>
      </c>
      <c r="N54" s="37">
        <f t="shared" si="2"/>
        <v>41300</v>
      </c>
      <c r="O54" s="37">
        <f t="shared" si="2"/>
        <v>3000</v>
      </c>
      <c r="P54" s="37">
        <f t="shared" si="2"/>
        <v>317728.85</v>
      </c>
      <c r="Q54" s="37">
        <f t="shared" si="2"/>
        <v>6000</v>
      </c>
      <c r="R54" s="37">
        <f t="shared" si="2"/>
        <v>1250</v>
      </c>
      <c r="S54" s="37">
        <f t="shared" si="2"/>
        <v>6420450</v>
      </c>
      <c r="T54" s="37">
        <f t="shared" si="2"/>
        <v>136550</v>
      </c>
      <c r="U54" s="37">
        <f t="shared" si="2"/>
        <v>7752</v>
      </c>
      <c r="V54" s="37">
        <f t="shared" si="2"/>
        <v>618343.36</v>
      </c>
      <c r="W54" s="37">
        <f t="shared" si="2"/>
        <v>5825.05</v>
      </c>
      <c r="X54" s="37">
        <f t="shared" si="2"/>
        <v>3000</v>
      </c>
      <c r="Y54" s="37">
        <f t="shared" si="2"/>
        <v>4564380</v>
      </c>
      <c r="Z54" s="37">
        <f t="shared" si="2"/>
        <v>5550</v>
      </c>
      <c r="AA54" s="37">
        <f t="shared" si="2"/>
        <v>3000</v>
      </c>
      <c r="AB54" s="37">
        <f t="shared" si="2"/>
        <v>3100000</v>
      </c>
      <c r="AC54" s="37">
        <f t="shared" si="2"/>
        <v>0</v>
      </c>
      <c r="AD54" s="37">
        <f t="shared" si="2"/>
        <v>0</v>
      </c>
      <c r="AE54" s="33">
        <f t="shared" si="2"/>
        <v>8250098.41</v>
      </c>
    </row>
    <row r="55" spans="1:16">
      <c r="A55" s="33"/>
      <c r="B55" s="33"/>
      <c r="C55" s="33"/>
      <c r="D55" s="33"/>
      <c r="E55" s="33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3"/>
    </row>
    <row r="59" spans="7:7">
      <c r="G59" s="10">
        <f>SUM(G54:O54)</f>
        <v>13121980</v>
      </c>
    </row>
    <row r="61" spans="7:7">
      <c r="G61" s="10">
        <f>G59-G27-J27-K27</f>
        <v>12893480</v>
      </c>
    </row>
  </sheetData>
  <mergeCells count="5">
    <mergeCell ref="D1:R1"/>
    <mergeCell ref="A54:C54"/>
    <mergeCell ref="A1:A2"/>
    <mergeCell ref="B1:B2"/>
    <mergeCell ref="C1:C2"/>
  </mergeCells>
  <pageMargins left="0.75" right="0.75" top="1" bottom="1" header="0.511805555555556" footer="0.511805555555556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opLeftCell="A19" workbookViewId="0">
      <selection activeCell="M19" sqref="M$1:M$1048576"/>
    </sheetView>
  </sheetViews>
  <sheetFormatPr defaultColWidth="9" defaultRowHeight="13.5"/>
  <cols>
    <col min="1" max="1" width="9.375" style="1" customWidth="1"/>
    <col min="2" max="2" width="23.125" style="1" customWidth="1"/>
    <col min="3" max="3" width="10.875" style="1" customWidth="1"/>
    <col min="4" max="4" width="9.375" style="1" customWidth="1"/>
    <col min="5" max="5" width="5.625" style="1" customWidth="1"/>
    <col min="6" max="6" width="5.5" style="1" customWidth="1"/>
    <col min="7" max="7" width="10.625" style="1" customWidth="1"/>
    <col min="8" max="8" width="8.125" style="1" customWidth="1"/>
    <col min="9" max="9" width="9.5" style="1" customWidth="1"/>
    <col min="10" max="11" width="10.875" style="1" customWidth="1"/>
    <col min="12" max="12" width="8.125" style="1" customWidth="1"/>
    <col min="13" max="13" width="9.5" style="1" customWidth="1"/>
    <col min="14" max="14" width="16.875" style="1" customWidth="1"/>
    <col min="15" max="15" width="11.5"/>
    <col min="16" max="16" width="10.375"/>
  </cols>
  <sheetData>
    <row r="1" spans="1:14">
      <c r="A1" s="2" t="s">
        <v>132</v>
      </c>
      <c r="B1" s="2" t="s">
        <v>5</v>
      </c>
      <c r="C1" s="3" t="s">
        <v>133</v>
      </c>
      <c r="D1" s="2" t="s">
        <v>134</v>
      </c>
      <c r="E1" s="2" t="s">
        <v>20</v>
      </c>
      <c r="F1" s="2" t="s">
        <v>135</v>
      </c>
      <c r="G1" s="2" t="s">
        <v>136</v>
      </c>
      <c r="H1" s="2" t="s">
        <v>137</v>
      </c>
      <c r="I1" s="3" t="s">
        <v>138</v>
      </c>
      <c r="J1" s="3" t="s">
        <v>139</v>
      </c>
      <c r="K1" s="3" t="s">
        <v>140</v>
      </c>
      <c r="L1" s="2" t="s">
        <v>137</v>
      </c>
      <c r="M1" s="3" t="s">
        <v>141</v>
      </c>
      <c r="N1" s="2" t="s">
        <v>142</v>
      </c>
    </row>
    <row r="2" spans="1:16">
      <c r="A2" s="4" t="s">
        <v>143</v>
      </c>
      <c r="B2" s="4" t="s">
        <v>79</v>
      </c>
      <c r="C2" s="5">
        <v>43008</v>
      </c>
      <c r="D2" s="4" t="s">
        <v>144</v>
      </c>
      <c r="E2" s="4" t="s">
        <v>145</v>
      </c>
      <c r="F2" s="4" t="s">
        <v>146</v>
      </c>
      <c r="G2" s="4" t="s">
        <v>147</v>
      </c>
      <c r="H2" s="4" t="s">
        <v>148</v>
      </c>
      <c r="I2" s="8">
        <v>2360</v>
      </c>
      <c r="J2" s="8">
        <v>2289.2</v>
      </c>
      <c r="K2" s="8">
        <v>0</v>
      </c>
      <c r="L2" s="4" t="s">
        <v>148</v>
      </c>
      <c r="M2" s="8">
        <v>70.8</v>
      </c>
      <c r="N2" s="4" t="s">
        <v>149</v>
      </c>
      <c r="O2">
        <f>VLOOKUP(B:B,'月度付款 '!C:E,3,0)</f>
        <v>70.8</v>
      </c>
      <c r="P2">
        <f>M2-O2</f>
        <v>0</v>
      </c>
    </row>
    <row r="3" spans="1:16">
      <c r="A3" s="4" t="s">
        <v>150</v>
      </c>
      <c r="B3" s="4" t="s">
        <v>33</v>
      </c>
      <c r="C3" s="5">
        <v>43736</v>
      </c>
      <c r="D3" s="4" t="s">
        <v>151</v>
      </c>
      <c r="E3" s="4" t="s">
        <v>145</v>
      </c>
      <c r="F3" s="4" t="s">
        <v>146</v>
      </c>
      <c r="G3" s="4" t="s">
        <v>147</v>
      </c>
      <c r="H3" s="4" t="s">
        <v>148</v>
      </c>
      <c r="I3" s="8">
        <v>392249.14</v>
      </c>
      <c r="J3" s="8">
        <v>0</v>
      </c>
      <c r="K3" s="8">
        <v>0</v>
      </c>
      <c r="L3" s="4" t="s">
        <v>148</v>
      </c>
      <c r="M3" s="8">
        <v>392249.14</v>
      </c>
      <c r="N3" s="4" t="s">
        <v>147</v>
      </c>
      <c r="O3">
        <f>VLOOKUP(B:B,'月度付款 '!C:E,3,0)</f>
        <v>392249.14</v>
      </c>
      <c r="P3">
        <f t="shared" ref="P3:P45" si="0">M3-O3</f>
        <v>0</v>
      </c>
    </row>
    <row r="4" spans="1:16">
      <c r="A4" s="4" t="s">
        <v>152</v>
      </c>
      <c r="B4" s="4" t="s">
        <v>35</v>
      </c>
      <c r="C4" s="5">
        <v>43455</v>
      </c>
      <c r="D4" s="4" t="s">
        <v>153</v>
      </c>
      <c r="E4" s="4" t="s">
        <v>145</v>
      </c>
      <c r="F4" s="4" t="s">
        <v>154</v>
      </c>
      <c r="G4" s="4" t="s">
        <v>155</v>
      </c>
      <c r="H4" s="4" t="s">
        <v>148</v>
      </c>
      <c r="I4" s="8">
        <v>35153.29</v>
      </c>
      <c r="J4" s="8">
        <v>0</v>
      </c>
      <c r="K4" s="8">
        <v>6446.1</v>
      </c>
      <c r="L4" s="4" t="s">
        <v>148</v>
      </c>
      <c r="M4" s="8">
        <v>41599.39</v>
      </c>
      <c r="N4" s="4" t="s">
        <v>156</v>
      </c>
      <c r="O4">
        <f>VLOOKUP(B:B,'月度付款 '!C:E,3,0)</f>
        <v>41599.39</v>
      </c>
      <c r="P4">
        <f t="shared" si="0"/>
        <v>0</v>
      </c>
    </row>
    <row r="5" spans="1:16">
      <c r="A5" s="6" t="s">
        <v>157</v>
      </c>
      <c r="B5" s="6" t="s">
        <v>38</v>
      </c>
      <c r="C5" s="7">
        <v>42895</v>
      </c>
      <c r="D5" s="6" t="s">
        <v>158</v>
      </c>
      <c r="E5" s="6" t="s">
        <v>145</v>
      </c>
      <c r="F5" s="6" t="s">
        <v>154</v>
      </c>
      <c r="G5" s="6" t="s">
        <v>159</v>
      </c>
      <c r="H5" s="6" t="s">
        <v>160</v>
      </c>
      <c r="I5" s="9">
        <v>0</v>
      </c>
      <c r="J5" s="9">
        <v>0</v>
      </c>
      <c r="K5" s="9">
        <v>8666.5</v>
      </c>
      <c r="L5" s="6" t="s">
        <v>148</v>
      </c>
      <c r="M5" s="9">
        <v>8666.5</v>
      </c>
      <c r="N5" s="6" t="s">
        <v>156</v>
      </c>
      <c r="O5">
        <f>VLOOKUP(B:B,'月度付款 '!C:E,3,0)</f>
        <v>8666.5</v>
      </c>
      <c r="P5">
        <f t="shared" si="0"/>
        <v>0</v>
      </c>
    </row>
    <row r="6" spans="1:16">
      <c r="A6" s="4" t="s">
        <v>161</v>
      </c>
      <c r="B6" s="4" t="s">
        <v>39</v>
      </c>
      <c r="C6" s="5">
        <v>43738</v>
      </c>
      <c r="D6" s="4" t="s">
        <v>162</v>
      </c>
      <c r="E6" s="4" t="s">
        <v>145</v>
      </c>
      <c r="F6" s="4" t="s">
        <v>154</v>
      </c>
      <c r="G6" s="4" t="s">
        <v>163</v>
      </c>
      <c r="H6" s="4" t="s">
        <v>148</v>
      </c>
      <c r="I6" s="8">
        <v>248932.31</v>
      </c>
      <c r="J6" s="8">
        <v>0</v>
      </c>
      <c r="K6" s="8">
        <v>36504.63</v>
      </c>
      <c r="L6" s="4" t="s">
        <v>148</v>
      </c>
      <c r="M6" s="8">
        <v>285436.94</v>
      </c>
      <c r="N6" s="4" t="s">
        <v>147</v>
      </c>
      <c r="O6">
        <f>VLOOKUP(B:B,'月度付款 '!C:E,3,0)</f>
        <v>285436.94</v>
      </c>
      <c r="P6">
        <f t="shared" si="0"/>
        <v>0</v>
      </c>
    </row>
    <row r="7" spans="1:16">
      <c r="A7" s="6" t="s">
        <v>164</v>
      </c>
      <c r="B7" s="6" t="s">
        <v>40</v>
      </c>
      <c r="C7" s="7">
        <v>43738</v>
      </c>
      <c r="D7" s="6" t="s">
        <v>165</v>
      </c>
      <c r="E7" s="6" t="s">
        <v>145</v>
      </c>
      <c r="F7" s="6" t="s">
        <v>154</v>
      </c>
      <c r="G7" s="6" t="s">
        <v>147</v>
      </c>
      <c r="H7" s="6" t="s">
        <v>148</v>
      </c>
      <c r="I7" s="9">
        <v>2550734.23</v>
      </c>
      <c r="J7" s="9">
        <v>0</v>
      </c>
      <c r="K7" s="9">
        <v>431245.99</v>
      </c>
      <c r="L7" s="6" t="s">
        <v>148</v>
      </c>
      <c r="M7" s="9">
        <v>2981980.22</v>
      </c>
      <c r="N7" s="6" t="s">
        <v>147</v>
      </c>
      <c r="O7">
        <f>VLOOKUP(B:B,'月度付款 '!C:E,3,0)</f>
        <v>2981980.22</v>
      </c>
      <c r="P7">
        <f t="shared" si="0"/>
        <v>0</v>
      </c>
    </row>
    <row r="8" spans="1:16">
      <c r="A8" s="6" t="s">
        <v>166</v>
      </c>
      <c r="B8" s="6" t="s">
        <v>41</v>
      </c>
      <c r="C8" s="7">
        <v>43738</v>
      </c>
      <c r="D8" s="6" t="s">
        <v>167</v>
      </c>
      <c r="E8" s="6" t="s">
        <v>145</v>
      </c>
      <c r="F8" s="6" t="s">
        <v>154</v>
      </c>
      <c r="G8" s="6" t="s">
        <v>147</v>
      </c>
      <c r="H8" s="6" t="s">
        <v>148</v>
      </c>
      <c r="I8" s="9">
        <v>3079648.86</v>
      </c>
      <c r="J8" s="9">
        <v>0</v>
      </c>
      <c r="K8" s="9">
        <v>436247.4</v>
      </c>
      <c r="L8" s="6" t="s">
        <v>148</v>
      </c>
      <c r="M8" s="9">
        <v>3515896.26</v>
      </c>
      <c r="N8" s="6" t="s">
        <v>147</v>
      </c>
      <c r="O8">
        <f>VLOOKUP(B:B,'月度付款 '!C:E,3,0)</f>
        <v>3515896.26</v>
      </c>
      <c r="P8">
        <f t="shared" si="0"/>
        <v>0</v>
      </c>
    </row>
    <row r="9" spans="1:16">
      <c r="A9" s="4" t="s">
        <v>168</v>
      </c>
      <c r="B9" s="4" t="s">
        <v>78</v>
      </c>
      <c r="C9" s="5">
        <v>43609</v>
      </c>
      <c r="D9" s="4" t="s">
        <v>169</v>
      </c>
      <c r="E9" s="4" t="s">
        <v>145</v>
      </c>
      <c r="F9" s="4" t="s">
        <v>154</v>
      </c>
      <c r="G9" s="4" t="s">
        <v>170</v>
      </c>
      <c r="H9" s="4" t="s">
        <v>148</v>
      </c>
      <c r="I9" s="8">
        <v>393.8</v>
      </c>
      <c r="J9" s="8">
        <v>0</v>
      </c>
      <c r="K9" s="8">
        <v>1721.37</v>
      </c>
      <c r="L9" s="4" t="s">
        <v>148</v>
      </c>
      <c r="M9" s="8">
        <v>2115.17</v>
      </c>
      <c r="N9" s="4" t="s">
        <v>171</v>
      </c>
      <c r="O9">
        <f>VLOOKUP(B:B,'月度付款 '!C:E,3,0)</f>
        <v>2115.17</v>
      </c>
      <c r="P9">
        <f t="shared" si="0"/>
        <v>0</v>
      </c>
    </row>
    <row r="10" spans="1:16">
      <c r="A10" s="4" t="s">
        <v>172</v>
      </c>
      <c r="B10" s="4" t="s">
        <v>42</v>
      </c>
      <c r="C10" s="5">
        <v>43738</v>
      </c>
      <c r="D10" s="4" t="s">
        <v>173</v>
      </c>
      <c r="E10" s="4" t="s">
        <v>145</v>
      </c>
      <c r="F10" s="4" t="s">
        <v>154</v>
      </c>
      <c r="G10" s="4" t="s">
        <v>147</v>
      </c>
      <c r="H10" s="4" t="s">
        <v>148</v>
      </c>
      <c r="I10" s="8">
        <v>1642606.14</v>
      </c>
      <c r="J10" s="8">
        <v>0</v>
      </c>
      <c r="K10" s="8">
        <v>-948</v>
      </c>
      <c r="L10" s="4" t="s">
        <v>148</v>
      </c>
      <c r="M10" s="8">
        <v>1641658.14</v>
      </c>
      <c r="N10" s="4" t="s">
        <v>174</v>
      </c>
      <c r="O10">
        <f>VLOOKUP(B:B,'月度付款 '!C:E,3,0)</f>
        <v>1641658.14</v>
      </c>
      <c r="P10">
        <f t="shared" si="0"/>
        <v>0</v>
      </c>
    </row>
    <row r="11" spans="1:16">
      <c r="A11" s="6" t="s">
        <v>175</v>
      </c>
      <c r="B11" s="6" t="s">
        <v>43</v>
      </c>
      <c r="C11" s="7">
        <v>43738</v>
      </c>
      <c r="D11" s="6" t="s">
        <v>176</v>
      </c>
      <c r="E11" s="6" t="s">
        <v>145</v>
      </c>
      <c r="F11" s="6" t="s">
        <v>154</v>
      </c>
      <c r="G11" s="6" t="s">
        <v>177</v>
      </c>
      <c r="H11" s="6" t="s">
        <v>148</v>
      </c>
      <c r="I11" s="9">
        <v>35704.66</v>
      </c>
      <c r="J11" s="9">
        <v>0</v>
      </c>
      <c r="K11" s="9">
        <v>2117.91</v>
      </c>
      <c r="L11" s="6" t="s">
        <v>148</v>
      </c>
      <c r="M11" s="9">
        <v>37822.57</v>
      </c>
      <c r="N11" s="6" t="s">
        <v>147</v>
      </c>
      <c r="O11">
        <f>VLOOKUP(B:B,'月度付款 '!C:E,3,0)</f>
        <v>37822.57</v>
      </c>
      <c r="P11">
        <f t="shared" si="0"/>
        <v>0</v>
      </c>
    </row>
    <row r="12" spans="1:16">
      <c r="A12" s="6" t="s">
        <v>44</v>
      </c>
      <c r="B12" s="6" t="s">
        <v>45</v>
      </c>
      <c r="C12" s="7">
        <v>43738</v>
      </c>
      <c r="D12" s="6" t="s">
        <v>178</v>
      </c>
      <c r="E12" s="6" t="s">
        <v>145</v>
      </c>
      <c r="F12" s="6" t="s">
        <v>146</v>
      </c>
      <c r="G12" s="6" t="s">
        <v>147</v>
      </c>
      <c r="H12" s="6" t="s">
        <v>148</v>
      </c>
      <c r="I12" s="9">
        <v>449868.46</v>
      </c>
      <c r="J12" s="9">
        <v>0</v>
      </c>
      <c r="K12" s="9">
        <v>0</v>
      </c>
      <c r="L12" s="6" t="s">
        <v>148</v>
      </c>
      <c r="M12" s="9">
        <v>449868.46</v>
      </c>
      <c r="N12" s="6" t="s">
        <v>147</v>
      </c>
      <c r="O12">
        <f>VLOOKUP(B:B,'月度付款 '!C:E,3,0)</f>
        <v>449868.46</v>
      </c>
      <c r="P12">
        <f t="shared" si="0"/>
        <v>0</v>
      </c>
    </row>
    <row r="13" spans="1:16">
      <c r="A13" s="4" t="s">
        <v>179</v>
      </c>
      <c r="B13" s="4" t="s">
        <v>46</v>
      </c>
      <c r="C13" s="5">
        <v>43676</v>
      </c>
      <c r="D13" s="4" t="s">
        <v>180</v>
      </c>
      <c r="E13" s="4" t="s">
        <v>145</v>
      </c>
      <c r="F13" s="4" t="s">
        <v>154</v>
      </c>
      <c r="G13" s="4" t="s">
        <v>181</v>
      </c>
      <c r="H13" s="4" t="s">
        <v>148</v>
      </c>
      <c r="I13" s="8">
        <v>57066.34</v>
      </c>
      <c r="J13" s="8">
        <v>0</v>
      </c>
      <c r="K13" s="8">
        <v>7412.24</v>
      </c>
      <c r="L13" s="4" t="s">
        <v>148</v>
      </c>
      <c r="M13" s="8">
        <v>64478.58</v>
      </c>
      <c r="N13" s="4" t="s">
        <v>182</v>
      </c>
      <c r="O13">
        <f>VLOOKUP(B:B,'月度付款 '!C:E,3,0)</f>
        <v>64478.58</v>
      </c>
      <c r="P13">
        <f t="shared" si="0"/>
        <v>0</v>
      </c>
    </row>
    <row r="14" spans="1:16">
      <c r="A14" s="6" t="s">
        <v>183</v>
      </c>
      <c r="B14" s="6" t="s">
        <v>47</v>
      </c>
      <c r="C14" s="7">
        <v>43373</v>
      </c>
      <c r="D14" s="6" t="s">
        <v>184</v>
      </c>
      <c r="E14" s="6" t="s">
        <v>145</v>
      </c>
      <c r="F14" s="6" t="s">
        <v>154</v>
      </c>
      <c r="G14" s="6" t="s">
        <v>185</v>
      </c>
      <c r="H14" s="6" t="s">
        <v>148</v>
      </c>
      <c r="I14" s="9">
        <v>48149.16</v>
      </c>
      <c r="J14" s="9">
        <v>0</v>
      </c>
      <c r="K14" s="9">
        <v>44694.93</v>
      </c>
      <c r="L14" s="6" t="s">
        <v>148</v>
      </c>
      <c r="M14" s="9">
        <v>92844.09</v>
      </c>
      <c r="N14" s="6" t="s">
        <v>186</v>
      </c>
      <c r="O14">
        <f>VLOOKUP(B:B,'月度付款 '!C:E,3,0)</f>
        <v>92844.09</v>
      </c>
      <c r="P14">
        <f t="shared" si="0"/>
        <v>0</v>
      </c>
    </row>
    <row r="15" spans="1:16">
      <c r="A15" s="4" t="s">
        <v>187</v>
      </c>
      <c r="B15" s="4" t="s">
        <v>48</v>
      </c>
      <c r="C15" s="5">
        <v>43738</v>
      </c>
      <c r="D15" s="4" t="s">
        <v>188</v>
      </c>
      <c r="E15" s="4" t="s">
        <v>145</v>
      </c>
      <c r="F15" s="4" t="s">
        <v>154</v>
      </c>
      <c r="G15" s="4" t="s">
        <v>189</v>
      </c>
      <c r="H15" s="4" t="s">
        <v>148</v>
      </c>
      <c r="I15" s="8">
        <v>736844.06</v>
      </c>
      <c r="J15" s="8">
        <v>0</v>
      </c>
      <c r="K15" s="8">
        <v>46391.39</v>
      </c>
      <c r="L15" s="4" t="s">
        <v>148</v>
      </c>
      <c r="M15" s="8">
        <v>783235.45</v>
      </c>
      <c r="N15" s="4" t="s">
        <v>147</v>
      </c>
      <c r="O15">
        <f>VLOOKUP(B:B,'月度付款 '!C:E,3,0)</f>
        <v>783235.45</v>
      </c>
      <c r="P15">
        <f t="shared" si="0"/>
        <v>0</v>
      </c>
    </row>
    <row r="16" spans="1:16">
      <c r="A16" s="4" t="s">
        <v>49</v>
      </c>
      <c r="B16" s="4" t="s">
        <v>50</v>
      </c>
      <c r="C16" s="5">
        <v>43738</v>
      </c>
      <c r="D16" s="4" t="s">
        <v>190</v>
      </c>
      <c r="E16" s="4" t="s">
        <v>145</v>
      </c>
      <c r="F16" s="4" t="s">
        <v>146</v>
      </c>
      <c r="G16" s="4" t="s">
        <v>147</v>
      </c>
      <c r="H16" s="4" t="s">
        <v>148</v>
      </c>
      <c r="I16" s="8">
        <v>510310.47</v>
      </c>
      <c r="J16" s="8">
        <v>0</v>
      </c>
      <c r="K16" s="8">
        <v>0</v>
      </c>
      <c r="L16" s="4" t="s">
        <v>148</v>
      </c>
      <c r="M16" s="8">
        <v>510310.47</v>
      </c>
      <c r="N16" s="4" t="s">
        <v>147</v>
      </c>
      <c r="O16">
        <f>VLOOKUP(B:B,'月度付款 '!C:E,3,0)</f>
        <v>510310.47</v>
      </c>
      <c r="P16">
        <f t="shared" si="0"/>
        <v>0</v>
      </c>
    </row>
    <row r="17" spans="1:16">
      <c r="A17" s="4" t="s">
        <v>191</v>
      </c>
      <c r="B17" s="4" t="s">
        <v>51</v>
      </c>
      <c r="C17" s="5">
        <v>43643</v>
      </c>
      <c r="D17" s="4" t="s">
        <v>192</v>
      </c>
      <c r="E17" s="4" t="s">
        <v>145</v>
      </c>
      <c r="F17" s="4" t="s">
        <v>154</v>
      </c>
      <c r="G17" s="4" t="s">
        <v>193</v>
      </c>
      <c r="H17" s="4" t="s">
        <v>148</v>
      </c>
      <c r="I17" s="8">
        <v>14525.3</v>
      </c>
      <c r="J17" s="8">
        <v>0</v>
      </c>
      <c r="K17" s="8">
        <v>4394.45</v>
      </c>
      <c r="L17" s="4" t="s">
        <v>148</v>
      </c>
      <c r="M17" s="8">
        <v>18919.75</v>
      </c>
      <c r="N17" s="4" t="s">
        <v>194</v>
      </c>
      <c r="O17">
        <f>VLOOKUP(B:B,'月度付款 '!C:E,3,0)</f>
        <v>18919.75</v>
      </c>
      <c r="P17">
        <f t="shared" si="0"/>
        <v>0</v>
      </c>
    </row>
    <row r="18" spans="1:16">
      <c r="A18" s="6" t="s">
        <v>195</v>
      </c>
      <c r="B18" s="6" t="s">
        <v>52</v>
      </c>
      <c r="C18" s="7">
        <v>43496</v>
      </c>
      <c r="D18" s="6" t="s">
        <v>196</v>
      </c>
      <c r="E18" s="6" t="s">
        <v>145</v>
      </c>
      <c r="F18" s="6" t="s">
        <v>146</v>
      </c>
      <c r="G18" s="6" t="s">
        <v>147</v>
      </c>
      <c r="H18" s="6" t="s">
        <v>148</v>
      </c>
      <c r="I18" s="9">
        <v>4168.41</v>
      </c>
      <c r="J18" s="9">
        <v>0</v>
      </c>
      <c r="K18" s="9">
        <v>0</v>
      </c>
      <c r="L18" s="6" t="s">
        <v>148</v>
      </c>
      <c r="M18" s="9">
        <v>4168.41</v>
      </c>
      <c r="N18" s="6" t="s">
        <v>197</v>
      </c>
      <c r="O18">
        <f>VLOOKUP(B:B,'月度付款 '!C:E,3,0)</f>
        <v>4168.41</v>
      </c>
      <c r="P18">
        <f t="shared" si="0"/>
        <v>0</v>
      </c>
    </row>
    <row r="19" spans="1:16">
      <c r="A19" s="4" t="s">
        <v>198</v>
      </c>
      <c r="B19" s="4" t="s">
        <v>53</v>
      </c>
      <c r="C19" s="5">
        <v>43738</v>
      </c>
      <c r="D19" s="4" t="s">
        <v>199</v>
      </c>
      <c r="E19" s="4" t="s">
        <v>145</v>
      </c>
      <c r="F19" s="4" t="s">
        <v>154</v>
      </c>
      <c r="G19" s="4" t="s">
        <v>147</v>
      </c>
      <c r="H19" s="4" t="s">
        <v>148</v>
      </c>
      <c r="I19" s="8">
        <v>556550.54</v>
      </c>
      <c r="J19" s="8">
        <v>0</v>
      </c>
      <c r="K19" s="8">
        <v>53907.21</v>
      </c>
      <c r="L19" s="4" t="s">
        <v>148</v>
      </c>
      <c r="M19" s="8">
        <v>610457.75</v>
      </c>
      <c r="N19" s="4" t="s">
        <v>147</v>
      </c>
      <c r="O19">
        <f>VLOOKUP(B:B,'月度付款 '!C:E,3,0)</f>
        <v>610457.75</v>
      </c>
      <c r="P19">
        <f t="shared" si="0"/>
        <v>0</v>
      </c>
    </row>
    <row r="20" spans="1:16">
      <c r="A20" s="4" t="s">
        <v>200</v>
      </c>
      <c r="B20" s="4" t="s">
        <v>54</v>
      </c>
      <c r="C20" s="5">
        <v>43738</v>
      </c>
      <c r="D20" s="4" t="s">
        <v>201</v>
      </c>
      <c r="E20" s="4" t="s">
        <v>145</v>
      </c>
      <c r="F20" s="4" t="s">
        <v>154</v>
      </c>
      <c r="G20" s="4" t="s">
        <v>202</v>
      </c>
      <c r="H20" s="4" t="s">
        <v>148</v>
      </c>
      <c r="I20" s="8">
        <v>116320.86</v>
      </c>
      <c r="J20" s="8">
        <v>0</v>
      </c>
      <c r="K20" s="8">
        <v>16770</v>
      </c>
      <c r="L20" s="4" t="s">
        <v>148</v>
      </c>
      <c r="M20" s="8">
        <v>133090.86</v>
      </c>
      <c r="N20" s="4" t="s">
        <v>147</v>
      </c>
      <c r="O20">
        <f>VLOOKUP(B:B,'月度付款 '!C:E,3,0)</f>
        <v>133090.86</v>
      </c>
      <c r="P20">
        <f t="shared" si="0"/>
        <v>0</v>
      </c>
    </row>
    <row r="21" spans="1:16">
      <c r="A21" s="6" t="s">
        <v>203</v>
      </c>
      <c r="B21" s="6" t="s">
        <v>55</v>
      </c>
      <c r="C21" s="7">
        <v>43738</v>
      </c>
      <c r="D21" s="6" t="s">
        <v>204</v>
      </c>
      <c r="E21" s="6" t="s">
        <v>145</v>
      </c>
      <c r="F21" s="6" t="s">
        <v>154</v>
      </c>
      <c r="G21" s="6" t="s">
        <v>147</v>
      </c>
      <c r="H21" s="6" t="s">
        <v>148</v>
      </c>
      <c r="I21" s="9">
        <v>532510.28</v>
      </c>
      <c r="J21" s="9">
        <v>0</v>
      </c>
      <c r="K21" s="9">
        <v>-240</v>
      </c>
      <c r="L21" s="6" t="s">
        <v>148</v>
      </c>
      <c r="M21" s="9">
        <v>532270.28</v>
      </c>
      <c r="N21" s="6" t="s">
        <v>174</v>
      </c>
      <c r="O21">
        <f>VLOOKUP(B:B,'月度付款 '!C:E,3,0)</f>
        <v>532270.28</v>
      </c>
      <c r="P21">
        <f t="shared" si="0"/>
        <v>0</v>
      </c>
    </row>
    <row r="22" spans="1:16">
      <c r="A22" s="4" t="s">
        <v>205</v>
      </c>
      <c r="B22" s="4" t="s">
        <v>56</v>
      </c>
      <c r="C22" s="5">
        <v>43738</v>
      </c>
      <c r="D22" s="4" t="s">
        <v>206</v>
      </c>
      <c r="E22" s="4" t="s">
        <v>145</v>
      </c>
      <c r="F22" s="4" t="s">
        <v>154</v>
      </c>
      <c r="G22" s="4" t="s">
        <v>207</v>
      </c>
      <c r="H22" s="4" t="s">
        <v>148</v>
      </c>
      <c r="I22" s="8">
        <v>3289.76</v>
      </c>
      <c r="J22" s="8">
        <v>0</v>
      </c>
      <c r="K22" s="8">
        <v>1130</v>
      </c>
      <c r="L22" s="4" t="s">
        <v>148</v>
      </c>
      <c r="M22" s="8">
        <v>4419.76</v>
      </c>
      <c r="N22" s="4" t="s">
        <v>147</v>
      </c>
      <c r="O22">
        <f>VLOOKUP(B:B,'月度付款 '!C:E,3,0)</f>
        <v>4419.76</v>
      </c>
      <c r="P22">
        <f t="shared" si="0"/>
        <v>0</v>
      </c>
    </row>
    <row r="23" spans="1:16">
      <c r="A23" s="6" t="s">
        <v>57</v>
      </c>
      <c r="B23" s="6" t="s">
        <v>58</v>
      </c>
      <c r="C23" s="7">
        <v>43738</v>
      </c>
      <c r="D23" s="6" t="s">
        <v>208</v>
      </c>
      <c r="E23" s="6" t="s">
        <v>145</v>
      </c>
      <c r="F23" s="6" t="s">
        <v>154</v>
      </c>
      <c r="G23" s="6" t="s">
        <v>209</v>
      </c>
      <c r="H23" s="6" t="s">
        <v>148</v>
      </c>
      <c r="I23" s="9">
        <v>251675.07</v>
      </c>
      <c r="J23" s="9">
        <v>0</v>
      </c>
      <c r="K23" s="9">
        <v>34584.53</v>
      </c>
      <c r="L23" s="6" t="s">
        <v>148</v>
      </c>
      <c r="M23" s="9">
        <v>286259.6</v>
      </c>
      <c r="N23" s="6" t="s">
        <v>147</v>
      </c>
      <c r="O23">
        <f>VLOOKUP(B:B,'月度付款 '!C:E,3,0)</f>
        <v>286259.6</v>
      </c>
      <c r="P23">
        <f t="shared" si="0"/>
        <v>0</v>
      </c>
    </row>
    <row r="24" spans="1:16">
      <c r="A24" s="6" t="s">
        <v>210</v>
      </c>
      <c r="B24" s="6" t="s">
        <v>59</v>
      </c>
      <c r="C24" s="7">
        <v>43736</v>
      </c>
      <c r="D24" s="6" t="s">
        <v>211</v>
      </c>
      <c r="E24" s="6" t="s">
        <v>145</v>
      </c>
      <c r="F24" s="6" t="s">
        <v>146</v>
      </c>
      <c r="G24" s="6" t="s">
        <v>147</v>
      </c>
      <c r="H24" s="6" t="s">
        <v>148</v>
      </c>
      <c r="I24" s="9">
        <v>532.5</v>
      </c>
      <c r="J24" s="9">
        <v>0</v>
      </c>
      <c r="K24" s="9">
        <v>0</v>
      </c>
      <c r="L24" s="6" t="s">
        <v>148</v>
      </c>
      <c r="M24" s="9">
        <v>532.5</v>
      </c>
      <c r="N24" s="6" t="s">
        <v>147</v>
      </c>
      <c r="O24">
        <f>VLOOKUP(B:B,'月度付款 '!C:E,3,0)</f>
        <v>532.5</v>
      </c>
      <c r="P24">
        <f t="shared" si="0"/>
        <v>0</v>
      </c>
    </row>
    <row r="25" spans="1:16">
      <c r="A25" s="4" t="s">
        <v>212</v>
      </c>
      <c r="B25" s="4" t="s">
        <v>60</v>
      </c>
      <c r="C25" s="5">
        <v>43738</v>
      </c>
      <c r="D25" s="4" t="s">
        <v>213</v>
      </c>
      <c r="E25" s="4" t="s">
        <v>145</v>
      </c>
      <c r="F25" s="4" t="s">
        <v>154</v>
      </c>
      <c r="G25" s="4" t="s">
        <v>147</v>
      </c>
      <c r="H25" s="4" t="s">
        <v>148</v>
      </c>
      <c r="I25" s="8">
        <v>5577503.57</v>
      </c>
      <c r="J25" s="8">
        <v>0</v>
      </c>
      <c r="K25" s="8">
        <v>-2400</v>
      </c>
      <c r="L25" s="4" t="s">
        <v>148</v>
      </c>
      <c r="M25" s="8">
        <v>5575103.57</v>
      </c>
      <c r="N25" s="4" t="s">
        <v>174</v>
      </c>
      <c r="O25">
        <f>VLOOKUP(B:B,'月度付款 '!C:E,3,0)</f>
        <v>5575103.57</v>
      </c>
      <c r="P25">
        <f t="shared" si="0"/>
        <v>0</v>
      </c>
    </row>
    <row r="26" spans="1:16">
      <c r="A26" s="6" t="s">
        <v>214</v>
      </c>
      <c r="B26" s="6" t="s">
        <v>80</v>
      </c>
      <c r="C26" s="7">
        <v>43738</v>
      </c>
      <c r="D26" s="6" t="s">
        <v>215</v>
      </c>
      <c r="E26" s="6" t="s">
        <v>145</v>
      </c>
      <c r="F26" s="6" t="s">
        <v>154</v>
      </c>
      <c r="G26" s="6" t="s">
        <v>216</v>
      </c>
      <c r="H26" s="6" t="s">
        <v>148</v>
      </c>
      <c r="I26" s="9">
        <v>15887.49</v>
      </c>
      <c r="J26" s="9">
        <v>0</v>
      </c>
      <c r="K26" s="9">
        <v>19825.87</v>
      </c>
      <c r="L26" s="6" t="s">
        <v>148</v>
      </c>
      <c r="M26" s="9">
        <v>35713.36</v>
      </c>
      <c r="N26" s="6" t="s">
        <v>147</v>
      </c>
      <c r="O26">
        <f>VLOOKUP(B:B,'月度付款 '!C:E,3,0)</f>
        <v>35713.36</v>
      </c>
      <c r="P26">
        <f t="shared" si="0"/>
        <v>0</v>
      </c>
    </row>
    <row r="27" spans="1:16">
      <c r="A27" s="6" t="s">
        <v>217</v>
      </c>
      <c r="B27" s="6" t="s">
        <v>63</v>
      </c>
      <c r="C27" s="7">
        <v>43738</v>
      </c>
      <c r="D27" s="6" t="s">
        <v>218</v>
      </c>
      <c r="E27" s="6" t="s">
        <v>145</v>
      </c>
      <c r="F27" s="6" t="s">
        <v>154</v>
      </c>
      <c r="G27" s="6" t="s">
        <v>219</v>
      </c>
      <c r="H27" s="6" t="s">
        <v>148</v>
      </c>
      <c r="I27" s="9">
        <v>2302673.1</v>
      </c>
      <c r="J27" s="9">
        <v>0</v>
      </c>
      <c r="K27" s="9">
        <v>383347.64</v>
      </c>
      <c r="L27" s="6" t="s">
        <v>148</v>
      </c>
      <c r="M27" s="9">
        <v>2686020.74</v>
      </c>
      <c r="N27" s="6" t="s">
        <v>147</v>
      </c>
      <c r="O27">
        <f>VLOOKUP(B:B,'月度付款 '!C:E,3,0)</f>
        <v>2686020.74</v>
      </c>
      <c r="P27">
        <f t="shared" si="0"/>
        <v>0</v>
      </c>
    </row>
    <row r="28" spans="1:16">
      <c r="A28" s="4" t="s">
        <v>220</v>
      </c>
      <c r="B28" s="4" t="s">
        <v>64</v>
      </c>
      <c r="C28" s="5">
        <v>43738</v>
      </c>
      <c r="D28" s="4" t="s">
        <v>221</v>
      </c>
      <c r="E28" s="4" t="s">
        <v>145</v>
      </c>
      <c r="F28" s="4" t="s">
        <v>154</v>
      </c>
      <c r="G28" s="4" t="s">
        <v>222</v>
      </c>
      <c r="H28" s="4" t="s">
        <v>148</v>
      </c>
      <c r="I28" s="8">
        <v>569333.44</v>
      </c>
      <c r="J28" s="8">
        <v>0</v>
      </c>
      <c r="K28" s="8">
        <v>122046.66</v>
      </c>
      <c r="L28" s="4" t="s">
        <v>148</v>
      </c>
      <c r="M28" s="8">
        <v>691380.1</v>
      </c>
      <c r="N28" s="4" t="s">
        <v>147</v>
      </c>
      <c r="O28">
        <f>VLOOKUP(B:B,'月度付款 '!C:E,3,0)</f>
        <v>691380.1</v>
      </c>
      <c r="P28">
        <f t="shared" si="0"/>
        <v>0</v>
      </c>
    </row>
    <row r="29" spans="1:16">
      <c r="A29" s="4" t="s">
        <v>96</v>
      </c>
      <c r="B29" s="4" t="s">
        <v>97</v>
      </c>
      <c r="C29" s="5">
        <v>43738</v>
      </c>
      <c r="D29" s="4" t="s">
        <v>223</v>
      </c>
      <c r="E29" s="4" t="s">
        <v>145</v>
      </c>
      <c r="F29" s="4" t="s">
        <v>154</v>
      </c>
      <c r="G29" s="4" t="s">
        <v>224</v>
      </c>
      <c r="H29" s="4" t="s">
        <v>148</v>
      </c>
      <c r="I29" s="8">
        <v>18450.93</v>
      </c>
      <c r="J29" s="8">
        <v>0</v>
      </c>
      <c r="K29" s="8">
        <v>73255.55</v>
      </c>
      <c r="L29" s="4" t="s">
        <v>148</v>
      </c>
      <c r="M29" s="8">
        <v>91706.48</v>
      </c>
      <c r="N29" s="4" t="s">
        <v>147</v>
      </c>
      <c r="O29">
        <f>VLOOKUP(B:B,'月度付款 '!C:E,3,0)</f>
        <v>91706.48</v>
      </c>
      <c r="P29">
        <f t="shared" si="0"/>
        <v>0</v>
      </c>
    </row>
    <row r="30" spans="1:16">
      <c r="A30" s="6" t="s">
        <v>225</v>
      </c>
      <c r="B30" s="6" t="s">
        <v>65</v>
      </c>
      <c r="C30" s="7">
        <v>43155</v>
      </c>
      <c r="D30" s="6" t="s">
        <v>226</v>
      </c>
      <c r="E30" s="6" t="s">
        <v>145</v>
      </c>
      <c r="F30" s="6" t="s">
        <v>146</v>
      </c>
      <c r="G30" s="6" t="s">
        <v>147</v>
      </c>
      <c r="H30" s="6" t="s">
        <v>148</v>
      </c>
      <c r="I30" s="9">
        <v>5530</v>
      </c>
      <c r="J30" s="9">
        <v>5000</v>
      </c>
      <c r="K30" s="9">
        <v>0</v>
      </c>
      <c r="L30" s="6" t="s">
        <v>148</v>
      </c>
      <c r="M30" s="9">
        <v>530</v>
      </c>
      <c r="N30" s="6" t="s">
        <v>227</v>
      </c>
      <c r="O30">
        <f>VLOOKUP(B:B,'月度付款 '!C:E,3,0)</f>
        <v>530</v>
      </c>
      <c r="P30">
        <f t="shared" si="0"/>
        <v>0</v>
      </c>
    </row>
    <row r="31" spans="1:16">
      <c r="A31" s="4" t="s">
        <v>228</v>
      </c>
      <c r="B31" s="4" t="s">
        <v>66</v>
      </c>
      <c r="C31" s="5">
        <v>43738</v>
      </c>
      <c r="D31" s="4" t="s">
        <v>229</v>
      </c>
      <c r="E31" s="4" t="s">
        <v>145</v>
      </c>
      <c r="F31" s="4" t="s">
        <v>154</v>
      </c>
      <c r="G31" s="4" t="s">
        <v>147</v>
      </c>
      <c r="H31" s="4" t="s">
        <v>148</v>
      </c>
      <c r="I31" s="8">
        <v>449445.88</v>
      </c>
      <c r="J31" s="8">
        <v>0</v>
      </c>
      <c r="K31" s="8">
        <v>106036.35</v>
      </c>
      <c r="L31" s="4" t="s">
        <v>148</v>
      </c>
      <c r="M31" s="8">
        <v>555482.23</v>
      </c>
      <c r="N31" s="4" t="s">
        <v>230</v>
      </c>
      <c r="O31">
        <f>VLOOKUP(B:B,'月度付款 '!C:E,3,0)</f>
        <v>555482.23</v>
      </c>
      <c r="P31">
        <f t="shared" si="0"/>
        <v>0</v>
      </c>
    </row>
    <row r="32" spans="1:16">
      <c r="A32" s="4" t="s">
        <v>231</v>
      </c>
      <c r="B32" s="4" t="s">
        <v>67</v>
      </c>
      <c r="C32" s="5">
        <v>43677</v>
      </c>
      <c r="D32" s="4" t="s">
        <v>232</v>
      </c>
      <c r="E32" s="4" t="s">
        <v>145</v>
      </c>
      <c r="F32" s="4" t="s">
        <v>146</v>
      </c>
      <c r="G32" s="4" t="s">
        <v>147</v>
      </c>
      <c r="H32" s="4" t="s">
        <v>148</v>
      </c>
      <c r="I32" s="8">
        <v>116.5</v>
      </c>
      <c r="J32" s="8">
        <v>0</v>
      </c>
      <c r="K32" s="8">
        <v>0</v>
      </c>
      <c r="L32" s="4" t="s">
        <v>148</v>
      </c>
      <c r="M32" s="8">
        <v>116.5</v>
      </c>
      <c r="N32" s="4" t="s">
        <v>233</v>
      </c>
      <c r="O32">
        <f>VLOOKUP(B:B,'月度付款 '!C:E,3,0)</f>
        <v>116.5</v>
      </c>
      <c r="P32">
        <f t="shared" si="0"/>
        <v>0</v>
      </c>
    </row>
    <row r="33" spans="1:16">
      <c r="A33" s="4" t="s">
        <v>234</v>
      </c>
      <c r="B33" s="4" t="s">
        <v>68</v>
      </c>
      <c r="C33" s="5">
        <v>43708</v>
      </c>
      <c r="D33" s="4" t="s">
        <v>235</v>
      </c>
      <c r="E33" s="4" t="s">
        <v>145</v>
      </c>
      <c r="F33" s="4" t="s">
        <v>154</v>
      </c>
      <c r="G33" s="4" t="s">
        <v>236</v>
      </c>
      <c r="H33" s="4" t="s">
        <v>148</v>
      </c>
      <c r="I33" s="8">
        <v>71964.62</v>
      </c>
      <c r="J33" s="8">
        <v>0</v>
      </c>
      <c r="K33" s="8">
        <v>4631.96</v>
      </c>
      <c r="L33" s="4" t="s">
        <v>148</v>
      </c>
      <c r="M33" s="8">
        <v>76596.58</v>
      </c>
      <c r="N33" s="4" t="s">
        <v>237</v>
      </c>
      <c r="O33">
        <f>VLOOKUP(B:B,'月度付款 '!C:E,3,0)</f>
        <v>76596.58</v>
      </c>
      <c r="P33">
        <f t="shared" si="0"/>
        <v>0</v>
      </c>
    </row>
    <row r="34" spans="1:16">
      <c r="A34" s="6" t="s">
        <v>238</v>
      </c>
      <c r="B34" s="6" t="s">
        <v>71</v>
      </c>
      <c r="C34" s="7">
        <v>43738</v>
      </c>
      <c r="D34" s="6" t="s">
        <v>239</v>
      </c>
      <c r="E34" s="6" t="s">
        <v>145</v>
      </c>
      <c r="F34" s="6" t="s">
        <v>154</v>
      </c>
      <c r="G34" s="6" t="s">
        <v>240</v>
      </c>
      <c r="H34" s="6" t="s">
        <v>148</v>
      </c>
      <c r="I34" s="9">
        <v>1103582.41</v>
      </c>
      <c r="J34" s="9">
        <v>0</v>
      </c>
      <c r="K34" s="9">
        <v>212982.4</v>
      </c>
      <c r="L34" s="6" t="s">
        <v>148</v>
      </c>
      <c r="M34" s="9">
        <v>1316564.81</v>
      </c>
      <c r="N34" s="6" t="s">
        <v>147</v>
      </c>
      <c r="O34">
        <f>VLOOKUP(B:B,'月度付款 '!C:E,3,0)</f>
        <v>1316564.81</v>
      </c>
      <c r="P34">
        <f t="shared" si="0"/>
        <v>0</v>
      </c>
    </row>
    <row r="35" spans="1:16">
      <c r="A35" s="6" t="s">
        <v>241</v>
      </c>
      <c r="B35" s="6" t="s">
        <v>72</v>
      </c>
      <c r="C35" s="7">
        <v>43738</v>
      </c>
      <c r="D35" s="6" t="s">
        <v>242</v>
      </c>
      <c r="E35" s="6" t="s">
        <v>145</v>
      </c>
      <c r="F35" s="6" t="s">
        <v>154</v>
      </c>
      <c r="G35" s="6" t="s">
        <v>147</v>
      </c>
      <c r="H35" s="6" t="s">
        <v>148</v>
      </c>
      <c r="I35" s="9">
        <v>56078.57</v>
      </c>
      <c r="J35" s="9">
        <v>0</v>
      </c>
      <c r="K35" s="9">
        <v>6042.38</v>
      </c>
      <c r="L35" s="6" t="s">
        <v>148</v>
      </c>
      <c r="M35" s="9">
        <v>62120.95</v>
      </c>
      <c r="N35" s="6" t="s">
        <v>147</v>
      </c>
      <c r="O35">
        <f>VLOOKUP(B:B,'月度付款 '!C:E,3,0)</f>
        <v>62120.95</v>
      </c>
      <c r="P35">
        <f t="shared" si="0"/>
        <v>0</v>
      </c>
    </row>
    <row r="36" spans="1:16">
      <c r="A36" s="6" t="s">
        <v>243</v>
      </c>
      <c r="B36" s="6" t="s">
        <v>73</v>
      </c>
      <c r="C36" s="7">
        <v>43645</v>
      </c>
      <c r="D36" s="6" t="s">
        <v>244</v>
      </c>
      <c r="E36" s="6" t="s">
        <v>145</v>
      </c>
      <c r="F36" s="6" t="s">
        <v>146</v>
      </c>
      <c r="G36" s="6" t="s">
        <v>147</v>
      </c>
      <c r="H36" s="6" t="s">
        <v>148</v>
      </c>
      <c r="I36" s="9">
        <v>170491</v>
      </c>
      <c r="J36" s="9">
        <v>100000</v>
      </c>
      <c r="K36" s="9">
        <v>0</v>
      </c>
      <c r="L36" s="6" t="s">
        <v>148</v>
      </c>
      <c r="M36" s="9">
        <v>70491</v>
      </c>
      <c r="N36" s="6" t="s">
        <v>245</v>
      </c>
      <c r="O36">
        <f>VLOOKUP(B:B,'月度付款 '!C:E,3,0)</f>
        <v>70491</v>
      </c>
      <c r="P36">
        <f t="shared" si="0"/>
        <v>0</v>
      </c>
    </row>
    <row r="37" spans="1:16">
      <c r="A37" s="6" t="s">
        <v>82</v>
      </c>
      <c r="B37" s="6" t="s">
        <v>83</v>
      </c>
      <c r="C37" s="7">
        <v>43334</v>
      </c>
      <c r="D37" s="6" t="s">
        <v>246</v>
      </c>
      <c r="E37" s="6" t="s">
        <v>145</v>
      </c>
      <c r="F37" s="6" t="s">
        <v>146</v>
      </c>
      <c r="G37" s="6" t="s">
        <v>147</v>
      </c>
      <c r="H37" s="6" t="s">
        <v>148</v>
      </c>
      <c r="I37" s="9">
        <v>132900</v>
      </c>
      <c r="J37" s="9">
        <v>85000</v>
      </c>
      <c r="K37" s="9">
        <v>0</v>
      </c>
      <c r="L37" s="6" t="s">
        <v>148</v>
      </c>
      <c r="M37" s="9">
        <v>47900</v>
      </c>
      <c r="N37" s="6" t="s">
        <v>247</v>
      </c>
      <c r="O37">
        <f>VLOOKUP(B:B,'月度付款 '!C:E,3,0)</f>
        <v>47900</v>
      </c>
      <c r="P37">
        <f t="shared" si="0"/>
        <v>0</v>
      </c>
    </row>
    <row r="38" spans="1:16">
      <c r="A38" s="4" t="s">
        <v>84</v>
      </c>
      <c r="B38" s="4" t="s">
        <v>85</v>
      </c>
      <c r="C38" s="5">
        <v>43112</v>
      </c>
      <c r="D38" s="4" t="s">
        <v>248</v>
      </c>
      <c r="E38" s="4" t="s">
        <v>145</v>
      </c>
      <c r="F38" s="4" t="s">
        <v>146</v>
      </c>
      <c r="G38" s="4" t="s">
        <v>147</v>
      </c>
      <c r="H38" s="4" t="s">
        <v>148</v>
      </c>
      <c r="I38" s="8">
        <v>100420</v>
      </c>
      <c r="J38" s="8">
        <v>12000</v>
      </c>
      <c r="K38" s="8">
        <v>0</v>
      </c>
      <c r="L38" s="4" t="s">
        <v>148</v>
      </c>
      <c r="M38" s="8">
        <v>88420</v>
      </c>
      <c r="N38" s="4" t="s">
        <v>227</v>
      </c>
      <c r="O38">
        <f>VLOOKUP(B:B,'月度付款 '!C:E,3,0)</f>
        <v>88420</v>
      </c>
      <c r="P38">
        <f t="shared" si="0"/>
        <v>0</v>
      </c>
    </row>
    <row r="39" spans="1:16">
      <c r="A39" s="6" t="s">
        <v>86</v>
      </c>
      <c r="B39" s="6" t="s">
        <v>87</v>
      </c>
      <c r="C39" s="7">
        <v>43217</v>
      </c>
      <c r="D39" s="6" t="s">
        <v>249</v>
      </c>
      <c r="E39" s="6" t="s">
        <v>145</v>
      </c>
      <c r="F39" s="6" t="s">
        <v>146</v>
      </c>
      <c r="G39" s="6" t="s">
        <v>147</v>
      </c>
      <c r="H39" s="6" t="s">
        <v>148</v>
      </c>
      <c r="I39" s="9">
        <v>14700</v>
      </c>
      <c r="J39" s="9">
        <v>13650</v>
      </c>
      <c r="K39" s="9">
        <v>0</v>
      </c>
      <c r="L39" s="6" t="s">
        <v>148</v>
      </c>
      <c r="M39" s="9">
        <v>1050</v>
      </c>
      <c r="N39" s="6" t="s">
        <v>149</v>
      </c>
      <c r="O39">
        <f>VLOOKUP(B:B,'月度付款 '!C:E,3,0)</f>
        <v>1050</v>
      </c>
      <c r="P39">
        <f t="shared" si="0"/>
        <v>0</v>
      </c>
    </row>
    <row r="40" spans="1:16">
      <c r="A40" s="6" t="s">
        <v>74</v>
      </c>
      <c r="B40" s="6" t="s">
        <v>75</v>
      </c>
      <c r="C40" s="7">
        <v>43708</v>
      </c>
      <c r="D40" s="6" t="s">
        <v>250</v>
      </c>
      <c r="E40" s="6" t="s">
        <v>145</v>
      </c>
      <c r="F40" s="6" t="s">
        <v>154</v>
      </c>
      <c r="G40" s="6" t="s">
        <v>251</v>
      </c>
      <c r="H40" s="6" t="s">
        <v>148</v>
      </c>
      <c r="I40" s="9">
        <v>20244.12</v>
      </c>
      <c r="J40" s="9">
        <v>0</v>
      </c>
      <c r="K40" s="9">
        <v>1200</v>
      </c>
      <c r="L40" s="6" t="s">
        <v>148</v>
      </c>
      <c r="M40" s="9">
        <v>21444.12</v>
      </c>
      <c r="N40" s="6" t="s">
        <v>237</v>
      </c>
      <c r="O40">
        <f>VLOOKUP(B:B,'月度付款 '!C:E,3,0)</f>
        <v>21444.12</v>
      </c>
      <c r="P40">
        <f t="shared" si="0"/>
        <v>0</v>
      </c>
    </row>
    <row r="41" spans="1:16">
      <c r="A41" s="4" t="s">
        <v>88</v>
      </c>
      <c r="B41" s="4" t="s">
        <v>89</v>
      </c>
      <c r="C41" s="5">
        <v>43677</v>
      </c>
      <c r="D41" s="4" t="s">
        <v>252</v>
      </c>
      <c r="E41" s="4" t="s">
        <v>145</v>
      </c>
      <c r="F41" s="4" t="s">
        <v>146</v>
      </c>
      <c r="G41" s="4" t="s">
        <v>147</v>
      </c>
      <c r="H41" s="4" t="s">
        <v>148</v>
      </c>
      <c r="I41" s="8">
        <v>8615.38</v>
      </c>
      <c r="J41" s="8">
        <v>0</v>
      </c>
      <c r="K41" s="8">
        <v>0</v>
      </c>
      <c r="L41" s="4" t="s">
        <v>148</v>
      </c>
      <c r="M41" s="8">
        <v>8615.38</v>
      </c>
      <c r="N41" s="4" t="s">
        <v>147</v>
      </c>
      <c r="O41">
        <f>VLOOKUP(B:B,'月度付款 '!C:E,3,0)</f>
        <v>8615.38</v>
      </c>
      <c r="P41">
        <f t="shared" si="0"/>
        <v>0</v>
      </c>
    </row>
    <row r="42" spans="1:16">
      <c r="A42" s="6" t="s">
        <v>90</v>
      </c>
      <c r="B42" s="6" t="s">
        <v>91</v>
      </c>
      <c r="C42" s="7">
        <v>43585</v>
      </c>
      <c r="D42" s="6" t="s">
        <v>253</v>
      </c>
      <c r="E42" s="6" t="s">
        <v>145</v>
      </c>
      <c r="F42" s="6" t="s">
        <v>146</v>
      </c>
      <c r="G42" s="6" t="s">
        <v>147</v>
      </c>
      <c r="H42" s="6" t="s">
        <v>148</v>
      </c>
      <c r="I42" s="9">
        <v>11063.25</v>
      </c>
      <c r="J42" s="9">
        <v>0</v>
      </c>
      <c r="K42" s="9">
        <v>0</v>
      </c>
      <c r="L42" s="6" t="s">
        <v>148</v>
      </c>
      <c r="M42" s="9">
        <v>11063.25</v>
      </c>
      <c r="N42" s="6" t="s">
        <v>197</v>
      </c>
      <c r="O42">
        <f>VLOOKUP(B:B,'月度付款 '!C:E,3,0)</f>
        <v>11063.25</v>
      </c>
      <c r="P42">
        <f t="shared" si="0"/>
        <v>0</v>
      </c>
    </row>
    <row r="43" spans="1:16">
      <c r="A43" s="6" t="s">
        <v>92</v>
      </c>
      <c r="B43" s="6" t="s">
        <v>93</v>
      </c>
      <c r="C43" s="7">
        <v>43554</v>
      </c>
      <c r="D43" s="6" t="s">
        <v>254</v>
      </c>
      <c r="E43" s="6" t="s">
        <v>145</v>
      </c>
      <c r="F43" s="6" t="s">
        <v>154</v>
      </c>
      <c r="G43" s="6" t="s">
        <v>147</v>
      </c>
      <c r="H43" s="6" t="s">
        <v>160</v>
      </c>
      <c r="I43" s="9">
        <v>0</v>
      </c>
      <c r="J43" s="9">
        <v>0</v>
      </c>
      <c r="K43" s="9">
        <v>2200</v>
      </c>
      <c r="L43" s="6" t="s">
        <v>148</v>
      </c>
      <c r="M43" s="9">
        <v>2200</v>
      </c>
      <c r="N43" s="6" t="s">
        <v>255</v>
      </c>
      <c r="O43">
        <f>VLOOKUP(B:B,'月度付款 '!C:E,3,0)</f>
        <v>2200</v>
      </c>
      <c r="P43">
        <f t="shared" si="0"/>
        <v>0</v>
      </c>
    </row>
    <row r="44" spans="1:16">
      <c r="A44" s="6" t="s">
        <v>94</v>
      </c>
      <c r="B44" s="6" t="s">
        <v>95</v>
      </c>
      <c r="C44" s="7">
        <v>43738</v>
      </c>
      <c r="D44" s="6" t="s">
        <v>256</v>
      </c>
      <c r="E44" s="6" t="s">
        <v>145</v>
      </c>
      <c r="F44" s="6" t="s">
        <v>154</v>
      </c>
      <c r="G44" s="6" t="s">
        <v>147</v>
      </c>
      <c r="H44" s="6" t="s">
        <v>148</v>
      </c>
      <c r="I44" s="9">
        <v>281690.72</v>
      </c>
      <c r="J44" s="9">
        <v>0</v>
      </c>
      <c r="K44" s="9">
        <v>12400</v>
      </c>
      <c r="L44" s="6" t="s">
        <v>148</v>
      </c>
      <c r="M44" s="9">
        <v>294090.72</v>
      </c>
      <c r="N44" s="6" t="s">
        <v>147</v>
      </c>
      <c r="O44">
        <f>VLOOKUP(B:B,'月度付款 '!C:E,3,0)</f>
        <v>294090.72</v>
      </c>
      <c r="P44">
        <f t="shared" si="0"/>
        <v>0</v>
      </c>
    </row>
    <row r="45" spans="1:16">
      <c r="A45" s="4" t="s">
        <v>76</v>
      </c>
      <c r="B45" s="4" t="s">
        <v>77</v>
      </c>
      <c r="C45" s="5">
        <v>43736</v>
      </c>
      <c r="D45" s="4" t="s">
        <v>257</v>
      </c>
      <c r="E45" s="4" t="s">
        <v>145</v>
      </c>
      <c r="F45" s="4" t="s">
        <v>146</v>
      </c>
      <c r="G45" s="4" t="s">
        <v>147</v>
      </c>
      <c r="H45" s="4" t="s">
        <v>148</v>
      </c>
      <c r="I45" s="8">
        <v>59827</v>
      </c>
      <c r="J45" s="8">
        <v>20000</v>
      </c>
      <c r="K45" s="8">
        <v>0</v>
      </c>
      <c r="L45" s="4" t="s">
        <v>148</v>
      </c>
      <c r="M45" s="8">
        <v>39827</v>
      </c>
      <c r="N45" s="4" t="s">
        <v>147</v>
      </c>
      <c r="O45">
        <f>VLOOKUP(B:B,'月度付款 '!C:E,3,0)</f>
        <v>39827</v>
      </c>
      <c r="P45">
        <f t="shared" si="0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月度付款 </vt:lpstr>
      <vt:lpstr>月付款明细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王晓曦</dc:creator>
  <cp:lastModifiedBy> 麦 兜</cp:lastModifiedBy>
  <dcterms:created xsi:type="dcterms:W3CDTF">2013-07-01T03:22:00Z</dcterms:created>
  <cp:lastPrinted>2013-10-28T01:39:00Z</cp:lastPrinted>
  <dcterms:modified xsi:type="dcterms:W3CDTF">2019-12-11T03:00:13Z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14</vt:lpwstr>
  </property>
</Properties>
</file>