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80" windowWidth="21600" windowHeight="9810" tabRatio="521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P19" i="14" l="1"/>
  <c r="M19" i="14"/>
  <c r="P18" i="14"/>
  <c r="A14" i="3" l="1"/>
  <c r="A16" i="3"/>
  <c r="Q12" i="2" l="1"/>
  <c r="R12" i="2" s="1"/>
  <c r="O12" i="2"/>
  <c r="Q11" i="2"/>
  <c r="R11" i="2" s="1"/>
  <c r="O11" i="2"/>
  <c r="Q10" i="2"/>
  <c r="R10" i="2" s="1"/>
  <c r="O10" i="2"/>
  <c r="R9" i="2"/>
  <c r="Q9" i="2"/>
  <c r="O9" i="2"/>
  <c r="Q8" i="2"/>
  <c r="R8" i="2" s="1"/>
  <c r="O8" i="2"/>
  <c r="Q7" i="2"/>
  <c r="R7" i="2" s="1"/>
  <c r="O7" i="2"/>
  <c r="Q6" i="2"/>
  <c r="R6" i="2" s="1"/>
  <c r="O6" i="2"/>
  <c r="P16" i="14" l="1"/>
  <c r="P17" i="14"/>
  <c r="M36" i="10" l="1"/>
  <c r="P7" i="14"/>
  <c r="P8" i="14"/>
  <c r="P9" i="14"/>
  <c r="P10" i="14"/>
  <c r="P11" i="14"/>
  <c r="P12" i="14"/>
  <c r="P13" i="14"/>
  <c r="P14" i="14"/>
  <c r="P15" i="14"/>
  <c r="A12" i="3"/>
  <c r="P8" i="3"/>
  <c r="P9" i="3"/>
  <c r="P10" i="3"/>
  <c r="P11" i="3"/>
  <c r="P12" i="3"/>
  <c r="P13" i="3"/>
  <c r="P14" i="3"/>
  <c r="P15" i="3"/>
  <c r="P16" i="3"/>
  <c r="L7" i="4" l="1"/>
  <c r="M7" i="4"/>
  <c r="N7" i="4"/>
  <c r="L8" i="4"/>
  <c r="M8" i="4"/>
  <c r="N8" i="4"/>
  <c r="L9" i="4"/>
  <c r="M9" i="4"/>
  <c r="N9" i="4"/>
  <c r="M6" i="4"/>
  <c r="N6" i="4"/>
  <c r="L6" i="4"/>
  <c r="G6" i="1" l="1"/>
  <c r="M30" i="10"/>
  <c r="D27" i="1" s="1"/>
  <c r="N15" i="10"/>
  <c r="N19" i="14" l="1"/>
  <c r="L19" i="14"/>
  <c r="P6" i="14"/>
  <c r="M3" i="14"/>
  <c r="D3" i="14"/>
  <c r="M44" i="10"/>
  <c r="D28" i="1" s="1"/>
  <c r="M28" i="10"/>
  <c r="L3" i="10"/>
  <c r="C3" i="10"/>
  <c r="G2" i="10"/>
  <c r="C2" i="10"/>
  <c r="F3" i="9"/>
  <c r="A3" i="9"/>
  <c r="D2" i="9"/>
  <c r="A2" i="9"/>
  <c r="U9" i="15"/>
  <c r="T9" i="15"/>
  <c r="V9" i="15"/>
  <c r="U8" i="15"/>
  <c r="T8" i="15"/>
  <c r="V8" i="15"/>
  <c r="U7" i="15"/>
  <c r="T7" i="15"/>
  <c r="V7" i="15"/>
  <c r="U6" i="15"/>
  <c r="T6" i="15"/>
  <c r="V6" i="15"/>
  <c r="D3" i="15"/>
  <c r="I10" i="4"/>
  <c r="H10" i="4"/>
  <c r="P9" i="4"/>
  <c r="O9" i="4"/>
  <c r="Q9" i="4" s="1"/>
  <c r="Q8" i="4"/>
  <c r="P8" i="4"/>
  <c r="O8" i="4"/>
  <c r="P7" i="4"/>
  <c r="O7" i="4"/>
  <c r="Q7" i="4" s="1"/>
  <c r="P6" i="4"/>
  <c r="O6" i="4"/>
  <c r="Q6" i="4" s="1"/>
  <c r="O3" i="4"/>
  <c r="R3" i="15" s="1"/>
  <c r="K2" i="4"/>
  <c r="J2" i="15" s="1"/>
  <c r="D2" i="4"/>
  <c r="D2" i="14" s="1"/>
  <c r="A8" i="3"/>
  <c r="P7" i="3"/>
  <c r="A7" i="3"/>
  <c r="P3" i="3"/>
  <c r="A3" i="3"/>
  <c r="K2" i="3"/>
  <c r="Q13" i="2"/>
  <c r="M13" i="2"/>
  <c r="D26" i="1" l="1"/>
  <c r="R13" i="2"/>
  <c r="D13" i="1" s="1"/>
  <c r="Q10" i="4"/>
  <c r="D16" i="1" s="1"/>
  <c r="P10" i="4"/>
  <c r="D15" i="1" s="1"/>
  <c r="P17" i="3"/>
  <c r="P25" i="3" s="1"/>
  <c r="D14" i="1" s="1"/>
  <c r="I2" i="14"/>
  <c r="D2" i="15"/>
  <c r="D12" i="1" l="1"/>
  <c r="D17" i="1" s="1"/>
  <c r="D22" i="1" l="1"/>
  <c r="C8" i="9"/>
  <c r="D21" i="1" s="1"/>
  <c r="C7" i="9"/>
  <c r="D20" i="1" s="1"/>
  <c r="C6" i="9"/>
  <c r="D19" i="1" s="1"/>
  <c r="D18" i="1" l="1"/>
  <c r="D23" i="1" l="1"/>
  <c r="D24" i="1" l="1"/>
  <c r="D25" i="1" l="1"/>
  <c r="D29" i="1" l="1"/>
  <c r="E25" i="1" l="1"/>
  <c r="E9" i="1"/>
  <c r="F9" i="1" s="1"/>
  <c r="G9" i="1" s="1"/>
  <c r="E29" i="1"/>
  <c r="E26" i="1"/>
  <c r="E13" i="1"/>
  <c r="E16" i="1"/>
  <c r="E14" i="1"/>
  <c r="E28" i="1"/>
  <c r="E15" i="1"/>
  <c r="E27" i="1"/>
  <c r="E12" i="1"/>
  <c r="E17" i="1"/>
  <c r="E20" i="1"/>
  <c r="E21" i="1"/>
  <c r="E22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<sst xmlns="http://schemas.openxmlformats.org/spreadsheetml/2006/main" count="835" uniqueCount="335">
  <si>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</si>
  <si>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</si>
  <si>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</si>
  <si>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</si>
  <si>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</si>
  <si>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</si>
  <si>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币种：人民币（元）</t>
  </si>
  <si>
    <t>车型代码：/</t>
  </si>
  <si>
    <t>税：不含税(注明除外)</t>
  </si>
  <si>
    <t>零件件号：</t>
  </si>
  <si>
    <t>年份:2019</t>
  </si>
  <si>
    <t>SOP+1</t>
  </si>
  <si>
    <t>SOP+2</t>
  </si>
  <si>
    <t>SOP+3</t>
  </si>
  <si>
    <t>零件名称：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</si>
  <si>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</si>
  <si>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</si>
  <si>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</si>
  <si>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</si>
  <si>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</si>
  <si>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</si>
  <si>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</si>
  <si>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</si>
  <si>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</si>
  <si>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</si>
  <si>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</si>
  <si>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</si>
  <si>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</si>
  <si>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</si>
  <si>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</si>
  <si>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</si>
  <si>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</si>
  <si>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</si>
  <si>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</si>
  <si>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</si>
  <si>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</si>
  <si>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</si>
  <si>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</si>
  <si>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</si>
  <si>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</si>
  <si>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K、包装费用</t>
  </si>
  <si>
    <t>L、运输费用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</si>
  <si>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</si>
  <si>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</si>
  <si>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</si>
  <si>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</si>
  <si>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</si>
  <si>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</si>
  <si>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</si>
  <si>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</si>
  <si>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</si>
  <si>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</si>
  <si>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</si>
  <si>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</si>
  <si>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</si>
  <si>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</si>
  <si>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</si>
  <si>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</si>
  <si>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</si>
  <si>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</si>
  <si>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</si>
  <si>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</si>
  <si>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</si>
  <si>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</si>
  <si>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</si>
  <si>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</si>
  <si>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</si>
  <si>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</si>
  <si>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</si>
  <si>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</si>
  <si>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</si>
  <si>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</si>
  <si>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</si>
  <si>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泡沫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</si>
  <si>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</si>
  <si>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</si>
  <si>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</si>
  <si>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</si>
  <si>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</si>
  <si>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</si>
  <si>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</si>
  <si>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</si>
  <si>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</si>
  <si>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</si>
  <si>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</si>
  <si>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</si>
  <si>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</si>
  <si>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</si>
  <si>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</si>
  <si>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</si>
  <si>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</si>
  <si>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</si>
  <si>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</si>
  <si>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</si>
  <si>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</si>
  <si>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</si>
  <si>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</si>
  <si>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</si>
  <si>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</si>
  <si>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</si>
  <si>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</si>
  <si>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</si>
  <si>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</si>
  <si>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</si>
  <si>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</si>
  <si>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</si>
  <si>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</si>
  <si>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</si>
  <si>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</si>
  <si>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</si>
  <si>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</si>
  <si>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</si>
  <si>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</si>
  <si>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</si>
  <si>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</si>
  <si>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</si>
  <si>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</si>
  <si>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</si>
  <si>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</si>
  <si>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</si>
  <si>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</si>
  <si>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</si>
  <si>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</si>
  <si>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</si>
  <si>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</si>
  <si>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</si>
  <si>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</si>
  <si>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裁床</t>
  </si>
  <si>
    <t>缝纫</t>
  </si>
  <si>
    <t>缝纫机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</si>
  <si>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</si>
  <si>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</si>
  <si>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</si>
  <si>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</si>
  <si>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</si>
  <si>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</si>
  <si>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</si>
  <si>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</si>
  <si>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</si>
  <si>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</si>
  <si>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</si>
  <si>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</si>
  <si>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</si>
  <si>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</si>
  <si>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</si>
  <si>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</si>
  <si>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</si>
  <si>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</si>
  <si>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</si>
  <si>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</si>
  <si>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</si>
  <si>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</si>
  <si>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</si>
  <si>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</si>
  <si>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</si>
  <si>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</si>
  <si>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</si>
  <si>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</si>
  <si>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</si>
  <si>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</si>
  <si>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</si>
  <si>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</si>
  <si>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</si>
  <si>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</si>
  <si>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</si>
  <si>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</si>
  <si>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</si>
  <si>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</si>
  <si>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</si>
  <si>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</si>
  <si>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</si>
  <si>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</si>
  <si>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</si>
  <si>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</si>
  <si>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</si>
  <si>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</si>
  <si>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</si>
  <si>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</si>
  <si>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</si>
  <si>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</si>
  <si>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</si>
  <si>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</si>
  <si>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</si>
  <si>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</si>
  <si>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</si>
  <si>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</si>
  <si>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</si>
  <si>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</si>
  <si>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</si>
  <si>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</si>
  <si>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</si>
  <si>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</si>
  <si>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</si>
  <si>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</si>
  <si>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</si>
  <si>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</si>
  <si>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</si>
  <si>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</si>
  <si>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</si>
  <si>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</si>
  <si>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</si>
  <si>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</si>
  <si>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</si>
  <si>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</si>
  <si>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</si>
  <si>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</si>
  <si>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</si>
  <si>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</si>
  <si>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</si>
  <si>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</si>
  <si>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</si>
  <si>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</si>
  <si>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</si>
  <si>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</si>
  <si>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</si>
  <si>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</si>
  <si>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</si>
  <si>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</si>
  <si>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</si>
  <si>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</si>
  <si>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</si>
  <si>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</si>
  <si>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</si>
  <si>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</si>
  <si>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</si>
  <si>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</si>
  <si>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</si>
  <si>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</si>
  <si>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</si>
  <si>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</si>
  <si>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</si>
  <si>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</si>
  <si>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</si>
  <si>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</si>
  <si>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</si>
  <si>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</si>
  <si>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</si>
  <si>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</si>
  <si>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</si>
  <si>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</si>
  <si>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</si>
  <si>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</si>
  <si>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</si>
  <si>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</si>
  <si>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</si>
  <si>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</si>
  <si>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</si>
  <si>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</si>
  <si>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</si>
  <si>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</si>
  <si>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</si>
  <si>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</si>
  <si>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</si>
  <si>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</si>
  <si>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</si>
  <si>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</si>
  <si>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</si>
  <si>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</si>
  <si>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</si>
  <si>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</si>
  <si>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</si>
  <si>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</si>
  <si>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</si>
  <si>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</si>
  <si>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增值税税率： 13 %</t>
    <phoneticPr fontId="20" type="noConversion"/>
  </si>
  <si>
    <t>含税，增值税税率：13   %</t>
    <phoneticPr fontId="20" type="noConversion"/>
  </si>
  <si>
    <t>含税，增值税税率： 13  %</t>
    <phoneticPr fontId="20" type="noConversion"/>
  </si>
  <si>
    <t>含税，增值税税率： 9 %</t>
    <phoneticPr fontId="20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</si>
  <si>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</si>
  <si>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</si>
  <si>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</si>
  <si>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</si>
  <si>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</si>
  <si>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</si>
  <si>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</si>
  <si>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</si>
  <si>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</si>
  <si>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报价填写日期: 2020.9.9</t>
    <phoneticPr fontId="25" type="noConversion"/>
  </si>
  <si>
    <t>N*1.5m*3.5mm</t>
  </si>
  <si>
    <t>延米/辆</t>
  </si>
  <si>
    <t>H3A-6801100</t>
  </si>
  <si>
    <t>主边调角器</t>
  </si>
  <si>
    <t>坐垫塑料包装袋</t>
  </si>
  <si>
    <t>靠背塑料包装袋</t>
  </si>
  <si>
    <t>夹具</t>
  </si>
  <si>
    <t>冲压</t>
  </si>
  <si>
    <t>落料冲孔</t>
  </si>
  <si>
    <t>成型</t>
  </si>
  <si>
    <t>M4-6905101</t>
  </si>
  <si>
    <t>M4-6905102</t>
  </si>
  <si>
    <t>座盆组件</t>
  </si>
  <si>
    <t>H3A-6906002</t>
  </si>
  <si>
    <t>H3A-6907000</t>
  </si>
  <si>
    <t>底座骨架总成</t>
  </si>
  <si>
    <t>H3A-6906003</t>
  </si>
  <si>
    <t>副边调角器罩壳</t>
  </si>
  <si>
    <t>H3A-6902100</t>
  </si>
  <si>
    <t>副司机底座骨架总成</t>
  </si>
  <si>
    <t>前部安装板</t>
  </si>
  <si>
    <t>后部安装板</t>
  </si>
  <si>
    <t>加强板1</t>
  </si>
  <si>
    <t>加强板2</t>
  </si>
  <si>
    <t>落料</t>
  </si>
  <si>
    <t>冲床160T</t>
  </si>
  <si>
    <t>副驾驶员座椅总成</t>
    <phoneticPr fontId="25" type="noConversion"/>
  </si>
  <si>
    <t>H0681020100A0/副驾驶员座椅总成</t>
    <phoneticPr fontId="25" type="noConversion"/>
  </si>
  <si>
    <t>报价中未包含开发费和实验费分摊，开发费50138元，实验费35000元，合计85138元，按照20000件分摊，每件4.26元。</t>
    <phoneticPr fontId="25" type="noConversion"/>
  </si>
  <si>
    <t>主料EM200</t>
  </si>
  <si>
    <t>辅料皮革（EM100）</t>
  </si>
  <si>
    <t>主料</t>
    <phoneticPr fontId="25" type="noConversion"/>
  </si>
  <si>
    <t>司机泡沫</t>
    <phoneticPr fontId="20" type="noConversion"/>
  </si>
  <si>
    <t>聚氨酯</t>
    <phoneticPr fontId="20" type="noConversion"/>
  </si>
  <si>
    <t>靠背护面总成</t>
    <phoneticPr fontId="20" type="noConversion"/>
  </si>
  <si>
    <t>天津鹏升</t>
    <phoneticPr fontId="20" type="noConversion"/>
  </si>
  <si>
    <t>辅料</t>
    <phoneticPr fontId="25" type="noConversion"/>
  </si>
  <si>
    <t>辅材</t>
    <phoneticPr fontId="20" type="noConversion"/>
  </si>
  <si>
    <t>坐垫护面总成</t>
    <phoneticPr fontId="20" type="noConversion"/>
  </si>
  <si>
    <t>车型：ETX</t>
    <phoneticPr fontId="25" type="noConversion"/>
  </si>
  <si>
    <t>ETX</t>
    <phoneticPr fontId="25" type="noConversion"/>
  </si>
  <si>
    <t>H0681020100A0</t>
    <phoneticPr fontId="25" type="noConversion"/>
  </si>
  <si>
    <t>供应商代码：A1093</t>
    <phoneticPr fontId="25" type="noConversion"/>
  </si>
  <si>
    <t>厢式货车</t>
    <phoneticPr fontId="25" type="noConversion"/>
  </si>
  <si>
    <t>注塑件、标准件</t>
    <phoneticPr fontId="25" type="noConversion"/>
  </si>
  <si>
    <t>/</t>
    <phoneticPr fontId="20" type="noConversion"/>
  </si>
  <si>
    <t>副边调角器</t>
    <phoneticPr fontId="20" type="noConversion"/>
  </si>
  <si>
    <t>主边调角器罩壳</t>
    <phoneticPr fontId="25" type="noConversion"/>
  </si>
  <si>
    <t>背骨架总成</t>
    <phoneticPr fontId="25" type="noConversion"/>
  </si>
  <si>
    <t>零件图号/名称:H0681020100A0/副驾驶员座椅总成</t>
    <phoneticPr fontId="25" type="noConversion"/>
  </si>
  <si>
    <t>司机底座支架总成</t>
  </si>
  <si>
    <t>支架左边板</t>
  </si>
  <si>
    <t>支架右边板</t>
  </si>
  <si>
    <t>支架后固定板</t>
  </si>
  <si>
    <t>开发费</t>
    <phoneticPr fontId="25" type="noConversion"/>
  </si>
  <si>
    <t>/</t>
    <phoneticPr fontId="25" type="noConversion"/>
  </si>
  <si>
    <t>检具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</si>
</sst>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_ &quot;￥&quot;* #,##0.00_ ;_ &quot;￥&quot;* \-#,##0.00_ ;_ &quot;￥&quot;* &quot;-&quot;??_ ;_ @_ "/>
    <numFmt numFmtId="178" formatCode="0.0"/>
    <numFmt numFmtId="179" formatCode="_(* #,##0.00_);_(* \(#,##0.00\);_(* &quot;-&quot;??_);_(@_)"/>
    <numFmt numFmtId="180" formatCode="0_ "/>
    <numFmt numFmtId="181" formatCode="0.00_ "/>
    <numFmt numFmtId="182" formatCode="#,##0.00_ ;\-#,##0.00\ "/>
    <numFmt numFmtId="183" formatCode="#,##0.00_ "/>
    <numFmt numFmtId="184" formatCode="0.0%"/>
    <numFmt numFmtId="185" formatCode="0.000_ "/>
    <numFmt numFmtId="186" formatCode="_ * #,##0.00_ ;_ * \-#,##0.00_ ;_ * &quot;-&quot;_ ;_ @_ "/>
  </numFmts>
  <fonts count="60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39" fillId="11" borderId="0" applyNumberFormat="0" applyBorder="0" applyAlignment="0" applyProtection="0">
      <alignment vertical="center"/>
    </xf>
    <xf numFmtId="177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56" fillId="0" borderId="0"/>
    <xf numFmtId="0" fontId="56" fillId="0" borderId="0"/>
    <xf numFmtId="0" fontId="55" fillId="0" borderId="0">
      <alignment vertical="center"/>
    </xf>
    <xf numFmtId="0" fontId="21" fillId="0" borderId="1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80" fontId="5" fillId="0" borderId="1" xfId="5" applyNumberFormat="1" applyFont="1" applyBorder="1" applyAlignment="1">
      <alignment horizontal="center" vertical="center" wrapText="1"/>
    </xf>
    <xf numFmtId="181" fontId="5" fillId="6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4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78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1" fontId="26" fillId="0" borderId="10" xfId="0" applyNumberFormat="1" applyFont="1" applyFill="1" applyBorder="1" applyAlignment="1">
      <alignment horizontal="center" vertical="center"/>
    </xf>
    <xf numFmtId="185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1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1" fontId="29" fillId="3" borderId="1" xfId="8" applyNumberFormat="1" applyFont="1" applyFill="1" applyBorder="1" applyAlignment="1">
      <alignment horizontal="center" vertical="center" wrapText="1"/>
    </xf>
    <xf numFmtId="181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1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8" fontId="29" fillId="0" borderId="1" xfId="8" applyNumberFormat="1" applyFont="1" applyFill="1" applyBorder="1" applyAlignment="1">
      <alignment horizontal="center" vertical="center" wrapText="1"/>
    </xf>
    <xf numFmtId="9" fontId="29" fillId="0" borderId="1" xfId="4" applyFont="1" applyFill="1" applyBorder="1" applyAlignment="1">
      <alignment horizontal="center" vertical="center" wrapText="1"/>
    </xf>
    <xf numFmtId="181" fontId="10" fillId="6" borderId="1" xfId="8" applyNumberFormat="1" applyFont="1" applyFill="1" applyBorder="1" applyAlignment="1">
      <alignment horizontal="center" vertical="center" wrapText="1"/>
    </xf>
    <xf numFmtId="181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1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1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7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186" fontId="5" fillId="2" borderId="1" xfId="1" applyNumberFormat="1" applyFont="1" applyFill="1" applyBorder="1" applyAlignment="1">
      <alignment horizontal="center" vertical="center"/>
    </xf>
    <xf numFmtId="176" fontId="29" fillId="3" borderId="1" xfId="8" applyNumberFormat="1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2" fontId="5" fillId="3" borderId="1" xfId="8" applyNumberFormat="1" applyFont="1" applyFill="1" applyBorder="1" applyAlignment="1">
      <alignment horizontal="center" vertical="center" wrapText="1"/>
    </xf>
    <xf numFmtId="0" fontId="29" fillId="0" borderId="2" xfId="19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8" applyFont="1" applyFill="1" applyBorder="1" applyAlignment="1">
      <alignment horizontal="center" vertical="center" wrapText="1"/>
    </xf>
    <xf numFmtId="186" fontId="29" fillId="0" borderId="1" xfId="8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/>
    </xf>
    <xf numFmtId="2" fontId="17" fillId="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2" fontId="7" fillId="6" borderId="1" xfId="1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180" fontId="5" fillId="0" borderId="2" xfId="5" applyNumberFormat="1" applyFont="1" applyFill="1" applyBorder="1" applyAlignment="1">
      <alignment horizontal="center" vertical="center" wrapText="1"/>
    </xf>
    <xf numFmtId="182" fontId="6" fillId="5" borderId="2" xfId="10" applyNumberFormat="1" applyFont="1" applyFill="1" applyBorder="1" applyAlignment="1">
      <alignment horizontal="center" vertical="center"/>
    </xf>
    <xf numFmtId="43" fontId="0" fillId="0" borderId="0" xfId="2" applyFont="1">
      <alignment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7" fillId="9" borderId="1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9" fontId="17" fillId="0" borderId="1" xfId="4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left" vertical="center"/>
    </xf>
    <xf numFmtId="43" fontId="19" fillId="6" borderId="1" xfId="2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1" xfId="6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182" fontId="7" fillId="6" borderId="1" xfId="10" applyNumberFormat="1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left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178" fontId="6" fillId="2" borderId="3" xfId="10" applyNumberFormat="1" applyFont="1" applyFill="1" applyBorder="1" applyAlignment="1">
      <alignment horizontal="center" vertical="center"/>
    </xf>
    <xf numFmtId="178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3" fontId="7" fillId="6" borderId="1" xfId="10" applyNumberFormat="1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80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2" xfId="12" applyFont="1" applyFill="1" applyBorder="1" applyAlignment="1">
      <alignment horizontal="center" vertical="center" wrapText="1"/>
    </xf>
    <xf numFmtId="0" fontId="5" fillId="0" borderId="6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</cellXfs>
  <cellStyles count="20">
    <cellStyle name="_x000a_mouse.drv=lm" xfId="3"/>
    <cellStyle name="_ET_STYLE_NoName_00_" xfId="5"/>
    <cellStyle name="BOM_Level_Below3" xfId="19"/>
    <cellStyle name="Normal_matière" xfId="17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 8" xfId="18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tabSelected="1" workbookViewId="0">
      <selection activeCell="D12" sqref="D12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7.5" customWidth="1"/>
    <col min="5" max="5" width="10.875" customWidth="1"/>
    <col min="6" max="6" width="12.75" customWidth="1"/>
    <col min="7" max="7" width="33.875" customWidth="1"/>
  </cols>
  <sheetData>
    <row r="1" spans="1:7">
      <c r="A1" s="181"/>
      <c r="B1" s="182" t="s">
        <v>0</v>
      </c>
      <c r="C1" s="183"/>
      <c r="D1" s="183"/>
      <c r="E1" s="183"/>
      <c r="F1" s="183"/>
      <c r="G1" s="125" t="s">
        <v>1</v>
      </c>
    </row>
    <row r="2" spans="1:7">
      <c r="A2" s="181"/>
      <c r="B2" s="183"/>
      <c r="C2" s="183"/>
      <c r="D2" s="183"/>
      <c r="E2" s="183"/>
      <c r="F2" s="183"/>
      <c r="G2" s="125" t="s">
        <v>2</v>
      </c>
    </row>
    <row r="3" spans="1:7">
      <c r="A3" s="181"/>
      <c r="B3" s="183"/>
      <c r="C3" s="183"/>
      <c r="D3" s="183"/>
      <c r="E3" s="183"/>
      <c r="F3" s="183"/>
      <c r="G3" s="125" t="s">
        <v>3</v>
      </c>
    </row>
    <row r="4" spans="1:7" s="30" customFormat="1">
      <c r="A4" s="181"/>
      <c r="B4" s="183"/>
      <c r="C4" s="183"/>
      <c r="D4" s="183"/>
      <c r="E4" s="183"/>
      <c r="F4" s="183"/>
      <c r="G4" s="126" t="s">
        <v>4</v>
      </c>
    </row>
    <row r="5" spans="1:7" s="123" customFormat="1">
      <c r="A5" s="189" t="s">
        <v>5</v>
      </c>
      <c r="B5" s="189"/>
      <c r="C5" s="189"/>
      <c r="D5" s="128" t="s">
        <v>317</v>
      </c>
      <c r="E5" s="189" t="s">
        <v>6</v>
      </c>
      <c r="F5" s="189"/>
      <c r="G5" s="189"/>
    </row>
    <row r="6" spans="1:7" s="123" customFormat="1">
      <c r="A6" s="189" t="s">
        <v>320</v>
      </c>
      <c r="B6" s="189"/>
      <c r="C6" s="189"/>
      <c r="D6" s="128" t="s">
        <v>7</v>
      </c>
      <c r="E6" s="190" t="s">
        <v>8</v>
      </c>
      <c r="F6" s="190"/>
      <c r="G6" s="127" t="str">
        <f>原材料明细!N3</f>
        <v>报价填写日期: 2020.9.9</v>
      </c>
    </row>
    <row r="7" spans="1:7" s="123" customFormat="1">
      <c r="A7" s="129" t="s">
        <v>9</v>
      </c>
      <c r="B7" s="191" t="s">
        <v>319</v>
      </c>
      <c r="C7" s="191"/>
      <c r="D7" s="130" t="s">
        <v>10</v>
      </c>
      <c r="E7" s="131" t="s">
        <v>11</v>
      </c>
      <c r="F7" s="131" t="s">
        <v>12</v>
      </c>
      <c r="G7" s="131" t="s">
        <v>13</v>
      </c>
    </row>
    <row r="8" spans="1:7" s="123" customFormat="1">
      <c r="A8" s="129" t="s">
        <v>14</v>
      </c>
      <c r="B8" s="192" t="s">
        <v>304</v>
      </c>
      <c r="C8" s="192"/>
      <c r="D8" s="130" t="s">
        <v>15</v>
      </c>
      <c r="E8" s="131">
        <v>0</v>
      </c>
      <c r="F8" s="131">
        <v>0</v>
      </c>
      <c r="G8" s="131">
        <v>0</v>
      </c>
    </row>
    <row r="9" spans="1:7" s="123" customFormat="1" ht="18" customHeight="1">
      <c r="A9" s="193" t="s">
        <v>17</v>
      </c>
      <c r="B9" s="193"/>
      <c r="C9" s="193"/>
      <c r="D9" s="132" t="s">
        <v>18</v>
      </c>
      <c r="E9" s="167">
        <f>D29*(1+E8)</f>
        <v>584.88560820039174</v>
      </c>
      <c r="F9" s="167">
        <f>E9*(1+F8)</f>
        <v>584.88560820039174</v>
      </c>
      <c r="G9" s="167">
        <f>F9*(1+G8)</f>
        <v>584.88560820039174</v>
      </c>
    </row>
    <row r="10" spans="1:7">
      <c r="A10" s="194" t="s">
        <v>19</v>
      </c>
      <c r="B10" s="194"/>
      <c r="C10" s="194"/>
      <c r="D10" s="194"/>
      <c r="E10" s="194"/>
      <c r="F10" s="194"/>
      <c r="G10" s="194"/>
    </row>
    <row r="11" spans="1:7">
      <c r="A11" s="133" t="s">
        <v>20</v>
      </c>
      <c r="B11" s="184" t="s">
        <v>21</v>
      </c>
      <c r="C11" s="184"/>
      <c r="D11" s="133" t="s">
        <v>22</v>
      </c>
      <c r="E11" s="195" t="s">
        <v>23</v>
      </c>
      <c r="F11" s="195"/>
      <c r="G11" s="27" t="s">
        <v>24</v>
      </c>
    </row>
    <row r="12" spans="1:7">
      <c r="A12" s="178" t="s">
        <v>25</v>
      </c>
      <c r="B12" s="178"/>
      <c r="C12" s="178"/>
      <c r="D12" s="134">
        <f>D13+D14</f>
        <v>328.89340000000004</v>
      </c>
      <c r="E12" s="179">
        <f t="shared" ref="E12:E29" si="0">D12/D$29</f>
        <v>0.56232089726392376</v>
      </c>
      <c r="F12" s="179"/>
      <c r="G12" s="186" t="s">
        <v>306</v>
      </c>
    </row>
    <row r="13" spans="1:7">
      <c r="A13" s="135">
        <v>1</v>
      </c>
      <c r="B13" s="184" t="s">
        <v>26</v>
      </c>
      <c r="C13" s="184"/>
      <c r="D13" s="136">
        <f>原材料明细!R13</f>
        <v>116.98140000000001</v>
      </c>
      <c r="E13" s="185">
        <f t="shared" si="0"/>
        <v>0.20000731486612369</v>
      </c>
      <c r="F13" s="185"/>
      <c r="G13" s="187"/>
    </row>
    <row r="14" spans="1:7">
      <c r="A14" s="135">
        <v>2</v>
      </c>
      <c r="B14" s="184" t="s">
        <v>27</v>
      </c>
      <c r="C14" s="184"/>
      <c r="D14" s="136">
        <f>外购外协件明细!P25</f>
        <v>211.91200000000001</v>
      </c>
      <c r="E14" s="185">
        <f t="shared" si="0"/>
        <v>0.36231358239779998</v>
      </c>
      <c r="F14" s="185"/>
      <c r="G14" s="187"/>
    </row>
    <row r="15" spans="1:7">
      <c r="A15" s="178" t="s">
        <v>28</v>
      </c>
      <c r="B15" s="178"/>
      <c r="C15" s="178"/>
      <c r="D15" s="134">
        <f>加工明细!P10</f>
        <v>32.535736</v>
      </c>
      <c r="E15" s="179">
        <f t="shared" si="0"/>
        <v>5.5627520225891257E-2</v>
      </c>
      <c r="F15" s="179"/>
      <c r="G15" s="187"/>
    </row>
    <row r="16" spans="1:7">
      <c r="A16" s="178" t="s">
        <v>29</v>
      </c>
      <c r="B16" s="178"/>
      <c r="C16" s="178"/>
      <c r="D16" s="134">
        <f>加工明细!Q10</f>
        <v>29.942997054166661</v>
      </c>
      <c r="E16" s="179">
        <f t="shared" si="0"/>
        <v>5.1194621023924532E-2</v>
      </c>
      <c r="F16" s="179"/>
      <c r="G16" s="187"/>
    </row>
    <row r="17" spans="1:7">
      <c r="A17" s="178" t="s">
        <v>30</v>
      </c>
      <c r="B17" s="178"/>
      <c r="C17" s="178"/>
      <c r="D17" s="134">
        <f>D12+D15+D16</f>
        <v>391.37213305416668</v>
      </c>
      <c r="E17" s="179">
        <f t="shared" si="0"/>
        <v>0.66914303851373946</v>
      </c>
      <c r="F17" s="179"/>
      <c r="G17" s="187"/>
    </row>
    <row r="18" spans="1:7">
      <c r="A18" s="178" t="s">
        <v>31</v>
      </c>
      <c r="B18" s="178"/>
      <c r="C18" s="178"/>
      <c r="D18" s="134">
        <f>D19+D20+D21</f>
        <v>33.266631309604165</v>
      </c>
      <c r="E18" s="179">
        <f t="shared" si="0"/>
        <v>5.6877158273667849E-2</v>
      </c>
      <c r="F18" s="179"/>
      <c r="G18" s="187"/>
    </row>
    <row r="19" spans="1:7">
      <c r="A19" s="135">
        <v>3</v>
      </c>
      <c r="B19" s="184" t="s">
        <v>32</v>
      </c>
      <c r="C19" s="184"/>
      <c r="D19" s="137">
        <f>期间费用!C6</f>
        <v>15.654885322166667</v>
      </c>
      <c r="E19" s="185">
        <f t="shared" si="0"/>
        <v>2.676572154054958E-2</v>
      </c>
      <c r="F19" s="185"/>
      <c r="G19" s="187"/>
    </row>
    <row r="20" spans="1:7">
      <c r="A20" s="135">
        <v>4</v>
      </c>
      <c r="B20" s="184" t="s">
        <v>33</v>
      </c>
      <c r="C20" s="184"/>
      <c r="D20" s="137">
        <f>期间费用!C7</f>
        <v>5.8705819958124996</v>
      </c>
      <c r="E20" s="185">
        <f t="shared" si="0"/>
        <v>1.0037145577706092E-2</v>
      </c>
      <c r="F20" s="185"/>
      <c r="G20" s="187"/>
    </row>
    <row r="21" spans="1:7">
      <c r="A21" s="135">
        <v>5</v>
      </c>
      <c r="B21" s="184" t="s">
        <v>34</v>
      </c>
      <c r="C21" s="184"/>
      <c r="D21" s="137">
        <f>期间费用!C8</f>
        <v>11.741163991624999</v>
      </c>
      <c r="E21" s="185">
        <f t="shared" si="0"/>
        <v>2.0074291155412184E-2</v>
      </c>
      <c r="F21" s="185"/>
      <c r="G21" s="187"/>
    </row>
    <row r="22" spans="1:7">
      <c r="A22" s="178" t="s">
        <v>35</v>
      </c>
      <c r="B22" s="178"/>
      <c r="C22" s="178"/>
      <c r="D22" s="134">
        <f>(D17)*0.05</f>
        <v>19.568606652708336</v>
      </c>
      <c r="E22" s="179">
        <f t="shared" si="0"/>
        <v>3.3457151925686976E-2</v>
      </c>
      <c r="F22" s="179"/>
      <c r="G22" s="188"/>
    </row>
    <row r="23" spans="1:7">
      <c r="A23" s="178" t="s">
        <v>36</v>
      </c>
      <c r="B23" s="178"/>
      <c r="C23" s="178"/>
      <c r="D23" s="134">
        <f>D22+D18+D17</f>
        <v>444.20737101647921</v>
      </c>
      <c r="E23" s="179">
        <f t="shared" si="0"/>
        <v>0.75947734871309436</v>
      </c>
      <c r="F23" s="179"/>
      <c r="G23" s="27"/>
    </row>
    <row r="24" spans="1:7">
      <c r="A24" s="178" t="s">
        <v>37</v>
      </c>
      <c r="B24" s="178"/>
      <c r="C24" s="178"/>
      <c r="D24" s="134">
        <f>D23*0.17</f>
        <v>75.515253072801471</v>
      </c>
      <c r="E24" s="179">
        <f t="shared" si="0"/>
        <v>0.12911114928122605</v>
      </c>
      <c r="F24" s="179"/>
      <c r="G24" s="28" t="s">
        <v>264</v>
      </c>
    </row>
    <row r="25" spans="1:7">
      <c r="A25" s="178" t="s">
        <v>38</v>
      </c>
      <c r="B25" s="178"/>
      <c r="C25" s="178"/>
      <c r="D25" s="134">
        <f>D24+D23</f>
        <v>519.72262408928066</v>
      </c>
      <c r="E25" s="179">
        <f t="shared" si="0"/>
        <v>0.88858849799432038</v>
      </c>
      <c r="F25" s="179"/>
      <c r="G25" s="28"/>
    </row>
    <row r="26" spans="1:7">
      <c r="A26" s="178" t="s">
        <v>39</v>
      </c>
      <c r="B26" s="178"/>
      <c r="C26" s="178"/>
      <c r="D26" s="134">
        <f>工装明细!P19*1.17</f>
        <v>39.951872999999985</v>
      </c>
      <c r="E26" s="179">
        <f t="shared" si="0"/>
        <v>6.8307156886499756E-2</v>
      </c>
      <c r="F26" s="179"/>
      <c r="G26" s="28" t="s">
        <v>265</v>
      </c>
    </row>
    <row r="27" spans="1:7">
      <c r="A27" s="178" t="s">
        <v>40</v>
      </c>
      <c r="B27" s="178"/>
      <c r="C27" s="178"/>
      <c r="D27" s="134">
        <f>包装运输明细!M30</f>
        <v>1.6</v>
      </c>
      <c r="E27" s="179">
        <f t="shared" si="0"/>
        <v>2.7355776541039679E-3</v>
      </c>
      <c r="F27" s="179"/>
      <c r="G27" s="28" t="s">
        <v>266</v>
      </c>
    </row>
    <row r="28" spans="1:7">
      <c r="A28" s="178" t="s">
        <v>41</v>
      </c>
      <c r="B28" s="178"/>
      <c r="C28" s="178"/>
      <c r="D28" s="134">
        <f>包装运输明细!M44</f>
        <v>23.611111111111111</v>
      </c>
      <c r="E28" s="179">
        <f t="shared" si="0"/>
        <v>4.0368767465075908E-2</v>
      </c>
      <c r="F28" s="179"/>
      <c r="G28" s="28" t="s">
        <v>267</v>
      </c>
    </row>
    <row r="29" spans="1:7">
      <c r="A29" s="178" t="s">
        <v>42</v>
      </c>
      <c r="B29" s="178"/>
      <c r="C29" s="178"/>
      <c r="D29" s="138">
        <f>D25+D26+D27+D28</f>
        <v>584.88560820039174</v>
      </c>
      <c r="E29" s="179">
        <f t="shared" si="0"/>
        <v>1</v>
      </c>
      <c r="F29" s="179"/>
      <c r="G29" s="27"/>
    </row>
    <row r="30" spans="1:7">
      <c r="B30" s="51" t="s">
        <v>43</v>
      </c>
      <c r="C30" s="51"/>
      <c r="D30" s="51"/>
    </row>
    <row r="31" spans="1:7" s="124" customFormat="1">
      <c r="A31" s="180" t="s">
        <v>44</v>
      </c>
      <c r="B31" s="180"/>
      <c r="C31" s="180"/>
      <c r="D31" s="139" t="s">
        <v>45</v>
      </c>
      <c r="E31" s="180" t="s">
        <v>46</v>
      </c>
      <c r="F31" s="180"/>
      <c r="G31" s="139" t="s">
        <v>47</v>
      </c>
    </row>
    <row r="32" spans="1:7" ht="13.5" customHeight="1"/>
    <row r="34" spans="7:7">
      <c r="G34" t="s">
        <v>48</v>
      </c>
    </row>
  </sheetData>
  <mergeCells count="51">
    <mergeCell ref="G12:G22"/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A1:A4"/>
    <mergeCell ref="B1:F4"/>
    <mergeCell ref="A27:C27"/>
    <mergeCell ref="E27:F27"/>
    <mergeCell ref="A28:C28"/>
    <mergeCell ref="E28:F28"/>
    <mergeCell ref="A24:C24"/>
    <mergeCell ref="E24:F24"/>
    <mergeCell ref="A25:C25"/>
    <mergeCell ref="E25:F25"/>
    <mergeCell ref="B20:C20"/>
    <mergeCell ref="E20:F20"/>
    <mergeCell ref="B21:C21"/>
    <mergeCell ref="E21:F21"/>
    <mergeCell ref="A22:C22"/>
    <mergeCell ref="E22:F22"/>
    <mergeCell ref="A26:C26"/>
    <mergeCell ref="E26:F26"/>
    <mergeCell ref="A23:C23"/>
    <mergeCell ref="E23:F23"/>
    <mergeCell ref="A31:C31"/>
    <mergeCell ref="E31:F31"/>
    <mergeCell ref="A29:C29"/>
    <mergeCell ref="E29:F29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5"/>
  <sheetViews>
    <sheetView workbookViewId="0">
      <selection activeCell="G21" sqref="G21"/>
    </sheetView>
  </sheetViews>
  <sheetFormatPr defaultColWidth="9" defaultRowHeight="13.5"/>
  <cols>
    <col min="1" max="1" width="5.25" style="12" customWidth="1"/>
    <col min="2" max="2" width="8.25" style="12" customWidth="1"/>
    <col min="3" max="3" width="12.75" style="12" customWidth="1"/>
    <col min="4" max="4" width="3.5" style="12" customWidth="1"/>
    <col min="5" max="5" width="17.125" style="12" customWidth="1"/>
    <col min="6" max="6" width="15.875" style="107" customWidth="1"/>
    <col min="7" max="7" width="14.5" style="12" customWidth="1"/>
    <col min="8" max="8" width="8" style="12" customWidth="1"/>
    <col min="9" max="9" width="7.75" style="12" customWidth="1"/>
    <col min="10" max="10" width="9.125" style="12" customWidth="1"/>
    <col min="11" max="11" width="12.25" style="12" customWidth="1"/>
    <col min="12" max="12" width="6.5" style="12" customWidth="1"/>
    <col min="13" max="13" width="6.625" style="12" customWidth="1"/>
    <col min="14" max="14" width="6" style="12" customWidth="1"/>
    <col min="15" max="15" width="7.625" style="12" customWidth="1"/>
    <col min="16" max="16" width="5.625" style="12" customWidth="1"/>
    <col min="17" max="17" width="9.75" style="12" customWidth="1"/>
    <col min="18" max="18" width="12.375" style="12" customWidth="1"/>
    <col min="19" max="16384" width="9" style="12"/>
  </cols>
  <sheetData>
    <row r="1" spans="1:19" ht="27.75" customHeight="1">
      <c r="A1" s="202" t="s">
        <v>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19" ht="18.75" customHeight="1">
      <c r="A2" s="203" t="s">
        <v>50</v>
      </c>
      <c r="B2" s="203"/>
      <c r="C2" s="203" t="s">
        <v>51</v>
      </c>
      <c r="D2" s="203"/>
      <c r="E2" s="203"/>
      <c r="F2" s="203"/>
      <c r="G2" s="203"/>
      <c r="H2" s="203"/>
      <c r="I2" s="14" t="s">
        <v>52</v>
      </c>
      <c r="J2" s="203" t="s">
        <v>318</v>
      </c>
      <c r="K2" s="203"/>
      <c r="L2" s="203"/>
      <c r="M2" s="203"/>
      <c r="N2" s="204" t="s">
        <v>53</v>
      </c>
      <c r="O2" s="204"/>
      <c r="P2" s="204"/>
      <c r="Q2" s="204"/>
      <c r="R2" s="204"/>
      <c r="S2" s="204"/>
    </row>
    <row r="3" spans="1:19" ht="18.75" customHeight="1">
      <c r="A3" s="199" t="s">
        <v>327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 t="s">
        <v>277</v>
      </c>
      <c r="O3" s="200"/>
      <c r="P3" s="200"/>
      <c r="Q3" s="200"/>
      <c r="R3" s="200"/>
      <c r="S3" s="200"/>
    </row>
    <row r="4" spans="1:19" ht="18" customHeight="1">
      <c r="A4" s="198" t="s">
        <v>54</v>
      </c>
      <c r="B4" s="198" t="s">
        <v>55</v>
      </c>
      <c r="C4" s="198" t="s">
        <v>56</v>
      </c>
      <c r="D4" s="198" t="s">
        <v>57</v>
      </c>
      <c r="E4" s="201" t="s">
        <v>26</v>
      </c>
      <c r="F4" s="201"/>
      <c r="G4" s="201"/>
      <c r="H4" s="201"/>
      <c r="I4" s="201"/>
      <c r="J4" s="201"/>
      <c r="K4" s="198" t="s">
        <v>58</v>
      </c>
      <c r="L4" s="198"/>
      <c r="M4" s="198" t="s">
        <v>59</v>
      </c>
      <c r="N4" s="198"/>
      <c r="O4" s="198"/>
      <c r="P4" s="198" t="s">
        <v>60</v>
      </c>
      <c r="Q4" s="198" t="s">
        <v>61</v>
      </c>
      <c r="R4" s="198" t="s">
        <v>62</v>
      </c>
      <c r="S4" s="198" t="s">
        <v>24</v>
      </c>
    </row>
    <row r="5" spans="1:19" ht="48">
      <c r="A5" s="198"/>
      <c r="B5" s="198"/>
      <c r="C5" s="198"/>
      <c r="D5" s="198"/>
      <c r="E5" s="73" t="s">
        <v>63</v>
      </c>
      <c r="F5" s="73" t="s">
        <v>64</v>
      </c>
      <c r="G5" s="73" t="s">
        <v>65</v>
      </c>
      <c r="H5" s="73" t="s">
        <v>66</v>
      </c>
      <c r="I5" s="73" t="s">
        <v>67</v>
      </c>
      <c r="J5" s="73" t="s">
        <v>68</v>
      </c>
      <c r="K5" s="73" t="s">
        <v>63</v>
      </c>
      <c r="L5" s="73" t="s">
        <v>69</v>
      </c>
      <c r="M5" s="73" t="s">
        <v>70</v>
      </c>
      <c r="N5" s="73" t="s">
        <v>71</v>
      </c>
      <c r="O5" s="73" t="s">
        <v>72</v>
      </c>
      <c r="P5" s="198"/>
      <c r="Q5" s="198"/>
      <c r="R5" s="198"/>
      <c r="S5" s="198"/>
    </row>
    <row r="6" spans="1:19" s="166" customFormat="1" ht="15" customHeight="1">
      <c r="A6" s="164">
        <v>1</v>
      </c>
      <c r="B6" s="164" t="s">
        <v>16</v>
      </c>
      <c r="C6" s="164" t="s">
        <v>310</v>
      </c>
      <c r="D6" s="164">
        <v>1</v>
      </c>
      <c r="E6" s="164" t="s">
        <v>311</v>
      </c>
      <c r="F6" s="164" t="s">
        <v>16</v>
      </c>
      <c r="G6" s="164" t="s">
        <v>16</v>
      </c>
      <c r="H6" s="164" t="s">
        <v>16</v>
      </c>
      <c r="I6" s="156">
        <v>22.08</v>
      </c>
      <c r="J6" s="164" t="s">
        <v>16</v>
      </c>
      <c r="K6" s="157" t="s">
        <v>16</v>
      </c>
      <c r="L6" s="164" t="s">
        <v>16</v>
      </c>
      <c r="M6" s="155">
        <v>2.58</v>
      </c>
      <c r="N6" s="165">
        <v>2.58</v>
      </c>
      <c r="O6" s="114">
        <f>N6/M6</f>
        <v>1</v>
      </c>
      <c r="P6" s="164">
        <v>0</v>
      </c>
      <c r="Q6" s="121">
        <f>D6*P6*(M6-N6)</f>
        <v>0</v>
      </c>
      <c r="R6" s="113">
        <f>D6*I6*M6-Q6</f>
        <v>56.9664</v>
      </c>
      <c r="S6" s="164" t="s">
        <v>16</v>
      </c>
    </row>
    <row r="7" spans="1:19" s="166" customFormat="1">
      <c r="A7" s="164">
        <v>2</v>
      </c>
      <c r="B7" s="164" t="s">
        <v>16</v>
      </c>
      <c r="C7" s="164" t="s">
        <v>312</v>
      </c>
      <c r="D7" s="164">
        <v>1</v>
      </c>
      <c r="E7" s="164" t="s">
        <v>309</v>
      </c>
      <c r="F7" s="164" t="s">
        <v>307</v>
      </c>
      <c r="G7" s="164" t="s">
        <v>278</v>
      </c>
      <c r="H7" s="164" t="s">
        <v>279</v>
      </c>
      <c r="I7" s="113">
        <v>32.76</v>
      </c>
      <c r="J7" s="164" t="s">
        <v>16</v>
      </c>
      <c r="K7" s="157" t="s">
        <v>313</v>
      </c>
      <c r="L7" s="164" t="s">
        <v>268</v>
      </c>
      <c r="M7" s="165">
        <v>0.3</v>
      </c>
      <c r="N7" s="165">
        <v>0.25</v>
      </c>
      <c r="O7" s="114">
        <f t="shared" ref="O7:O12" si="0">N7/M7</f>
        <v>0.83333333333333337</v>
      </c>
      <c r="P7" s="164">
        <v>0</v>
      </c>
      <c r="Q7" s="121">
        <f t="shared" ref="Q7:Q12" si="1">D7*P7*(M7-N7)</f>
        <v>0</v>
      </c>
      <c r="R7" s="113">
        <f t="shared" ref="R7:R12" si="2">D7*I7*M7-Q7</f>
        <v>9.8279999999999994</v>
      </c>
      <c r="S7" s="164" t="s">
        <v>16</v>
      </c>
    </row>
    <row r="8" spans="1:19" s="166" customFormat="1">
      <c r="A8" s="164">
        <v>3</v>
      </c>
      <c r="B8" s="164" t="s">
        <v>16</v>
      </c>
      <c r="C8" s="164" t="s">
        <v>312</v>
      </c>
      <c r="D8" s="164">
        <v>1</v>
      </c>
      <c r="E8" s="164" t="s">
        <v>314</v>
      </c>
      <c r="F8" s="164" t="s">
        <v>308</v>
      </c>
      <c r="G8" s="164" t="s">
        <v>278</v>
      </c>
      <c r="H8" s="164" t="s">
        <v>279</v>
      </c>
      <c r="I8" s="113">
        <v>21.98</v>
      </c>
      <c r="J8" s="164" t="s">
        <v>16</v>
      </c>
      <c r="K8" s="157" t="s">
        <v>313</v>
      </c>
      <c r="L8" s="164" t="s">
        <v>268</v>
      </c>
      <c r="M8" s="165">
        <v>0.95</v>
      </c>
      <c r="N8" s="165">
        <v>0.95</v>
      </c>
      <c r="O8" s="114">
        <f t="shared" si="0"/>
        <v>1</v>
      </c>
      <c r="P8" s="164">
        <v>0</v>
      </c>
      <c r="Q8" s="121">
        <f t="shared" si="1"/>
        <v>0</v>
      </c>
      <c r="R8" s="113">
        <f t="shared" si="2"/>
        <v>20.881</v>
      </c>
      <c r="S8" s="164" t="s">
        <v>16</v>
      </c>
    </row>
    <row r="9" spans="1:19" s="166" customFormat="1">
      <c r="A9" s="164">
        <v>4</v>
      </c>
      <c r="B9" s="164" t="s">
        <v>16</v>
      </c>
      <c r="C9" s="164" t="s">
        <v>312</v>
      </c>
      <c r="D9" s="164">
        <v>1</v>
      </c>
      <c r="E9" s="164" t="s">
        <v>315</v>
      </c>
      <c r="F9" s="164" t="s">
        <v>16</v>
      </c>
      <c r="G9" s="164" t="s">
        <v>16</v>
      </c>
      <c r="H9" s="164" t="s">
        <v>16</v>
      </c>
      <c r="I9" s="113">
        <v>8.1999999999999993</v>
      </c>
      <c r="J9" s="164" t="s">
        <v>16</v>
      </c>
      <c r="K9" s="157" t="s">
        <v>16</v>
      </c>
      <c r="L9" s="164" t="s">
        <v>16</v>
      </c>
      <c r="M9" s="165">
        <v>1</v>
      </c>
      <c r="N9" s="165">
        <v>1.0049999999999999</v>
      </c>
      <c r="O9" s="114">
        <f t="shared" si="0"/>
        <v>1.0049999999999999</v>
      </c>
      <c r="P9" s="164">
        <v>0</v>
      </c>
      <c r="Q9" s="121">
        <f t="shared" si="1"/>
        <v>0</v>
      </c>
      <c r="R9" s="113">
        <f t="shared" si="2"/>
        <v>8.1999999999999993</v>
      </c>
      <c r="S9" s="164" t="s">
        <v>16</v>
      </c>
    </row>
    <row r="10" spans="1:19" s="166" customFormat="1">
      <c r="A10" s="164">
        <v>5</v>
      </c>
      <c r="B10" s="164" t="s">
        <v>16</v>
      </c>
      <c r="C10" s="164" t="s">
        <v>316</v>
      </c>
      <c r="D10" s="164">
        <v>1</v>
      </c>
      <c r="E10" s="164" t="s">
        <v>309</v>
      </c>
      <c r="F10" s="164" t="s">
        <v>307</v>
      </c>
      <c r="G10" s="164" t="s">
        <v>278</v>
      </c>
      <c r="H10" s="164" t="s">
        <v>279</v>
      </c>
      <c r="I10" s="113">
        <v>32.76</v>
      </c>
      <c r="J10" s="164" t="s">
        <v>16</v>
      </c>
      <c r="K10" s="157" t="s">
        <v>313</v>
      </c>
      <c r="L10" s="164" t="s">
        <v>268</v>
      </c>
      <c r="M10" s="165">
        <v>0.23</v>
      </c>
      <c r="N10" s="165">
        <v>0.16</v>
      </c>
      <c r="O10" s="114">
        <f t="shared" si="0"/>
        <v>0.69565217391304346</v>
      </c>
      <c r="P10" s="164">
        <v>0</v>
      </c>
      <c r="Q10" s="121">
        <f t="shared" si="1"/>
        <v>0</v>
      </c>
      <c r="R10" s="113">
        <f t="shared" si="2"/>
        <v>7.5347999999999997</v>
      </c>
      <c r="S10" s="164" t="s">
        <v>16</v>
      </c>
    </row>
    <row r="11" spans="1:19" s="166" customFormat="1">
      <c r="A11" s="164">
        <v>6</v>
      </c>
      <c r="B11" s="164" t="s">
        <v>16</v>
      </c>
      <c r="C11" s="164" t="s">
        <v>316</v>
      </c>
      <c r="D11" s="164">
        <v>1</v>
      </c>
      <c r="E11" s="164" t="s">
        <v>314</v>
      </c>
      <c r="F11" s="164" t="s">
        <v>308</v>
      </c>
      <c r="G11" s="164" t="s">
        <v>278</v>
      </c>
      <c r="H11" s="164" t="s">
        <v>279</v>
      </c>
      <c r="I11" s="113">
        <v>21.98</v>
      </c>
      <c r="J11" s="164" t="s">
        <v>16</v>
      </c>
      <c r="K11" s="157" t="s">
        <v>313</v>
      </c>
      <c r="L11" s="164" t="s">
        <v>268</v>
      </c>
      <c r="M11" s="165">
        <v>0.44</v>
      </c>
      <c r="N11" s="165">
        <v>0.44</v>
      </c>
      <c r="O11" s="114">
        <f t="shared" si="0"/>
        <v>1</v>
      </c>
      <c r="P11" s="164">
        <v>0</v>
      </c>
      <c r="Q11" s="121">
        <f t="shared" si="1"/>
        <v>0</v>
      </c>
      <c r="R11" s="113">
        <f t="shared" si="2"/>
        <v>9.6712000000000007</v>
      </c>
      <c r="S11" s="164" t="s">
        <v>16</v>
      </c>
    </row>
    <row r="12" spans="1:19" s="166" customFormat="1">
      <c r="A12" s="164">
        <v>7</v>
      </c>
      <c r="B12" s="164" t="s">
        <v>16</v>
      </c>
      <c r="C12" s="164" t="s">
        <v>316</v>
      </c>
      <c r="D12" s="164">
        <v>1</v>
      </c>
      <c r="E12" s="164" t="s">
        <v>315</v>
      </c>
      <c r="F12" s="164" t="s">
        <v>16</v>
      </c>
      <c r="G12" s="164" t="s">
        <v>16</v>
      </c>
      <c r="H12" s="164" t="s">
        <v>16</v>
      </c>
      <c r="I12" s="113">
        <v>3.9</v>
      </c>
      <c r="J12" s="164" t="s">
        <v>16</v>
      </c>
      <c r="K12" s="164" t="s">
        <v>16</v>
      </c>
      <c r="L12" s="164" t="s">
        <v>16</v>
      </c>
      <c r="M12" s="165">
        <v>1</v>
      </c>
      <c r="N12" s="165">
        <v>1</v>
      </c>
      <c r="O12" s="114">
        <f t="shared" si="0"/>
        <v>1</v>
      </c>
      <c r="P12" s="164">
        <v>0</v>
      </c>
      <c r="Q12" s="121">
        <f t="shared" si="1"/>
        <v>0</v>
      </c>
      <c r="R12" s="113">
        <f t="shared" si="2"/>
        <v>3.9</v>
      </c>
      <c r="S12" s="164" t="s">
        <v>16</v>
      </c>
    </row>
    <row r="13" spans="1:19" ht="21" customHeight="1">
      <c r="A13" s="196" t="s">
        <v>74</v>
      </c>
      <c r="B13" s="196"/>
      <c r="C13" s="196"/>
      <c r="D13" s="73" t="s">
        <v>16</v>
      </c>
      <c r="E13" s="73" t="s">
        <v>16</v>
      </c>
      <c r="F13" s="73" t="s">
        <v>16</v>
      </c>
      <c r="G13" s="73" t="s">
        <v>16</v>
      </c>
      <c r="H13" s="73" t="s">
        <v>16</v>
      </c>
      <c r="I13" s="73" t="s">
        <v>16</v>
      </c>
      <c r="J13" s="73" t="s">
        <v>16</v>
      </c>
      <c r="K13" s="73" t="s">
        <v>16</v>
      </c>
      <c r="L13" s="73" t="s">
        <v>16</v>
      </c>
      <c r="M13" s="115">
        <f>SUM(M6:M12)</f>
        <v>6.5000000000000009</v>
      </c>
      <c r="N13" s="116" t="s">
        <v>16</v>
      </c>
      <c r="O13" s="116" t="s">
        <v>16</v>
      </c>
      <c r="P13" s="116" t="s">
        <v>16</v>
      </c>
      <c r="Q13" s="115">
        <f>SUM(Q6:Q12)</f>
        <v>0</v>
      </c>
      <c r="R13" s="115">
        <f>SUM(R6:R12)</f>
        <v>116.98140000000001</v>
      </c>
      <c r="S13" s="122"/>
    </row>
    <row r="14" spans="1:19" ht="21" customHeight="1">
      <c r="A14" s="108"/>
      <c r="B14" s="95" t="s">
        <v>75</v>
      </c>
      <c r="C14" s="108"/>
      <c r="D14" s="109"/>
      <c r="E14" s="110"/>
      <c r="F14" s="109"/>
      <c r="G14" s="110"/>
      <c r="H14" s="110"/>
      <c r="I14" s="117"/>
      <c r="J14" s="110"/>
      <c r="K14" s="110"/>
      <c r="L14" s="117"/>
      <c r="M14" s="118"/>
      <c r="N14" s="118"/>
      <c r="O14" s="119"/>
      <c r="P14" s="120"/>
      <c r="Q14" s="118"/>
      <c r="R14" s="118"/>
      <c r="S14" s="112"/>
    </row>
    <row r="15" spans="1:19" ht="27" customHeight="1">
      <c r="A15" s="197" t="s">
        <v>76</v>
      </c>
      <c r="B15" s="197"/>
      <c r="C15" s="197"/>
      <c r="D15" s="112"/>
      <c r="E15" s="112"/>
      <c r="F15" s="111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3:C13"/>
    <mergeCell ref="A15:C15"/>
    <mergeCell ref="A4:A5"/>
    <mergeCell ref="B4:B5"/>
    <mergeCell ref="C4:C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32"/>
  <sheetViews>
    <sheetView workbookViewId="0">
      <selection activeCell="D16" sqref="D16"/>
    </sheetView>
  </sheetViews>
  <sheetFormatPr defaultColWidth="9" defaultRowHeight="13.5"/>
  <cols>
    <col min="1" max="1" width="5.375" customWidth="1"/>
    <col min="2" max="2" width="12.125" customWidth="1"/>
    <col min="3" max="3" width="16" customWidth="1"/>
    <col min="4" max="4" width="24.625" customWidth="1"/>
    <col min="5" max="5" width="6.25" customWidth="1"/>
    <col min="6" max="6" width="5.125" customWidth="1"/>
    <col min="7" max="7" width="9.125" customWidth="1"/>
    <col min="8" max="8" width="9.25" customWidth="1"/>
    <col min="9" max="9" width="15.87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214" t="s">
        <v>77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s="1" customFormat="1">
      <c r="A2" s="215" t="s">
        <v>78</v>
      </c>
      <c r="B2" s="216"/>
      <c r="C2" s="216"/>
      <c r="D2" s="216"/>
      <c r="E2" s="216"/>
      <c r="F2" s="216"/>
      <c r="G2" s="216"/>
      <c r="H2" s="217"/>
      <c r="I2" s="218" t="s">
        <v>52</v>
      </c>
      <c r="J2" s="218"/>
      <c r="K2" s="219" t="str">
        <f>原材料明细!J2</f>
        <v>ETX</v>
      </c>
      <c r="L2" s="219"/>
      <c r="M2" s="219"/>
      <c r="N2" s="219"/>
      <c r="O2" s="219"/>
      <c r="P2" s="220" t="s">
        <v>53</v>
      </c>
      <c r="Q2" s="220"/>
    </row>
    <row r="3" spans="1:17" s="1" customFormat="1">
      <c r="A3" s="218" t="str">
        <f>原材料明细!A3</f>
        <v>零件图号/名称:H0681020100A0/副驾驶员座椅总成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 t="str">
        <f>原材料明细!N3</f>
        <v>报价填写日期: 2020.9.9</v>
      </c>
      <c r="Q3" s="218"/>
    </row>
    <row r="4" spans="1:17" ht="18.75">
      <c r="A4" s="221" t="s">
        <v>79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3"/>
    </row>
    <row r="5" spans="1:17" s="13" customFormat="1" ht="21.75" customHeight="1">
      <c r="A5" s="201" t="s">
        <v>54</v>
      </c>
      <c r="B5" s="205" t="s">
        <v>55</v>
      </c>
      <c r="C5" s="205" t="s">
        <v>56</v>
      </c>
      <c r="D5" s="205" t="s">
        <v>80</v>
      </c>
      <c r="E5" s="206"/>
      <c r="F5" s="205" t="s">
        <v>81</v>
      </c>
      <c r="G5" s="205" t="s">
        <v>82</v>
      </c>
      <c r="H5" s="205" t="s">
        <v>68</v>
      </c>
      <c r="I5" s="201" t="s">
        <v>26</v>
      </c>
      <c r="J5" s="201"/>
      <c r="K5" s="201"/>
      <c r="L5" s="201"/>
      <c r="M5" s="201"/>
      <c r="N5" s="201"/>
      <c r="O5" s="201"/>
      <c r="P5" s="205" t="s">
        <v>83</v>
      </c>
      <c r="Q5" s="205" t="s">
        <v>24</v>
      </c>
    </row>
    <row r="6" spans="1:17" s="13" customFormat="1" ht="24">
      <c r="A6" s="201"/>
      <c r="B6" s="206"/>
      <c r="C6" s="206"/>
      <c r="D6" s="87" t="s">
        <v>63</v>
      </c>
      <c r="E6" s="87" t="s">
        <v>69</v>
      </c>
      <c r="F6" s="206"/>
      <c r="G6" s="206"/>
      <c r="H6" s="205"/>
      <c r="I6" s="96" t="s">
        <v>84</v>
      </c>
      <c r="J6" s="96" t="s">
        <v>64</v>
      </c>
      <c r="K6" s="212" t="s">
        <v>65</v>
      </c>
      <c r="L6" s="212"/>
      <c r="M6" s="212"/>
      <c r="N6" s="96" t="s">
        <v>66</v>
      </c>
      <c r="O6" s="96" t="s">
        <v>85</v>
      </c>
      <c r="P6" s="205"/>
      <c r="Q6" s="205"/>
    </row>
    <row r="7" spans="1:17" s="51" customFormat="1">
      <c r="A7" s="27">
        <f t="shared" ref="A7:A16" si="0">ROW()-6</f>
        <v>1</v>
      </c>
      <c r="B7" s="159" t="s">
        <v>288</v>
      </c>
      <c r="C7" s="169" t="s">
        <v>281</v>
      </c>
      <c r="D7" s="171" t="s">
        <v>323</v>
      </c>
      <c r="E7" s="171" t="s">
        <v>323</v>
      </c>
      <c r="F7" s="169">
        <v>1</v>
      </c>
      <c r="G7" s="174">
        <v>54.44</v>
      </c>
      <c r="H7" s="89" t="s">
        <v>16</v>
      </c>
      <c r="I7" s="89" t="s">
        <v>16</v>
      </c>
      <c r="J7" s="89" t="s">
        <v>16</v>
      </c>
      <c r="K7" s="212" t="s">
        <v>16</v>
      </c>
      <c r="L7" s="212"/>
      <c r="M7" s="212"/>
      <c r="N7" s="27" t="s">
        <v>16</v>
      </c>
      <c r="O7" s="80" t="s">
        <v>16</v>
      </c>
      <c r="P7" s="97">
        <f t="shared" ref="P7:P16" si="1">G7*F7</f>
        <v>54.44</v>
      </c>
      <c r="Q7" s="102"/>
    </row>
    <row r="8" spans="1:17" s="51" customFormat="1">
      <c r="A8" s="27">
        <f t="shared" si="0"/>
        <v>2</v>
      </c>
      <c r="B8" s="159" t="s">
        <v>289</v>
      </c>
      <c r="C8" s="169" t="s">
        <v>324</v>
      </c>
      <c r="D8" s="171" t="s">
        <v>323</v>
      </c>
      <c r="E8" s="171" t="s">
        <v>323</v>
      </c>
      <c r="F8" s="169">
        <v>1</v>
      </c>
      <c r="G8" s="174">
        <v>13</v>
      </c>
      <c r="H8" s="89" t="s">
        <v>16</v>
      </c>
      <c r="I8" s="89" t="s">
        <v>16</v>
      </c>
      <c r="J8" s="89" t="s">
        <v>16</v>
      </c>
      <c r="K8" s="212" t="s">
        <v>16</v>
      </c>
      <c r="L8" s="212"/>
      <c r="M8" s="212"/>
      <c r="N8" s="27" t="s">
        <v>16</v>
      </c>
      <c r="O8" s="80" t="s">
        <v>16</v>
      </c>
      <c r="P8" s="97">
        <f t="shared" si="1"/>
        <v>13</v>
      </c>
      <c r="Q8" s="102"/>
    </row>
    <row r="9" spans="1:17" s="51" customFormat="1">
      <c r="A9" s="149">
        <v>3</v>
      </c>
      <c r="B9" s="159" t="s">
        <v>280</v>
      </c>
      <c r="C9" s="161" t="s">
        <v>290</v>
      </c>
      <c r="D9" s="171" t="s">
        <v>323</v>
      </c>
      <c r="E9" s="171" t="s">
        <v>323</v>
      </c>
      <c r="F9" s="140">
        <v>1</v>
      </c>
      <c r="G9" s="160">
        <v>20.86</v>
      </c>
      <c r="H9" s="89" t="s">
        <v>16</v>
      </c>
      <c r="I9" s="89" t="s">
        <v>16</v>
      </c>
      <c r="J9" s="89" t="s">
        <v>16</v>
      </c>
      <c r="K9" s="212" t="s">
        <v>16</v>
      </c>
      <c r="L9" s="212"/>
      <c r="M9" s="212"/>
      <c r="N9" s="149" t="s">
        <v>16</v>
      </c>
      <c r="O9" s="148" t="s">
        <v>16</v>
      </c>
      <c r="P9" s="97">
        <f t="shared" si="1"/>
        <v>20.86</v>
      </c>
      <c r="Q9" s="102"/>
    </row>
    <row r="10" spans="1:17" s="51" customFormat="1">
      <c r="A10" s="149">
        <v>4</v>
      </c>
      <c r="B10" s="159" t="s">
        <v>291</v>
      </c>
      <c r="C10" s="161" t="s">
        <v>325</v>
      </c>
      <c r="D10" s="171" t="s">
        <v>323</v>
      </c>
      <c r="E10" s="171" t="s">
        <v>323</v>
      </c>
      <c r="F10" s="140">
        <v>1</v>
      </c>
      <c r="G10" s="160">
        <v>4.6639999999999997</v>
      </c>
      <c r="H10" s="89" t="s">
        <v>16</v>
      </c>
      <c r="I10" s="89" t="s">
        <v>16</v>
      </c>
      <c r="J10" s="89" t="s">
        <v>16</v>
      </c>
      <c r="K10" s="212" t="s">
        <v>16</v>
      </c>
      <c r="L10" s="212"/>
      <c r="M10" s="212"/>
      <c r="N10" s="149" t="s">
        <v>16</v>
      </c>
      <c r="O10" s="148" t="s">
        <v>16</v>
      </c>
      <c r="P10" s="97">
        <f t="shared" si="1"/>
        <v>4.6639999999999997</v>
      </c>
      <c r="Q10" s="102"/>
    </row>
    <row r="11" spans="1:17" s="51" customFormat="1">
      <c r="A11" s="149">
        <v>5</v>
      </c>
      <c r="B11" s="159" t="s">
        <v>292</v>
      </c>
      <c r="C11" s="161" t="s">
        <v>293</v>
      </c>
      <c r="D11" s="171" t="s">
        <v>323</v>
      </c>
      <c r="E11" s="171" t="s">
        <v>323</v>
      </c>
      <c r="F11" s="140">
        <v>1</v>
      </c>
      <c r="G11" s="160">
        <v>64.47</v>
      </c>
      <c r="H11" s="89" t="s">
        <v>16</v>
      </c>
      <c r="I11" s="89" t="s">
        <v>16</v>
      </c>
      <c r="J11" s="89" t="s">
        <v>16</v>
      </c>
      <c r="K11" s="212" t="s">
        <v>16</v>
      </c>
      <c r="L11" s="212"/>
      <c r="M11" s="212"/>
      <c r="N11" s="149" t="s">
        <v>16</v>
      </c>
      <c r="O11" s="148" t="s">
        <v>16</v>
      </c>
      <c r="P11" s="97">
        <f t="shared" si="1"/>
        <v>64.47</v>
      </c>
      <c r="Q11" s="102"/>
    </row>
    <row r="12" spans="1:17" s="51" customFormat="1">
      <c r="A12" s="149">
        <f t="shared" si="0"/>
        <v>6</v>
      </c>
      <c r="B12" s="159" t="s">
        <v>294</v>
      </c>
      <c r="C12" s="161" t="s">
        <v>295</v>
      </c>
      <c r="D12" s="171" t="s">
        <v>323</v>
      </c>
      <c r="E12" s="171" t="s">
        <v>323</v>
      </c>
      <c r="F12" s="140">
        <v>1</v>
      </c>
      <c r="G12" s="160">
        <v>2.3980000000000001</v>
      </c>
      <c r="H12" s="89" t="s">
        <v>16</v>
      </c>
      <c r="I12" s="89" t="s">
        <v>16</v>
      </c>
      <c r="J12" s="89" t="s">
        <v>16</v>
      </c>
      <c r="K12" s="212" t="s">
        <v>16</v>
      </c>
      <c r="L12" s="212"/>
      <c r="M12" s="212"/>
      <c r="N12" s="149" t="s">
        <v>16</v>
      </c>
      <c r="O12" s="148" t="s">
        <v>16</v>
      </c>
      <c r="P12" s="97">
        <f t="shared" si="1"/>
        <v>2.3980000000000001</v>
      </c>
      <c r="Q12" s="102"/>
    </row>
    <row r="13" spans="1:17" s="51" customFormat="1">
      <c r="A13" s="171">
        <v>7</v>
      </c>
      <c r="B13" s="159" t="s">
        <v>296</v>
      </c>
      <c r="C13" s="161" t="s">
        <v>326</v>
      </c>
      <c r="D13" s="171" t="s">
        <v>323</v>
      </c>
      <c r="E13" s="171" t="s">
        <v>323</v>
      </c>
      <c r="F13" s="140">
        <v>1</v>
      </c>
      <c r="G13" s="160">
        <v>43.74</v>
      </c>
      <c r="H13" s="89" t="s">
        <v>16</v>
      </c>
      <c r="I13" s="89" t="s">
        <v>16</v>
      </c>
      <c r="J13" s="89" t="s">
        <v>16</v>
      </c>
      <c r="K13" s="212" t="s">
        <v>16</v>
      </c>
      <c r="L13" s="212"/>
      <c r="M13" s="212"/>
      <c r="N13" s="149" t="s">
        <v>16</v>
      </c>
      <c r="O13" s="148" t="s">
        <v>16</v>
      </c>
      <c r="P13" s="97">
        <f t="shared" si="1"/>
        <v>43.74</v>
      </c>
      <c r="Q13" s="102"/>
    </row>
    <row r="14" spans="1:17" s="51" customFormat="1">
      <c r="A14" s="171">
        <f t="shared" si="0"/>
        <v>8</v>
      </c>
      <c r="B14" s="89" t="s">
        <v>16</v>
      </c>
      <c r="C14" s="161" t="s">
        <v>282</v>
      </c>
      <c r="D14" s="171" t="s">
        <v>323</v>
      </c>
      <c r="E14" s="171" t="s">
        <v>323</v>
      </c>
      <c r="F14" s="140">
        <v>1</v>
      </c>
      <c r="G14" s="160">
        <v>1</v>
      </c>
      <c r="H14" s="89" t="s">
        <v>16</v>
      </c>
      <c r="I14" s="89" t="s">
        <v>16</v>
      </c>
      <c r="J14" s="89" t="s">
        <v>16</v>
      </c>
      <c r="K14" s="212" t="s">
        <v>16</v>
      </c>
      <c r="L14" s="212"/>
      <c r="M14" s="212"/>
      <c r="N14" s="149" t="s">
        <v>16</v>
      </c>
      <c r="O14" s="148" t="s">
        <v>16</v>
      </c>
      <c r="P14" s="97">
        <f t="shared" si="1"/>
        <v>1</v>
      </c>
      <c r="Q14" s="102"/>
    </row>
    <row r="15" spans="1:17" s="51" customFormat="1">
      <c r="A15" s="171">
        <v>9</v>
      </c>
      <c r="B15" s="89" t="s">
        <v>16</v>
      </c>
      <c r="C15" s="161" t="s">
        <v>283</v>
      </c>
      <c r="D15" s="171" t="s">
        <v>323</v>
      </c>
      <c r="E15" s="171" t="s">
        <v>323</v>
      </c>
      <c r="F15" s="140">
        <v>1</v>
      </c>
      <c r="G15" s="160">
        <v>1.5</v>
      </c>
      <c r="H15" s="89" t="s">
        <v>16</v>
      </c>
      <c r="I15" s="89" t="s">
        <v>16</v>
      </c>
      <c r="J15" s="89" t="s">
        <v>16</v>
      </c>
      <c r="K15" s="212" t="s">
        <v>16</v>
      </c>
      <c r="L15" s="212"/>
      <c r="M15" s="212"/>
      <c r="N15" s="149" t="s">
        <v>16</v>
      </c>
      <c r="O15" s="148" t="s">
        <v>16</v>
      </c>
      <c r="P15" s="97">
        <f t="shared" si="1"/>
        <v>1.5</v>
      </c>
      <c r="Q15" s="102"/>
    </row>
    <row r="16" spans="1:17" s="51" customFormat="1">
      <c r="A16" s="171">
        <f t="shared" si="0"/>
        <v>10</v>
      </c>
      <c r="B16" s="89" t="s">
        <v>16</v>
      </c>
      <c r="C16" s="158" t="s">
        <v>322</v>
      </c>
      <c r="D16" s="171" t="s">
        <v>323</v>
      </c>
      <c r="E16" s="171" t="s">
        <v>323</v>
      </c>
      <c r="F16" s="140">
        <v>1</v>
      </c>
      <c r="G16" s="162">
        <v>5.84</v>
      </c>
      <c r="H16" s="89" t="s">
        <v>16</v>
      </c>
      <c r="I16" s="89" t="s">
        <v>16</v>
      </c>
      <c r="J16" s="89" t="s">
        <v>16</v>
      </c>
      <c r="K16" s="212" t="s">
        <v>16</v>
      </c>
      <c r="L16" s="212"/>
      <c r="M16" s="212"/>
      <c r="N16" s="149" t="s">
        <v>16</v>
      </c>
      <c r="O16" s="148" t="s">
        <v>16</v>
      </c>
      <c r="P16" s="97">
        <f t="shared" si="1"/>
        <v>5.84</v>
      </c>
      <c r="Q16" s="102"/>
    </row>
    <row r="17" spans="1:17">
      <c r="A17" s="171">
        <v>11</v>
      </c>
      <c r="B17" s="90" t="s">
        <v>74</v>
      </c>
      <c r="C17" s="89" t="s">
        <v>16</v>
      </c>
      <c r="D17" s="89" t="s">
        <v>16</v>
      </c>
      <c r="E17" s="89" t="s">
        <v>16</v>
      </c>
      <c r="F17" s="89" t="s">
        <v>16</v>
      </c>
      <c r="G17" s="89" t="s">
        <v>16</v>
      </c>
      <c r="H17" s="89" t="s">
        <v>16</v>
      </c>
      <c r="I17" s="89" t="s">
        <v>16</v>
      </c>
      <c r="J17" s="89" t="s">
        <v>16</v>
      </c>
      <c r="K17" s="212" t="s">
        <v>16</v>
      </c>
      <c r="L17" s="212"/>
      <c r="M17" s="212"/>
      <c r="N17" s="27" t="s">
        <v>16</v>
      </c>
      <c r="O17" s="80" t="s">
        <v>16</v>
      </c>
      <c r="P17" s="98">
        <f>SUM(P7:P16)</f>
        <v>211.91200000000001</v>
      </c>
      <c r="Q17" s="103"/>
    </row>
    <row r="19" spans="1:17" ht="18.75">
      <c r="A19" s="213" t="s">
        <v>86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s="13" customFormat="1" ht="13.5" customHeight="1">
      <c r="A20" s="201" t="s">
        <v>54</v>
      </c>
      <c r="B20" s="205" t="s">
        <v>55</v>
      </c>
      <c r="C20" s="205" t="s">
        <v>56</v>
      </c>
      <c r="D20" s="205" t="s">
        <v>87</v>
      </c>
      <c r="E20" s="206"/>
      <c r="F20" s="205" t="s">
        <v>81</v>
      </c>
      <c r="G20" s="205" t="s">
        <v>88</v>
      </c>
      <c r="H20" s="210" t="s">
        <v>89</v>
      </c>
      <c r="I20" s="205" t="s">
        <v>90</v>
      </c>
      <c r="J20" s="205"/>
      <c r="K20" s="205"/>
      <c r="L20" s="205"/>
      <c r="M20" s="205"/>
      <c r="N20" s="205"/>
      <c r="O20" s="205"/>
      <c r="P20" s="205" t="s">
        <v>83</v>
      </c>
      <c r="Q20" s="205" t="s">
        <v>24</v>
      </c>
    </row>
    <row r="21" spans="1:17" s="13" customFormat="1" ht="24" customHeight="1">
      <c r="A21" s="201"/>
      <c r="B21" s="206"/>
      <c r="C21" s="206"/>
      <c r="D21" s="87" t="s">
        <v>63</v>
      </c>
      <c r="E21" s="87" t="s">
        <v>69</v>
      </c>
      <c r="F21" s="206"/>
      <c r="G21" s="206"/>
      <c r="H21" s="211"/>
      <c r="I21" s="99" t="s">
        <v>91</v>
      </c>
      <c r="J21" s="99" t="s">
        <v>92</v>
      </c>
      <c r="K21" s="99" t="s">
        <v>93</v>
      </c>
      <c r="L21" s="87" t="s">
        <v>94</v>
      </c>
      <c r="M21" s="87" t="s">
        <v>95</v>
      </c>
      <c r="N21" s="87" t="s">
        <v>96</v>
      </c>
      <c r="O21" s="87" t="s">
        <v>97</v>
      </c>
      <c r="P21" s="205"/>
      <c r="Q21" s="205"/>
    </row>
    <row r="22" spans="1:17">
      <c r="A22" s="27">
        <v>1</v>
      </c>
      <c r="B22" s="88" t="s">
        <v>16</v>
      </c>
      <c r="C22" s="88" t="s">
        <v>16</v>
      </c>
      <c r="D22" s="88" t="s">
        <v>16</v>
      </c>
      <c r="E22" s="88" t="s">
        <v>16</v>
      </c>
      <c r="F22" s="88" t="s">
        <v>16</v>
      </c>
      <c r="G22" s="88" t="s">
        <v>16</v>
      </c>
      <c r="H22" s="88" t="s">
        <v>16</v>
      </c>
      <c r="I22" s="88" t="s">
        <v>16</v>
      </c>
      <c r="J22" s="88" t="s">
        <v>16</v>
      </c>
      <c r="K22" s="88" t="s">
        <v>16</v>
      </c>
      <c r="L22" s="88" t="s">
        <v>16</v>
      </c>
      <c r="M22" s="88" t="s">
        <v>16</v>
      </c>
      <c r="N22" s="88" t="s">
        <v>16</v>
      </c>
      <c r="O22" s="88" t="s">
        <v>16</v>
      </c>
      <c r="P22" s="88" t="s">
        <v>16</v>
      </c>
      <c r="Q22" s="87"/>
    </row>
    <row r="23" spans="1:17">
      <c r="A23" s="27">
        <v>2</v>
      </c>
      <c r="B23" s="90" t="s">
        <v>74</v>
      </c>
      <c r="C23" s="88" t="s">
        <v>16</v>
      </c>
      <c r="D23" s="88" t="s">
        <v>16</v>
      </c>
      <c r="E23" s="88" t="s">
        <v>16</v>
      </c>
      <c r="F23" s="88" t="s">
        <v>16</v>
      </c>
      <c r="G23" s="88" t="s">
        <v>16</v>
      </c>
      <c r="H23" s="88" t="s">
        <v>16</v>
      </c>
      <c r="I23" s="88" t="s">
        <v>16</v>
      </c>
      <c r="J23" s="88" t="s">
        <v>16</v>
      </c>
      <c r="K23" s="88" t="s">
        <v>16</v>
      </c>
      <c r="L23" s="88" t="s">
        <v>16</v>
      </c>
      <c r="M23" s="88" t="s">
        <v>16</v>
      </c>
      <c r="N23" s="88" t="s">
        <v>16</v>
      </c>
      <c r="O23" s="88" t="s">
        <v>16</v>
      </c>
      <c r="P23" s="88" t="s">
        <v>16</v>
      </c>
      <c r="Q23" s="104"/>
    </row>
    <row r="24" spans="1:17" ht="15">
      <c r="A24" s="13"/>
      <c r="B24" s="91"/>
      <c r="C24" s="92"/>
      <c r="D24" s="93"/>
      <c r="E24" s="93"/>
      <c r="F24" s="94"/>
      <c r="G24" s="94"/>
      <c r="H24" s="94"/>
      <c r="I24" s="100"/>
      <c r="J24" s="93"/>
      <c r="K24" s="93"/>
      <c r="L24" s="101"/>
      <c r="M24" s="101"/>
      <c r="N24" s="101"/>
      <c r="O24" s="101"/>
      <c r="P24" s="101"/>
      <c r="Q24" s="105"/>
    </row>
    <row r="25" spans="1:17" ht="18.75">
      <c r="A25" s="207" t="s">
        <v>98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9"/>
      <c r="P25" s="98">
        <f>P17</f>
        <v>211.91200000000001</v>
      </c>
      <c r="Q25" s="106"/>
    </row>
    <row r="26" spans="1:17">
      <c r="B26" s="95" t="s">
        <v>99</v>
      </c>
    </row>
    <row r="27" spans="1:17">
      <c r="C27" s="51" t="s">
        <v>100</v>
      </c>
    </row>
    <row r="32" spans="1:17">
      <c r="I32" s="177"/>
    </row>
  </sheetData>
  <mergeCells count="42">
    <mergeCell ref="A3:O3"/>
    <mergeCell ref="P3:Q3"/>
    <mergeCell ref="A4:Q4"/>
    <mergeCell ref="D5:E5"/>
    <mergeCell ref="I5:O5"/>
    <mergeCell ref="A5:A6"/>
    <mergeCell ref="B5:B6"/>
    <mergeCell ref="C5:C6"/>
    <mergeCell ref="F5:F6"/>
    <mergeCell ref="G5:G6"/>
    <mergeCell ref="H5:H6"/>
    <mergeCell ref="P5:P6"/>
    <mergeCell ref="Q5:Q6"/>
    <mergeCell ref="K6:M6"/>
    <mergeCell ref="A1:Q1"/>
    <mergeCell ref="A2:H2"/>
    <mergeCell ref="I2:J2"/>
    <mergeCell ref="K2:O2"/>
    <mergeCell ref="P2:Q2"/>
    <mergeCell ref="K17:M17"/>
    <mergeCell ref="A19:Q19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P20:P21"/>
    <mergeCell ref="Q20:Q21"/>
    <mergeCell ref="D20:E20"/>
    <mergeCell ref="I20:O20"/>
    <mergeCell ref="A25:O25"/>
    <mergeCell ref="A20:A21"/>
    <mergeCell ref="B20:B21"/>
    <mergeCell ref="C20:C21"/>
    <mergeCell ref="F20:F21"/>
    <mergeCell ref="G20:G21"/>
    <mergeCell ref="H20:H21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2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D21" sqref="D21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2" customWidth="1"/>
    <col min="12" max="12" width="7.125" style="52" customWidth="1"/>
    <col min="13" max="13" width="8.625" style="52" customWidth="1"/>
    <col min="14" max="14" width="8.875" style="52" customWidth="1"/>
    <col min="15" max="15" width="8.125" style="52" customWidth="1"/>
    <col min="16" max="16" width="8.125" customWidth="1"/>
    <col min="17" max="17" width="12.125" customWidth="1"/>
  </cols>
  <sheetData>
    <row r="1" spans="1:17" ht="23.25" customHeight="1">
      <c r="A1" s="228" t="s">
        <v>101</v>
      </c>
      <c r="B1" s="228"/>
      <c r="C1" s="228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17" s="1" customFormat="1">
      <c r="A2" s="230" t="s">
        <v>102</v>
      </c>
      <c r="B2" s="231"/>
      <c r="C2" s="232"/>
      <c r="D2" s="233" t="str">
        <f>原材料明细!C2</f>
        <v>北京光华荣昌汽车部件有限公司</v>
      </c>
      <c r="E2" s="233"/>
      <c r="F2" s="233"/>
      <c r="G2" s="233"/>
      <c r="H2" s="233"/>
      <c r="I2" s="233"/>
      <c r="J2" s="3" t="s">
        <v>52</v>
      </c>
      <c r="K2" s="181" t="str">
        <f>原材料明细!J2</f>
        <v>ETX</v>
      </c>
      <c r="L2" s="181"/>
      <c r="M2" s="181"/>
      <c r="N2" s="181"/>
      <c r="O2" s="234" t="s">
        <v>53</v>
      </c>
      <c r="P2" s="234"/>
      <c r="Q2" s="234"/>
    </row>
    <row r="3" spans="1:17" s="1" customFormat="1">
      <c r="A3" s="218" t="s">
        <v>103</v>
      </c>
      <c r="B3" s="218"/>
      <c r="C3" s="218"/>
      <c r="D3" s="224" t="s">
        <v>305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 t="str">
        <f>原材料明细!N3</f>
        <v>报价填写日期: 2020.9.9</v>
      </c>
      <c r="P3" s="225"/>
      <c r="Q3" s="225"/>
    </row>
    <row r="4" spans="1:17" s="61" customFormat="1" ht="27" customHeight="1">
      <c r="A4" s="227" t="s">
        <v>54</v>
      </c>
      <c r="B4" s="227" t="s">
        <v>55</v>
      </c>
      <c r="C4" s="227" t="s">
        <v>56</v>
      </c>
      <c r="D4" s="227" t="s">
        <v>104</v>
      </c>
      <c r="E4" s="226" t="s">
        <v>105</v>
      </c>
      <c r="F4" s="226" t="s">
        <v>106</v>
      </c>
      <c r="G4" s="226"/>
      <c r="H4" s="226" t="s">
        <v>107</v>
      </c>
      <c r="I4" s="226" t="s">
        <v>108</v>
      </c>
      <c r="J4" s="226" t="s">
        <v>109</v>
      </c>
      <c r="K4" s="201" t="s">
        <v>110</v>
      </c>
      <c r="L4" s="201"/>
      <c r="M4" s="201"/>
      <c r="N4" s="201"/>
      <c r="O4" s="201"/>
      <c r="P4" s="226" t="s">
        <v>111</v>
      </c>
      <c r="Q4" s="226"/>
    </row>
    <row r="5" spans="1:17" s="61" customFormat="1" ht="33.75" customHeight="1">
      <c r="A5" s="227"/>
      <c r="B5" s="227"/>
      <c r="C5" s="227"/>
      <c r="D5" s="227"/>
      <c r="E5" s="226"/>
      <c r="F5" s="71" t="s">
        <v>112</v>
      </c>
      <c r="G5" s="71" t="s">
        <v>65</v>
      </c>
      <c r="H5" s="226"/>
      <c r="I5" s="226"/>
      <c r="J5" s="226"/>
      <c r="K5" s="71" t="s">
        <v>113</v>
      </c>
      <c r="L5" s="71" t="s">
        <v>114</v>
      </c>
      <c r="M5" s="71" t="s">
        <v>115</v>
      </c>
      <c r="N5" s="71" t="s">
        <v>116</v>
      </c>
      <c r="O5" s="71" t="s">
        <v>117</v>
      </c>
      <c r="P5" s="71" t="s">
        <v>118</v>
      </c>
      <c r="Q5" s="71" t="s">
        <v>119</v>
      </c>
    </row>
    <row r="6" spans="1:17" s="61" customFormat="1" ht="12">
      <c r="A6" s="72">
        <v>1</v>
      </c>
      <c r="B6" s="73" t="s">
        <v>16</v>
      </c>
      <c r="C6" s="57" t="s">
        <v>120</v>
      </c>
      <c r="D6" s="74">
        <v>1</v>
      </c>
      <c r="E6" s="73" t="s">
        <v>16</v>
      </c>
      <c r="F6" s="75" t="s">
        <v>121</v>
      </c>
      <c r="G6" s="75" t="s">
        <v>122</v>
      </c>
      <c r="H6" s="75">
        <v>0.42</v>
      </c>
      <c r="I6" s="75">
        <v>6</v>
      </c>
      <c r="J6" s="81">
        <v>0.48080000000000001</v>
      </c>
      <c r="K6" s="81">
        <v>0.48080000000000001</v>
      </c>
      <c r="L6" s="81">
        <f>制造费率测算明细!T6</f>
        <v>1.167101230622194</v>
      </c>
      <c r="M6" s="81">
        <f>制造费率测算明细!U6</f>
        <v>0.79166666666666663</v>
      </c>
      <c r="N6" s="81">
        <f>制造费率测算明细!V6</f>
        <v>0.11056748500631312</v>
      </c>
      <c r="O6" s="82">
        <f>SUM(K6:N6)</f>
        <v>2.5501353822951733</v>
      </c>
      <c r="P6" s="83">
        <f t="shared" ref="P6:P9" si="0">D6*H6*I6*J6</f>
        <v>1.211616</v>
      </c>
      <c r="Q6" s="83">
        <f t="shared" ref="Q6:Q9" si="1">D6*H6*O6</f>
        <v>1.0710568605639728</v>
      </c>
    </row>
    <row r="7" spans="1:17" s="61" customFormat="1" ht="12">
      <c r="A7" s="72">
        <v>2</v>
      </c>
      <c r="B7" s="73" t="s">
        <v>16</v>
      </c>
      <c r="C7" s="59" t="s">
        <v>123</v>
      </c>
      <c r="D7" s="74">
        <v>1</v>
      </c>
      <c r="E7" s="73" t="s">
        <v>16</v>
      </c>
      <c r="F7" s="59" t="s">
        <v>124</v>
      </c>
      <c r="G7" s="59" t="s">
        <v>125</v>
      </c>
      <c r="H7" s="75">
        <v>3</v>
      </c>
      <c r="I7" s="59">
        <v>1</v>
      </c>
      <c r="J7" s="81">
        <v>0.48080000000000001</v>
      </c>
      <c r="K7" s="81">
        <v>0.48080000000000001</v>
      </c>
      <c r="L7" s="81">
        <f>制造费率测算明细!T7</f>
        <v>1.2494739057239057</v>
      </c>
      <c r="M7" s="81">
        <f>制造费率测算明细!U7</f>
        <v>0.79166666666666663</v>
      </c>
      <c r="N7" s="81">
        <f>制造费率测算明细!V7</f>
        <v>0.11837121212121213</v>
      </c>
      <c r="O7" s="82">
        <f>SUM(K7:N7)</f>
        <v>2.6403117845117841</v>
      </c>
      <c r="P7" s="83">
        <f t="shared" si="0"/>
        <v>1.4424000000000001</v>
      </c>
      <c r="Q7" s="83">
        <f t="shared" si="1"/>
        <v>7.9209353535353522</v>
      </c>
    </row>
    <row r="8" spans="1:17" s="61" customFormat="1" ht="12">
      <c r="A8" s="72">
        <v>3</v>
      </c>
      <c r="B8" s="73" t="s">
        <v>16</v>
      </c>
      <c r="C8" s="59" t="s">
        <v>126</v>
      </c>
      <c r="D8" s="74">
        <v>1</v>
      </c>
      <c r="E8" s="73" t="s">
        <v>16</v>
      </c>
      <c r="F8" s="59" t="s">
        <v>127</v>
      </c>
      <c r="G8" s="73" t="s">
        <v>16</v>
      </c>
      <c r="H8" s="59">
        <v>2.15</v>
      </c>
      <c r="I8" s="59">
        <v>1</v>
      </c>
      <c r="J8" s="81">
        <v>0.48080000000000001</v>
      </c>
      <c r="K8" s="81">
        <v>0.48080000000000001</v>
      </c>
      <c r="L8" s="81">
        <f>制造费率测算明细!T8</f>
        <v>0.74968434343434354</v>
      </c>
      <c r="M8" s="81">
        <f>制造费率测算明细!U8</f>
        <v>0.79166666666666663</v>
      </c>
      <c r="N8" s="81">
        <f>制造费率测算明细!V8</f>
        <v>9.4696969696969696E-2</v>
      </c>
      <c r="O8" s="82">
        <f>SUM(L8:N8)</f>
        <v>1.6360479797979799</v>
      </c>
      <c r="P8" s="83">
        <f t="shared" si="0"/>
        <v>1.03372</v>
      </c>
      <c r="Q8" s="83">
        <f t="shared" si="1"/>
        <v>3.5175031565656565</v>
      </c>
    </row>
    <row r="9" spans="1:17" s="61" customFormat="1" ht="12">
      <c r="A9" s="72">
        <v>4</v>
      </c>
      <c r="B9" s="73" t="s">
        <v>16</v>
      </c>
      <c r="C9" s="53" t="s">
        <v>128</v>
      </c>
      <c r="D9" s="74">
        <v>1</v>
      </c>
      <c r="E9" s="73" t="s">
        <v>16</v>
      </c>
      <c r="F9" s="59" t="s">
        <v>129</v>
      </c>
      <c r="G9" s="73" t="s">
        <v>16</v>
      </c>
      <c r="H9" s="59">
        <v>15</v>
      </c>
      <c r="I9" s="59">
        <v>4</v>
      </c>
      <c r="J9" s="81">
        <v>0.48080000000000001</v>
      </c>
      <c r="K9" s="81">
        <v>0.48080000000000001</v>
      </c>
      <c r="L9" s="81">
        <f>制造费率测算明细!T9</f>
        <v>8.7296576879910201E-2</v>
      </c>
      <c r="M9" s="81">
        <f>制造费率测算明细!U9</f>
        <v>1.0666666666666667</v>
      </c>
      <c r="N9" s="81">
        <f>制造费率测算明细!V9</f>
        <v>8.2702020202020197E-3</v>
      </c>
      <c r="O9" s="82">
        <f>SUM(L9:N9)</f>
        <v>1.1622334455667789</v>
      </c>
      <c r="P9" s="83">
        <f t="shared" si="0"/>
        <v>28.847999999999999</v>
      </c>
      <c r="Q9" s="83">
        <f t="shared" si="1"/>
        <v>17.433501683501682</v>
      </c>
    </row>
    <row r="10" spans="1:17" s="61" customFormat="1" ht="20.25" customHeight="1">
      <c r="A10" s="76" t="s">
        <v>74</v>
      </c>
      <c r="B10" s="73" t="s">
        <v>16</v>
      </c>
      <c r="C10" s="73" t="s">
        <v>16</v>
      </c>
      <c r="D10" s="73" t="s">
        <v>16</v>
      </c>
      <c r="E10" s="73" t="s">
        <v>16</v>
      </c>
      <c r="F10" s="73" t="s">
        <v>16</v>
      </c>
      <c r="G10" s="73" t="s">
        <v>16</v>
      </c>
      <c r="H10" s="77">
        <f>SUM(H6:H9)</f>
        <v>20.57</v>
      </c>
      <c r="I10" s="84">
        <f>SUM(I6:I9)</f>
        <v>12</v>
      </c>
      <c r="J10" s="73" t="s">
        <v>16</v>
      </c>
      <c r="K10" s="73" t="s">
        <v>16</v>
      </c>
      <c r="L10" s="73" t="s">
        <v>16</v>
      </c>
      <c r="M10" s="73" t="s">
        <v>16</v>
      </c>
      <c r="N10" s="73" t="s">
        <v>16</v>
      </c>
      <c r="O10" s="73" t="s">
        <v>16</v>
      </c>
      <c r="P10" s="85">
        <f>SUM(P6:P9)</f>
        <v>32.535736</v>
      </c>
      <c r="Q10" s="85">
        <f>SUM(Q6:Q9)</f>
        <v>29.942997054166661</v>
      </c>
    </row>
    <row r="11" spans="1:17" s="30" customFormat="1">
      <c r="B11" s="78" t="s">
        <v>130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 s="30" customFormat="1">
      <c r="B12" s="79" t="s">
        <v>131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 s="30" customFormat="1">
      <c r="B13" s="79" t="s">
        <v>132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17" s="30" customFormat="1">
      <c r="B14" s="79" t="s">
        <v>133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17" s="30" customFormat="1">
      <c r="B15" s="31" t="s">
        <v>134</v>
      </c>
      <c r="K15" s="86"/>
      <c r="L15" s="86"/>
      <c r="M15" s="86"/>
      <c r="N15" s="86"/>
      <c r="O15" s="86"/>
    </row>
    <row r="16" spans="1:17" s="30" customFormat="1">
      <c r="K16" s="86"/>
      <c r="L16" s="86"/>
      <c r="M16" s="86"/>
      <c r="N16" s="86"/>
      <c r="O16" s="86"/>
    </row>
    <row r="17" spans="11:15" s="30" customFormat="1">
      <c r="K17" s="86"/>
      <c r="L17" s="86"/>
      <c r="M17" s="86"/>
      <c r="N17" s="86"/>
      <c r="O17" s="86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  <ignoredErrors>
    <ignoredError sqref="O6:O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D1" workbookViewId="0">
      <selection activeCell="E21" sqref="E21"/>
    </sheetView>
  </sheetViews>
  <sheetFormatPr defaultColWidth="9" defaultRowHeight="13.5"/>
  <cols>
    <col min="1" max="1" width="4.625" style="52" customWidth="1"/>
    <col min="2" max="2" width="8.125" customWidth="1"/>
    <col min="3" max="3" width="12.625" customWidth="1"/>
    <col min="4" max="4" width="9.125" customWidth="1"/>
    <col min="5" max="5" width="15" customWidth="1"/>
    <col min="6" max="6" width="8.25" customWidth="1"/>
    <col min="7" max="7" width="10.375" customWidth="1"/>
    <col min="8" max="12" width="6.75" customWidth="1"/>
    <col min="13" max="13" width="7.625" style="52" customWidth="1"/>
    <col min="14" max="14" width="6.875" style="52" customWidth="1"/>
    <col min="15" max="15" width="10.125" style="52" customWidth="1"/>
    <col min="16" max="16" width="8.5" style="52" customWidth="1"/>
    <col min="17" max="17" width="9.25" style="52" customWidth="1"/>
    <col min="18" max="18" width="8.375" style="52" customWidth="1"/>
    <col min="19" max="19" width="8.5" style="52" customWidth="1"/>
    <col min="20" max="20" width="9" customWidth="1"/>
    <col min="21" max="21" width="8.125" customWidth="1"/>
    <col min="22" max="22" width="9" customWidth="1"/>
  </cols>
  <sheetData>
    <row r="1" spans="1:22" ht="20.25">
      <c r="A1" s="242" t="s">
        <v>135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4"/>
    </row>
    <row r="2" spans="1:22" s="1" customFormat="1">
      <c r="A2" s="245" t="s">
        <v>102</v>
      </c>
      <c r="B2" s="245"/>
      <c r="C2" s="245"/>
      <c r="D2" s="246" t="str">
        <f>加工明细!D2</f>
        <v>北京光华荣昌汽车部件有限公司</v>
      </c>
      <c r="E2" s="247"/>
      <c r="F2" s="247"/>
      <c r="G2" s="247"/>
      <c r="H2" s="248"/>
      <c r="I2" s="63" t="s">
        <v>52</v>
      </c>
      <c r="J2" s="249" t="str">
        <f>加工明细!K2</f>
        <v>ETX</v>
      </c>
      <c r="K2" s="250"/>
      <c r="L2" s="250"/>
      <c r="M2" s="250"/>
      <c r="N2" s="250"/>
      <c r="O2" s="250"/>
      <c r="P2" s="250"/>
      <c r="Q2" s="251"/>
      <c r="R2" s="252" t="s">
        <v>53</v>
      </c>
      <c r="S2" s="252"/>
      <c r="T2" s="252"/>
      <c r="U2" s="252"/>
      <c r="V2" s="252"/>
    </row>
    <row r="3" spans="1:22" s="1" customFormat="1">
      <c r="A3" s="218" t="s">
        <v>103</v>
      </c>
      <c r="B3" s="218"/>
      <c r="C3" s="218"/>
      <c r="D3" s="235" t="str">
        <f>加工明细!D3</f>
        <v>H0681020100A0/副驾驶员座椅总成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6" t="str">
        <f>加工明细!O3</f>
        <v>报价填写日期: 2020.9.9</v>
      </c>
      <c r="S3" s="236"/>
      <c r="T3" s="236"/>
      <c r="U3" s="236"/>
      <c r="V3" s="236"/>
    </row>
    <row r="4" spans="1:22" ht="21.75" customHeight="1">
      <c r="A4" s="239" t="s">
        <v>54</v>
      </c>
      <c r="B4" s="239" t="s">
        <v>105</v>
      </c>
      <c r="C4" s="237" t="s">
        <v>136</v>
      </c>
      <c r="D4" s="238"/>
      <c r="E4" s="238"/>
      <c r="F4" s="238"/>
      <c r="G4" s="238"/>
      <c r="H4" s="238"/>
      <c r="I4" s="238"/>
      <c r="J4" s="239" t="s">
        <v>137</v>
      </c>
      <c r="K4" s="239"/>
      <c r="L4" s="239"/>
      <c r="M4" s="239"/>
      <c r="N4" s="239"/>
      <c r="O4" s="64" t="s">
        <v>138</v>
      </c>
      <c r="P4" s="65"/>
      <c r="Q4" s="240" t="s">
        <v>139</v>
      </c>
      <c r="R4" s="240"/>
      <c r="S4" s="240"/>
      <c r="T4" s="241" t="s">
        <v>140</v>
      </c>
      <c r="U4" s="241" t="s">
        <v>141</v>
      </c>
      <c r="V4" s="241" t="s">
        <v>142</v>
      </c>
    </row>
    <row r="5" spans="1:22" ht="54.75" customHeight="1">
      <c r="A5" s="239"/>
      <c r="B5" s="239"/>
      <c r="C5" s="54" t="s">
        <v>112</v>
      </c>
      <c r="D5" s="54" t="s">
        <v>65</v>
      </c>
      <c r="E5" s="55" t="s">
        <v>143</v>
      </c>
      <c r="F5" s="55" t="s">
        <v>144</v>
      </c>
      <c r="G5" s="55" t="s">
        <v>145</v>
      </c>
      <c r="H5" s="56" t="s">
        <v>146</v>
      </c>
      <c r="I5" s="66" t="s">
        <v>147</v>
      </c>
      <c r="J5" s="67" t="s">
        <v>148</v>
      </c>
      <c r="K5" s="67" t="s">
        <v>149</v>
      </c>
      <c r="L5" s="67" t="s">
        <v>150</v>
      </c>
      <c r="M5" s="55" t="s">
        <v>151</v>
      </c>
      <c r="N5" s="55" t="s">
        <v>152</v>
      </c>
      <c r="O5" s="55" t="s">
        <v>153</v>
      </c>
      <c r="P5" s="55" t="s">
        <v>154</v>
      </c>
      <c r="Q5" s="56" t="s">
        <v>155</v>
      </c>
      <c r="R5" s="56" t="s">
        <v>156</v>
      </c>
      <c r="S5" s="56" t="s">
        <v>157</v>
      </c>
      <c r="T5" s="241"/>
      <c r="U5" s="241"/>
      <c r="V5" s="241"/>
    </row>
    <row r="6" spans="1:22">
      <c r="A6" s="53">
        <v>1</v>
      </c>
      <c r="B6" s="141" t="s">
        <v>257</v>
      </c>
      <c r="C6" s="142" t="s">
        <v>258</v>
      </c>
      <c r="D6" s="141"/>
      <c r="E6" s="143">
        <v>1401111.17</v>
      </c>
      <c r="F6" s="58">
        <v>0.05</v>
      </c>
      <c r="G6" s="144">
        <v>221842.60191666664</v>
      </c>
      <c r="H6" s="141">
        <v>10</v>
      </c>
      <c r="I6" s="141">
        <v>4</v>
      </c>
      <c r="J6" s="53">
        <v>50</v>
      </c>
      <c r="K6" s="58">
        <v>0.95</v>
      </c>
      <c r="L6" s="53"/>
      <c r="M6" s="68">
        <v>1</v>
      </c>
      <c r="N6" s="68"/>
      <c r="O6" s="145">
        <v>7005.5558499999997</v>
      </c>
      <c r="P6" s="145">
        <v>14011.111699999999</v>
      </c>
      <c r="Q6" s="53">
        <v>12</v>
      </c>
      <c r="R6" s="53">
        <v>264</v>
      </c>
      <c r="S6" s="53">
        <v>3168</v>
      </c>
      <c r="T6" s="70">
        <f t="shared" ref="T6:T9" si="0">(E6-E6*F6)/(H6-I6)/(Q6*R6)/60</f>
        <v>1.167101230622194</v>
      </c>
      <c r="U6" s="70">
        <f t="shared" ref="U6:U9" si="1">(J6*K6*M6+L6*N6)/60</f>
        <v>0.79166666666666663</v>
      </c>
      <c r="V6" s="70">
        <f t="shared" ref="V6:V9" si="2">(O6+P6)/S6/60</f>
        <v>0.11056748500631312</v>
      </c>
    </row>
    <row r="7" spans="1:22">
      <c r="A7" s="53">
        <v>2</v>
      </c>
      <c r="B7" s="141" t="s">
        <v>259</v>
      </c>
      <c r="C7" s="141"/>
      <c r="D7" s="141"/>
      <c r="E7" s="143">
        <v>1500000</v>
      </c>
      <c r="F7" s="58">
        <v>0.05</v>
      </c>
      <c r="G7" s="144">
        <v>237500</v>
      </c>
      <c r="H7" s="141">
        <v>10</v>
      </c>
      <c r="I7" s="141">
        <v>4</v>
      </c>
      <c r="J7" s="53">
        <v>50</v>
      </c>
      <c r="K7" s="58">
        <v>0.95</v>
      </c>
      <c r="L7" s="53"/>
      <c r="M7" s="68">
        <v>1</v>
      </c>
      <c r="N7" s="68"/>
      <c r="O7" s="145">
        <v>7500</v>
      </c>
      <c r="P7" s="145">
        <v>15000</v>
      </c>
      <c r="Q7" s="53">
        <v>12</v>
      </c>
      <c r="R7" s="53">
        <v>264</v>
      </c>
      <c r="S7" s="53">
        <v>3168</v>
      </c>
      <c r="T7" s="70">
        <f t="shared" si="0"/>
        <v>1.2494739057239057</v>
      </c>
      <c r="U7" s="70">
        <f t="shared" si="1"/>
        <v>0.79166666666666663</v>
      </c>
      <c r="V7" s="70">
        <f t="shared" si="2"/>
        <v>0.11837121212121213</v>
      </c>
    </row>
    <row r="8" spans="1:22">
      <c r="A8" s="53">
        <v>3</v>
      </c>
      <c r="B8" s="141" t="s">
        <v>260</v>
      </c>
      <c r="C8" s="142" t="s">
        <v>261</v>
      </c>
      <c r="D8" s="141" t="s">
        <v>262</v>
      </c>
      <c r="E8" s="143">
        <v>1200000</v>
      </c>
      <c r="F8" s="58">
        <v>0.05</v>
      </c>
      <c r="G8" s="144">
        <v>142500</v>
      </c>
      <c r="H8" s="141">
        <v>10</v>
      </c>
      <c r="I8" s="141">
        <v>2</v>
      </c>
      <c r="J8" s="53">
        <v>50</v>
      </c>
      <c r="K8" s="58">
        <v>0.95</v>
      </c>
      <c r="L8" s="53"/>
      <c r="M8" s="68">
        <v>1</v>
      </c>
      <c r="N8" s="68"/>
      <c r="O8" s="145">
        <v>6000</v>
      </c>
      <c r="P8" s="145">
        <v>12000</v>
      </c>
      <c r="Q8" s="53">
        <v>12</v>
      </c>
      <c r="R8" s="53">
        <v>264</v>
      </c>
      <c r="S8" s="53">
        <v>3168</v>
      </c>
      <c r="T8" s="70">
        <f t="shared" si="0"/>
        <v>0.74968434343434354</v>
      </c>
      <c r="U8" s="70">
        <f t="shared" si="1"/>
        <v>0.79166666666666663</v>
      </c>
      <c r="V8" s="70">
        <f t="shared" si="2"/>
        <v>9.4696969696969696E-2</v>
      </c>
    </row>
    <row r="9" spans="1:22">
      <c r="A9" s="53">
        <v>4</v>
      </c>
      <c r="B9" s="141" t="s">
        <v>263</v>
      </c>
      <c r="C9" s="141"/>
      <c r="D9" s="141"/>
      <c r="E9" s="146">
        <v>104800</v>
      </c>
      <c r="F9" s="58">
        <v>0.05</v>
      </c>
      <c r="G9" s="144">
        <v>16593.333333333332</v>
      </c>
      <c r="H9" s="141">
        <v>10</v>
      </c>
      <c r="I9" s="141">
        <v>4</v>
      </c>
      <c r="J9" s="53">
        <v>80</v>
      </c>
      <c r="K9" s="58">
        <v>0.8</v>
      </c>
      <c r="L9" s="53"/>
      <c r="M9" s="68">
        <v>1</v>
      </c>
      <c r="N9" s="68"/>
      <c r="O9" s="145">
        <v>524</v>
      </c>
      <c r="P9" s="145">
        <v>1048</v>
      </c>
      <c r="Q9" s="53">
        <v>12</v>
      </c>
      <c r="R9" s="53">
        <v>264</v>
      </c>
      <c r="S9" s="53">
        <v>3168</v>
      </c>
      <c r="T9" s="70">
        <f t="shared" si="0"/>
        <v>8.7296576879910201E-2</v>
      </c>
      <c r="U9" s="70">
        <f t="shared" si="1"/>
        <v>1.0666666666666667</v>
      </c>
      <c r="V9" s="70">
        <f t="shared" si="2"/>
        <v>8.2702020202020197E-3</v>
      </c>
    </row>
    <row r="10" spans="1:22">
      <c r="B10" s="60" t="s">
        <v>130</v>
      </c>
    </row>
    <row r="11" spans="1:22">
      <c r="B11" s="61" t="s">
        <v>158</v>
      </c>
      <c r="C11" s="51"/>
    </row>
    <row r="12" spans="1:22">
      <c r="B12" s="61" t="s">
        <v>159</v>
      </c>
      <c r="C12" s="51"/>
    </row>
    <row r="13" spans="1:22">
      <c r="B13" s="61" t="s">
        <v>160</v>
      </c>
      <c r="C13" s="51"/>
    </row>
    <row r="14" spans="1:22">
      <c r="B14" s="61" t="s">
        <v>161</v>
      </c>
      <c r="C14" s="51"/>
    </row>
    <row r="15" spans="1:22">
      <c r="B15" s="51" t="s">
        <v>162</v>
      </c>
      <c r="P15" s="69"/>
    </row>
    <row r="18" spans="5:7" ht="22.5">
      <c r="E18" s="62"/>
      <c r="F18" s="62"/>
      <c r="G18" s="62"/>
    </row>
    <row r="19" spans="5:7" ht="22.5">
      <c r="E19" s="62"/>
      <c r="F19" s="62"/>
      <c r="G19" s="6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6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D22" sqref="D22"/>
    </sheetView>
  </sheetViews>
  <sheetFormatPr defaultColWidth="9" defaultRowHeight="13.5"/>
  <cols>
    <col min="1" max="1" width="7.375" style="37" customWidth="1"/>
    <col min="2" max="2" width="31.375" style="37" customWidth="1"/>
    <col min="3" max="3" width="14.5" style="37" customWidth="1"/>
    <col min="4" max="4" width="12.25" style="37" customWidth="1"/>
    <col min="5" max="5" width="12.125" style="37" customWidth="1"/>
    <col min="6" max="6" width="10.125" style="37" customWidth="1"/>
    <col min="7" max="7" width="15.375" style="37" customWidth="1"/>
    <col min="8" max="8" width="12.75" style="37" customWidth="1"/>
    <col min="9" max="16384" width="9" style="37"/>
  </cols>
  <sheetData>
    <row r="1" spans="1:7" ht="20.25" customHeight="1">
      <c r="A1" s="255" t="s">
        <v>163</v>
      </c>
      <c r="B1" s="255"/>
      <c r="C1" s="255"/>
      <c r="D1" s="255"/>
      <c r="E1" s="255"/>
      <c r="F1" s="255"/>
      <c r="G1" s="255"/>
    </row>
    <row r="2" spans="1:7" s="12" customFormat="1" ht="18.75" customHeight="1">
      <c r="A2" s="200" t="str">
        <f>外购外协件明细!A2</f>
        <v>供应商 (盖章):北京光华荣昌汽车部件有限公司</v>
      </c>
      <c r="B2" s="200"/>
      <c r="C2" s="14" t="s">
        <v>52</v>
      </c>
      <c r="D2" s="256" t="str">
        <f>原材料明细!J2</f>
        <v>ETX</v>
      </c>
      <c r="E2" s="256"/>
      <c r="F2" s="204" t="s">
        <v>53</v>
      </c>
      <c r="G2" s="204"/>
    </row>
    <row r="3" spans="1:7" s="12" customFormat="1" ht="18.75" customHeight="1">
      <c r="A3" s="38" t="str">
        <f>原材料明细!A3</f>
        <v>零件图号/名称:H0681020100A0/副驾驶员座椅总成</v>
      </c>
      <c r="B3" s="39"/>
      <c r="C3" s="39"/>
      <c r="D3" s="39"/>
      <c r="E3" s="39"/>
      <c r="F3" s="200" t="str">
        <f>原材料明细!N3</f>
        <v>报价填写日期: 2020.9.9</v>
      </c>
      <c r="G3" s="200"/>
    </row>
    <row r="4" spans="1:7" ht="27" customHeight="1">
      <c r="A4" s="254" t="s">
        <v>54</v>
      </c>
      <c r="B4" s="254" t="s">
        <v>164</v>
      </c>
      <c r="C4" s="254" t="s">
        <v>165</v>
      </c>
      <c r="D4" s="254" t="s">
        <v>166</v>
      </c>
      <c r="E4" s="254" t="s">
        <v>167</v>
      </c>
      <c r="F4" s="254" t="s">
        <v>168</v>
      </c>
      <c r="G4" s="254" t="s">
        <v>169</v>
      </c>
    </row>
    <row r="5" spans="1:7" ht="27" customHeight="1">
      <c r="A5" s="254"/>
      <c r="B5" s="254"/>
      <c r="C5" s="254"/>
      <c r="D5" s="254"/>
      <c r="E5" s="254"/>
      <c r="F5" s="254"/>
      <c r="G5" s="254"/>
    </row>
    <row r="6" spans="1:7">
      <c r="A6" s="40">
        <v>1</v>
      </c>
      <c r="B6" s="41" t="s">
        <v>32</v>
      </c>
      <c r="C6" s="42">
        <f>D6*汇总表!$D$17</f>
        <v>15.654885322166667</v>
      </c>
      <c r="D6" s="43">
        <v>0.04</v>
      </c>
      <c r="E6" s="44" t="s">
        <v>16</v>
      </c>
      <c r="F6" s="44" t="s">
        <v>16</v>
      </c>
      <c r="G6" s="44" t="s">
        <v>16</v>
      </c>
    </row>
    <row r="7" spans="1:7">
      <c r="A7" s="40">
        <v>2</v>
      </c>
      <c r="B7" s="41" t="s">
        <v>33</v>
      </c>
      <c r="C7" s="42">
        <f>D7*汇总表!$D$17</f>
        <v>5.8705819958124996</v>
      </c>
      <c r="D7" s="43">
        <v>1.4999999999999999E-2</v>
      </c>
      <c r="E7" s="44" t="s">
        <v>16</v>
      </c>
      <c r="F7" s="44" t="s">
        <v>16</v>
      </c>
      <c r="G7" s="44" t="s">
        <v>16</v>
      </c>
    </row>
    <row r="8" spans="1:7" ht="21" customHeight="1">
      <c r="A8" s="40">
        <v>3</v>
      </c>
      <c r="B8" s="41" t="s">
        <v>170</v>
      </c>
      <c r="C8" s="42">
        <f>D8*汇总表!$D$17</f>
        <v>11.741163991624999</v>
      </c>
      <c r="D8" s="43">
        <v>0.03</v>
      </c>
      <c r="E8" s="44" t="s">
        <v>16</v>
      </c>
      <c r="F8" s="44" t="s">
        <v>16</v>
      </c>
      <c r="G8" s="44" t="s">
        <v>16</v>
      </c>
    </row>
    <row r="10" spans="1:7" ht="24.75" customHeight="1">
      <c r="A10" s="255" t="s">
        <v>171</v>
      </c>
      <c r="B10" s="255" t="s">
        <v>172</v>
      </c>
      <c r="C10" s="255"/>
      <c r="D10" s="255"/>
      <c r="E10" s="255"/>
      <c r="F10" s="255"/>
      <c r="G10" s="255"/>
    </row>
    <row r="11" spans="1:7" s="36" customFormat="1">
      <c r="A11" s="45" t="s">
        <v>54</v>
      </c>
      <c r="B11" s="253" t="s">
        <v>173</v>
      </c>
      <c r="C11" s="253"/>
      <c r="D11" s="253" t="s">
        <v>174</v>
      </c>
      <c r="E11" s="253"/>
      <c r="F11" s="253" t="s">
        <v>175</v>
      </c>
      <c r="G11" s="253"/>
    </row>
    <row r="12" spans="1:7" s="36" customFormat="1">
      <c r="A12" s="45">
        <v>1</v>
      </c>
      <c r="B12" s="253" t="s">
        <v>176</v>
      </c>
      <c r="C12" s="253"/>
      <c r="D12" s="253" t="s">
        <v>16</v>
      </c>
      <c r="E12" s="253"/>
      <c r="F12" s="253" t="s">
        <v>16</v>
      </c>
      <c r="G12" s="253"/>
    </row>
    <row r="13" spans="1:7" s="36" customFormat="1">
      <c r="A13" s="45">
        <v>2</v>
      </c>
      <c r="B13" s="253" t="s">
        <v>177</v>
      </c>
      <c r="C13" s="253"/>
      <c r="D13" s="253" t="s">
        <v>16</v>
      </c>
      <c r="E13" s="253"/>
      <c r="F13" s="253" t="s">
        <v>16</v>
      </c>
      <c r="G13" s="253"/>
    </row>
    <row r="14" spans="1:7" s="36" customFormat="1">
      <c r="A14" s="253">
        <v>3</v>
      </c>
      <c r="B14" s="253" t="s">
        <v>178</v>
      </c>
      <c r="C14" s="46" t="s">
        <v>179</v>
      </c>
      <c r="D14" s="253" t="s">
        <v>16</v>
      </c>
      <c r="E14" s="253"/>
      <c r="F14" s="253" t="s">
        <v>16</v>
      </c>
      <c r="G14" s="253"/>
    </row>
    <row r="15" spans="1:7" s="36" customFormat="1">
      <c r="A15" s="253"/>
      <c r="B15" s="253"/>
      <c r="C15" s="45" t="s">
        <v>180</v>
      </c>
      <c r="D15" s="253" t="s">
        <v>16</v>
      </c>
      <c r="E15" s="253"/>
      <c r="F15" s="253" t="s">
        <v>16</v>
      </c>
      <c r="G15" s="253"/>
    </row>
    <row r="16" spans="1:7">
      <c r="A16" s="47"/>
      <c r="B16" s="48" t="s">
        <v>130</v>
      </c>
      <c r="C16" s="47"/>
      <c r="D16" s="47"/>
      <c r="E16" s="49"/>
    </row>
    <row r="17" spans="1:5">
      <c r="A17" s="47"/>
      <c r="B17" s="50" t="s">
        <v>181</v>
      </c>
      <c r="C17" s="47"/>
      <c r="D17" s="47"/>
      <c r="E17" s="49"/>
    </row>
    <row r="18" spans="1:5">
      <c r="A18" s="47"/>
      <c r="B18" s="50" t="s">
        <v>182</v>
      </c>
      <c r="C18" s="47"/>
      <c r="D18" s="47"/>
      <c r="E18" s="49"/>
    </row>
    <row r="19" spans="1:5">
      <c r="A19" s="47"/>
      <c r="B19" s="50" t="s">
        <v>183</v>
      </c>
      <c r="C19" s="47"/>
      <c r="D19" s="47"/>
      <c r="E19" s="49"/>
    </row>
    <row r="20" spans="1:5" customFormat="1">
      <c r="B20" s="51" t="s">
        <v>184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8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19" workbookViewId="0">
      <selection activeCell="O37" sqref="O3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28" t="s">
        <v>185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s="12" customFormat="1" ht="18.75" customHeight="1">
      <c r="A2" s="200" t="s">
        <v>50</v>
      </c>
      <c r="B2" s="200"/>
      <c r="C2" s="256" t="str">
        <f>原材料明细!C2</f>
        <v>北京光华荣昌汽车部件有限公司</v>
      </c>
      <c r="D2" s="256"/>
      <c r="E2" s="256"/>
      <c r="F2" s="14" t="s">
        <v>52</v>
      </c>
      <c r="G2" s="256" t="str">
        <f>原材料明细!J2</f>
        <v>ETX</v>
      </c>
      <c r="H2" s="256"/>
      <c r="I2" s="256"/>
      <c r="J2" s="256"/>
      <c r="K2" s="256"/>
      <c r="L2" s="293" t="s">
        <v>186</v>
      </c>
      <c r="M2" s="293"/>
      <c r="N2" s="293"/>
    </row>
    <row r="3" spans="1:14" s="12" customFormat="1" ht="18.75" customHeight="1">
      <c r="A3" s="15" t="s">
        <v>103</v>
      </c>
      <c r="B3" s="15"/>
      <c r="C3" s="256" t="str">
        <f>加工明细!D3</f>
        <v>H0681020100A0/副驾驶员座椅总成</v>
      </c>
      <c r="D3" s="256"/>
      <c r="E3" s="256"/>
      <c r="F3" s="256"/>
      <c r="G3" s="256"/>
      <c r="H3" s="256"/>
      <c r="I3" s="256"/>
      <c r="J3" s="256"/>
      <c r="K3" s="256"/>
      <c r="L3" s="200" t="str">
        <f>原材料明细!N3</f>
        <v>报价填写日期: 2020.9.9</v>
      </c>
      <c r="M3" s="200"/>
      <c r="N3" s="200"/>
    </row>
    <row r="4" spans="1:14" ht="15">
      <c r="A4" s="288" t="s">
        <v>187</v>
      </c>
      <c r="B4" s="289"/>
      <c r="C4" s="289"/>
      <c r="D4" s="289"/>
      <c r="E4" s="289"/>
      <c r="F4" s="289"/>
      <c r="G4" s="289"/>
      <c r="H4" s="290"/>
      <c r="I4" s="288" t="s">
        <v>188</v>
      </c>
      <c r="J4" s="289"/>
      <c r="K4" s="289"/>
      <c r="L4" s="289"/>
      <c r="M4" s="289"/>
      <c r="N4" s="290"/>
    </row>
    <row r="5" spans="1:14">
      <c r="A5" s="16" t="s">
        <v>54</v>
      </c>
      <c r="B5" s="291" t="s">
        <v>21</v>
      </c>
      <c r="C5" s="292"/>
      <c r="D5" s="292"/>
      <c r="E5" s="292"/>
      <c r="F5" s="292" t="s">
        <v>189</v>
      </c>
      <c r="G5" s="292"/>
      <c r="H5" s="18"/>
      <c r="I5" s="16" t="s">
        <v>54</v>
      </c>
      <c r="J5" s="291" t="s">
        <v>21</v>
      </c>
      <c r="K5" s="292"/>
      <c r="L5" s="292"/>
      <c r="M5" s="292"/>
      <c r="N5" s="17" t="s">
        <v>189</v>
      </c>
    </row>
    <row r="6" spans="1:14">
      <c r="A6" s="19">
        <v>1</v>
      </c>
      <c r="B6" s="279" t="s">
        <v>190</v>
      </c>
      <c r="C6" s="279"/>
      <c r="D6" s="279"/>
      <c r="E6" s="279"/>
      <c r="F6" s="280" t="s">
        <v>16</v>
      </c>
      <c r="G6" s="273"/>
      <c r="H6" s="20"/>
      <c r="I6" s="19">
        <v>1</v>
      </c>
      <c r="J6" s="281" t="s">
        <v>191</v>
      </c>
      <c r="K6" s="282"/>
      <c r="L6" s="282"/>
      <c r="M6" s="282"/>
      <c r="N6" s="32">
        <v>1960</v>
      </c>
    </row>
    <row r="7" spans="1:14">
      <c r="A7" s="19">
        <v>2</v>
      </c>
      <c r="B7" s="279" t="s">
        <v>192</v>
      </c>
      <c r="C7" s="279"/>
      <c r="D7" s="279"/>
      <c r="E7" s="279"/>
      <c r="F7" s="280" t="s">
        <v>16</v>
      </c>
      <c r="G7" s="273"/>
      <c r="H7" s="20"/>
      <c r="I7" s="19">
        <v>2</v>
      </c>
      <c r="J7" s="281" t="s">
        <v>193</v>
      </c>
      <c r="K7" s="282"/>
      <c r="L7" s="282"/>
      <c r="M7" s="282"/>
      <c r="N7" s="32">
        <v>960</v>
      </c>
    </row>
    <row r="8" spans="1:14">
      <c r="A8" s="19">
        <v>3</v>
      </c>
      <c r="B8" s="279" t="s">
        <v>194</v>
      </c>
      <c r="C8" s="279"/>
      <c r="D8" s="279"/>
      <c r="E8" s="279"/>
      <c r="F8" s="280" t="s">
        <v>16</v>
      </c>
      <c r="G8" s="273"/>
      <c r="H8" s="20"/>
      <c r="I8" s="19">
        <v>3</v>
      </c>
      <c r="J8" s="281" t="s">
        <v>195</v>
      </c>
      <c r="K8" s="282"/>
      <c r="L8" s="282"/>
      <c r="M8" s="282"/>
      <c r="N8" s="32">
        <v>1870</v>
      </c>
    </row>
    <row r="9" spans="1:14">
      <c r="A9" s="19">
        <v>4</v>
      </c>
      <c r="B9" s="279" t="s">
        <v>196</v>
      </c>
      <c r="C9" s="279"/>
      <c r="D9" s="279"/>
      <c r="E9" s="279"/>
      <c r="F9" s="280" t="s">
        <v>16</v>
      </c>
      <c r="G9" s="273"/>
      <c r="H9" s="20"/>
      <c r="I9" s="19">
        <v>4</v>
      </c>
      <c r="J9" s="281" t="s">
        <v>197</v>
      </c>
      <c r="K9" s="282"/>
      <c r="L9" s="282"/>
      <c r="M9" s="282"/>
      <c r="N9" s="32"/>
    </row>
    <row r="10" spans="1:14">
      <c r="A10" s="19">
        <v>5</v>
      </c>
      <c r="B10" s="279" t="s">
        <v>198</v>
      </c>
      <c r="C10" s="279"/>
      <c r="D10" s="279"/>
      <c r="E10" s="279"/>
      <c r="F10" s="280" t="s">
        <v>16</v>
      </c>
      <c r="G10" s="273"/>
      <c r="H10" s="20"/>
      <c r="I10" s="19">
        <v>5</v>
      </c>
      <c r="J10" s="281" t="s">
        <v>199</v>
      </c>
      <c r="K10" s="282"/>
      <c r="L10" s="282"/>
      <c r="M10" s="282"/>
      <c r="N10" s="32">
        <v>64</v>
      </c>
    </row>
    <row r="11" spans="1:14" ht="15">
      <c r="A11" s="288" t="s">
        <v>200</v>
      </c>
      <c r="B11" s="289"/>
      <c r="C11" s="289"/>
      <c r="D11" s="289"/>
      <c r="E11" s="289"/>
      <c r="F11" s="289"/>
      <c r="G11" s="290"/>
      <c r="H11" s="20"/>
      <c r="I11" s="19">
        <v>6</v>
      </c>
      <c r="J11" s="281" t="s">
        <v>201</v>
      </c>
      <c r="K11" s="282"/>
      <c r="L11" s="282"/>
      <c r="M11" s="282"/>
      <c r="N11" s="32">
        <v>2500</v>
      </c>
    </row>
    <row r="12" spans="1:14">
      <c r="A12" s="19">
        <v>1</v>
      </c>
      <c r="B12" s="279" t="s">
        <v>202</v>
      </c>
      <c r="C12" s="279"/>
      <c r="D12" s="279"/>
      <c r="E12" s="279"/>
      <c r="F12" s="280" t="s">
        <v>16</v>
      </c>
      <c r="G12" s="273"/>
      <c r="H12" s="20"/>
      <c r="I12" s="19">
        <v>7</v>
      </c>
      <c r="J12" s="281" t="s">
        <v>203</v>
      </c>
      <c r="K12" s="282"/>
      <c r="L12" s="282"/>
      <c r="M12" s="282"/>
      <c r="N12" s="32">
        <v>160000</v>
      </c>
    </row>
    <row r="13" spans="1:14">
      <c r="A13" s="19">
        <v>2</v>
      </c>
      <c r="B13" s="279" t="s">
        <v>204</v>
      </c>
      <c r="C13" s="279"/>
      <c r="D13" s="279"/>
      <c r="E13" s="279"/>
      <c r="F13" s="280" t="s">
        <v>16</v>
      </c>
      <c r="G13" s="273"/>
      <c r="H13" s="20"/>
      <c r="I13" s="19">
        <v>8</v>
      </c>
      <c r="J13" s="281" t="s">
        <v>205</v>
      </c>
      <c r="K13" s="282"/>
      <c r="L13" s="282"/>
      <c r="M13" s="282"/>
      <c r="N13" s="32">
        <v>1</v>
      </c>
    </row>
    <row r="14" spans="1:14">
      <c r="A14" s="19">
        <v>3</v>
      </c>
      <c r="B14" s="279" t="s">
        <v>206</v>
      </c>
      <c r="C14" s="279"/>
      <c r="D14" s="279"/>
      <c r="E14" s="279"/>
      <c r="F14" s="280" t="s">
        <v>16</v>
      </c>
      <c r="G14" s="273"/>
      <c r="H14" s="20"/>
      <c r="I14" s="19">
        <v>9</v>
      </c>
      <c r="J14" s="281" t="s">
        <v>207</v>
      </c>
      <c r="K14" s="282"/>
      <c r="L14" s="282"/>
      <c r="M14" s="282"/>
      <c r="N14" s="32">
        <v>100000</v>
      </c>
    </row>
    <row r="15" spans="1:14">
      <c r="A15" s="19">
        <v>4</v>
      </c>
      <c r="B15" s="279" t="s">
        <v>208</v>
      </c>
      <c r="C15" s="279"/>
      <c r="D15" s="279"/>
      <c r="E15" s="279"/>
      <c r="F15" s="280" t="s">
        <v>16</v>
      </c>
      <c r="G15" s="273"/>
      <c r="H15" s="20"/>
      <c r="I15" s="19">
        <v>10</v>
      </c>
      <c r="J15" s="281" t="s">
        <v>209</v>
      </c>
      <c r="K15" s="282"/>
      <c r="L15" s="282"/>
      <c r="M15" s="282"/>
      <c r="N15" s="147">
        <f>N12/N14</f>
        <v>1.6</v>
      </c>
    </row>
    <row r="16" spans="1:14">
      <c r="A16" s="19">
        <v>5</v>
      </c>
      <c r="B16" s="279" t="s">
        <v>210</v>
      </c>
      <c r="C16" s="279"/>
      <c r="D16" s="279"/>
      <c r="E16" s="279"/>
      <c r="F16" s="280" t="s">
        <v>16</v>
      </c>
      <c r="G16" s="273"/>
    </row>
    <row r="17" spans="1:14" ht="15">
      <c r="A17" s="21" t="s">
        <v>211</v>
      </c>
      <c r="B17" s="22"/>
    </row>
    <row r="18" spans="1:14" ht="24" customHeight="1">
      <c r="A18" s="283" t="s">
        <v>212</v>
      </c>
      <c r="B18" s="271"/>
      <c r="C18" s="23" t="s">
        <v>213</v>
      </c>
      <c r="D18" s="283" t="s">
        <v>214</v>
      </c>
      <c r="E18" s="284"/>
      <c r="F18" s="23" t="s">
        <v>215</v>
      </c>
      <c r="G18" s="23" t="s">
        <v>216</v>
      </c>
      <c r="H18" s="285" t="s">
        <v>217</v>
      </c>
      <c r="I18" s="284"/>
      <c r="J18" s="286" t="s">
        <v>218</v>
      </c>
      <c r="K18" s="287"/>
      <c r="L18" s="287"/>
      <c r="M18" s="283" t="s">
        <v>219</v>
      </c>
      <c r="N18" s="283"/>
    </row>
    <row r="19" spans="1:14">
      <c r="A19" s="270" t="s">
        <v>73</v>
      </c>
      <c r="B19" s="271"/>
      <c r="C19" s="24" t="s">
        <v>16</v>
      </c>
      <c r="D19" s="271" t="s">
        <v>16</v>
      </c>
      <c r="E19" s="271"/>
      <c r="F19" s="25" t="s">
        <v>16</v>
      </c>
      <c r="G19" s="19" t="s">
        <v>16</v>
      </c>
      <c r="H19" s="272" t="s">
        <v>16</v>
      </c>
      <c r="I19" s="273"/>
      <c r="J19" s="271" t="s">
        <v>16</v>
      </c>
      <c r="K19" s="271"/>
      <c r="L19" s="271"/>
      <c r="M19" s="274" t="s">
        <v>16</v>
      </c>
      <c r="N19" s="275"/>
    </row>
    <row r="20" spans="1:14">
      <c r="A20" s="270" t="s">
        <v>220</v>
      </c>
      <c r="B20" s="271"/>
      <c r="C20" s="24" t="s">
        <v>16</v>
      </c>
      <c r="D20" s="271" t="s">
        <v>16</v>
      </c>
      <c r="E20" s="271"/>
      <c r="F20" s="25" t="s">
        <v>16</v>
      </c>
      <c r="G20" s="19" t="s">
        <v>16</v>
      </c>
      <c r="H20" s="272" t="s">
        <v>16</v>
      </c>
      <c r="I20" s="273"/>
      <c r="J20" s="271" t="s">
        <v>16</v>
      </c>
      <c r="K20" s="271"/>
      <c r="L20" s="271"/>
      <c r="M20" s="274" t="s">
        <v>16</v>
      </c>
      <c r="N20" s="275"/>
    </row>
    <row r="21" spans="1:14">
      <c r="A21" s="270" t="s">
        <v>221</v>
      </c>
      <c r="B21" s="271"/>
      <c r="C21" s="24" t="s">
        <v>16</v>
      </c>
      <c r="D21" s="271" t="s">
        <v>16</v>
      </c>
      <c r="E21" s="271"/>
      <c r="F21" s="25" t="s">
        <v>16</v>
      </c>
      <c r="G21" s="19" t="s">
        <v>16</v>
      </c>
      <c r="H21" s="272" t="s">
        <v>16</v>
      </c>
      <c r="I21" s="273"/>
      <c r="J21" s="271" t="s">
        <v>16</v>
      </c>
      <c r="K21" s="271"/>
      <c r="L21" s="271"/>
      <c r="M21" s="274" t="s">
        <v>16</v>
      </c>
      <c r="N21" s="275"/>
    </row>
    <row r="22" spans="1:14">
      <c r="A22" s="270" t="s">
        <v>222</v>
      </c>
      <c r="B22" s="271"/>
      <c r="C22" s="24" t="s">
        <v>16</v>
      </c>
      <c r="D22" s="271" t="s">
        <v>16</v>
      </c>
      <c r="E22" s="271"/>
      <c r="F22" s="25" t="s">
        <v>16</v>
      </c>
      <c r="G22" s="19" t="s">
        <v>16</v>
      </c>
      <c r="H22" s="272" t="s">
        <v>16</v>
      </c>
      <c r="I22" s="273"/>
      <c r="J22" s="271" t="s">
        <v>16</v>
      </c>
      <c r="K22" s="271"/>
      <c r="L22" s="271"/>
      <c r="M22" s="274" t="s">
        <v>16</v>
      </c>
      <c r="N22" s="275"/>
    </row>
    <row r="23" spans="1:14">
      <c r="A23" s="270" t="s">
        <v>223</v>
      </c>
      <c r="B23" s="271"/>
      <c r="C23" s="24" t="s">
        <v>16</v>
      </c>
      <c r="D23" s="271" t="s">
        <v>16</v>
      </c>
      <c r="E23" s="271"/>
      <c r="F23" s="25" t="s">
        <v>16</v>
      </c>
      <c r="G23" s="19" t="s">
        <v>16</v>
      </c>
      <c r="H23" s="272" t="s">
        <v>16</v>
      </c>
      <c r="I23" s="273"/>
      <c r="J23" s="271" t="s">
        <v>16</v>
      </c>
      <c r="K23" s="271"/>
      <c r="L23" s="271"/>
      <c r="M23" s="274" t="s">
        <v>16</v>
      </c>
      <c r="N23" s="275"/>
    </row>
    <row r="24" spans="1:14">
      <c r="A24" s="270" t="s">
        <v>224</v>
      </c>
      <c r="B24" s="271"/>
      <c r="C24" s="24" t="s">
        <v>16</v>
      </c>
      <c r="D24" s="271" t="s">
        <v>16</v>
      </c>
      <c r="E24" s="271"/>
      <c r="F24" s="25" t="s">
        <v>16</v>
      </c>
      <c r="G24" s="19" t="s">
        <v>16</v>
      </c>
      <c r="H24" s="272" t="s">
        <v>16</v>
      </c>
      <c r="I24" s="273"/>
      <c r="J24" s="271" t="s">
        <v>16</v>
      </c>
      <c r="K24" s="271"/>
      <c r="L24" s="271"/>
      <c r="M24" s="274" t="s">
        <v>16</v>
      </c>
      <c r="N24" s="275"/>
    </row>
    <row r="25" spans="1:14">
      <c r="A25" s="270" t="s">
        <v>225</v>
      </c>
      <c r="B25" s="271"/>
      <c r="C25" s="24" t="s">
        <v>16</v>
      </c>
      <c r="D25" s="271" t="s">
        <v>16</v>
      </c>
      <c r="E25" s="271"/>
      <c r="F25" s="25" t="s">
        <v>16</v>
      </c>
      <c r="G25" s="19" t="s">
        <v>16</v>
      </c>
      <c r="H25" s="272" t="s">
        <v>16</v>
      </c>
      <c r="I25" s="273"/>
      <c r="J25" s="271" t="s">
        <v>16</v>
      </c>
      <c r="K25" s="271"/>
      <c r="L25" s="271"/>
      <c r="M25" s="274" t="s">
        <v>16</v>
      </c>
      <c r="N25" s="275"/>
    </row>
    <row r="26" spans="1:14">
      <c r="A26" s="270" t="s">
        <v>226</v>
      </c>
      <c r="B26" s="271"/>
      <c r="C26" s="24" t="s">
        <v>16</v>
      </c>
      <c r="D26" s="271" t="s">
        <v>16</v>
      </c>
      <c r="E26" s="271"/>
      <c r="F26" s="25" t="s">
        <v>16</v>
      </c>
      <c r="G26" s="19" t="s">
        <v>16</v>
      </c>
      <c r="H26" s="272" t="s">
        <v>16</v>
      </c>
      <c r="I26" s="273"/>
      <c r="J26" s="271" t="s">
        <v>16</v>
      </c>
      <c r="K26" s="271"/>
      <c r="L26" s="271"/>
      <c r="M26" s="274" t="s">
        <v>16</v>
      </c>
      <c r="N26" s="275"/>
    </row>
    <row r="27" spans="1:14">
      <c r="A27" s="270" t="s">
        <v>227</v>
      </c>
      <c r="B27" s="271"/>
      <c r="C27" s="24" t="s">
        <v>16</v>
      </c>
      <c r="D27" s="271" t="s">
        <v>16</v>
      </c>
      <c r="E27" s="271"/>
      <c r="F27" s="25" t="s">
        <v>16</v>
      </c>
      <c r="G27" s="19" t="s">
        <v>16</v>
      </c>
      <c r="H27" s="272" t="s">
        <v>16</v>
      </c>
      <c r="I27" s="273"/>
      <c r="J27" s="271" t="s">
        <v>16</v>
      </c>
      <c r="K27" s="271"/>
      <c r="L27" s="271"/>
      <c r="M27" s="274" t="s">
        <v>16</v>
      </c>
      <c r="N27" s="275"/>
    </row>
    <row r="28" spans="1:14">
      <c r="A28" s="276" t="s">
        <v>228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65" t="str">
        <f>M21</f>
        <v>/</v>
      </c>
      <c r="N28" s="265"/>
    </row>
    <row r="30" spans="1:14">
      <c r="A30" s="257" t="s">
        <v>229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77">
        <f>N15</f>
        <v>1.6</v>
      </c>
      <c r="N30" s="278"/>
    </row>
    <row r="32" spans="1:14">
      <c r="A32" s="269" t="s">
        <v>230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</row>
    <row r="33" spans="1:14" ht="13.5" customHeight="1">
      <c r="A33" s="264" t="s">
        <v>231</v>
      </c>
      <c r="B33" s="264"/>
      <c r="C33" s="259" t="s">
        <v>268</v>
      </c>
      <c r="D33" s="259"/>
      <c r="E33" s="26" t="s">
        <v>269</v>
      </c>
      <c r="F33" s="260">
        <v>8</v>
      </c>
      <c r="G33" s="260"/>
      <c r="H33" s="260"/>
      <c r="I33" s="264" t="s">
        <v>270</v>
      </c>
      <c r="J33" s="264"/>
      <c r="K33" s="264"/>
      <c r="L33" s="264"/>
      <c r="M33" s="260">
        <v>9</v>
      </c>
      <c r="N33" s="260"/>
    </row>
    <row r="34" spans="1:14" ht="13.5" customHeight="1">
      <c r="A34" s="264" t="s">
        <v>232</v>
      </c>
      <c r="B34" s="264"/>
      <c r="C34" s="259" t="s">
        <v>233</v>
      </c>
      <c r="D34" s="259"/>
      <c r="E34" s="26" t="s">
        <v>271</v>
      </c>
      <c r="F34" s="260" t="s">
        <v>272</v>
      </c>
      <c r="G34" s="260"/>
      <c r="H34" s="260"/>
      <c r="I34" s="264" t="s">
        <v>273</v>
      </c>
      <c r="J34" s="264"/>
      <c r="K34" s="264"/>
      <c r="L34" s="264"/>
      <c r="M34" s="260">
        <v>8</v>
      </c>
      <c r="N34" s="260"/>
    </row>
    <row r="35" spans="1:14" ht="13.5" customHeight="1">
      <c r="A35" s="264" t="s">
        <v>234</v>
      </c>
      <c r="B35" s="264"/>
      <c r="C35" s="259">
        <v>280</v>
      </c>
      <c r="D35" s="259"/>
      <c r="E35" s="259" t="s">
        <v>274</v>
      </c>
      <c r="F35" s="260" t="s">
        <v>321</v>
      </c>
      <c r="G35" s="260"/>
      <c r="H35" s="260"/>
      <c r="I35" s="264" t="s">
        <v>275</v>
      </c>
      <c r="J35" s="264"/>
      <c r="K35" s="264"/>
      <c r="L35" s="264"/>
      <c r="M35" s="260">
        <v>1700</v>
      </c>
      <c r="N35" s="260"/>
    </row>
    <row r="36" spans="1:14" ht="13.5" customHeight="1">
      <c r="A36" s="264" t="s">
        <v>235</v>
      </c>
      <c r="B36" s="264"/>
      <c r="C36" s="259" t="s">
        <v>16</v>
      </c>
      <c r="D36" s="259"/>
      <c r="E36" s="259"/>
      <c r="F36" s="260"/>
      <c r="G36" s="260"/>
      <c r="H36" s="260"/>
      <c r="I36" s="264" t="s">
        <v>276</v>
      </c>
      <c r="J36" s="264"/>
      <c r="K36" s="264"/>
      <c r="L36" s="264"/>
      <c r="M36" s="265">
        <f>M35/M34/M33</f>
        <v>23.611111111111111</v>
      </c>
      <c r="N36" s="265"/>
    </row>
    <row r="37" spans="1:14" ht="13.5" customHeight="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8"/>
    </row>
    <row r="38" spans="1:14" ht="19.5" customHeight="1">
      <c r="A38" s="261" t="s">
        <v>236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</row>
    <row r="39" spans="1:14">
      <c r="A39" s="262" t="s">
        <v>237</v>
      </c>
      <c r="B39" s="262"/>
      <c r="C39" s="262"/>
      <c r="D39" s="262"/>
      <c r="E39" s="260" t="s">
        <v>16</v>
      </c>
      <c r="F39" s="260"/>
      <c r="G39" s="260" t="s">
        <v>130</v>
      </c>
      <c r="H39" s="260" t="s">
        <v>16</v>
      </c>
      <c r="I39" s="260"/>
      <c r="J39" s="260"/>
      <c r="K39" s="260"/>
      <c r="L39" s="260"/>
      <c r="M39" s="260"/>
      <c r="N39" s="260"/>
    </row>
    <row r="40" spans="1:14">
      <c r="A40" s="262" t="s">
        <v>238</v>
      </c>
      <c r="B40" s="262"/>
      <c r="C40" s="262"/>
      <c r="D40" s="262"/>
      <c r="E40" s="260" t="s">
        <v>16</v>
      </c>
      <c r="F40" s="260"/>
      <c r="G40" s="260"/>
      <c r="H40" s="260"/>
      <c r="I40" s="260"/>
      <c r="J40" s="260"/>
      <c r="K40" s="260"/>
      <c r="L40" s="260"/>
      <c r="M40" s="260"/>
      <c r="N40" s="260"/>
    </row>
    <row r="41" spans="1:14" ht="13.5" customHeight="1">
      <c r="A41" s="262" t="s">
        <v>239</v>
      </c>
      <c r="B41" s="262"/>
      <c r="C41" s="262"/>
      <c r="D41" s="262"/>
      <c r="E41" s="260" t="s">
        <v>16</v>
      </c>
      <c r="F41" s="260"/>
      <c r="G41" s="260"/>
      <c r="H41" s="260"/>
      <c r="I41" s="260"/>
      <c r="J41" s="260"/>
      <c r="K41" s="260"/>
      <c r="L41" s="260"/>
      <c r="M41" s="260"/>
      <c r="N41" s="260"/>
    </row>
    <row r="42" spans="1:14">
      <c r="A42" s="263" t="s">
        <v>240</v>
      </c>
      <c r="B42" s="263"/>
      <c r="C42" s="263"/>
      <c r="D42" s="263"/>
      <c r="E42" s="260" t="s">
        <v>16</v>
      </c>
      <c r="F42" s="260"/>
      <c r="G42" s="260"/>
      <c r="H42" s="260"/>
      <c r="I42" s="260"/>
      <c r="J42" s="260"/>
      <c r="K42" s="260"/>
      <c r="L42" s="260"/>
      <c r="M42" s="260"/>
      <c r="N42" s="260"/>
    </row>
    <row r="43" spans="1:14" s="13" customFormat="1"/>
    <row r="44" spans="1:14">
      <c r="A44" s="257" t="s">
        <v>241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8">
        <f>M36</f>
        <v>23.611111111111111</v>
      </c>
      <c r="N44" s="258"/>
    </row>
    <row r="45" spans="1:14">
      <c r="A45" s="29"/>
      <c r="B45" s="29"/>
      <c r="C45" s="29"/>
      <c r="D45" s="29"/>
      <c r="E45" s="29"/>
      <c r="F45" s="29"/>
      <c r="G45" s="29"/>
      <c r="H45" s="29"/>
      <c r="I45" s="29"/>
      <c r="J45" s="33"/>
      <c r="K45" s="34"/>
      <c r="L45" s="34"/>
      <c r="M45" s="35"/>
      <c r="N45" s="30"/>
    </row>
    <row r="46" spans="1:14">
      <c r="A46" s="30"/>
      <c r="B46" s="31" t="s">
        <v>242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</sheetData>
  <mergeCells count="132">
    <mergeCell ref="A1:N1"/>
    <mergeCell ref="A2:B2"/>
    <mergeCell ref="C2:E2"/>
    <mergeCell ref="G2:K2"/>
    <mergeCell ref="L2:N2"/>
    <mergeCell ref="C3:K3"/>
    <mergeCell ref="L3:N3"/>
    <mergeCell ref="A4:H4"/>
    <mergeCell ref="I4:N4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44:L44"/>
    <mergeCell ref="M44:N44"/>
    <mergeCell ref="E35:E36"/>
    <mergeCell ref="G39:G42"/>
    <mergeCell ref="H39:N42"/>
    <mergeCell ref="F35:H36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35:B35"/>
    <mergeCell ref="C35:D35"/>
    <mergeCell ref="I35:L35"/>
    <mergeCell ref="M35:N35"/>
    <mergeCell ref="A36:B36"/>
    <mergeCell ref="C36:D36"/>
    <mergeCell ref="I36:L36"/>
    <mergeCell ref="M36:N36"/>
    <mergeCell ref="A37:N37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21"/>
  <sheetViews>
    <sheetView workbookViewId="0">
      <selection activeCell="G25" sqref="G25"/>
    </sheetView>
  </sheetViews>
  <sheetFormatPr defaultColWidth="9" defaultRowHeight="13.5"/>
  <cols>
    <col min="1" max="1" width="4.25" customWidth="1"/>
    <col min="2" max="2" width="15.875" style="2" customWidth="1"/>
    <col min="3" max="3" width="10.875" style="2" customWidth="1"/>
    <col min="4" max="4" width="13.5" customWidth="1"/>
    <col min="5" max="5" width="7.625" customWidth="1"/>
    <col min="6" max="6" width="6.125" customWidth="1"/>
    <col min="7" max="7" width="20.5" customWidth="1"/>
    <col min="8" max="8" width="14.5" customWidth="1"/>
    <col min="10" max="11" width="6.75" customWidth="1"/>
    <col min="12" max="12" width="8" customWidth="1"/>
    <col min="13" max="13" width="13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05" t="s">
        <v>243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9"/>
      <c r="S1" s="9"/>
      <c r="T1" s="9"/>
      <c r="U1" s="9"/>
    </row>
    <row r="2" spans="1:21" s="1" customFormat="1">
      <c r="A2" s="245" t="s">
        <v>102</v>
      </c>
      <c r="B2" s="245"/>
      <c r="C2" s="245"/>
      <c r="D2" s="233" t="str">
        <f>加工明细!D2</f>
        <v>北京光华荣昌汽车部件有限公司</v>
      </c>
      <c r="E2" s="233"/>
      <c r="F2" s="233"/>
      <c r="G2" s="233"/>
      <c r="H2" s="3" t="s">
        <v>52</v>
      </c>
      <c r="I2" s="181" t="str">
        <f>加工明细!K2</f>
        <v>ETX</v>
      </c>
      <c r="J2" s="181"/>
      <c r="K2" s="181"/>
      <c r="L2" s="181"/>
      <c r="M2" s="306" t="s">
        <v>186</v>
      </c>
      <c r="N2" s="306"/>
      <c r="O2" s="306"/>
      <c r="P2" s="306"/>
      <c r="Q2" s="306"/>
    </row>
    <row r="3" spans="1:21" s="1" customFormat="1">
      <c r="A3" s="218" t="s">
        <v>103</v>
      </c>
      <c r="B3" s="218"/>
      <c r="C3" s="218"/>
      <c r="D3" s="235" t="str">
        <f>加工明细!D3</f>
        <v>H0681020100A0/副驾驶员座椅总成</v>
      </c>
      <c r="E3" s="235"/>
      <c r="F3" s="235"/>
      <c r="G3" s="235"/>
      <c r="H3" s="235"/>
      <c r="I3" s="235"/>
      <c r="J3" s="235"/>
      <c r="K3" s="235"/>
      <c r="L3" s="235"/>
      <c r="M3" s="225" t="str">
        <f>原材料明细!N3</f>
        <v>报价填写日期: 2020.9.9</v>
      </c>
      <c r="N3" s="225"/>
      <c r="O3" s="225"/>
      <c r="P3" s="225"/>
      <c r="Q3" s="225"/>
    </row>
    <row r="4" spans="1:21" ht="13.5" customHeight="1">
      <c r="A4" s="295" t="s">
        <v>54</v>
      </c>
      <c r="B4" s="295" t="s">
        <v>56</v>
      </c>
      <c r="C4" s="295" t="s">
        <v>244</v>
      </c>
      <c r="D4" s="295" t="s">
        <v>105</v>
      </c>
      <c r="E4" s="295" t="s">
        <v>91</v>
      </c>
      <c r="F4" s="295" t="s">
        <v>245</v>
      </c>
      <c r="G4" s="295" t="s">
        <v>246</v>
      </c>
      <c r="H4" s="295" t="s">
        <v>247</v>
      </c>
      <c r="I4" s="295" t="s">
        <v>248</v>
      </c>
      <c r="J4" s="295" t="s">
        <v>249</v>
      </c>
      <c r="K4" s="295"/>
      <c r="L4" s="302" t="s">
        <v>250</v>
      </c>
      <c r="M4" s="302"/>
      <c r="N4" s="302"/>
      <c r="O4" s="303" t="s">
        <v>251</v>
      </c>
      <c r="P4" s="303" t="s">
        <v>252</v>
      </c>
      <c r="Q4" s="303" t="s">
        <v>24</v>
      </c>
    </row>
    <row r="5" spans="1:21" ht="24" customHeight="1">
      <c r="A5" s="295"/>
      <c r="B5" s="295"/>
      <c r="C5" s="295"/>
      <c r="D5" s="295"/>
      <c r="E5" s="295"/>
      <c r="F5" s="295"/>
      <c r="G5" s="295"/>
      <c r="H5" s="295"/>
      <c r="I5" s="295"/>
      <c r="J5" s="4" t="s">
        <v>63</v>
      </c>
      <c r="K5" s="4" t="s">
        <v>253</v>
      </c>
      <c r="L5" s="4" t="s">
        <v>254</v>
      </c>
      <c r="M5" s="7" t="s">
        <v>255</v>
      </c>
      <c r="N5" s="7" t="s">
        <v>74</v>
      </c>
      <c r="O5" s="304"/>
      <c r="P5" s="304"/>
      <c r="Q5" s="304"/>
    </row>
    <row r="6" spans="1:21">
      <c r="A6" s="4">
        <v>1</v>
      </c>
      <c r="B6" s="173" t="s">
        <v>257</v>
      </c>
      <c r="C6" s="173" t="s">
        <v>333</v>
      </c>
      <c r="D6" s="173" t="s">
        <v>333</v>
      </c>
      <c r="E6" s="173" t="s">
        <v>333</v>
      </c>
      <c r="F6" s="173" t="s">
        <v>333</v>
      </c>
      <c r="G6" s="173" t="s">
        <v>333</v>
      </c>
      <c r="H6" s="173" t="s">
        <v>333</v>
      </c>
      <c r="I6" s="173" t="s">
        <v>333</v>
      </c>
      <c r="J6" s="173" t="s">
        <v>333</v>
      </c>
      <c r="K6" s="173" t="s">
        <v>333</v>
      </c>
      <c r="L6" s="173" t="s">
        <v>333</v>
      </c>
      <c r="M6" s="152">
        <v>56499.999999999993</v>
      </c>
      <c r="N6" s="173" t="s">
        <v>333</v>
      </c>
      <c r="O6" s="151">
        <v>20000</v>
      </c>
      <c r="P6" s="176">
        <f>M6/O6</f>
        <v>2.8249999999999997</v>
      </c>
      <c r="Q6" s="10"/>
    </row>
    <row r="7" spans="1:21">
      <c r="A7" s="4">
        <v>2</v>
      </c>
      <c r="B7" s="173" t="s">
        <v>328</v>
      </c>
      <c r="C7" s="173" t="s">
        <v>333</v>
      </c>
      <c r="D7" s="163" t="s">
        <v>286</v>
      </c>
      <c r="E7" s="173" t="s">
        <v>333</v>
      </c>
      <c r="F7" s="173" t="s">
        <v>284</v>
      </c>
      <c r="G7" s="168" t="s">
        <v>297</v>
      </c>
      <c r="H7" s="163" t="s">
        <v>303</v>
      </c>
      <c r="I7" s="173" t="s">
        <v>333</v>
      </c>
      <c r="J7" s="173" t="s">
        <v>333</v>
      </c>
      <c r="K7" s="173" t="s">
        <v>333</v>
      </c>
      <c r="L7" s="173" t="s">
        <v>333</v>
      </c>
      <c r="M7" s="152">
        <v>62149.999999999993</v>
      </c>
      <c r="N7" s="173" t="s">
        <v>333</v>
      </c>
      <c r="O7" s="151">
        <v>20000</v>
      </c>
      <c r="P7" s="176">
        <f t="shared" ref="P7:P15" si="0">M7/O7</f>
        <v>3.1074999999999995</v>
      </c>
      <c r="Q7" s="10"/>
    </row>
    <row r="8" spans="1:21">
      <c r="A8" s="4">
        <v>3</v>
      </c>
      <c r="B8" s="299" t="s">
        <v>329</v>
      </c>
      <c r="C8" s="299" t="s">
        <v>333</v>
      </c>
      <c r="D8" s="163" t="s">
        <v>287</v>
      </c>
      <c r="E8" s="173" t="s">
        <v>333</v>
      </c>
      <c r="F8" s="307" t="s">
        <v>285</v>
      </c>
      <c r="G8" s="296" t="s">
        <v>298</v>
      </c>
      <c r="H8" s="163" t="s">
        <v>303</v>
      </c>
      <c r="I8" s="173" t="s">
        <v>333</v>
      </c>
      <c r="J8" s="173" t="s">
        <v>333</v>
      </c>
      <c r="K8" s="173" t="s">
        <v>333</v>
      </c>
      <c r="L8" s="173" t="s">
        <v>333</v>
      </c>
      <c r="M8" s="5">
        <v>56499.999999999993</v>
      </c>
      <c r="N8" s="173" t="s">
        <v>333</v>
      </c>
      <c r="O8" s="151">
        <v>20000</v>
      </c>
      <c r="P8" s="176">
        <f t="shared" si="0"/>
        <v>2.8249999999999997</v>
      </c>
      <c r="Q8" s="10"/>
    </row>
    <row r="9" spans="1:21">
      <c r="A9" s="150">
        <v>4</v>
      </c>
      <c r="B9" s="300"/>
      <c r="C9" s="300" t="s">
        <v>333</v>
      </c>
      <c r="D9" s="163" t="s">
        <v>287</v>
      </c>
      <c r="E9" s="173" t="s">
        <v>333</v>
      </c>
      <c r="F9" s="308"/>
      <c r="G9" s="298"/>
      <c r="H9" s="163" t="s">
        <v>303</v>
      </c>
      <c r="I9" s="173" t="s">
        <v>333</v>
      </c>
      <c r="J9" s="173" t="s">
        <v>333</v>
      </c>
      <c r="K9" s="173" t="s">
        <v>333</v>
      </c>
      <c r="L9" s="173" t="s">
        <v>333</v>
      </c>
      <c r="M9" s="152">
        <v>39549.999999999993</v>
      </c>
      <c r="N9" s="173" t="s">
        <v>333</v>
      </c>
      <c r="O9" s="151">
        <v>20000</v>
      </c>
      <c r="P9" s="176">
        <f t="shared" si="0"/>
        <v>1.9774999999999996</v>
      </c>
      <c r="Q9" s="10"/>
    </row>
    <row r="10" spans="1:21">
      <c r="A10" s="150">
        <v>5</v>
      </c>
      <c r="B10" s="300"/>
      <c r="C10" s="300" t="s">
        <v>333</v>
      </c>
      <c r="D10" s="163" t="s">
        <v>286</v>
      </c>
      <c r="E10" s="173" t="s">
        <v>333</v>
      </c>
      <c r="F10" s="308"/>
      <c r="G10" s="296" t="s">
        <v>299</v>
      </c>
      <c r="H10" s="163" t="s">
        <v>303</v>
      </c>
      <c r="I10" s="173" t="s">
        <v>333</v>
      </c>
      <c r="J10" s="173" t="s">
        <v>333</v>
      </c>
      <c r="K10" s="173" t="s">
        <v>333</v>
      </c>
      <c r="L10" s="173" t="s">
        <v>333</v>
      </c>
      <c r="M10" s="152">
        <v>62149.999999999993</v>
      </c>
      <c r="N10" s="173" t="s">
        <v>333</v>
      </c>
      <c r="O10" s="151">
        <v>20000</v>
      </c>
      <c r="P10" s="176">
        <f t="shared" si="0"/>
        <v>3.1074999999999995</v>
      </c>
      <c r="Q10" s="10"/>
    </row>
    <row r="11" spans="1:21">
      <c r="A11" s="150">
        <v>6</v>
      </c>
      <c r="B11" s="301"/>
      <c r="C11" s="301" t="s">
        <v>333</v>
      </c>
      <c r="D11" s="163" t="s">
        <v>287</v>
      </c>
      <c r="E11" s="173" t="s">
        <v>333</v>
      </c>
      <c r="F11" s="308"/>
      <c r="G11" s="297"/>
      <c r="H11" s="163" t="s">
        <v>303</v>
      </c>
      <c r="I11" s="173" t="s">
        <v>333</v>
      </c>
      <c r="J11" s="173" t="s">
        <v>333</v>
      </c>
      <c r="K11" s="173" t="s">
        <v>333</v>
      </c>
      <c r="L11" s="173" t="s">
        <v>333</v>
      </c>
      <c r="M11" s="152">
        <v>56499.999999999993</v>
      </c>
      <c r="N11" s="173" t="s">
        <v>333</v>
      </c>
      <c r="O11" s="151">
        <v>20000</v>
      </c>
      <c r="P11" s="176">
        <f t="shared" si="0"/>
        <v>2.8249999999999997</v>
      </c>
      <c r="Q11" s="10"/>
    </row>
    <row r="12" spans="1:21">
      <c r="A12" s="150">
        <v>7</v>
      </c>
      <c r="B12" s="299" t="s">
        <v>330</v>
      </c>
      <c r="C12" s="299" t="s">
        <v>333</v>
      </c>
      <c r="D12" s="163" t="s">
        <v>287</v>
      </c>
      <c r="E12" s="173" t="s">
        <v>333</v>
      </c>
      <c r="F12" s="308"/>
      <c r="G12" s="298"/>
      <c r="H12" s="163" t="s">
        <v>303</v>
      </c>
      <c r="I12" s="173" t="s">
        <v>333</v>
      </c>
      <c r="J12" s="173" t="s">
        <v>333</v>
      </c>
      <c r="K12" s="173" t="s">
        <v>333</v>
      </c>
      <c r="L12" s="173" t="s">
        <v>333</v>
      </c>
      <c r="M12" s="152">
        <v>39549.999999999993</v>
      </c>
      <c r="N12" s="173" t="s">
        <v>333</v>
      </c>
      <c r="O12" s="151">
        <v>20000</v>
      </c>
      <c r="P12" s="176">
        <f t="shared" si="0"/>
        <v>1.9774999999999996</v>
      </c>
      <c r="Q12" s="10"/>
    </row>
    <row r="13" spans="1:21">
      <c r="A13" s="150">
        <v>8</v>
      </c>
      <c r="B13" s="300"/>
      <c r="C13" s="300" t="s">
        <v>333</v>
      </c>
      <c r="D13" s="163" t="s">
        <v>302</v>
      </c>
      <c r="E13" s="173" t="s">
        <v>333</v>
      </c>
      <c r="F13" s="308"/>
      <c r="G13" s="296" t="s">
        <v>300</v>
      </c>
      <c r="H13" s="163" t="s">
        <v>303</v>
      </c>
      <c r="I13" s="173" t="s">
        <v>333</v>
      </c>
      <c r="J13" s="173" t="s">
        <v>333</v>
      </c>
      <c r="K13" s="173" t="s">
        <v>333</v>
      </c>
      <c r="L13" s="173" t="s">
        <v>333</v>
      </c>
      <c r="M13" s="152">
        <v>62149.999999999993</v>
      </c>
      <c r="N13" s="173" t="s">
        <v>333</v>
      </c>
      <c r="O13" s="151">
        <v>20000</v>
      </c>
      <c r="P13" s="176">
        <f t="shared" si="0"/>
        <v>3.1074999999999995</v>
      </c>
      <c r="Q13" s="10"/>
    </row>
    <row r="14" spans="1:21">
      <c r="A14" s="150">
        <v>9</v>
      </c>
      <c r="B14" s="300"/>
      <c r="C14" s="300" t="s">
        <v>333</v>
      </c>
      <c r="D14" s="163" t="s">
        <v>287</v>
      </c>
      <c r="E14" s="173" t="s">
        <v>333</v>
      </c>
      <c r="F14" s="308"/>
      <c r="G14" s="298"/>
      <c r="H14" s="163" t="s">
        <v>303</v>
      </c>
      <c r="I14" s="173" t="s">
        <v>333</v>
      </c>
      <c r="J14" s="173" t="s">
        <v>333</v>
      </c>
      <c r="K14" s="173" t="s">
        <v>333</v>
      </c>
      <c r="L14" s="173" t="s">
        <v>333</v>
      </c>
      <c r="M14" s="152">
        <v>56499.999999999993</v>
      </c>
      <c r="N14" s="173" t="s">
        <v>333</v>
      </c>
      <c r="O14" s="151">
        <v>20000</v>
      </c>
      <c r="P14" s="176">
        <f t="shared" si="0"/>
        <v>2.8249999999999997</v>
      </c>
      <c r="Q14" s="10"/>
    </row>
    <row r="15" spans="1:21">
      <c r="A15" s="150">
        <v>10</v>
      </c>
      <c r="B15" s="301"/>
      <c r="C15" s="301" t="s">
        <v>333</v>
      </c>
      <c r="D15" s="163" t="s">
        <v>302</v>
      </c>
      <c r="E15" s="173" t="s">
        <v>333</v>
      </c>
      <c r="F15" s="309"/>
      <c r="G15" s="296" t="s">
        <v>301</v>
      </c>
      <c r="H15" s="163" t="s">
        <v>303</v>
      </c>
      <c r="I15" s="173" t="s">
        <v>333</v>
      </c>
      <c r="J15" s="173" t="s">
        <v>333</v>
      </c>
      <c r="K15" s="173" t="s">
        <v>333</v>
      </c>
      <c r="L15" s="173" t="s">
        <v>333</v>
      </c>
      <c r="M15" s="152">
        <v>62149.999999999993</v>
      </c>
      <c r="N15" s="173" t="s">
        <v>333</v>
      </c>
      <c r="O15" s="151">
        <v>20000</v>
      </c>
      <c r="P15" s="176">
        <f t="shared" si="0"/>
        <v>3.1074999999999995</v>
      </c>
      <c r="Q15" s="10"/>
    </row>
    <row r="16" spans="1:21">
      <c r="A16" s="172">
        <v>11</v>
      </c>
      <c r="B16" s="173" t="s">
        <v>331</v>
      </c>
      <c r="C16" s="173" t="s">
        <v>333</v>
      </c>
      <c r="D16" s="163" t="s">
        <v>287</v>
      </c>
      <c r="E16" s="173" t="s">
        <v>333</v>
      </c>
      <c r="F16" s="173" t="s">
        <v>333</v>
      </c>
      <c r="G16" s="298"/>
      <c r="H16" s="163" t="s">
        <v>303</v>
      </c>
      <c r="I16" s="173" t="s">
        <v>333</v>
      </c>
      <c r="J16" s="173" t="s">
        <v>333</v>
      </c>
      <c r="K16" s="173" t="s">
        <v>333</v>
      </c>
      <c r="L16" s="173" t="s">
        <v>333</v>
      </c>
      <c r="M16" s="154">
        <v>56499.999999999993</v>
      </c>
      <c r="N16" s="173" t="s">
        <v>333</v>
      </c>
      <c r="O16" s="151">
        <v>20000</v>
      </c>
      <c r="P16" s="176">
        <f t="shared" ref="P16:P18" si="1">M16/O16</f>
        <v>2.8249999999999997</v>
      </c>
      <c r="Q16" s="10"/>
    </row>
    <row r="17" spans="1:17">
      <c r="A17" s="172">
        <v>12</v>
      </c>
      <c r="B17" s="173" t="s">
        <v>328</v>
      </c>
      <c r="C17" s="173" t="s">
        <v>333</v>
      </c>
      <c r="D17" s="173" t="s">
        <v>333</v>
      </c>
      <c r="E17" s="173" t="s">
        <v>333</v>
      </c>
      <c r="F17" s="173" t="s">
        <v>334</v>
      </c>
      <c r="G17" s="153" t="s">
        <v>297</v>
      </c>
      <c r="H17" s="173" t="s">
        <v>333</v>
      </c>
      <c r="I17" s="173" t="s">
        <v>333</v>
      </c>
      <c r="J17" s="173" t="s">
        <v>333</v>
      </c>
      <c r="K17" s="173" t="s">
        <v>333</v>
      </c>
      <c r="L17" s="173" t="s">
        <v>333</v>
      </c>
      <c r="M17" s="154">
        <v>22599.999999999996</v>
      </c>
      <c r="N17" s="173" t="s">
        <v>333</v>
      </c>
      <c r="O17" s="151">
        <v>20000</v>
      </c>
      <c r="P17" s="176">
        <f t="shared" si="1"/>
        <v>1.1299999999999999</v>
      </c>
      <c r="Q17" s="10"/>
    </row>
    <row r="18" spans="1:17">
      <c r="A18" s="172">
        <v>13</v>
      </c>
      <c r="B18" s="173" t="s">
        <v>332</v>
      </c>
      <c r="C18" s="173" t="s">
        <v>333</v>
      </c>
      <c r="D18" s="173" t="s">
        <v>333</v>
      </c>
      <c r="E18" s="173" t="s">
        <v>333</v>
      </c>
      <c r="F18" s="173" t="s">
        <v>333</v>
      </c>
      <c r="G18" s="173" t="s">
        <v>333</v>
      </c>
      <c r="H18" s="173" t="s">
        <v>333</v>
      </c>
      <c r="I18" s="173" t="s">
        <v>333</v>
      </c>
      <c r="J18" s="173" t="s">
        <v>333</v>
      </c>
      <c r="K18" s="173" t="s">
        <v>333</v>
      </c>
      <c r="L18" s="173" t="s">
        <v>333</v>
      </c>
      <c r="M18" s="175">
        <v>50138</v>
      </c>
      <c r="N18" s="173" t="s">
        <v>333</v>
      </c>
      <c r="O18" s="151">
        <v>20000</v>
      </c>
      <c r="P18" s="176">
        <f t="shared" si="1"/>
        <v>2.5068999999999999</v>
      </c>
      <c r="Q18" s="10"/>
    </row>
    <row r="19" spans="1:17">
      <c r="A19" s="294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8">
        <f>SUM(L6:L17)</f>
        <v>0</v>
      </c>
      <c r="M19" s="8">
        <f>SUM(M6:M18)</f>
        <v>682937.99999999988</v>
      </c>
      <c r="N19" s="8">
        <f>SUM(N6:N17)</f>
        <v>0</v>
      </c>
      <c r="O19" s="5" t="s">
        <v>16</v>
      </c>
      <c r="P19" s="170">
        <f>SUM(P6:P18)</f>
        <v>34.146899999999988</v>
      </c>
      <c r="Q19" s="11"/>
    </row>
    <row r="21" spans="1:17">
      <c r="B21" s="6" t="s">
        <v>256</v>
      </c>
    </row>
  </sheetData>
  <mergeCells count="32">
    <mergeCell ref="F8:F15"/>
    <mergeCell ref="G8:G9"/>
    <mergeCell ref="G15:G16"/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9:K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G10:G12"/>
    <mergeCell ref="G13:G14"/>
    <mergeCell ref="B8:B11"/>
    <mergeCell ref="B12:B15"/>
    <mergeCell ref="C8:C11"/>
    <mergeCell ref="C12:C1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2020-11-02T01:56:56Z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2052-11.1.0.9584</vt:lpwstr>
  </property>
</Properties>
</file>