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0" windowWidth="21255" windowHeight="900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M36" i="10" l="1"/>
  <c r="O7" i="4" l="1"/>
  <c r="O8" i="4"/>
  <c r="O9" i="4"/>
  <c r="O6" i="4"/>
  <c r="T9" i="15"/>
  <c r="R7" i="15"/>
  <c r="R8" i="15"/>
  <c r="R9" i="15"/>
  <c r="R6" i="15"/>
  <c r="Q13" i="2"/>
  <c r="Q12" i="2"/>
  <c r="Q11" i="2"/>
  <c r="Q10" i="2"/>
  <c r="Q9" i="2"/>
  <c r="Q8" i="2"/>
  <c r="Q7" i="2"/>
  <c r="Q6" i="2"/>
  <c r="M7" i="4" l="1"/>
  <c r="N7" i="4"/>
  <c r="M8" i="4"/>
  <c r="N8" i="4"/>
  <c r="M9" i="4"/>
  <c r="N9" i="4"/>
  <c r="M6" i="4"/>
  <c r="N6" i="4"/>
  <c r="M30" i="10" l="1"/>
  <c r="N15" i="10"/>
  <c r="P10" i="14"/>
  <c r="P11" i="14"/>
  <c r="P12" i="14"/>
  <c r="P13" i="14"/>
  <c r="P14" i="14"/>
  <c r="P6" i="14"/>
  <c r="P8" i="14"/>
  <c r="P9" i="14"/>
  <c r="N15" i="14" l="1"/>
  <c r="M15" i="14"/>
  <c r="L15" i="14"/>
  <c r="P15" i="14"/>
  <c r="D26" i="1" s="1"/>
  <c r="M3" i="14"/>
  <c r="D3" i="14"/>
  <c r="M44" i="10"/>
  <c r="D28" i="1" s="1"/>
  <c r="M28" i="10"/>
  <c r="D27" i="1" s="1"/>
  <c r="L3" i="10"/>
  <c r="C3" i="10"/>
  <c r="G2" i="10"/>
  <c r="C2" i="10"/>
  <c r="F3" i="9"/>
  <c r="A3" i="9"/>
  <c r="D2" i="9"/>
  <c r="A2" i="9"/>
  <c r="U9" i="15"/>
  <c r="L9" i="4"/>
  <c r="V9" i="15"/>
  <c r="U8" i="15"/>
  <c r="T8" i="15"/>
  <c r="L8" i="4" s="1"/>
  <c r="V8" i="15"/>
  <c r="U7" i="15"/>
  <c r="T7" i="15"/>
  <c r="L7" i="4" s="1"/>
  <c r="Q7" i="4" s="1"/>
  <c r="Q10" i="4" s="1"/>
  <c r="V7" i="15"/>
  <c r="U6" i="15"/>
  <c r="T6" i="15"/>
  <c r="L6" i="4" s="1"/>
  <c r="V6" i="15"/>
  <c r="D3" i="15"/>
  <c r="I10" i="4"/>
  <c r="H10" i="4"/>
  <c r="P9" i="4"/>
  <c r="Q9" i="4"/>
  <c r="P8" i="4"/>
  <c r="Q8" i="4"/>
  <c r="P7" i="4"/>
  <c r="P6" i="4"/>
  <c r="Q6" i="4"/>
  <c r="O3" i="4"/>
  <c r="R3" i="15" s="1"/>
  <c r="K2" i="4"/>
  <c r="I2" i="14" s="1"/>
  <c r="D2" i="4"/>
  <c r="D2" i="15" s="1"/>
  <c r="A16" i="3"/>
  <c r="P15" i="3"/>
  <c r="A15" i="3"/>
  <c r="P14" i="3"/>
  <c r="A14" i="3"/>
  <c r="P13" i="3"/>
  <c r="A13" i="3"/>
  <c r="P12" i="3"/>
  <c r="A12" i="3"/>
  <c r="P11" i="3"/>
  <c r="A11" i="3"/>
  <c r="P10" i="3"/>
  <c r="A10" i="3"/>
  <c r="P9" i="3"/>
  <c r="A9" i="3"/>
  <c r="P8" i="3"/>
  <c r="A8" i="3"/>
  <c r="P7" i="3"/>
  <c r="A7" i="3"/>
  <c r="P3" i="3"/>
  <c r="A3" i="3"/>
  <c r="K2" i="3"/>
  <c r="M14" i="2"/>
  <c r="R13" i="2"/>
  <c r="A13" i="2"/>
  <c r="R12" i="2"/>
  <c r="A12" i="2"/>
  <c r="R11" i="2"/>
  <c r="A11" i="2"/>
  <c r="Q14" i="2"/>
  <c r="A10" i="2"/>
  <c r="R9" i="2"/>
  <c r="A9" i="2"/>
  <c r="R8" i="2"/>
  <c r="A8" i="2"/>
  <c r="R7" i="2"/>
  <c r="A7" i="2"/>
  <c r="R6" i="2"/>
  <c r="A6" i="2"/>
  <c r="J2" i="15" l="1"/>
  <c r="P10" i="4"/>
  <c r="D15" i="1" s="1"/>
  <c r="D2" i="14"/>
  <c r="P16" i="3"/>
  <c r="P24" i="3" s="1"/>
  <c r="D14" i="1" s="1"/>
  <c r="D16" i="1"/>
  <c r="R10" i="2"/>
  <c r="R14" i="2" s="1"/>
  <c r="D13" i="1" s="1"/>
  <c r="D12" i="1" l="1"/>
  <c r="D17" i="1" l="1"/>
  <c r="C7" i="9" l="1"/>
  <c r="D20" i="1" s="1"/>
  <c r="C8" i="9"/>
  <c r="D21" i="1" s="1"/>
  <c r="C6" i="9"/>
  <c r="D19" i="1" s="1"/>
  <c r="D22" i="1"/>
  <c r="D18" i="1" l="1"/>
  <c r="D23" i="1" s="1"/>
  <c r="D24" i="1" l="1"/>
  <c r="D25" i="1" l="1"/>
  <c r="D29" i="1" l="1"/>
  <c r="E25" i="1" s="1"/>
  <c r="E29" i="1" l="1"/>
  <c r="E21" i="1"/>
  <c r="E19" i="1"/>
  <c r="E26" i="1"/>
  <c r="E20" i="1"/>
  <c r="E27" i="1"/>
  <c r="E18" i="1"/>
  <c r="E14" i="1"/>
  <c r="E28" i="1"/>
  <c r="E15" i="1"/>
  <c r="E16" i="1"/>
  <c r="E13" i="1"/>
  <c r="E12" i="1"/>
  <c r="E17" i="1"/>
  <c r="E22" i="1"/>
  <c r="E23" i="1"/>
  <c r="E24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color indexed="81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color indexed="81"/>
            <rFont val="宋体"/>
            <family val="3"/>
            <charset val="134"/>
          </rPr>
          <t>如10m*3m*2m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color indexed="81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<sst xmlns="http://schemas.openxmlformats.org/spreadsheetml/2006/main" count="672" uniqueCount="332">
  <si>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</si>
  <si>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</si>
  <si>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</si>
  <si>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</si>
  <si>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</si>
  <si>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供应商名称（盖章）：北京光华荣昌汽车部件有限公司</t>
  </si>
  <si>
    <t>车型：EST</t>
  </si>
  <si>
    <t>币种：人民币（元）</t>
  </si>
  <si>
    <t>供应商代码：A1093</t>
  </si>
  <si>
    <t>车型代码：/</t>
  </si>
  <si>
    <t>税：不含税(注明除外)</t>
  </si>
  <si>
    <t>零件件号：</t>
  </si>
  <si>
    <t>年份:2019</t>
  </si>
  <si>
    <t>SOP+1</t>
  </si>
  <si>
    <t>SOP+2</t>
  </si>
  <si>
    <t>SOP+3</t>
  </si>
  <si>
    <t>零件名称：</t>
  </si>
  <si>
    <t>副驾驶员座椅总成</t>
  </si>
  <si>
    <t>每年降幅〔%〕</t>
  </si>
  <si>
    <t>/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</si>
  <si>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</si>
  <si>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</si>
  <si>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</si>
  <si>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</si>
  <si>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</si>
  <si>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</si>
  <si>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</si>
  <si>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</si>
  <si>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</si>
  <si>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</si>
  <si>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</si>
  <si>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</si>
  <si>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</si>
  <si>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</si>
  <si>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</si>
  <si>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</si>
  <si>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</si>
  <si>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</si>
  <si>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</si>
  <si>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</si>
  <si>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</si>
  <si>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增值税税率：13 %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</si>
  <si>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</si>
  <si>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</si>
  <si>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</si>
  <si>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</si>
  <si>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</si>
  <si>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</si>
  <si>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</si>
  <si>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</si>
  <si>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r>
      <rPr>
        <sz val="10"/>
        <rFont val="宋体"/>
        <family val="3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韩香伶</t>
    </r>
  </si>
  <si>
    <t>Email :hanxiangling@bjghrc.com</t>
  </si>
  <si>
    <r>
      <rPr>
        <sz val="10"/>
        <rFont val="宋体"/>
        <family val="3"/>
        <charset val="134"/>
      </rP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及手机：18601235520</t>
    </r>
  </si>
  <si>
    <t>Fax:/</t>
  </si>
  <si>
    <t xml:space="preserve"> </t>
  </si>
  <si>
    <t>原材料明细表</t>
  </si>
  <si>
    <t>供应商 (盖章):</t>
  </si>
  <si>
    <t>北京光华荣昌汽车部件有限公司</t>
  </si>
  <si>
    <t>车型：</t>
  </si>
  <si>
    <t>EST</t>
  </si>
  <si>
    <t>以下不含税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</si>
  <si>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</si>
  <si>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</si>
  <si>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</si>
  <si>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</si>
  <si>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</si>
  <si>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</si>
  <si>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</si>
  <si>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</si>
  <si>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</si>
  <si>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</si>
  <si>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</si>
  <si>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</si>
  <si>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</si>
  <si>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</si>
  <si>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</si>
  <si>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</si>
  <si>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</si>
  <si>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</si>
  <si>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</si>
  <si>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主料</t>
  </si>
  <si>
    <t>延米</t>
  </si>
  <si>
    <t>毛毡</t>
  </si>
  <si>
    <t>宽1500</t>
  </si>
  <si>
    <t>泡沫</t>
  </si>
  <si>
    <t>聚氨酯</t>
  </si>
  <si>
    <t>KG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</si>
  <si>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</si>
  <si>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</si>
  <si>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</si>
  <si>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</si>
  <si>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</si>
  <si>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</si>
  <si>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</si>
  <si>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</si>
  <si>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</si>
  <si>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</si>
  <si>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</si>
  <si>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</si>
  <si>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背骨架总成</t>
  </si>
  <si>
    <t>座盆总成</t>
  </si>
  <si>
    <t>座垫底部护板</t>
  </si>
  <si>
    <t>底座总成</t>
  </si>
  <si>
    <t>座框总成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</si>
  <si>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</si>
  <si>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</si>
  <si>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</si>
  <si>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</si>
  <si>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</si>
  <si>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</si>
  <si>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</si>
  <si>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</si>
  <si>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</si>
  <si>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</si>
  <si>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</si>
  <si>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</si>
  <si>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</si>
  <si>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</si>
  <si>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</si>
  <si>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</si>
  <si>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</si>
  <si>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</si>
  <si>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</si>
  <si>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</si>
  <si>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</si>
  <si>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</si>
  <si>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</si>
  <si>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</si>
  <si>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</si>
  <si>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</si>
  <si>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</si>
  <si>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</si>
  <si>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</si>
  <si>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</si>
  <si>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</si>
  <si>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</si>
  <si>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</si>
  <si>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</si>
  <si>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</si>
  <si>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发泡机</t>
  </si>
  <si>
    <t>KM四组份发泡机</t>
  </si>
  <si>
    <t>组装、包装、入库</t>
  </si>
  <si>
    <t>组装线/检具</t>
  </si>
  <si>
    <t>21m*1.1m/GR-Aumark-CF-01</t>
  </si>
  <si>
    <t>裁剪</t>
  </si>
  <si>
    <t>缝纫</t>
  </si>
  <si>
    <t>缝纫机</t>
  </si>
  <si>
    <t>裁床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</si>
  <si>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</si>
  <si>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</si>
  <si>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</si>
  <si>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</si>
  <si>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</si>
  <si>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</si>
  <si>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</si>
  <si>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</si>
  <si>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</si>
  <si>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</si>
  <si>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</si>
  <si>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</si>
  <si>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</si>
  <si>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</si>
  <si>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</si>
  <si>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</si>
  <si>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</si>
  <si>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</si>
  <si>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</si>
  <si>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</si>
  <si>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</si>
  <si>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</si>
  <si>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</si>
  <si>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</si>
  <si>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</si>
  <si>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</si>
  <si>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</si>
  <si>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</si>
  <si>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</si>
  <si>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</si>
  <si>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</si>
  <si>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</si>
  <si>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</si>
  <si>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</si>
  <si>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</si>
  <si>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</si>
  <si>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</si>
  <si>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</si>
  <si>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</si>
  <si>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</si>
  <si>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</si>
  <si>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</si>
  <si>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</si>
  <si>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</si>
  <si>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</si>
  <si>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</si>
  <si>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</si>
  <si>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</si>
  <si>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</si>
  <si>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</si>
  <si>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</si>
  <si>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</si>
  <si>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</si>
  <si>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</si>
  <si>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</si>
  <si>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</si>
  <si>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</si>
  <si>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t xml:space="preserve"> 1、  纸箱包装 </t>
  </si>
  <si>
    <t xml:space="preserve"> 3、 可重复使用包装 </t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</si>
  <si>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</si>
  <si>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</si>
  <si>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</si>
  <si>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</si>
  <si>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</si>
  <si>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</si>
  <si>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</si>
  <si>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</si>
  <si>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</si>
  <si>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</si>
  <si>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</si>
  <si>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t xml:space="preserve">2、 木箱包装或托盘 </t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</si>
  <si>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</si>
  <si>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</si>
  <si>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</si>
  <si>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</si>
  <si>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</si>
  <si>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</si>
  <si>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</si>
  <si>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</si>
  <si>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</si>
  <si>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</si>
  <si>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</si>
  <si>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</si>
  <si>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</si>
  <si>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</si>
  <si>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</si>
  <si>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</si>
  <si>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</si>
  <si>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</si>
  <si>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</si>
  <si>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</si>
  <si>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</si>
  <si>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</si>
  <si>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</si>
  <si>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</si>
  <si>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</si>
  <si>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</si>
  <si>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</si>
  <si>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</si>
  <si>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</si>
  <si>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</si>
  <si>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</si>
  <si>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交货地：</t>
  </si>
  <si>
    <t>怀柔</t>
  </si>
  <si>
    <t>运输距（Km）：</t>
  </si>
  <si>
    <t>运输公司：</t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</si>
  <si>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</si>
  <si>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</si>
  <si>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</si>
  <si>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</si>
  <si>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</si>
  <si>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</si>
  <si>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</si>
  <si>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</si>
  <si>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</si>
  <si>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</si>
  <si>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</si>
  <si>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</si>
  <si>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</si>
  <si>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</si>
  <si>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</si>
  <si>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</si>
  <si>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</si>
  <si>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</si>
  <si>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</si>
  <si>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</si>
  <si>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（第8页，共8页）</t>
  </si>
  <si>
    <t>SHT0000830</t>
  </si>
  <si>
    <t>调角器总成</t>
  </si>
  <si>
    <t>SHT0000532</t>
  </si>
  <si>
    <t>SHT0000536</t>
  </si>
  <si>
    <t>安全带总成</t>
  </si>
  <si>
    <t>SHT0000538</t>
  </si>
  <si>
    <t>SHT0000540</t>
  </si>
  <si>
    <t>SHT0000542</t>
  </si>
  <si>
    <t>SHT0000544</t>
  </si>
  <si>
    <t>/</t>
    <phoneticPr fontId="20" type="noConversion"/>
  </si>
  <si>
    <t>罩壳、手柄总成</t>
  </si>
  <si>
    <t>标准件及其他</t>
    <phoneticPr fontId="20" type="noConversion"/>
  </si>
  <si>
    <t>发泡</t>
    <phoneticPr fontId="25" type="noConversion"/>
  </si>
  <si>
    <t>德国进口发泡机附属生产线</t>
    <phoneticPr fontId="20" type="noConversion"/>
  </si>
  <si>
    <t>裁剪</t>
    <phoneticPr fontId="25" type="noConversion"/>
  </si>
  <si>
    <t>缝纫</t>
    <phoneticPr fontId="25" type="noConversion"/>
  </si>
  <si>
    <r>
      <rPr>
        <sz val="10"/>
        <rFont val="宋体"/>
        <family val="3"/>
        <charset val="134"/>
      </rPr>
      <t>工业缝纫机（海菱</t>
    </r>
    <r>
      <rPr>
        <sz val="10"/>
        <rFont val="Arial Narrow"/>
        <family val="2"/>
      </rPr>
      <t>GC0398-1D</t>
    </r>
    <r>
      <rPr>
        <sz val="10"/>
        <rFont val="宋体"/>
        <family val="3"/>
        <charset val="134"/>
      </rPr>
      <t>）</t>
    </r>
    <phoneticPr fontId="20" type="noConversion"/>
  </si>
  <si>
    <t>海菱GC0398-1D</t>
  </si>
  <si>
    <t>组装</t>
    <phoneticPr fontId="25" type="noConversion"/>
  </si>
  <si>
    <t>天津</t>
  </si>
  <si>
    <r>
      <t>车辆吨位数：</t>
    </r>
    <r>
      <rPr>
        <sz val="10"/>
        <rFont val="Arial"/>
        <family val="2"/>
      </rPr>
      <t xml:space="preserve"> </t>
    </r>
    <phoneticPr fontId="20" type="noConversion"/>
  </si>
  <si>
    <t xml:space="preserve">包装箱（或料架）数/车： </t>
    <phoneticPr fontId="20" type="noConversion"/>
  </si>
  <si>
    <t>车辆长宽高：</t>
    <phoneticPr fontId="20" type="noConversion"/>
  </si>
  <si>
    <t>9.6*2.3*2.3</t>
    <phoneticPr fontId="20" type="noConversion"/>
  </si>
  <si>
    <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  <phoneticPr fontId="20" type="noConversion"/>
  </si>
  <si>
    <t xml:space="preserve">车辆类型： </t>
    <phoneticPr fontId="20" type="noConversion"/>
  </si>
  <si>
    <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  <phoneticPr fontId="20" type="noConversion"/>
  </si>
  <si>
    <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  <phoneticPr fontId="20" type="noConversion"/>
  </si>
  <si>
    <t>靠背左侧主板</t>
  </si>
  <si>
    <t>H5-6802110</t>
    <phoneticPr fontId="25" type="noConversion"/>
  </si>
  <si>
    <t>373*135*2.0</t>
    <phoneticPr fontId="25" type="noConversion"/>
  </si>
  <si>
    <t>SPFH590</t>
    <phoneticPr fontId="25" type="noConversion"/>
  </si>
  <si>
    <t>靠背右侧主板</t>
  </si>
  <si>
    <t>H5-6802112</t>
    <phoneticPr fontId="25" type="noConversion"/>
  </si>
  <si>
    <t>安全带悬置安装板</t>
  </si>
  <si>
    <t>H5-6802151</t>
    <phoneticPr fontId="25" type="noConversion"/>
  </si>
  <si>
    <t>197*120*3</t>
    <phoneticPr fontId="25" type="noConversion"/>
  </si>
  <si>
    <t>SPHC</t>
    <phoneticPr fontId="25" type="noConversion"/>
  </si>
  <si>
    <t>靠背总成</t>
  </si>
  <si>
    <t>管架总成</t>
  </si>
  <si>
    <t>副司机靠背总成</t>
  </si>
  <si>
    <t>副司机管架总成</t>
  </si>
  <si>
    <t>副司机安全带总成</t>
  </si>
  <si>
    <t>填表日期：2020.9.9</t>
    <phoneticPr fontId="25" type="noConversion"/>
  </si>
  <si>
    <t>报价填写日期:  2020.9.9</t>
    <phoneticPr fontId="25" type="noConversion"/>
  </si>
  <si>
    <t>H4681021100A0</t>
    <phoneticPr fontId="25" type="noConversion"/>
  </si>
  <si>
    <t>H4681021100A0/副驾驶员座椅总成</t>
    <phoneticPr fontId="25" type="noConversion"/>
  </si>
  <si>
    <t>靠背护面总成</t>
    <phoneticPr fontId="20" type="noConversion"/>
  </si>
  <si>
    <t>辅料1</t>
  </si>
  <si>
    <t>260g/㎡</t>
    <phoneticPr fontId="20" type="noConversion"/>
  </si>
  <si>
    <t>辅材</t>
    <phoneticPr fontId="20" type="noConversion"/>
  </si>
  <si>
    <t>坐垫护面总成</t>
    <phoneticPr fontId="20" type="noConversion"/>
  </si>
  <si>
    <t>零件图号/名称:H4681021100A0/副驾驶员座椅总成</t>
    <phoneticPr fontId="25" type="noConversion"/>
  </si>
  <si>
    <t>主料OM-ZY6</t>
  </si>
  <si>
    <t>辅料OM-ZY8</t>
  </si>
  <si>
    <t>辅料OM-ZY8</t>
    <phoneticPr fontId="25" type="noConversion"/>
  </si>
  <si>
    <t>报价中未包含开发费和实验费分摊，开发费50138元，实验费55000元，合计105138元，按照50000件分摊，每件2.1元。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</si>
</sst>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  <numFmt numFmtId="177" formatCode="#,##0.0000_ ;\-#,##0.0000\ "/>
    <numFmt numFmtId="178" formatCode="0_ "/>
    <numFmt numFmtId="179" formatCode="_(* #,##0.00_);_(* \(#,##0.00\);_(* &quot;-&quot;??_);_(@_)"/>
    <numFmt numFmtId="180" formatCode="_ &quot;￥&quot;* #,##0.00_ ;_ &quot;￥&quot;* \-#,##0.00_ ;_ &quot;￥&quot;* &quot;-&quot;??_ ;_ @_ "/>
    <numFmt numFmtId="181" formatCode="0.0%"/>
    <numFmt numFmtId="182" formatCode="0.00_ "/>
    <numFmt numFmtId="183" formatCode="0.000_ "/>
    <numFmt numFmtId="184" formatCode="#,##0.00_ ;\-#,##0.00\ "/>
    <numFmt numFmtId="185" formatCode="0.0"/>
    <numFmt numFmtId="186" formatCode="#,##0.00_ "/>
    <numFmt numFmtId="187" formatCode="#,##0.000_);[Red]\(#,##0.000\)"/>
    <numFmt numFmtId="188" formatCode="0.00_);[Red]\(0.00\)"/>
  </numFmts>
  <fonts count="6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24"/>
      <name val="Arial"/>
      <family val="2"/>
    </font>
    <font>
      <sz val="9"/>
      <color theme="1"/>
      <name val="微软雅黑"/>
      <family val="2"/>
      <charset val="134"/>
    </font>
    <font>
      <sz val="10"/>
      <name val="Arial Narrow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7">
    <xf numFmtId="0" fontId="0" fillId="0" borderId="0">
      <alignment vertical="center"/>
    </xf>
    <xf numFmtId="4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0" fontId="37" fillId="0" borderId="0"/>
    <xf numFmtId="9" fontId="39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7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18" fillId="0" borderId="0"/>
    <xf numFmtId="0" fontId="37" fillId="0" borderId="0">
      <alignment vertical="center"/>
    </xf>
    <xf numFmtId="0" fontId="6" fillId="0" borderId="0">
      <alignment vertical="top"/>
    </xf>
    <xf numFmtId="0" fontId="40" fillId="11" borderId="0" applyNumberFormat="0" applyBorder="0" applyAlignment="0" applyProtection="0">
      <alignment vertical="center"/>
    </xf>
    <xf numFmtId="180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0" fontId="56" fillId="0" borderId="0"/>
  </cellStyleXfs>
  <cellXfs count="29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78" fontId="5" fillId="0" borderId="1" xfId="5" applyNumberFormat="1" applyFont="1" applyBorder="1" applyAlignment="1">
      <alignment horizontal="center" vertical="center" wrapText="1"/>
    </xf>
    <xf numFmtId="178" fontId="5" fillId="0" borderId="2" xfId="5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6" fillId="5" borderId="2" xfId="10" applyNumberFormat="1" applyFont="1" applyFill="1" applyBorder="1" applyAlignment="1">
      <alignment horizontal="center" vertical="center"/>
    </xf>
    <xf numFmtId="182" fontId="5" fillId="6" borderId="1" xfId="0" applyNumberFormat="1" applyFont="1" applyFill="1" applyBorder="1" applyAlignment="1">
      <alignment horizontal="center" vertical="center"/>
    </xf>
    <xf numFmtId="177" fontId="7" fillId="6" borderId="1" xfId="1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2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2" borderId="1" xfId="1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1" fillId="0" borderId="1" xfId="10" applyFont="1" applyFill="1" applyBorder="1" applyAlignment="1">
      <alignment horizontal="left" vertical="center"/>
    </xf>
    <xf numFmtId="0" fontId="7" fillId="0" borderId="1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/>
    </xf>
    <xf numFmtId="0" fontId="5" fillId="0" borderId="1" xfId="6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5" fillId="2" borderId="0" xfId="1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6" fillId="2" borderId="7" xfId="10" applyFont="1" applyFill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2" applyFont="1" applyFill="1" applyAlignment="1">
      <alignment vertical="center" wrapText="1"/>
    </xf>
    <xf numFmtId="0" fontId="0" fillId="0" borderId="0" xfId="12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2" fontId="22" fillId="7" borderId="1" xfId="12" applyNumberFormat="1" applyFont="1" applyFill="1" applyBorder="1" applyAlignment="1">
      <alignment horizontal="center" vertical="center" wrapText="1"/>
    </xf>
    <xf numFmtId="9" fontId="22" fillId="0" borderId="1" xfId="4" applyNumberFormat="1" applyFont="1" applyBorder="1" applyAlignment="1">
      <alignment horizontal="center" vertical="center" wrapText="1"/>
    </xf>
    <xf numFmtId="181" fontId="22" fillId="0" borderId="1" xfId="4" applyNumberFormat="1" applyFont="1" applyBorder="1" applyAlignment="1">
      <alignment horizontal="center" vertical="center" wrapText="1"/>
    </xf>
    <xf numFmtId="0" fontId="22" fillId="0" borderId="1" xfId="12" applyFont="1" applyFill="1" applyBorder="1" applyAlignment="1">
      <alignment horizontal="center" vertical="center" wrapText="1"/>
    </xf>
    <xf numFmtId="0" fontId="22" fillId="0" borderId="1" xfId="12" applyFont="1" applyFill="1" applyBorder="1" applyAlignment="1">
      <alignment vertical="center" wrapText="1"/>
    </xf>
    <xf numFmtId="0" fontId="22" fillId="0" borderId="0" xfId="12" applyFont="1" applyBorder="1" applyAlignment="1">
      <alignment horizontal="center" vertical="center" wrapText="1"/>
    </xf>
    <xf numFmtId="0" fontId="23" fillId="0" borderId="0" xfId="12" applyFont="1" applyBorder="1" applyAlignment="1">
      <alignment vertical="center" wrapText="1"/>
    </xf>
    <xf numFmtId="0" fontId="0" fillId="0" borderId="0" xfId="12" applyFont="1" applyBorder="1" applyAlignment="1">
      <alignment vertical="center" wrapText="1"/>
    </xf>
    <xf numFmtId="0" fontId="22" fillId="0" borderId="0" xfId="12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5" fillId="0" borderId="1" xfId="9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9" fontId="22" fillId="0" borderId="1" xfId="0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7" fillId="0" borderId="0" xfId="0" applyFont="1">
      <alignment vertical="center"/>
    </xf>
    <xf numFmtId="0" fontId="27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185" fontId="2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/>
    </xf>
    <xf numFmtId="0" fontId="29" fillId="0" borderId="1" xfId="9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2" fontId="19" fillId="6" borderId="1" xfId="0" applyNumberFormat="1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182" fontId="26" fillId="0" borderId="10" xfId="0" applyNumberFormat="1" applyFont="1" applyFill="1" applyBorder="1" applyAlignment="1">
      <alignment horizontal="center" vertical="center"/>
    </xf>
    <xf numFmtId="183" fontId="26" fillId="0" borderId="10" xfId="0" applyNumberFormat="1" applyFont="1" applyFill="1" applyBorder="1" applyAlignment="1">
      <alignment horizontal="center" vertical="center"/>
    </xf>
    <xf numFmtId="2" fontId="26" fillId="0" borderId="10" xfId="0" applyNumberFormat="1" applyFont="1" applyFill="1" applyBorder="1" applyAlignment="1">
      <alignment horizontal="center" vertical="center"/>
    </xf>
    <xf numFmtId="1" fontId="19" fillId="6" borderId="1" xfId="0" applyNumberFormat="1" applyFont="1" applyFill="1" applyBorder="1" applyAlignment="1">
      <alignment horizontal="center" vertical="center"/>
    </xf>
    <xf numFmtId="182" fontId="19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 vertical="center" wrapText="1"/>
    </xf>
    <xf numFmtId="0" fontId="18" fillId="0" borderId="0" xfId="8" applyFont="1" applyFill="1" applyBorder="1" applyAlignment="1">
      <alignment horizontal="left" vertical="center"/>
    </xf>
    <xf numFmtId="0" fontId="18" fillId="0" borderId="0" xfId="8" applyFont="1" applyFill="1" applyBorder="1" applyAlignment="1">
      <alignment vertical="center" wrapText="1"/>
    </xf>
    <xf numFmtId="0" fontId="32" fillId="0" borderId="0" xfId="8" applyFont="1" applyFill="1" applyBorder="1" applyAlignment="1">
      <alignment vertical="center" wrapText="1"/>
    </xf>
    <xf numFmtId="0" fontId="29" fillId="0" borderId="0" xfId="8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182" fontId="29" fillId="3" borderId="1" xfId="8" applyNumberFormat="1" applyFont="1" applyFill="1" applyBorder="1" applyAlignment="1">
      <alignment horizontal="center" vertical="center" wrapText="1"/>
    </xf>
    <xf numFmtId="182" fontId="34" fillId="6" borderId="1" xfId="8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vertical="center" wrapText="1"/>
    </xf>
    <xf numFmtId="0" fontId="18" fillId="0" borderId="0" xfId="8" applyFont="1" applyFill="1" applyBorder="1" applyAlignment="1">
      <alignment vertical="center"/>
    </xf>
    <xf numFmtId="0" fontId="34" fillId="0" borderId="0" xfId="8" applyFont="1" applyFill="1" applyBorder="1" applyAlignment="1">
      <alignment horizontal="right" vertical="center"/>
    </xf>
    <xf numFmtId="0" fontId="29" fillId="2" borderId="1" xfId="8" applyFont="1" applyFill="1" applyBorder="1" applyAlignment="1">
      <alignment vertical="top" wrapText="1"/>
    </xf>
    <xf numFmtId="0" fontId="18" fillId="2" borderId="1" xfId="8" applyFont="1" applyFill="1" applyBorder="1" applyAlignment="1">
      <alignment vertical="center"/>
    </xf>
    <xf numFmtId="0" fontId="34" fillId="0" borderId="1" xfId="8" applyFont="1" applyFill="1" applyBorder="1" applyAlignment="1">
      <alignment horizontal="right" vertical="center"/>
    </xf>
    <xf numFmtId="182" fontId="35" fillId="0" borderId="0" xfId="8" applyNumberFormat="1" applyFont="1" applyFill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29" fillId="0" borderId="0" xfId="8" applyFont="1" applyFill="1" applyBorder="1" applyAlignment="1">
      <alignment horizontal="center" vertical="center" wrapText="1"/>
    </xf>
    <xf numFmtId="0" fontId="29" fillId="0" borderId="0" xfId="8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5" fontId="29" fillId="0" borderId="1" xfId="8" applyNumberFormat="1" applyFont="1" applyFill="1" applyBorder="1" applyAlignment="1">
      <alignment horizontal="center" vertical="center" wrapText="1"/>
    </xf>
    <xf numFmtId="9" fontId="29" fillId="0" borderId="1" xfId="4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/>
    </xf>
    <xf numFmtId="182" fontId="10" fillId="6" borderId="1" xfId="8" applyNumberFormat="1" applyFont="1" applyFill="1" applyBorder="1" applyAlignment="1">
      <alignment horizontal="center" vertical="center" wrapText="1"/>
    </xf>
    <xf numFmtId="182" fontId="10" fillId="0" borderId="1" xfId="8" applyNumberFormat="1" applyFont="1" applyFill="1" applyBorder="1" applyAlignment="1">
      <alignment horizontal="center" vertical="center" wrapText="1"/>
    </xf>
    <xf numFmtId="0" fontId="29" fillId="0" borderId="0" xfId="8" applyFont="1" applyFill="1" applyBorder="1" applyAlignment="1">
      <alignment horizontal="center" vertical="center"/>
    </xf>
    <xf numFmtId="182" fontId="10" fillId="0" borderId="0" xfId="8" applyNumberFormat="1" applyFont="1" applyFill="1" applyBorder="1" applyAlignment="1">
      <alignment horizontal="center" vertical="center" wrapText="1"/>
    </xf>
    <xf numFmtId="9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2" fontId="29" fillId="0" borderId="1" xfId="8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0" fillId="2" borderId="1" xfId="11" applyFont="1" applyFill="1" applyBorder="1" applyAlignment="1" applyProtection="1">
      <alignment vertical="center"/>
      <protection locked="0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2" borderId="1" xfId="11" applyFont="1" applyFill="1" applyBorder="1" applyAlignment="1" applyProtection="1">
      <alignment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2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" applyFont="1" applyFill="1" applyBorder="1" applyAlignment="1" applyProtection="1">
      <alignment horizontal="center" vertical="center"/>
      <protection locked="0"/>
    </xf>
    <xf numFmtId="2" fontId="5" fillId="2" borderId="1" xfId="11" applyNumberFormat="1" applyFont="1" applyFill="1" applyBorder="1" applyAlignment="1" applyProtection="1">
      <alignment horizontal="center" vertical="center"/>
      <protection locked="0"/>
    </xf>
    <xf numFmtId="2" fontId="5" fillId="0" borderId="1" xfId="11" applyNumberFormat="1" applyFont="1" applyFill="1" applyBorder="1" applyAlignment="1" applyProtection="1">
      <alignment horizontal="center" vertical="center"/>
      <protection locked="0"/>
    </xf>
    <xf numFmtId="182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>
      <alignment horizontal="left" vertical="center" wrapText="1"/>
    </xf>
    <xf numFmtId="0" fontId="29" fillId="0" borderId="1" xfId="8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40" fontId="5" fillId="0" borderId="10" xfId="16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/>
    </xf>
    <xf numFmtId="187" fontId="20" fillId="0" borderId="10" xfId="16" applyNumberFormat="1" applyFont="1" applyFill="1" applyBorder="1" applyAlignment="1" applyProtection="1">
      <alignment horizontal="center" vertical="center"/>
      <protection locked="0"/>
    </xf>
    <xf numFmtId="38" fontId="20" fillId="0" borderId="10" xfId="16" applyNumberFormat="1" applyFont="1" applyFill="1" applyBorder="1" applyAlignment="1" applyProtection="1">
      <alignment horizontal="center" vertical="center"/>
      <protection locked="0"/>
    </xf>
    <xf numFmtId="0" fontId="5" fillId="0" borderId="1" xfId="8" applyFont="1" applyFill="1" applyBorder="1" applyAlignment="1">
      <alignment horizontal="center" vertical="center"/>
    </xf>
    <xf numFmtId="187" fontId="20" fillId="3" borderId="10" xfId="16" applyNumberFormat="1" applyFont="1" applyFill="1" applyBorder="1" applyAlignment="1" applyProtection="1">
      <alignment horizontal="center" vertical="center"/>
      <protection locked="0"/>
    </xf>
    <xf numFmtId="38" fontId="20" fillId="3" borderId="10" xfId="16" applyNumberFormat="1" applyFont="1" applyFill="1" applyBorder="1" applyAlignment="1" applyProtection="1">
      <alignment horizontal="center" vertical="center"/>
      <protection locked="0"/>
    </xf>
    <xf numFmtId="40" fontId="5" fillId="3" borderId="10" xfId="16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vertical="center"/>
    </xf>
    <xf numFmtId="0" fontId="58" fillId="0" borderId="1" xfId="0" applyFont="1" applyFill="1" applyBorder="1" applyAlignment="1" applyProtection="1">
      <alignment vertical="center"/>
      <protection locked="0"/>
    </xf>
    <xf numFmtId="43" fontId="5" fillId="0" borderId="1" xfId="2" applyFont="1" applyFill="1" applyBorder="1" applyAlignment="1">
      <alignment horizontal="center" vertical="center"/>
    </xf>
    <xf numFmtId="43" fontId="22" fillId="0" borderId="1" xfId="2" applyFont="1" applyBorder="1" applyAlignment="1">
      <alignment vertical="center"/>
    </xf>
    <xf numFmtId="1" fontId="22" fillId="0" borderId="1" xfId="0" applyNumberFormat="1" applyFont="1" applyBorder="1" applyAlignment="1">
      <alignment horizontal="center" vertical="center"/>
    </xf>
    <xf numFmtId="43" fontId="5" fillId="0" borderId="1" xfId="2" applyFont="1" applyBorder="1" applyAlignment="1">
      <alignment horizontal="center" vertical="center"/>
    </xf>
    <xf numFmtId="0" fontId="6" fillId="6" borderId="7" xfId="10" applyFont="1" applyFill="1" applyBorder="1" applyAlignment="1">
      <alignment horizontal="center" vertical="center"/>
    </xf>
    <xf numFmtId="188" fontId="29" fillId="0" borderId="1" xfId="8" applyNumberFormat="1" applyFont="1" applyBorder="1" applyAlignment="1">
      <alignment horizontal="center" vertical="center" wrapText="1"/>
    </xf>
    <xf numFmtId="185" fontId="29" fillId="0" borderId="1" xfId="8" applyNumberFormat="1" applyFont="1" applyBorder="1" applyAlignment="1">
      <alignment horizontal="center" vertical="center" wrapText="1"/>
    </xf>
    <xf numFmtId="188" fontId="5" fillId="2" borderId="1" xfId="1" applyNumberFormat="1" applyFont="1" applyFill="1" applyBorder="1" applyAlignment="1">
      <alignment horizontal="center" vertical="center"/>
    </xf>
    <xf numFmtId="188" fontId="29" fillId="0" borderId="1" xfId="8" applyNumberFormat="1" applyFont="1" applyFill="1" applyBorder="1" applyAlignment="1">
      <alignment horizontal="center" vertical="center" wrapText="1"/>
    </xf>
    <xf numFmtId="0" fontId="29" fillId="0" borderId="1" xfId="8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1" fillId="2" borderId="1" xfId="1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5" fillId="9" borderId="1" xfId="11" applyFont="1" applyFill="1" applyBorder="1" applyAlignment="1" applyProtection="1">
      <alignment horizontal="left" vertical="center" wrapText="1"/>
      <protection locked="0"/>
    </xf>
    <xf numFmtId="9" fontId="17" fillId="9" borderId="1" xfId="4" applyFont="1" applyFill="1" applyBorder="1" applyAlignment="1">
      <alignment horizontal="center" vertical="center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9" fontId="17" fillId="0" borderId="1" xfId="4" applyFont="1" applyFill="1" applyBorder="1" applyAlignment="1">
      <alignment horizontal="center" vertical="center"/>
    </xf>
    <xf numFmtId="0" fontId="2" fillId="8" borderId="1" xfId="11" applyFont="1" applyFill="1" applyBorder="1" applyAlignment="1" applyProtection="1">
      <alignment horizontal="center"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5" fillId="0" borderId="1" xfId="1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0" borderId="1" xfId="11" applyFont="1" applyFill="1" applyBorder="1" applyAlignment="1" applyProtection="1">
      <alignment horizontal="left" vertical="center"/>
      <protection locked="0"/>
    </xf>
    <xf numFmtId="1" fontId="2" fillId="8" borderId="1" xfId="11" applyNumberFormat="1" applyFont="1" applyFill="1" applyBorder="1" applyAlignment="1" applyProtection="1">
      <alignment horizontal="center" vertical="center"/>
      <protection locked="0"/>
    </xf>
    <xf numFmtId="0" fontId="10" fillId="0" borderId="1" xfId="8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24" fillId="0" borderId="1" xfId="8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5" fillId="0" borderId="2" xfId="8" applyFont="1" applyFill="1" applyBorder="1" applyAlignment="1">
      <alignment horizontal="center" vertical="center" wrapText="1"/>
    </xf>
    <xf numFmtId="0" fontId="5" fillId="0" borderId="10" xfId="8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1" fillId="0" borderId="0" xfId="8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1" fillId="3" borderId="3" xfId="8" applyFont="1" applyFill="1" applyBorder="1" applyAlignment="1">
      <alignment horizontal="center" vertical="center"/>
    </xf>
    <xf numFmtId="0" fontId="31" fillId="3" borderId="4" xfId="8" applyFont="1" applyFill="1" applyBorder="1" applyAlignment="1">
      <alignment horizontal="center" vertical="center"/>
    </xf>
    <xf numFmtId="0" fontId="31" fillId="3" borderId="5" xfId="8" applyFont="1" applyFill="1" applyBorder="1" applyAlignment="1">
      <alignment horizontal="center" vertical="center"/>
    </xf>
    <xf numFmtId="0" fontId="30" fillId="3" borderId="1" xfId="8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9" fillId="0" borderId="1" xfId="9" applyFont="1" applyFill="1" applyBorder="1" applyAlignment="1">
      <alignment horizontal="center" vertical="center" wrapText="1"/>
    </xf>
    <xf numFmtId="49" fontId="29" fillId="0" borderId="1" xfId="9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5" fillId="0" borderId="3" xfId="9" applyFont="1" applyFill="1" applyBorder="1" applyAlignment="1">
      <alignment horizontal="center" vertical="center" wrapText="1"/>
    </xf>
    <xf numFmtId="0" fontId="25" fillId="0" borderId="4" xfId="9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3" xfId="8" applyFont="1" applyFill="1" applyBorder="1" applyAlignment="1">
      <alignment horizontal="center" vertical="center"/>
    </xf>
    <xf numFmtId="0" fontId="24" fillId="0" borderId="4" xfId="8" applyFont="1" applyFill="1" applyBorder="1" applyAlignment="1">
      <alignment horizontal="center" vertical="center"/>
    </xf>
    <xf numFmtId="0" fontId="24" fillId="0" borderId="5" xfId="8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2" fillId="0" borderId="1" xfId="1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3" fontId="19" fillId="6" borderId="1" xfId="2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5" fillId="2" borderId="1" xfId="10" applyFont="1" applyFill="1" applyBorder="1" applyAlignment="1">
      <alignment horizontal="left" vertical="center"/>
    </xf>
    <xf numFmtId="0" fontId="5" fillId="0" borderId="1" xfId="6" applyFont="1" applyFill="1" applyBorder="1" applyAlignment="1">
      <alignment horizontal="left" vertical="center" wrapText="1"/>
    </xf>
    <xf numFmtId="184" fontId="7" fillId="6" borderId="1" xfId="10" applyNumberFormat="1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left" vertical="center" wrapText="1"/>
    </xf>
    <xf numFmtId="0" fontId="16" fillId="0" borderId="1" xfId="6" applyFont="1" applyFill="1" applyBorder="1" applyAlignment="1">
      <alignment horizontal="left" vertical="center" wrapText="1"/>
    </xf>
    <xf numFmtId="0" fontId="13" fillId="2" borderId="1" xfId="10" applyFont="1" applyFill="1" applyBorder="1" applyAlignment="1">
      <alignment horizontal="center" vertical="center"/>
    </xf>
    <xf numFmtId="0" fontId="6" fillId="2" borderId="1" xfId="10" applyFont="1" applyFill="1" applyBorder="1" applyAlignment="1">
      <alignment horizontal="center" vertical="center"/>
    </xf>
    <xf numFmtId="0" fontId="6" fillId="2" borderId="3" xfId="10" applyFont="1" applyFill="1" applyBorder="1" applyAlignment="1">
      <alignment horizontal="center" vertical="center"/>
    </xf>
    <xf numFmtId="0" fontId="6" fillId="2" borderId="5" xfId="10" applyFont="1" applyFill="1" applyBorder="1" applyAlignment="1">
      <alignment horizontal="center" vertical="center"/>
    </xf>
    <xf numFmtId="185" fontId="6" fillId="2" borderId="3" xfId="10" applyNumberFormat="1" applyFont="1" applyFill="1" applyBorder="1" applyAlignment="1">
      <alignment horizontal="center" vertical="center"/>
    </xf>
    <xf numFmtId="185" fontId="6" fillId="2" borderId="8" xfId="10" applyNumberFormat="1" applyFont="1" applyFill="1" applyBorder="1" applyAlignment="1">
      <alignment horizontal="center" vertical="center"/>
    </xf>
    <xf numFmtId="0" fontId="2" fillId="2" borderId="1" xfId="10" applyFont="1" applyFill="1" applyBorder="1" applyAlignment="1">
      <alignment horizontal="left" vertical="center"/>
    </xf>
    <xf numFmtId="0" fontId="7" fillId="6" borderId="1" xfId="10" applyNumberFormat="1" applyFont="1" applyFill="1" applyBorder="1" applyAlignment="1">
      <alignment horizontal="center" vertical="center"/>
    </xf>
    <xf numFmtId="186" fontId="7" fillId="6" borderId="1" xfId="10" applyNumberFormat="1" applyFont="1" applyFill="1" applyBorder="1" applyAlignment="1">
      <alignment horizontal="center" vertical="center"/>
    </xf>
    <xf numFmtId="0" fontId="13" fillId="2" borderId="1" xfId="10" applyFont="1" applyFill="1" applyBorder="1" applyAlignment="1">
      <alignment vertical="center"/>
    </xf>
    <xf numFmtId="0" fontId="6" fillId="2" borderId="4" xfId="10" applyFont="1" applyFill="1" applyBorder="1" applyAlignment="1">
      <alignment horizontal="center" vertical="center"/>
    </xf>
    <xf numFmtId="0" fontId="13" fillId="2" borderId="1" xfId="10" applyFont="1" applyFill="1" applyBorder="1" applyAlignment="1">
      <alignment horizontal="left" vertical="center"/>
    </xf>
    <xf numFmtId="0" fontId="6" fillId="2" borderId="1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18" fillId="2" borderId="1" xfId="10" applyFont="1" applyFill="1" applyBorder="1" applyAlignment="1">
      <alignment horizontal="center" vertical="center" wrapText="1"/>
    </xf>
    <xf numFmtId="0" fontId="11" fillId="2" borderId="3" xfId="10" applyFont="1" applyFill="1" applyBorder="1" applyAlignment="1">
      <alignment horizontal="left" vertical="center"/>
    </xf>
    <xf numFmtId="0" fontId="11" fillId="2" borderId="4" xfId="10" applyFont="1" applyFill="1" applyBorder="1" applyAlignment="1">
      <alignment horizontal="left" vertical="center"/>
    </xf>
    <xf numFmtId="0" fontId="11" fillId="2" borderId="5" xfId="10" applyFont="1" applyFill="1" applyBorder="1" applyAlignment="1">
      <alignment horizontal="left" vertical="center"/>
    </xf>
    <xf numFmtId="0" fontId="12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177" fontId="6" fillId="5" borderId="2" xfId="10" applyNumberFormat="1" applyFont="1" applyFill="1" applyBorder="1" applyAlignment="1">
      <alignment horizontal="center" vertical="center"/>
    </xf>
    <xf numFmtId="177" fontId="6" fillId="5" borderId="10" xfId="10" applyNumberFormat="1" applyFont="1" applyFill="1" applyBorder="1" applyAlignment="1">
      <alignment horizontal="center" vertical="center"/>
    </xf>
    <xf numFmtId="178" fontId="5" fillId="0" borderId="2" xfId="5" applyNumberFormat="1" applyFont="1" applyFill="1" applyBorder="1" applyAlignment="1">
      <alignment horizontal="center" vertical="center" wrapText="1"/>
    </xf>
    <xf numFmtId="178" fontId="5" fillId="0" borderId="10" xfId="5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12" applyFont="1" applyBorder="1" applyAlignment="1">
      <alignment horizontal="center" vertical="center" wrapText="1"/>
    </xf>
    <xf numFmtId="178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</cellXfs>
  <cellStyles count="17">
    <cellStyle name="_x000a_mouse.drv=lm" xfId="3"/>
    <cellStyle name="_ET_STYLE_NoName_00_" xfId="5"/>
    <cellStyle name="Normal_POE" xfId="16"/>
    <cellStyle name="百分比" xfId="4" builtinId="5"/>
    <cellStyle name="差_KING" xfId="7"/>
    <cellStyle name="常规" xfId="0" builtinId="0"/>
    <cellStyle name="常规 2" xfId="8"/>
    <cellStyle name="常规 3" xfId="9"/>
    <cellStyle name="常规_包装报价表1" xfId="10"/>
    <cellStyle name="常规_产品报价单" xfId="11"/>
    <cellStyle name="常规_东风神龙成本报价单（中文版）" xfId="12"/>
    <cellStyle name="常规_上汽汽车零部件包装，运输仓储费用报价表 " xfId="6"/>
    <cellStyle name="好_KING" xfId="13"/>
    <cellStyle name="货币 2" xfId="14"/>
    <cellStyle name="千位分隔" xfId="2" builtinId="3"/>
    <cellStyle name="千位分隔 2" xfId="15"/>
    <cellStyle name="千位分隔[0]" xfId="1" builtinId="6"/>
  </cellStyles>
  <dxfs count="0"/>
  <tableStyles count="0" defaultTableStyle="TableStyleMedium9" defaultPivotStyle="PivotStyleLight16"/>
  <colors>
    <mruColors>
      <color rgb="FFFFFF99"/>
      <color rgb="FF0000C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38101</xdr:rowOff>
    </xdr:from>
    <xdr:to>
      <xdr:col>0</xdr:col>
      <xdr:colOff>819151</xdr:colOff>
      <xdr:row>3</xdr:row>
      <xdr:rowOff>133351</xdr:rowOff>
    </xdr:to>
    <xdr:pic>
      <xdr:nvPicPr>
        <xdr:cNvPr id="2" name="图片 1" descr="横版英文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209550"/>
          <a:ext cx="781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ColWidth="9" defaultRowHeight="13.5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34"/>
  <sheetViews>
    <sheetView tabSelected="1" workbookViewId="0">
      <selection activeCell="D16" sqref="D16"/>
    </sheetView>
  </sheetViews>
  <sheetFormatPr defaultColWidth="9" defaultRowHeight="13.5"/>
  <cols>
    <col min="1" max="1" width="10.875" customWidth="1"/>
    <col min="2" max="2" width="10.5" customWidth="1"/>
    <col min="3" max="3" width="23" customWidth="1"/>
    <col min="4" max="4" width="26.875" customWidth="1"/>
    <col min="5" max="5" width="10.875" customWidth="1"/>
    <col min="6" max="6" width="12.75" customWidth="1"/>
    <col min="7" max="7" width="19.625" customWidth="1"/>
  </cols>
  <sheetData>
    <row r="1" spans="1:7">
      <c r="A1" s="170"/>
      <c r="B1" s="171" t="s">
        <v>0</v>
      </c>
      <c r="C1" s="172"/>
      <c r="D1" s="172"/>
      <c r="E1" s="172"/>
      <c r="F1" s="172"/>
      <c r="G1" s="130" t="s">
        <v>1</v>
      </c>
    </row>
    <row r="2" spans="1:7">
      <c r="A2" s="170"/>
      <c r="B2" s="172"/>
      <c r="C2" s="172"/>
      <c r="D2" s="172"/>
      <c r="E2" s="172"/>
      <c r="F2" s="172"/>
      <c r="G2" s="130" t="s">
        <v>2</v>
      </c>
    </row>
    <row r="3" spans="1:7">
      <c r="A3" s="170"/>
      <c r="B3" s="172"/>
      <c r="C3" s="172"/>
      <c r="D3" s="172"/>
      <c r="E3" s="172"/>
      <c r="F3" s="172"/>
      <c r="G3" s="130" t="s">
        <v>3</v>
      </c>
    </row>
    <row r="4" spans="1:7" s="34" customFormat="1">
      <c r="A4" s="170"/>
      <c r="B4" s="172"/>
      <c r="C4" s="172"/>
      <c r="D4" s="172"/>
      <c r="E4" s="172"/>
      <c r="F4" s="172"/>
      <c r="G4" s="131" t="s">
        <v>4</v>
      </c>
    </row>
    <row r="5" spans="1:7" s="128" customFormat="1">
      <c r="A5" s="181" t="s">
        <v>5</v>
      </c>
      <c r="B5" s="181"/>
      <c r="C5" s="181"/>
      <c r="D5" s="133" t="s">
        <v>6</v>
      </c>
      <c r="E5" s="181" t="s">
        <v>7</v>
      </c>
      <c r="F5" s="181"/>
      <c r="G5" s="181"/>
    </row>
    <row r="6" spans="1:7" s="128" customFormat="1">
      <c r="A6" s="181" t="s">
        <v>8</v>
      </c>
      <c r="B6" s="181"/>
      <c r="C6" s="181"/>
      <c r="D6" s="133" t="s">
        <v>9</v>
      </c>
      <c r="E6" s="182" t="s">
        <v>10</v>
      </c>
      <c r="F6" s="182"/>
      <c r="G6" s="132" t="s">
        <v>318</v>
      </c>
    </row>
    <row r="7" spans="1:7" s="128" customFormat="1">
      <c r="A7" s="134" t="s">
        <v>11</v>
      </c>
      <c r="B7" s="183" t="s">
        <v>320</v>
      </c>
      <c r="C7" s="183"/>
      <c r="D7" s="135" t="s">
        <v>12</v>
      </c>
      <c r="E7" s="136" t="s">
        <v>13</v>
      </c>
      <c r="F7" s="136" t="s">
        <v>14</v>
      </c>
      <c r="G7" s="136" t="s">
        <v>15</v>
      </c>
    </row>
    <row r="8" spans="1:7" s="128" customFormat="1">
      <c r="A8" s="134" t="s">
        <v>16</v>
      </c>
      <c r="B8" s="177" t="s">
        <v>17</v>
      </c>
      <c r="C8" s="177"/>
      <c r="D8" s="135" t="s">
        <v>18</v>
      </c>
      <c r="E8" s="136" t="s">
        <v>19</v>
      </c>
      <c r="F8" s="136" t="s">
        <v>19</v>
      </c>
      <c r="G8" s="136" t="s">
        <v>19</v>
      </c>
    </row>
    <row r="9" spans="1:7" s="128" customFormat="1" ht="18" customHeight="1">
      <c r="A9" s="178" t="s">
        <v>20</v>
      </c>
      <c r="B9" s="178"/>
      <c r="C9" s="178"/>
      <c r="D9" s="137" t="s">
        <v>21</v>
      </c>
      <c r="E9" s="136" t="s">
        <v>19</v>
      </c>
      <c r="F9" s="136" t="s">
        <v>19</v>
      </c>
      <c r="G9" s="136" t="s">
        <v>19</v>
      </c>
    </row>
    <row r="10" spans="1:7">
      <c r="A10" s="179" t="s">
        <v>22</v>
      </c>
      <c r="B10" s="179"/>
      <c r="C10" s="179"/>
      <c r="D10" s="179"/>
      <c r="E10" s="179"/>
      <c r="F10" s="179"/>
      <c r="G10" s="179"/>
    </row>
    <row r="11" spans="1:7">
      <c r="A11" s="138" t="s">
        <v>23</v>
      </c>
      <c r="B11" s="175" t="s">
        <v>24</v>
      </c>
      <c r="C11" s="175"/>
      <c r="D11" s="138" t="s">
        <v>25</v>
      </c>
      <c r="E11" s="180" t="s">
        <v>26</v>
      </c>
      <c r="F11" s="180"/>
      <c r="G11" s="31" t="s">
        <v>27</v>
      </c>
    </row>
    <row r="12" spans="1:7">
      <c r="A12" s="173" t="s">
        <v>28</v>
      </c>
      <c r="B12" s="173"/>
      <c r="C12" s="173"/>
      <c r="D12" s="139">
        <f>D13+D14</f>
        <v>437.46809999999994</v>
      </c>
      <c r="E12" s="174">
        <f t="shared" ref="E12:E29" si="0">D12/D$29</f>
        <v>0.62179697474377438</v>
      </c>
      <c r="F12" s="174"/>
      <c r="G12" s="292" t="s">
        <v>331</v>
      </c>
    </row>
    <row r="13" spans="1:7">
      <c r="A13" s="140">
        <v>1</v>
      </c>
      <c r="B13" s="175" t="s">
        <v>29</v>
      </c>
      <c r="C13" s="175"/>
      <c r="D13" s="141">
        <f>原材料明细!R14</f>
        <v>111.3081</v>
      </c>
      <c r="E13" s="176">
        <f t="shared" si="0"/>
        <v>0.15820819813942438</v>
      </c>
      <c r="F13" s="176"/>
      <c r="G13" s="293"/>
    </row>
    <row r="14" spans="1:7">
      <c r="A14" s="140">
        <v>2</v>
      </c>
      <c r="B14" s="175" t="s">
        <v>30</v>
      </c>
      <c r="C14" s="175"/>
      <c r="D14" s="141">
        <f>外购外协件明细!P24</f>
        <v>326.15999999999997</v>
      </c>
      <c r="E14" s="176">
        <f t="shared" si="0"/>
        <v>0.46358877660434999</v>
      </c>
      <c r="F14" s="176"/>
      <c r="G14" s="293"/>
    </row>
    <row r="15" spans="1:7">
      <c r="A15" s="173" t="s">
        <v>31</v>
      </c>
      <c r="B15" s="173"/>
      <c r="C15" s="173"/>
      <c r="D15" s="139">
        <f>加工明细!P10</f>
        <v>37.502400000000002</v>
      </c>
      <c r="E15" s="174">
        <f t="shared" si="0"/>
        <v>5.3304181186310334E-2</v>
      </c>
      <c r="F15" s="174"/>
      <c r="G15" s="293"/>
    </row>
    <row r="16" spans="1:7">
      <c r="A16" s="173" t="s">
        <v>32</v>
      </c>
      <c r="B16" s="173"/>
      <c r="C16" s="173"/>
      <c r="D16" s="139">
        <f>加工明细!Q10</f>
        <v>44.450539143518512</v>
      </c>
      <c r="E16" s="174">
        <f t="shared" si="0"/>
        <v>6.3179945612421878E-2</v>
      </c>
      <c r="F16" s="174"/>
      <c r="G16" s="293"/>
    </row>
    <row r="17" spans="1:7">
      <c r="A17" s="173" t="s">
        <v>33</v>
      </c>
      <c r="B17" s="173"/>
      <c r="C17" s="173"/>
      <c r="D17" s="139">
        <f>D12+D15+D16</f>
        <v>519.42103914351844</v>
      </c>
      <c r="E17" s="174">
        <f t="shared" si="0"/>
        <v>0.73828110154250659</v>
      </c>
      <c r="F17" s="174"/>
      <c r="G17" s="293"/>
    </row>
    <row r="18" spans="1:7">
      <c r="A18" s="173" t="s">
        <v>34</v>
      </c>
      <c r="B18" s="173"/>
      <c r="C18" s="173"/>
      <c r="D18" s="139">
        <f>D19+D20+D21</f>
        <v>44.150788327199066</v>
      </c>
      <c r="E18" s="174">
        <f t="shared" si="0"/>
        <v>6.2753893631113056E-2</v>
      </c>
      <c r="F18" s="174"/>
      <c r="G18" s="293"/>
    </row>
    <row r="19" spans="1:7">
      <c r="A19" s="140">
        <v>3</v>
      </c>
      <c r="B19" s="175" t="s">
        <v>35</v>
      </c>
      <c r="C19" s="175"/>
      <c r="D19" s="142">
        <f>期间费用!C6</f>
        <v>20.776841565740739</v>
      </c>
      <c r="E19" s="176">
        <f t="shared" si="0"/>
        <v>2.9531244061700265E-2</v>
      </c>
      <c r="F19" s="176"/>
      <c r="G19" s="293"/>
    </row>
    <row r="20" spans="1:7">
      <c r="A20" s="140">
        <v>4</v>
      </c>
      <c r="B20" s="175" t="s">
        <v>36</v>
      </c>
      <c r="C20" s="175"/>
      <c r="D20" s="142">
        <f>期间费用!C7</f>
        <v>7.7913155871527762</v>
      </c>
      <c r="E20" s="176">
        <f t="shared" si="0"/>
        <v>1.1074216523137597E-2</v>
      </c>
      <c r="F20" s="176"/>
      <c r="G20" s="293"/>
    </row>
    <row r="21" spans="1:7">
      <c r="A21" s="140">
        <v>5</v>
      </c>
      <c r="B21" s="175" t="s">
        <v>37</v>
      </c>
      <c r="C21" s="175"/>
      <c r="D21" s="142">
        <f>期间费用!C8</f>
        <v>15.582631174305552</v>
      </c>
      <c r="E21" s="176">
        <f t="shared" si="0"/>
        <v>2.2148433046275194E-2</v>
      </c>
      <c r="F21" s="176"/>
      <c r="G21" s="293"/>
    </row>
    <row r="22" spans="1:7">
      <c r="A22" s="173" t="s">
        <v>38</v>
      </c>
      <c r="B22" s="173"/>
      <c r="C22" s="173"/>
      <c r="D22" s="139">
        <f>(D17)*0.05</f>
        <v>25.971051957175924</v>
      </c>
      <c r="E22" s="174">
        <f t="shared" si="0"/>
        <v>3.6914055077125328E-2</v>
      </c>
      <c r="F22" s="174"/>
      <c r="G22" s="294"/>
    </row>
    <row r="23" spans="1:7">
      <c r="A23" s="173" t="s">
        <v>39</v>
      </c>
      <c r="B23" s="173"/>
      <c r="C23" s="173"/>
      <c r="D23" s="139">
        <f>D22+D18+D17</f>
        <v>589.54287942789347</v>
      </c>
      <c r="E23" s="174">
        <f t="shared" si="0"/>
        <v>0.83794905025074495</v>
      </c>
      <c r="F23" s="174"/>
      <c r="G23" s="31"/>
    </row>
    <row r="24" spans="1:7">
      <c r="A24" s="173" t="s">
        <v>40</v>
      </c>
      <c r="B24" s="173"/>
      <c r="C24" s="173"/>
      <c r="D24" s="139">
        <f>D23*0.13</f>
        <v>76.640574325626147</v>
      </c>
      <c r="E24" s="174">
        <f t="shared" si="0"/>
        <v>0.10893337653259684</v>
      </c>
      <c r="F24" s="174"/>
      <c r="G24" s="32" t="s">
        <v>41</v>
      </c>
    </row>
    <row r="25" spans="1:7">
      <c r="A25" s="173" t="s">
        <v>42</v>
      </c>
      <c r="B25" s="173"/>
      <c r="C25" s="173"/>
      <c r="D25" s="139">
        <f>D24+D23</f>
        <v>666.18345375351964</v>
      </c>
      <c r="E25" s="174">
        <f t="shared" si="0"/>
        <v>0.94688242678334189</v>
      </c>
      <c r="F25" s="174"/>
      <c r="G25" s="32"/>
    </row>
    <row r="26" spans="1:7">
      <c r="A26" s="173" t="s">
        <v>43</v>
      </c>
      <c r="B26" s="173"/>
      <c r="C26" s="173"/>
      <c r="D26" s="139">
        <f>工装明细!P15</f>
        <v>12.16</v>
      </c>
      <c r="E26" s="174">
        <f t="shared" si="0"/>
        <v>1.7283662998249009E-2</v>
      </c>
      <c r="F26" s="174"/>
      <c r="G26" s="32" t="s">
        <v>44</v>
      </c>
    </row>
    <row r="27" spans="1:7">
      <c r="A27" s="173" t="s">
        <v>45</v>
      </c>
      <c r="B27" s="173"/>
      <c r="C27" s="173"/>
      <c r="D27" s="139">
        <f>包装运输明细!M30</f>
        <v>1.6</v>
      </c>
      <c r="E27" s="174">
        <f t="shared" si="0"/>
        <v>2.274166183980133E-3</v>
      </c>
      <c r="F27" s="174"/>
      <c r="G27" s="32" t="s">
        <v>44</v>
      </c>
    </row>
    <row r="28" spans="1:7">
      <c r="A28" s="173" t="s">
        <v>46</v>
      </c>
      <c r="B28" s="173"/>
      <c r="C28" s="173"/>
      <c r="D28" s="139">
        <f>包装运输明细!M44</f>
        <v>23.611111111111111</v>
      </c>
      <c r="E28" s="174">
        <f t="shared" si="0"/>
        <v>3.3559744034429038E-2</v>
      </c>
      <c r="F28" s="174"/>
      <c r="G28" s="32" t="s">
        <v>47</v>
      </c>
    </row>
    <row r="29" spans="1:7">
      <c r="A29" s="173" t="s">
        <v>48</v>
      </c>
      <c r="B29" s="173"/>
      <c r="C29" s="173"/>
      <c r="D29" s="143">
        <f>D25+D26+D27+D28</f>
        <v>703.55456486463072</v>
      </c>
      <c r="E29" s="174">
        <f t="shared" si="0"/>
        <v>1</v>
      </c>
      <c r="F29" s="174"/>
      <c r="G29" s="31"/>
    </row>
    <row r="30" spans="1:7">
      <c r="B30" s="55" t="s">
        <v>49</v>
      </c>
      <c r="C30" s="55"/>
      <c r="D30" s="55"/>
    </row>
    <row r="31" spans="1:7" s="129" customFormat="1">
      <c r="A31" s="169" t="s">
        <v>50</v>
      </c>
      <c r="B31" s="169"/>
      <c r="C31" s="169"/>
      <c r="D31" s="144" t="s">
        <v>51</v>
      </c>
      <c r="E31" s="169" t="s">
        <v>52</v>
      </c>
      <c r="F31" s="169"/>
      <c r="G31" s="144" t="s">
        <v>53</v>
      </c>
    </row>
    <row r="32" spans="1:7" ht="13.5" customHeight="1"/>
    <row r="34" spans="7:7">
      <c r="G34" t="s">
        <v>54</v>
      </c>
    </row>
  </sheetData>
  <mergeCells count="51">
    <mergeCell ref="G12:G22"/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</mergeCells>
  <phoneticPr fontId="25" type="noConversion"/>
  <pageMargins left="0.31496062992126" right="0.118110236220472" top="0.74803149606299202" bottom="0.74803149606299202" header="0.31496062992126" footer="0.31496062992126"/>
  <pageSetup paperSize="9" scale="82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16"/>
  <sheetViews>
    <sheetView workbookViewId="0">
      <selection activeCell="I17" sqref="H17:I17"/>
    </sheetView>
  </sheetViews>
  <sheetFormatPr defaultColWidth="9" defaultRowHeight="13.5"/>
  <cols>
    <col min="1" max="1" width="5.25" style="16" customWidth="1"/>
    <col min="2" max="2" width="8.25" style="16" customWidth="1"/>
    <col min="3" max="3" width="13.5" style="16" customWidth="1"/>
    <col min="4" max="4" width="3.5" style="16" customWidth="1"/>
    <col min="5" max="5" width="6.25" style="16" customWidth="1"/>
    <col min="6" max="6" width="21" style="111" customWidth="1"/>
    <col min="7" max="7" width="8.375" style="16" customWidth="1"/>
    <col min="8" max="8" width="4.375" style="16" customWidth="1"/>
    <col min="9" max="9" width="7.75" style="16" customWidth="1"/>
    <col min="10" max="11" width="8.25" style="16" customWidth="1"/>
    <col min="12" max="12" width="6.5" style="16" customWidth="1"/>
    <col min="13" max="13" width="6.625" style="16" customWidth="1"/>
    <col min="14" max="14" width="6" style="16" customWidth="1"/>
    <col min="15" max="15" width="7.625" style="16" customWidth="1"/>
    <col min="16" max="16" width="5.625" style="16" customWidth="1"/>
    <col min="17" max="17" width="9.75" style="16" customWidth="1"/>
    <col min="18" max="18" width="9.25" style="16" customWidth="1"/>
    <col min="19" max="16384" width="9" style="16"/>
  </cols>
  <sheetData>
    <row r="1" spans="1:19" ht="27.75" customHeight="1">
      <c r="A1" s="190" t="s">
        <v>55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</row>
    <row r="2" spans="1:19" ht="18.75" customHeight="1">
      <c r="A2" s="191" t="s">
        <v>56</v>
      </c>
      <c r="B2" s="191"/>
      <c r="C2" s="191" t="s">
        <v>57</v>
      </c>
      <c r="D2" s="191"/>
      <c r="E2" s="191"/>
      <c r="F2" s="191"/>
      <c r="G2" s="191"/>
      <c r="H2" s="191"/>
      <c r="I2" s="18" t="s">
        <v>58</v>
      </c>
      <c r="J2" s="191" t="s">
        <v>59</v>
      </c>
      <c r="K2" s="191"/>
      <c r="L2" s="191"/>
      <c r="M2" s="191"/>
      <c r="N2" s="192" t="s">
        <v>60</v>
      </c>
      <c r="O2" s="192"/>
      <c r="P2" s="192"/>
      <c r="Q2" s="192"/>
      <c r="R2" s="192"/>
      <c r="S2" s="192"/>
    </row>
    <row r="3" spans="1:19" ht="18.75" customHeight="1">
      <c r="A3" s="187" t="s">
        <v>327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8" t="s">
        <v>319</v>
      </c>
      <c r="O3" s="188"/>
      <c r="P3" s="188"/>
      <c r="Q3" s="188"/>
      <c r="R3" s="188"/>
      <c r="S3" s="188"/>
    </row>
    <row r="4" spans="1:19" ht="18" customHeight="1">
      <c r="A4" s="186" t="s">
        <v>61</v>
      </c>
      <c r="B4" s="186" t="s">
        <v>62</v>
      </c>
      <c r="C4" s="186" t="s">
        <v>63</v>
      </c>
      <c r="D4" s="186" t="s">
        <v>64</v>
      </c>
      <c r="E4" s="189" t="s">
        <v>29</v>
      </c>
      <c r="F4" s="189"/>
      <c r="G4" s="189"/>
      <c r="H4" s="189"/>
      <c r="I4" s="189"/>
      <c r="J4" s="189"/>
      <c r="K4" s="186" t="s">
        <v>65</v>
      </c>
      <c r="L4" s="186"/>
      <c r="M4" s="186" t="s">
        <v>66</v>
      </c>
      <c r="N4" s="186"/>
      <c r="O4" s="186"/>
      <c r="P4" s="186" t="s">
        <v>67</v>
      </c>
      <c r="Q4" s="186" t="s">
        <v>68</v>
      </c>
      <c r="R4" s="186" t="s">
        <v>69</v>
      </c>
      <c r="S4" s="186" t="s">
        <v>27</v>
      </c>
    </row>
    <row r="5" spans="1:19" ht="48">
      <c r="A5" s="186"/>
      <c r="B5" s="186"/>
      <c r="C5" s="186"/>
      <c r="D5" s="186"/>
      <c r="E5" s="77" t="s">
        <v>70</v>
      </c>
      <c r="F5" s="77" t="s">
        <v>71</v>
      </c>
      <c r="G5" s="77" t="s">
        <v>72</v>
      </c>
      <c r="H5" s="77" t="s">
        <v>73</v>
      </c>
      <c r="I5" s="77" t="s">
        <v>74</v>
      </c>
      <c r="J5" s="77" t="s">
        <v>75</v>
      </c>
      <c r="K5" s="77" t="s">
        <v>70</v>
      </c>
      <c r="L5" s="77" t="s">
        <v>76</v>
      </c>
      <c r="M5" s="77" t="s">
        <v>77</v>
      </c>
      <c r="N5" s="77" t="s">
        <v>78</v>
      </c>
      <c r="O5" s="77" t="s">
        <v>79</v>
      </c>
      <c r="P5" s="186"/>
      <c r="Q5" s="186"/>
      <c r="R5" s="186"/>
      <c r="S5" s="186"/>
    </row>
    <row r="6" spans="1:19">
      <c r="A6" s="77">
        <f t="shared" ref="A6:A13" si="0">ROW()-5</f>
        <v>1</v>
      </c>
      <c r="B6" s="77" t="s">
        <v>19</v>
      </c>
      <c r="C6" s="145" t="s">
        <v>322</v>
      </c>
      <c r="D6" s="93">
        <v>1</v>
      </c>
      <c r="E6" s="145" t="s">
        <v>80</v>
      </c>
      <c r="F6" s="145" t="s">
        <v>328</v>
      </c>
      <c r="G6" s="145" t="s">
        <v>83</v>
      </c>
      <c r="H6" s="145" t="s">
        <v>81</v>
      </c>
      <c r="I6" s="164">
        <v>27.59</v>
      </c>
      <c r="J6" s="165"/>
      <c r="K6" s="145"/>
      <c r="L6" s="145"/>
      <c r="M6" s="166">
        <v>0.32</v>
      </c>
      <c r="N6" s="119"/>
      <c r="O6" s="118">
        <v>0.999</v>
      </c>
      <c r="P6" s="145"/>
      <c r="Q6" s="126">
        <f>D6*P6*(M6-N6)</f>
        <v>0</v>
      </c>
      <c r="R6" s="117">
        <f t="shared" ref="R6:R13" si="1">D6*I6*M6-Q6</f>
        <v>8.8287999999999993</v>
      </c>
      <c r="S6" s="77"/>
    </row>
    <row r="7" spans="1:19">
      <c r="A7" s="77">
        <f t="shared" si="0"/>
        <v>2</v>
      </c>
      <c r="B7" s="77" t="s">
        <v>19</v>
      </c>
      <c r="C7" s="145" t="s">
        <v>322</v>
      </c>
      <c r="D7" s="93">
        <v>1</v>
      </c>
      <c r="E7" s="145" t="s">
        <v>323</v>
      </c>
      <c r="F7" s="145" t="s">
        <v>330</v>
      </c>
      <c r="G7" s="145" t="s">
        <v>83</v>
      </c>
      <c r="H7" s="145" t="s">
        <v>81</v>
      </c>
      <c r="I7" s="164">
        <v>21.98</v>
      </c>
      <c r="J7" s="165"/>
      <c r="K7" s="145"/>
      <c r="L7" s="145"/>
      <c r="M7" s="166">
        <v>0.89</v>
      </c>
      <c r="N7" s="119"/>
      <c r="O7" s="118">
        <v>0.999</v>
      </c>
      <c r="P7" s="145"/>
      <c r="Q7" s="126">
        <f t="shared" ref="Q7:Q13" si="2">D7*P7*(M7-N7)</f>
        <v>0</v>
      </c>
      <c r="R7" s="117">
        <f t="shared" si="1"/>
        <v>19.562200000000001</v>
      </c>
      <c r="S7" s="77"/>
    </row>
    <row r="8" spans="1:19">
      <c r="A8" s="77">
        <f t="shared" si="0"/>
        <v>3</v>
      </c>
      <c r="B8" s="77" t="s">
        <v>19</v>
      </c>
      <c r="C8" s="145" t="s">
        <v>322</v>
      </c>
      <c r="D8" s="93">
        <v>1</v>
      </c>
      <c r="E8" s="145" t="s">
        <v>82</v>
      </c>
      <c r="F8" s="145" t="s">
        <v>324</v>
      </c>
      <c r="G8" s="145" t="s">
        <v>83</v>
      </c>
      <c r="H8" s="145" t="s">
        <v>81</v>
      </c>
      <c r="I8" s="164">
        <v>5.86</v>
      </c>
      <c r="J8" s="165"/>
      <c r="K8" s="145"/>
      <c r="L8" s="145"/>
      <c r="M8" s="166">
        <v>0.115</v>
      </c>
      <c r="N8" s="119"/>
      <c r="O8" s="118">
        <v>0.999</v>
      </c>
      <c r="P8" s="145"/>
      <c r="Q8" s="126">
        <f t="shared" si="2"/>
        <v>0</v>
      </c>
      <c r="R8" s="117">
        <f t="shared" si="1"/>
        <v>0.67390000000000005</v>
      </c>
      <c r="S8" s="77"/>
    </row>
    <row r="9" spans="1:19">
      <c r="A9" s="77">
        <f t="shared" si="0"/>
        <v>4</v>
      </c>
      <c r="B9" s="77" t="s">
        <v>19</v>
      </c>
      <c r="C9" s="145" t="s">
        <v>322</v>
      </c>
      <c r="D9" s="93">
        <v>1</v>
      </c>
      <c r="E9" s="145" t="s">
        <v>325</v>
      </c>
      <c r="F9" s="145"/>
      <c r="G9" s="145"/>
      <c r="H9" s="145"/>
      <c r="I9" s="164">
        <v>9.02</v>
      </c>
      <c r="J9" s="165"/>
      <c r="K9" s="145"/>
      <c r="L9" s="145"/>
      <c r="M9" s="166">
        <v>1</v>
      </c>
      <c r="N9" s="119"/>
      <c r="O9" s="118">
        <v>0.999</v>
      </c>
      <c r="P9" s="145"/>
      <c r="Q9" s="126">
        <f t="shared" si="2"/>
        <v>0</v>
      </c>
      <c r="R9" s="117">
        <f t="shared" si="1"/>
        <v>9.02</v>
      </c>
      <c r="S9" s="77"/>
    </row>
    <row r="10" spans="1:19">
      <c r="A10" s="77">
        <f t="shared" si="0"/>
        <v>5</v>
      </c>
      <c r="B10" s="77" t="s">
        <v>19</v>
      </c>
      <c r="C10" s="145" t="s">
        <v>326</v>
      </c>
      <c r="D10" s="93">
        <v>1</v>
      </c>
      <c r="E10" s="145" t="s">
        <v>80</v>
      </c>
      <c r="F10" s="168" t="s">
        <v>328</v>
      </c>
      <c r="G10" s="145" t="s">
        <v>83</v>
      </c>
      <c r="H10" s="145" t="s">
        <v>81</v>
      </c>
      <c r="I10" s="164">
        <v>27.59</v>
      </c>
      <c r="J10" s="165"/>
      <c r="K10" s="145"/>
      <c r="L10" s="145"/>
      <c r="M10" s="166">
        <v>0.16</v>
      </c>
      <c r="N10" s="119"/>
      <c r="O10" s="118">
        <v>0.999</v>
      </c>
      <c r="P10" s="145"/>
      <c r="Q10" s="126">
        <f t="shared" si="2"/>
        <v>0</v>
      </c>
      <c r="R10" s="117">
        <f t="shared" si="1"/>
        <v>4.4143999999999997</v>
      </c>
      <c r="S10" s="77"/>
    </row>
    <row r="11" spans="1:19">
      <c r="A11" s="77">
        <f t="shared" si="0"/>
        <v>6</v>
      </c>
      <c r="B11" s="77" t="s">
        <v>19</v>
      </c>
      <c r="C11" s="145" t="s">
        <v>326</v>
      </c>
      <c r="D11" s="93">
        <v>1</v>
      </c>
      <c r="E11" s="145" t="s">
        <v>323</v>
      </c>
      <c r="F11" s="168" t="s">
        <v>329</v>
      </c>
      <c r="G11" s="145" t="s">
        <v>83</v>
      </c>
      <c r="H11" s="145" t="s">
        <v>81</v>
      </c>
      <c r="I11" s="164">
        <v>21.98</v>
      </c>
      <c r="J11" s="165"/>
      <c r="K11" s="145"/>
      <c r="L11" s="145"/>
      <c r="M11" s="166">
        <v>0.31</v>
      </c>
      <c r="N11" s="119"/>
      <c r="O11" s="118">
        <v>0.999</v>
      </c>
      <c r="P11" s="145"/>
      <c r="Q11" s="126">
        <f t="shared" si="2"/>
        <v>0</v>
      </c>
      <c r="R11" s="117">
        <f t="shared" si="1"/>
        <v>6.8138000000000005</v>
      </c>
      <c r="S11" s="77"/>
    </row>
    <row r="12" spans="1:19">
      <c r="A12" s="77">
        <f t="shared" si="0"/>
        <v>7</v>
      </c>
      <c r="B12" s="77" t="s">
        <v>19</v>
      </c>
      <c r="C12" s="145" t="s">
        <v>326</v>
      </c>
      <c r="D12" s="93">
        <v>1</v>
      </c>
      <c r="E12" s="145" t="s">
        <v>325</v>
      </c>
      <c r="F12" s="145"/>
      <c r="G12" s="145"/>
      <c r="H12" s="145"/>
      <c r="I12" s="164">
        <v>4.1100000000000003</v>
      </c>
      <c r="J12" s="165"/>
      <c r="K12" s="145"/>
      <c r="L12" s="145"/>
      <c r="M12" s="166">
        <v>1</v>
      </c>
      <c r="N12" s="119"/>
      <c r="O12" s="118">
        <v>0.999</v>
      </c>
      <c r="P12" s="145"/>
      <c r="Q12" s="126">
        <f t="shared" si="2"/>
        <v>0</v>
      </c>
      <c r="R12" s="117">
        <f t="shared" si="1"/>
        <v>4.1100000000000003</v>
      </c>
      <c r="S12" s="77"/>
    </row>
    <row r="13" spans="1:19">
      <c r="A13" s="77">
        <f t="shared" si="0"/>
        <v>8</v>
      </c>
      <c r="B13" s="77" t="s">
        <v>19</v>
      </c>
      <c r="C13" s="145" t="s">
        <v>84</v>
      </c>
      <c r="D13" s="145">
        <v>1</v>
      </c>
      <c r="E13" s="145" t="s">
        <v>85</v>
      </c>
      <c r="F13" s="145"/>
      <c r="G13" s="145"/>
      <c r="H13" s="145" t="s">
        <v>86</v>
      </c>
      <c r="I13" s="167">
        <v>22.7</v>
      </c>
      <c r="J13" s="145"/>
      <c r="K13" s="145"/>
      <c r="L13" s="145"/>
      <c r="M13" s="167">
        <v>2.5499999999999998</v>
      </c>
      <c r="N13" s="119"/>
      <c r="O13" s="118">
        <v>0.999</v>
      </c>
      <c r="P13" s="126"/>
      <c r="Q13" s="126">
        <f t="shared" si="2"/>
        <v>0</v>
      </c>
      <c r="R13" s="117">
        <f t="shared" si="1"/>
        <v>57.884999999999991</v>
      </c>
      <c r="S13" s="77"/>
    </row>
    <row r="14" spans="1:19" ht="21" customHeight="1">
      <c r="A14" s="184" t="s">
        <v>87</v>
      </c>
      <c r="B14" s="184"/>
      <c r="C14" s="184"/>
      <c r="D14" s="77" t="s">
        <v>19</v>
      </c>
      <c r="E14" s="77" t="s">
        <v>19</v>
      </c>
      <c r="F14" s="77" t="s">
        <v>19</v>
      </c>
      <c r="G14" s="77" t="s">
        <v>19</v>
      </c>
      <c r="H14" s="77" t="s">
        <v>19</v>
      </c>
      <c r="I14" s="77" t="s">
        <v>19</v>
      </c>
      <c r="J14" s="77" t="s">
        <v>19</v>
      </c>
      <c r="K14" s="77" t="s">
        <v>19</v>
      </c>
      <c r="L14" s="77" t="s">
        <v>19</v>
      </c>
      <c r="M14" s="120">
        <f>SUM(M6:M13)</f>
        <v>6.3450000000000006</v>
      </c>
      <c r="N14" s="121" t="s">
        <v>19</v>
      </c>
      <c r="O14" s="121" t="s">
        <v>19</v>
      </c>
      <c r="P14" s="121" t="s">
        <v>19</v>
      </c>
      <c r="Q14" s="120">
        <f>SUM(Q6:Q13)</f>
        <v>0</v>
      </c>
      <c r="R14" s="120">
        <f>SUM(R6:R13)</f>
        <v>111.3081</v>
      </c>
      <c r="S14" s="127"/>
    </row>
    <row r="15" spans="1:19" ht="21" customHeight="1">
      <c r="A15" s="112"/>
      <c r="B15" s="99" t="s">
        <v>88</v>
      </c>
      <c r="C15" s="112"/>
      <c r="D15" s="113"/>
      <c r="E15" s="114"/>
      <c r="F15" s="113"/>
      <c r="G15" s="114"/>
      <c r="H15" s="114"/>
      <c r="I15" s="122"/>
      <c r="J15" s="114"/>
      <c r="K15" s="114"/>
      <c r="L15" s="122"/>
      <c r="M15" s="123"/>
      <c r="N15" s="123"/>
      <c r="O15" s="124"/>
      <c r="P15" s="125"/>
      <c r="Q15" s="123"/>
      <c r="R15" s="123"/>
      <c r="S15" s="116"/>
    </row>
    <row r="16" spans="1:19" ht="27" customHeight="1">
      <c r="A16" s="185" t="s">
        <v>89</v>
      </c>
      <c r="B16" s="185"/>
      <c r="C16" s="185"/>
      <c r="D16" s="116"/>
      <c r="E16" s="116"/>
      <c r="F16" s="115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4:C14"/>
    <mergeCell ref="A16:C16"/>
    <mergeCell ref="A4:A5"/>
    <mergeCell ref="B4:B5"/>
    <mergeCell ref="C4:C5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26"/>
  <sheetViews>
    <sheetView workbookViewId="0">
      <selection activeCell="J13" sqref="J13"/>
    </sheetView>
  </sheetViews>
  <sheetFormatPr defaultColWidth="9" defaultRowHeight="13.5"/>
  <cols>
    <col min="1" max="1" width="5.375" customWidth="1"/>
    <col min="2" max="2" width="10.25" customWidth="1"/>
    <col min="3" max="3" width="22" customWidth="1"/>
    <col min="4" max="4" width="18.75" customWidth="1"/>
    <col min="5" max="5" width="6.25" customWidth="1"/>
    <col min="6" max="6" width="5.125" customWidth="1"/>
    <col min="7" max="7" width="9.125" customWidth="1"/>
    <col min="8" max="8" width="9.25" customWidth="1"/>
    <col min="9" max="9" width="6.625" customWidth="1"/>
    <col min="10" max="10" width="9.375" customWidth="1"/>
    <col min="11" max="11" width="12" customWidth="1"/>
    <col min="12" max="12" width="4.875" customWidth="1"/>
    <col min="13" max="13" width="4.5" customWidth="1"/>
    <col min="14" max="14" width="5.875" customWidth="1"/>
    <col min="15" max="15" width="6.875" customWidth="1"/>
    <col min="16" max="16" width="7.625" customWidth="1"/>
    <col min="17" max="17" width="16.375" customWidth="1"/>
  </cols>
  <sheetData>
    <row r="1" spans="1:17" ht="20.25">
      <c r="A1" s="206" t="s">
        <v>90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7" s="1" customFormat="1">
      <c r="A2" s="207" t="s">
        <v>91</v>
      </c>
      <c r="B2" s="208"/>
      <c r="C2" s="208"/>
      <c r="D2" s="208"/>
      <c r="E2" s="208"/>
      <c r="F2" s="208"/>
      <c r="G2" s="208"/>
      <c r="H2" s="209"/>
      <c r="I2" s="202" t="s">
        <v>58</v>
      </c>
      <c r="J2" s="202"/>
      <c r="K2" s="210" t="str">
        <f>原材料明细!J2</f>
        <v>EST</v>
      </c>
      <c r="L2" s="210"/>
      <c r="M2" s="210"/>
      <c r="N2" s="210"/>
      <c r="O2" s="210"/>
      <c r="P2" s="211" t="s">
        <v>60</v>
      </c>
      <c r="Q2" s="211"/>
    </row>
    <row r="3" spans="1:17" s="1" customFormat="1">
      <c r="A3" s="202" t="str">
        <f>原材料明细!A3</f>
        <v>零件图号/名称:H4681021100A0/副驾驶员座椅总成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 t="str">
        <f>原材料明细!N3</f>
        <v>报价填写日期:  2020.9.9</v>
      </c>
      <c r="Q3" s="202"/>
    </row>
    <row r="4" spans="1:17" ht="18.75">
      <c r="A4" s="203" t="s">
        <v>92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5"/>
    </row>
    <row r="5" spans="1:17" s="17" customFormat="1" ht="21.75" customHeight="1">
      <c r="A5" s="189" t="s">
        <v>61</v>
      </c>
      <c r="B5" s="196" t="s">
        <v>62</v>
      </c>
      <c r="C5" s="196" t="s">
        <v>63</v>
      </c>
      <c r="D5" s="196" t="s">
        <v>93</v>
      </c>
      <c r="E5" s="197"/>
      <c r="F5" s="196" t="s">
        <v>94</v>
      </c>
      <c r="G5" s="196" t="s">
        <v>95</v>
      </c>
      <c r="H5" s="196" t="s">
        <v>75</v>
      </c>
      <c r="I5" s="189" t="s">
        <v>29</v>
      </c>
      <c r="J5" s="189"/>
      <c r="K5" s="189"/>
      <c r="L5" s="189"/>
      <c r="M5" s="189"/>
      <c r="N5" s="189"/>
      <c r="O5" s="189"/>
      <c r="P5" s="196" t="s">
        <v>96</v>
      </c>
      <c r="Q5" s="196" t="s">
        <v>27</v>
      </c>
    </row>
    <row r="6" spans="1:17" s="17" customFormat="1" ht="24">
      <c r="A6" s="189"/>
      <c r="B6" s="197"/>
      <c r="C6" s="197"/>
      <c r="D6" s="91" t="s">
        <v>70</v>
      </c>
      <c r="E6" s="91" t="s">
        <v>76</v>
      </c>
      <c r="F6" s="197"/>
      <c r="G6" s="197"/>
      <c r="H6" s="196"/>
      <c r="I6" s="100" t="s">
        <v>97</v>
      </c>
      <c r="J6" s="100" t="s">
        <v>71</v>
      </c>
      <c r="K6" s="200" t="s">
        <v>72</v>
      </c>
      <c r="L6" s="200"/>
      <c r="M6" s="200"/>
      <c r="N6" s="100" t="s">
        <v>73</v>
      </c>
      <c r="O6" s="100" t="s">
        <v>98</v>
      </c>
      <c r="P6" s="196"/>
      <c r="Q6" s="196"/>
    </row>
    <row r="7" spans="1:17" s="55" customFormat="1" ht="16.5" customHeight="1">
      <c r="A7" s="31">
        <f t="shared" ref="A7:A16" si="0">ROW()-6</f>
        <v>1</v>
      </c>
      <c r="B7" s="147" t="s">
        <v>275</v>
      </c>
      <c r="C7" s="148" t="s">
        <v>276</v>
      </c>
      <c r="D7" s="77"/>
      <c r="E7" s="77"/>
      <c r="F7" s="77">
        <v>1</v>
      </c>
      <c r="G7" s="149">
        <v>99.79</v>
      </c>
      <c r="H7" s="93" t="s">
        <v>19</v>
      </c>
      <c r="I7" s="93" t="s">
        <v>19</v>
      </c>
      <c r="J7" s="93" t="s">
        <v>19</v>
      </c>
      <c r="K7" s="200" t="s">
        <v>19</v>
      </c>
      <c r="L7" s="200"/>
      <c r="M7" s="200"/>
      <c r="N7" s="31" t="s">
        <v>19</v>
      </c>
      <c r="O7" s="84" t="s">
        <v>19</v>
      </c>
      <c r="P7" s="101">
        <f t="shared" ref="P7:P15" si="1">G7*F7</f>
        <v>99.79</v>
      </c>
      <c r="Q7" s="106"/>
    </row>
    <row r="8" spans="1:17" s="55" customFormat="1" ht="13.5" customHeight="1">
      <c r="A8" s="31">
        <f t="shared" si="0"/>
        <v>2</v>
      </c>
      <c r="B8" s="147" t="s">
        <v>277</v>
      </c>
      <c r="C8" s="31" t="s">
        <v>99</v>
      </c>
      <c r="D8" s="77"/>
      <c r="E8" s="77"/>
      <c r="F8" s="77">
        <v>1</v>
      </c>
      <c r="G8" s="149">
        <v>40.44</v>
      </c>
      <c r="H8" s="93" t="s">
        <v>19</v>
      </c>
      <c r="I8" s="93" t="s">
        <v>19</v>
      </c>
      <c r="J8" s="93" t="s">
        <v>19</v>
      </c>
      <c r="K8" s="200" t="s">
        <v>19</v>
      </c>
      <c r="L8" s="200"/>
      <c r="M8" s="200"/>
      <c r="N8" s="31" t="s">
        <v>19</v>
      </c>
      <c r="O8" s="84" t="s">
        <v>19</v>
      </c>
      <c r="P8" s="101">
        <f t="shared" si="1"/>
        <v>40.44</v>
      </c>
      <c r="Q8" s="106"/>
    </row>
    <row r="9" spans="1:17" s="55" customFormat="1" ht="13.5" customHeight="1">
      <c r="A9" s="31">
        <f t="shared" si="0"/>
        <v>3</v>
      </c>
      <c r="B9" s="147" t="s">
        <v>278</v>
      </c>
      <c r="C9" s="150" t="s">
        <v>279</v>
      </c>
      <c r="D9" s="77"/>
      <c r="E9" s="77"/>
      <c r="F9" s="77">
        <v>1</v>
      </c>
      <c r="G9" s="149">
        <v>36.25</v>
      </c>
      <c r="H9" s="93" t="s">
        <v>19</v>
      </c>
      <c r="I9" s="93" t="s">
        <v>19</v>
      </c>
      <c r="J9" s="93" t="s">
        <v>19</v>
      </c>
      <c r="K9" s="200" t="s">
        <v>19</v>
      </c>
      <c r="L9" s="200"/>
      <c r="M9" s="200"/>
      <c r="N9" s="31" t="s">
        <v>19</v>
      </c>
      <c r="O9" s="84" t="s">
        <v>19</v>
      </c>
      <c r="P9" s="101">
        <f t="shared" si="1"/>
        <v>36.25</v>
      </c>
      <c r="Q9" s="106"/>
    </row>
    <row r="10" spans="1:17" s="55" customFormat="1" ht="13.5" customHeight="1">
      <c r="A10" s="31">
        <f t="shared" si="0"/>
        <v>4</v>
      </c>
      <c r="B10" s="147" t="s">
        <v>280</v>
      </c>
      <c r="C10" s="31" t="s">
        <v>100</v>
      </c>
      <c r="D10" s="77"/>
      <c r="E10" s="77"/>
      <c r="F10" s="77">
        <v>1</v>
      </c>
      <c r="G10" s="149">
        <v>15.31</v>
      </c>
      <c r="H10" s="93" t="s">
        <v>19</v>
      </c>
      <c r="I10" s="93" t="s">
        <v>19</v>
      </c>
      <c r="J10" s="93" t="s">
        <v>19</v>
      </c>
      <c r="K10" s="200" t="s">
        <v>19</v>
      </c>
      <c r="L10" s="200"/>
      <c r="M10" s="200"/>
      <c r="N10" s="31" t="s">
        <v>19</v>
      </c>
      <c r="O10" s="84" t="s">
        <v>19</v>
      </c>
      <c r="P10" s="101">
        <f t="shared" si="1"/>
        <v>15.31</v>
      </c>
      <c r="Q10" s="106"/>
    </row>
    <row r="11" spans="1:17" s="55" customFormat="1" ht="13.5" customHeight="1">
      <c r="A11" s="31">
        <f t="shared" si="0"/>
        <v>5</v>
      </c>
      <c r="B11" s="147" t="s">
        <v>281</v>
      </c>
      <c r="C11" s="31" t="s">
        <v>101</v>
      </c>
      <c r="D11" s="77"/>
      <c r="E11" s="77"/>
      <c r="F11" s="77">
        <v>1</v>
      </c>
      <c r="G11" s="149">
        <v>10.84</v>
      </c>
      <c r="H11" s="93" t="s">
        <v>19</v>
      </c>
      <c r="I11" s="93" t="s">
        <v>19</v>
      </c>
      <c r="J11" s="93" t="s">
        <v>19</v>
      </c>
      <c r="K11" s="200" t="s">
        <v>19</v>
      </c>
      <c r="L11" s="200"/>
      <c r="M11" s="200"/>
      <c r="N11" s="31" t="s">
        <v>19</v>
      </c>
      <c r="O11" s="84" t="s">
        <v>19</v>
      </c>
      <c r="P11" s="101">
        <f t="shared" si="1"/>
        <v>10.84</v>
      </c>
      <c r="Q11" s="106"/>
    </row>
    <row r="12" spans="1:17" s="55" customFormat="1" ht="13.5" customHeight="1">
      <c r="A12" s="31">
        <f t="shared" si="0"/>
        <v>6</v>
      </c>
      <c r="B12" s="147" t="s">
        <v>282</v>
      </c>
      <c r="C12" s="31" t="s">
        <v>102</v>
      </c>
      <c r="D12" s="77"/>
      <c r="E12" s="77"/>
      <c r="F12" s="77">
        <v>1</v>
      </c>
      <c r="G12" s="149">
        <v>80.790000000000006</v>
      </c>
      <c r="H12" s="93" t="s">
        <v>19</v>
      </c>
      <c r="I12" s="93" t="s">
        <v>19</v>
      </c>
      <c r="J12" s="93" t="s">
        <v>19</v>
      </c>
      <c r="K12" s="200" t="s">
        <v>19</v>
      </c>
      <c r="L12" s="200"/>
      <c r="M12" s="200"/>
      <c r="N12" s="31" t="s">
        <v>19</v>
      </c>
      <c r="O12" s="84" t="s">
        <v>19</v>
      </c>
      <c r="P12" s="101">
        <f t="shared" si="1"/>
        <v>80.790000000000006</v>
      </c>
      <c r="Q12" s="106"/>
    </row>
    <row r="13" spans="1:17" s="55" customFormat="1" ht="13.5" customHeight="1">
      <c r="A13" s="31">
        <f t="shared" si="0"/>
        <v>7</v>
      </c>
      <c r="B13" s="147" t="s">
        <v>283</v>
      </c>
      <c r="C13" s="31" t="s">
        <v>103</v>
      </c>
      <c r="D13" s="77"/>
      <c r="E13" s="77"/>
      <c r="F13" s="77">
        <v>1</v>
      </c>
      <c r="G13" s="149">
        <v>18.97</v>
      </c>
      <c r="H13" s="93" t="s">
        <v>19</v>
      </c>
      <c r="I13" s="93" t="s">
        <v>19</v>
      </c>
      <c r="J13" s="93" t="s">
        <v>19</v>
      </c>
      <c r="K13" s="200" t="s">
        <v>19</v>
      </c>
      <c r="L13" s="200"/>
      <c r="M13" s="200"/>
      <c r="N13" s="31" t="s">
        <v>19</v>
      </c>
      <c r="O13" s="84" t="s">
        <v>19</v>
      </c>
      <c r="P13" s="101">
        <f t="shared" si="1"/>
        <v>18.97</v>
      </c>
      <c r="Q13" s="106"/>
    </row>
    <row r="14" spans="1:17" s="55" customFormat="1" ht="13.5" customHeight="1">
      <c r="A14" s="31">
        <f t="shared" si="0"/>
        <v>8</v>
      </c>
      <c r="B14" s="93" t="s">
        <v>284</v>
      </c>
      <c r="C14" s="148" t="s">
        <v>285</v>
      </c>
      <c r="D14" s="151"/>
      <c r="E14" s="77"/>
      <c r="F14" s="152">
        <v>1</v>
      </c>
      <c r="G14" s="153">
        <v>15.82</v>
      </c>
      <c r="H14" s="93" t="s">
        <v>19</v>
      </c>
      <c r="I14" s="93" t="s">
        <v>19</v>
      </c>
      <c r="J14" s="93" t="s">
        <v>19</v>
      </c>
      <c r="K14" s="200" t="s">
        <v>19</v>
      </c>
      <c r="L14" s="200"/>
      <c r="M14" s="200"/>
      <c r="N14" s="31" t="s">
        <v>19</v>
      </c>
      <c r="O14" s="84" t="s">
        <v>19</v>
      </c>
      <c r="P14" s="101">
        <f t="shared" si="1"/>
        <v>15.82</v>
      </c>
      <c r="Q14" s="106"/>
    </row>
    <row r="15" spans="1:17" s="55" customFormat="1" ht="13.5" customHeight="1">
      <c r="A15" s="31">
        <f t="shared" si="0"/>
        <v>9</v>
      </c>
      <c r="B15" s="93" t="s">
        <v>284</v>
      </c>
      <c r="C15" s="148" t="s">
        <v>286</v>
      </c>
      <c r="D15" s="154"/>
      <c r="E15" s="93"/>
      <c r="F15" s="155">
        <v>1</v>
      </c>
      <c r="G15" s="156">
        <v>7.95</v>
      </c>
      <c r="H15" s="93" t="s">
        <v>19</v>
      </c>
      <c r="I15" s="93" t="s">
        <v>19</v>
      </c>
      <c r="J15" s="93" t="s">
        <v>19</v>
      </c>
      <c r="K15" s="200" t="s">
        <v>19</v>
      </c>
      <c r="L15" s="200"/>
      <c r="M15" s="200"/>
      <c r="N15" s="31" t="s">
        <v>19</v>
      </c>
      <c r="O15" s="84" t="s">
        <v>19</v>
      </c>
      <c r="P15" s="101">
        <f t="shared" si="1"/>
        <v>7.95</v>
      </c>
      <c r="Q15" s="106"/>
    </row>
    <row r="16" spans="1:17">
      <c r="A16" s="31">
        <f t="shared" si="0"/>
        <v>10</v>
      </c>
      <c r="B16" s="94" t="s">
        <v>87</v>
      </c>
      <c r="C16" s="93" t="s">
        <v>19</v>
      </c>
      <c r="D16" s="93" t="s">
        <v>19</v>
      </c>
      <c r="E16" s="93" t="s">
        <v>19</v>
      </c>
      <c r="F16" s="93" t="s">
        <v>19</v>
      </c>
      <c r="G16" s="93" t="s">
        <v>19</v>
      </c>
      <c r="H16" s="93" t="s">
        <v>19</v>
      </c>
      <c r="I16" s="93" t="s">
        <v>19</v>
      </c>
      <c r="J16" s="93" t="s">
        <v>19</v>
      </c>
      <c r="K16" s="200" t="s">
        <v>19</v>
      </c>
      <c r="L16" s="200"/>
      <c r="M16" s="200"/>
      <c r="N16" s="31" t="s">
        <v>19</v>
      </c>
      <c r="O16" s="84" t="s">
        <v>19</v>
      </c>
      <c r="P16" s="102">
        <f>SUM(P7:P15)</f>
        <v>326.15999999999997</v>
      </c>
      <c r="Q16" s="107"/>
    </row>
    <row r="18" spans="1:17" ht="18.75">
      <c r="A18" s="201" t="s">
        <v>104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</row>
    <row r="19" spans="1:17" s="17" customFormat="1" ht="13.5" customHeight="1">
      <c r="A19" s="189" t="s">
        <v>61</v>
      </c>
      <c r="B19" s="196" t="s">
        <v>62</v>
      </c>
      <c r="C19" s="196" t="s">
        <v>63</v>
      </c>
      <c r="D19" s="196" t="s">
        <v>105</v>
      </c>
      <c r="E19" s="197"/>
      <c r="F19" s="196" t="s">
        <v>94</v>
      </c>
      <c r="G19" s="196" t="s">
        <v>106</v>
      </c>
      <c r="H19" s="198" t="s">
        <v>107</v>
      </c>
      <c r="I19" s="196" t="s">
        <v>108</v>
      </c>
      <c r="J19" s="196"/>
      <c r="K19" s="196"/>
      <c r="L19" s="196"/>
      <c r="M19" s="196"/>
      <c r="N19" s="196"/>
      <c r="O19" s="196"/>
      <c r="P19" s="196" t="s">
        <v>96</v>
      </c>
      <c r="Q19" s="196" t="s">
        <v>27</v>
      </c>
    </row>
    <row r="20" spans="1:17" s="17" customFormat="1" ht="24" customHeight="1">
      <c r="A20" s="189"/>
      <c r="B20" s="197"/>
      <c r="C20" s="197"/>
      <c r="D20" s="91" t="s">
        <v>70</v>
      </c>
      <c r="E20" s="91" t="s">
        <v>76</v>
      </c>
      <c r="F20" s="197"/>
      <c r="G20" s="197"/>
      <c r="H20" s="199"/>
      <c r="I20" s="103" t="s">
        <v>109</v>
      </c>
      <c r="J20" s="103" t="s">
        <v>110</v>
      </c>
      <c r="K20" s="103" t="s">
        <v>111</v>
      </c>
      <c r="L20" s="91" t="s">
        <v>112</v>
      </c>
      <c r="M20" s="91" t="s">
        <v>113</v>
      </c>
      <c r="N20" s="91" t="s">
        <v>114</v>
      </c>
      <c r="O20" s="91" t="s">
        <v>115</v>
      </c>
      <c r="P20" s="196"/>
      <c r="Q20" s="196"/>
    </row>
    <row r="21" spans="1:17">
      <c r="A21" s="31">
        <v>1</v>
      </c>
      <c r="B21" s="92" t="s">
        <v>19</v>
      </c>
      <c r="C21" s="92" t="s">
        <v>19</v>
      </c>
      <c r="D21" s="92" t="s">
        <v>19</v>
      </c>
      <c r="E21" s="92" t="s">
        <v>19</v>
      </c>
      <c r="F21" s="92" t="s">
        <v>19</v>
      </c>
      <c r="G21" s="92" t="s">
        <v>19</v>
      </c>
      <c r="H21" s="92" t="s">
        <v>19</v>
      </c>
      <c r="I21" s="92" t="s">
        <v>19</v>
      </c>
      <c r="J21" s="92" t="s">
        <v>19</v>
      </c>
      <c r="K21" s="92" t="s">
        <v>19</v>
      </c>
      <c r="L21" s="92" t="s">
        <v>19</v>
      </c>
      <c r="M21" s="92" t="s">
        <v>19</v>
      </c>
      <c r="N21" s="92" t="s">
        <v>19</v>
      </c>
      <c r="O21" s="92" t="s">
        <v>19</v>
      </c>
      <c r="P21" s="92" t="s">
        <v>19</v>
      </c>
      <c r="Q21" s="91"/>
    </row>
    <row r="22" spans="1:17">
      <c r="A22" s="31">
        <v>2</v>
      </c>
      <c r="B22" s="94" t="s">
        <v>87</v>
      </c>
      <c r="C22" s="92" t="s">
        <v>19</v>
      </c>
      <c r="D22" s="92" t="s">
        <v>19</v>
      </c>
      <c r="E22" s="92" t="s">
        <v>19</v>
      </c>
      <c r="F22" s="92" t="s">
        <v>19</v>
      </c>
      <c r="G22" s="92" t="s">
        <v>19</v>
      </c>
      <c r="H22" s="92" t="s">
        <v>19</v>
      </c>
      <c r="I22" s="92" t="s">
        <v>19</v>
      </c>
      <c r="J22" s="92" t="s">
        <v>19</v>
      </c>
      <c r="K22" s="92" t="s">
        <v>19</v>
      </c>
      <c r="L22" s="92" t="s">
        <v>19</v>
      </c>
      <c r="M22" s="92" t="s">
        <v>19</v>
      </c>
      <c r="N22" s="92" t="s">
        <v>19</v>
      </c>
      <c r="O22" s="92" t="s">
        <v>19</v>
      </c>
      <c r="P22" s="92" t="s">
        <v>19</v>
      </c>
      <c r="Q22" s="108"/>
    </row>
    <row r="23" spans="1:17" ht="15">
      <c r="A23" s="17"/>
      <c r="B23" s="95"/>
      <c r="C23" s="96"/>
      <c r="D23" s="97"/>
      <c r="E23" s="97"/>
      <c r="F23" s="98"/>
      <c r="G23" s="98"/>
      <c r="H23" s="98"/>
      <c r="I23" s="104"/>
      <c r="J23" s="97"/>
      <c r="K23" s="97"/>
      <c r="L23" s="105"/>
      <c r="M23" s="105"/>
      <c r="N23" s="105"/>
      <c r="O23" s="105"/>
      <c r="P23" s="105"/>
      <c r="Q23" s="109"/>
    </row>
    <row r="24" spans="1:17" ht="18.75">
      <c r="A24" s="193" t="s">
        <v>116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5"/>
      <c r="P24" s="102">
        <f>P16</f>
        <v>326.15999999999997</v>
      </c>
      <c r="Q24" s="110"/>
    </row>
    <row r="25" spans="1:17">
      <c r="B25" s="99" t="s">
        <v>117</v>
      </c>
    </row>
    <row r="26" spans="1:17">
      <c r="C26" s="55" t="s">
        <v>118</v>
      </c>
    </row>
  </sheetData>
  <mergeCells count="41">
    <mergeCell ref="A1:Q1"/>
    <mergeCell ref="A2:H2"/>
    <mergeCell ref="I2:J2"/>
    <mergeCell ref="K2:O2"/>
    <mergeCell ref="P2:Q2"/>
    <mergeCell ref="A3:O3"/>
    <mergeCell ref="P3:Q3"/>
    <mergeCell ref="A4:Q4"/>
    <mergeCell ref="D5:E5"/>
    <mergeCell ref="I5:O5"/>
    <mergeCell ref="P5:P6"/>
    <mergeCell ref="Q5:Q6"/>
    <mergeCell ref="K6:M6"/>
    <mergeCell ref="K7:M7"/>
    <mergeCell ref="K8:M8"/>
    <mergeCell ref="K9:M9"/>
    <mergeCell ref="K10:M10"/>
    <mergeCell ref="I19:O19"/>
    <mergeCell ref="P19:P20"/>
    <mergeCell ref="Q19:Q20"/>
    <mergeCell ref="K11:M11"/>
    <mergeCell ref="K12:M12"/>
    <mergeCell ref="K13:M13"/>
    <mergeCell ref="K14:M14"/>
    <mergeCell ref="K15:M15"/>
    <mergeCell ref="A24:O24"/>
    <mergeCell ref="A5:A6"/>
    <mergeCell ref="A19:A20"/>
    <mergeCell ref="B5:B6"/>
    <mergeCell ref="B19:B20"/>
    <mergeCell ref="C5:C6"/>
    <mergeCell ref="C19:C20"/>
    <mergeCell ref="F5:F6"/>
    <mergeCell ref="F19:F20"/>
    <mergeCell ref="G5:G6"/>
    <mergeCell ref="G19:G20"/>
    <mergeCell ref="H5:H6"/>
    <mergeCell ref="H19:H20"/>
    <mergeCell ref="K16:M16"/>
    <mergeCell ref="A18:Q18"/>
    <mergeCell ref="D19:E19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8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17"/>
  <sheetViews>
    <sheetView workbookViewId="0">
      <selection activeCell="G20" sqref="G20"/>
    </sheetView>
  </sheetViews>
  <sheetFormatPr defaultColWidth="9" defaultRowHeight="13.5"/>
  <cols>
    <col min="1" max="1" width="4.625" customWidth="1"/>
    <col min="2" max="2" width="16" customWidth="1"/>
    <col min="3" max="3" width="13.875" customWidth="1"/>
    <col min="4" max="4" width="6" customWidth="1"/>
    <col min="5" max="5" width="7.125" customWidth="1"/>
    <col min="6" max="6" width="13.375" customWidth="1"/>
    <col min="7" max="7" width="22.125" customWidth="1"/>
    <col min="8" max="8" width="6" customWidth="1"/>
    <col min="9" max="9" width="5.25" customWidth="1"/>
    <col min="10" max="10" width="6" customWidth="1"/>
    <col min="11" max="11" width="6.375" style="56" customWidth="1"/>
    <col min="12" max="12" width="7.125" style="56" customWidth="1"/>
    <col min="13" max="13" width="8.625" style="56" customWidth="1"/>
    <col min="14" max="14" width="8.875" style="56" customWidth="1"/>
    <col min="15" max="15" width="8.125" style="56" customWidth="1"/>
    <col min="16" max="16" width="8.125" customWidth="1"/>
    <col min="17" max="17" width="12.125" customWidth="1"/>
  </cols>
  <sheetData>
    <row r="1" spans="1:17" ht="23.25" customHeight="1">
      <c r="A1" s="216" t="s">
        <v>119</v>
      </c>
      <c r="B1" s="216"/>
      <c r="C1" s="216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</row>
    <row r="2" spans="1:17" s="1" customFormat="1">
      <c r="A2" s="218" t="s">
        <v>120</v>
      </c>
      <c r="B2" s="219"/>
      <c r="C2" s="220"/>
      <c r="D2" s="221" t="str">
        <f>原材料明细!C2</f>
        <v>北京光华荣昌汽车部件有限公司</v>
      </c>
      <c r="E2" s="221"/>
      <c r="F2" s="221"/>
      <c r="G2" s="221"/>
      <c r="H2" s="221"/>
      <c r="I2" s="221"/>
      <c r="J2" s="3" t="s">
        <v>58</v>
      </c>
      <c r="K2" s="170" t="str">
        <f>原材料明细!J2</f>
        <v>EST</v>
      </c>
      <c r="L2" s="170"/>
      <c r="M2" s="170"/>
      <c r="N2" s="170"/>
      <c r="O2" s="222" t="s">
        <v>60</v>
      </c>
      <c r="P2" s="222"/>
      <c r="Q2" s="222"/>
    </row>
    <row r="3" spans="1:17" s="1" customFormat="1">
      <c r="A3" s="202" t="s">
        <v>121</v>
      </c>
      <c r="B3" s="202"/>
      <c r="C3" s="202"/>
      <c r="D3" s="212" t="s">
        <v>321</v>
      </c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3" t="str">
        <f>原材料明细!N3</f>
        <v>报价填写日期:  2020.9.9</v>
      </c>
      <c r="P3" s="213"/>
      <c r="Q3" s="213"/>
    </row>
    <row r="4" spans="1:17" s="65" customFormat="1" ht="27" customHeight="1">
      <c r="A4" s="215" t="s">
        <v>61</v>
      </c>
      <c r="B4" s="215" t="s">
        <v>62</v>
      </c>
      <c r="C4" s="215" t="s">
        <v>63</v>
      </c>
      <c r="D4" s="215" t="s">
        <v>122</v>
      </c>
      <c r="E4" s="214" t="s">
        <v>123</v>
      </c>
      <c r="F4" s="214" t="s">
        <v>124</v>
      </c>
      <c r="G4" s="214"/>
      <c r="H4" s="214" t="s">
        <v>125</v>
      </c>
      <c r="I4" s="214" t="s">
        <v>126</v>
      </c>
      <c r="J4" s="214" t="s">
        <v>127</v>
      </c>
      <c r="K4" s="189" t="s">
        <v>128</v>
      </c>
      <c r="L4" s="189"/>
      <c r="M4" s="189"/>
      <c r="N4" s="189"/>
      <c r="O4" s="189"/>
      <c r="P4" s="214" t="s">
        <v>129</v>
      </c>
      <c r="Q4" s="214"/>
    </row>
    <row r="5" spans="1:17" s="65" customFormat="1" ht="33.75" customHeight="1">
      <c r="A5" s="215"/>
      <c r="B5" s="215"/>
      <c r="C5" s="215"/>
      <c r="D5" s="215"/>
      <c r="E5" s="214"/>
      <c r="F5" s="75" t="s">
        <v>130</v>
      </c>
      <c r="G5" s="75" t="s">
        <v>72</v>
      </c>
      <c r="H5" s="214"/>
      <c r="I5" s="214"/>
      <c r="J5" s="214"/>
      <c r="K5" s="75" t="s">
        <v>131</v>
      </c>
      <c r="L5" s="75" t="s">
        <v>132</v>
      </c>
      <c r="M5" s="75" t="s">
        <v>133</v>
      </c>
      <c r="N5" s="75" t="s">
        <v>134</v>
      </c>
      <c r="O5" s="75" t="s">
        <v>135</v>
      </c>
      <c r="P5" s="75" t="s">
        <v>136</v>
      </c>
      <c r="Q5" s="75" t="s">
        <v>137</v>
      </c>
    </row>
    <row r="6" spans="1:17" s="65" customFormat="1" ht="12">
      <c r="A6" s="76">
        <v>1</v>
      </c>
      <c r="B6" s="77" t="s">
        <v>19</v>
      </c>
      <c r="C6" s="61" t="s">
        <v>138</v>
      </c>
      <c r="D6" s="78">
        <v>1</v>
      </c>
      <c r="E6" s="77" t="s">
        <v>19</v>
      </c>
      <c r="F6" s="79" t="s">
        <v>139</v>
      </c>
      <c r="G6" s="79" t="s">
        <v>140</v>
      </c>
      <c r="H6" s="79">
        <v>3</v>
      </c>
      <c r="I6" s="79">
        <v>1</v>
      </c>
      <c r="J6" s="85">
        <v>0.48080000000000001</v>
      </c>
      <c r="K6" s="85">
        <v>0.48080000000000001</v>
      </c>
      <c r="L6" s="85">
        <f>制造费率测算明细!T6</f>
        <v>1.167101230622194</v>
      </c>
      <c r="M6" s="85">
        <f>制造费率测算明细!U6</f>
        <v>0.79166666666666663</v>
      </c>
      <c r="N6" s="85">
        <f>制造费率测算明细!V6</f>
        <v>0.11056748500631312</v>
      </c>
      <c r="O6" s="86">
        <f>SUM(K6:N6)</f>
        <v>2.5501353822951733</v>
      </c>
      <c r="P6" s="87">
        <f t="shared" ref="P6:P9" si="0">D6*H6*I6*J6</f>
        <v>1.4424000000000001</v>
      </c>
      <c r="Q6" s="87">
        <f t="shared" ref="Q6:Q9" si="1">D6*H6*O6</f>
        <v>7.65040614688552</v>
      </c>
    </row>
    <row r="7" spans="1:17" s="65" customFormat="1" ht="12">
      <c r="A7" s="76">
        <v>2</v>
      </c>
      <c r="B7" s="77" t="s">
        <v>19</v>
      </c>
      <c r="C7" s="63" t="s">
        <v>141</v>
      </c>
      <c r="D7" s="78">
        <v>1</v>
      </c>
      <c r="E7" s="77" t="s">
        <v>19</v>
      </c>
      <c r="F7" s="63" t="s">
        <v>142</v>
      </c>
      <c r="G7" s="63" t="s">
        <v>143</v>
      </c>
      <c r="H7" s="79">
        <v>3</v>
      </c>
      <c r="I7" s="63">
        <v>1</v>
      </c>
      <c r="J7" s="85">
        <v>0.48080000000000001</v>
      </c>
      <c r="K7" s="85">
        <v>0.48080000000000001</v>
      </c>
      <c r="L7" s="85">
        <f>制造费率测算明细!T7</f>
        <v>1.2494739057239057</v>
      </c>
      <c r="M7" s="85">
        <f>制造费率测算明细!U7</f>
        <v>0.79166666666666663</v>
      </c>
      <c r="N7" s="85">
        <f>制造费率测算明细!V7</f>
        <v>0.11837121212121213</v>
      </c>
      <c r="O7" s="86">
        <f t="shared" ref="O7:O9" si="2">SUM(K7:N7)</f>
        <v>2.6403117845117841</v>
      </c>
      <c r="P7" s="87">
        <f t="shared" si="0"/>
        <v>1.4424000000000001</v>
      </c>
      <c r="Q7" s="87">
        <f t="shared" si="1"/>
        <v>7.9209353535353522</v>
      </c>
    </row>
    <row r="8" spans="1:17" s="65" customFormat="1" ht="12">
      <c r="A8" s="76">
        <v>3</v>
      </c>
      <c r="B8" s="77" t="s">
        <v>19</v>
      </c>
      <c r="C8" s="63" t="s">
        <v>144</v>
      </c>
      <c r="D8" s="78">
        <v>1</v>
      </c>
      <c r="E8" s="77" t="s">
        <v>19</v>
      </c>
      <c r="F8" s="63" t="s">
        <v>147</v>
      </c>
      <c r="G8" s="77" t="s">
        <v>19</v>
      </c>
      <c r="H8" s="63">
        <v>2</v>
      </c>
      <c r="I8" s="63">
        <v>6</v>
      </c>
      <c r="J8" s="85">
        <v>0.48080000000000001</v>
      </c>
      <c r="K8" s="85">
        <v>0.48080000000000001</v>
      </c>
      <c r="L8" s="85">
        <f>制造费率测算明细!T8</f>
        <v>0.74968434343434354</v>
      </c>
      <c r="M8" s="85">
        <f>制造费率测算明细!U8</f>
        <v>0.79166666666666663</v>
      </c>
      <c r="N8" s="85">
        <f>制造费率测算明细!V8</f>
        <v>9.4696969696969696E-2</v>
      </c>
      <c r="O8" s="86">
        <f t="shared" si="2"/>
        <v>2.11684797979798</v>
      </c>
      <c r="P8" s="87">
        <f t="shared" si="0"/>
        <v>5.7696000000000005</v>
      </c>
      <c r="Q8" s="87">
        <f t="shared" si="1"/>
        <v>4.23369595959596</v>
      </c>
    </row>
    <row r="9" spans="1:17" s="65" customFormat="1" ht="12">
      <c r="A9" s="76">
        <v>4</v>
      </c>
      <c r="B9" s="77" t="s">
        <v>19</v>
      </c>
      <c r="C9" s="57" t="s">
        <v>145</v>
      </c>
      <c r="D9" s="78">
        <v>1</v>
      </c>
      <c r="E9" s="77" t="s">
        <v>19</v>
      </c>
      <c r="F9" s="63" t="s">
        <v>146</v>
      </c>
      <c r="G9" s="77" t="s">
        <v>19</v>
      </c>
      <c r="H9" s="63">
        <v>15</v>
      </c>
      <c r="I9" s="63">
        <v>4</v>
      </c>
      <c r="J9" s="85">
        <v>0.48080000000000001</v>
      </c>
      <c r="K9" s="85">
        <v>0.48080000000000001</v>
      </c>
      <c r="L9" s="85">
        <f>制造费率测算明细!T9</f>
        <v>8.7296576879910201E-2</v>
      </c>
      <c r="M9" s="85">
        <f>制造费率测算明细!U9</f>
        <v>1.0666666666666667</v>
      </c>
      <c r="N9" s="85">
        <f>制造费率测算明细!V9</f>
        <v>8.2702020202020197E-3</v>
      </c>
      <c r="O9" s="86">
        <f t="shared" si="2"/>
        <v>1.643033445566779</v>
      </c>
      <c r="P9" s="87">
        <f t="shared" si="0"/>
        <v>28.847999999999999</v>
      </c>
      <c r="Q9" s="87">
        <f t="shared" si="1"/>
        <v>24.645501683501685</v>
      </c>
    </row>
    <row r="10" spans="1:17" s="65" customFormat="1" ht="20.25" customHeight="1">
      <c r="A10" s="80" t="s">
        <v>87</v>
      </c>
      <c r="B10" s="77" t="s">
        <v>19</v>
      </c>
      <c r="C10" s="77" t="s">
        <v>19</v>
      </c>
      <c r="D10" s="77" t="s">
        <v>19</v>
      </c>
      <c r="E10" s="77" t="s">
        <v>19</v>
      </c>
      <c r="F10" s="77" t="s">
        <v>19</v>
      </c>
      <c r="G10" s="77" t="s">
        <v>19</v>
      </c>
      <c r="H10" s="81">
        <f>SUM(H6:H9)</f>
        <v>23</v>
      </c>
      <c r="I10" s="88">
        <f>SUM(I6:I9)</f>
        <v>12</v>
      </c>
      <c r="J10" s="77" t="s">
        <v>19</v>
      </c>
      <c r="K10" s="77" t="s">
        <v>19</v>
      </c>
      <c r="L10" s="77" t="s">
        <v>19</v>
      </c>
      <c r="M10" s="77" t="s">
        <v>19</v>
      </c>
      <c r="N10" s="77" t="s">
        <v>19</v>
      </c>
      <c r="O10" s="77" t="s">
        <v>19</v>
      </c>
      <c r="P10" s="89">
        <f>SUM(P6:P9)</f>
        <v>37.502400000000002</v>
      </c>
      <c r="Q10" s="89">
        <f>SUM(Q6:Q9)</f>
        <v>44.450539143518512</v>
      </c>
    </row>
    <row r="11" spans="1:17" s="34" customFormat="1">
      <c r="B11" s="82" t="s">
        <v>148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 s="34" customFormat="1">
      <c r="B12" s="83" t="s">
        <v>149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 s="34" customFormat="1">
      <c r="B13" s="83" t="s">
        <v>150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 s="34" customFormat="1">
      <c r="B14" s="83" t="s">
        <v>151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 s="34" customFormat="1">
      <c r="B15" s="35" t="s">
        <v>152</v>
      </c>
      <c r="K15" s="90"/>
      <c r="L15" s="90"/>
      <c r="M15" s="90"/>
      <c r="N15" s="90"/>
      <c r="O15" s="90"/>
    </row>
    <row r="16" spans="1:17" s="34" customFormat="1">
      <c r="K16" s="90"/>
      <c r="L16" s="90"/>
      <c r="M16" s="90"/>
      <c r="N16" s="90"/>
      <c r="O16" s="90"/>
    </row>
    <row r="17" spans="11:15" s="34" customFormat="1">
      <c r="K17" s="90"/>
      <c r="L17" s="90"/>
      <c r="M17" s="90"/>
      <c r="N17" s="90"/>
      <c r="O17" s="90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V19"/>
  <sheetViews>
    <sheetView topLeftCell="E1" workbookViewId="0">
      <selection activeCell="N20" sqref="N20"/>
    </sheetView>
  </sheetViews>
  <sheetFormatPr defaultColWidth="9" defaultRowHeight="13.5"/>
  <cols>
    <col min="1" max="1" width="4.625" style="56" customWidth="1"/>
    <col min="2" max="2" width="14.25" customWidth="1"/>
    <col min="3" max="3" width="9.625" customWidth="1"/>
    <col min="4" max="4" width="19.5" customWidth="1"/>
    <col min="5" max="5" width="16.5" customWidth="1"/>
    <col min="6" max="6" width="8.25" customWidth="1"/>
    <col min="7" max="7" width="10.375" customWidth="1"/>
    <col min="8" max="12" width="6.75" customWidth="1"/>
    <col min="13" max="13" width="7.625" style="56" customWidth="1"/>
    <col min="14" max="14" width="6.875" style="56" customWidth="1"/>
    <col min="15" max="15" width="10.25" style="56" customWidth="1"/>
    <col min="16" max="16" width="8.625" style="56" customWidth="1"/>
    <col min="17" max="17" width="9.25" style="56" customWidth="1"/>
    <col min="18" max="18" width="8.375" style="56" customWidth="1"/>
    <col min="19" max="19" width="8.5" style="56" customWidth="1"/>
    <col min="20" max="20" width="9" customWidth="1"/>
    <col min="21" max="21" width="8.125" customWidth="1"/>
    <col min="22" max="22" width="9" customWidth="1"/>
  </cols>
  <sheetData>
    <row r="1" spans="1:22" ht="20.25">
      <c r="A1" s="230" t="s">
        <v>153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2"/>
    </row>
    <row r="2" spans="1:22" s="1" customFormat="1">
      <c r="A2" s="233" t="s">
        <v>120</v>
      </c>
      <c r="B2" s="233"/>
      <c r="C2" s="233"/>
      <c r="D2" s="234" t="str">
        <f>加工明细!D2</f>
        <v>北京光华荣昌汽车部件有限公司</v>
      </c>
      <c r="E2" s="235"/>
      <c r="F2" s="235"/>
      <c r="G2" s="235"/>
      <c r="H2" s="236"/>
      <c r="I2" s="67" t="s">
        <v>58</v>
      </c>
      <c r="J2" s="237" t="str">
        <f>加工明细!K2</f>
        <v>EST</v>
      </c>
      <c r="K2" s="238"/>
      <c r="L2" s="238"/>
      <c r="M2" s="238"/>
      <c r="N2" s="238"/>
      <c r="O2" s="238"/>
      <c r="P2" s="238"/>
      <c r="Q2" s="239"/>
      <c r="R2" s="240" t="s">
        <v>60</v>
      </c>
      <c r="S2" s="240"/>
      <c r="T2" s="240"/>
      <c r="U2" s="240"/>
      <c r="V2" s="240"/>
    </row>
    <row r="3" spans="1:22" s="1" customFormat="1">
      <c r="A3" s="202" t="s">
        <v>121</v>
      </c>
      <c r="B3" s="202"/>
      <c r="C3" s="202"/>
      <c r="D3" s="223" t="str">
        <f>加工明细!D3</f>
        <v>H4681021100A0/副驾驶员座椅总成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4" t="str">
        <f>加工明细!O3</f>
        <v>报价填写日期:  2020.9.9</v>
      </c>
      <c r="S3" s="224"/>
      <c r="T3" s="224"/>
      <c r="U3" s="224"/>
      <c r="V3" s="224"/>
    </row>
    <row r="4" spans="1:22" ht="21.75" customHeight="1">
      <c r="A4" s="227" t="s">
        <v>61</v>
      </c>
      <c r="B4" s="227" t="s">
        <v>123</v>
      </c>
      <c r="C4" s="225" t="s">
        <v>154</v>
      </c>
      <c r="D4" s="226"/>
      <c r="E4" s="226"/>
      <c r="F4" s="226"/>
      <c r="G4" s="226"/>
      <c r="H4" s="226"/>
      <c r="I4" s="226"/>
      <c r="J4" s="227" t="s">
        <v>155</v>
      </c>
      <c r="K4" s="227"/>
      <c r="L4" s="227"/>
      <c r="M4" s="227"/>
      <c r="N4" s="227"/>
      <c r="O4" s="68" t="s">
        <v>156</v>
      </c>
      <c r="P4" s="69"/>
      <c r="Q4" s="228" t="s">
        <v>157</v>
      </c>
      <c r="R4" s="228"/>
      <c r="S4" s="228"/>
      <c r="T4" s="229" t="s">
        <v>158</v>
      </c>
      <c r="U4" s="229" t="s">
        <v>159</v>
      </c>
      <c r="V4" s="229" t="s">
        <v>160</v>
      </c>
    </row>
    <row r="5" spans="1:22" ht="54.75" customHeight="1">
      <c r="A5" s="227"/>
      <c r="B5" s="227"/>
      <c r="C5" s="58" t="s">
        <v>130</v>
      </c>
      <c r="D5" s="58" t="s">
        <v>72</v>
      </c>
      <c r="E5" s="59" t="s">
        <v>161</v>
      </c>
      <c r="F5" s="59" t="s">
        <v>162</v>
      </c>
      <c r="G5" s="59" t="s">
        <v>163</v>
      </c>
      <c r="H5" s="60" t="s">
        <v>164</v>
      </c>
      <c r="I5" s="70" t="s">
        <v>165</v>
      </c>
      <c r="J5" s="71" t="s">
        <v>166</v>
      </c>
      <c r="K5" s="71" t="s">
        <v>167</v>
      </c>
      <c r="L5" s="71" t="s">
        <v>168</v>
      </c>
      <c r="M5" s="59" t="s">
        <v>169</v>
      </c>
      <c r="N5" s="59" t="s">
        <v>170</v>
      </c>
      <c r="O5" s="59" t="s">
        <v>171</v>
      </c>
      <c r="P5" s="59" t="s">
        <v>172</v>
      </c>
      <c r="Q5" s="60" t="s">
        <v>173</v>
      </c>
      <c r="R5" s="60" t="s">
        <v>174</v>
      </c>
      <c r="S5" s="60" t="s">
        <v>175</v>
      </c>
      <c r="T5" s="229"/>
      <c r="U5" s="229"/>
      <c r="V5" s="229"/>
    </row>
    <row r="6" spans="1:22">
      <c r="A6" s="57">
        <v>1</v>
      </c>
      <c r="B6" s="157" t="s">
        <v>287</v>
      </c>
      <c r="C6" s="158" t="s">
        <v>288</v>
      </c>
      <c r="D6" s="157"/>
      <c r="E6" s="159">
        <v>1401111.17</v>
      </c>
      <c r="F6" s="62">
        <v>0.05</v>
      </c>
      <c r="G6" s="160">
        <v>221842.60191666664</v>
      </c>
      <c r="H6" s="157">
        <v>10</v>
      </c>
      <c r="I6" s="157">
        <v>4</v>
      </c>
      <c r="J6" s="57">
        <v>50</v>
      </c>
      <c r="K6" s="62">
        <v>0.95</v>
      </c>
      <c r="L6" s="57"/>
      <c r="M6" s="72">
        <v>1</v>
      </c>
      <c r="N6" s="72"/>
      <c r="O6" s="161">
        <v>7005.5558499999997</v>
      </c>
      <c r="P6" s="161">
        <v>14011.111699999999</v>
      </c>
      <c r="Q6" s="57">
        <v>12</v>
      </c>
      <c r="R6" s="57">
        <f>22*12</f>
        <v>264</v>
      </c>
      <c r="S6" s="57">
        <v>3168</v>
      </c>
      <c r="T6" s="74">
        <f t="shared" ref="T6:T8" si="0">(E6-E6*F6)/(H6-I6)/(Q6*R6)/60</f>
        <v>1.167101230622194</v>
      </c>
      <c r="U6" s="74">
        <f t="shared" ref="U6:U9" si="1">(J6*K6*M6+L6*N6)/60</f>
        <v>0.79166666666666663</v>
      </c>
      <c r="V6" s="74">
        <f t="shared" ref="V6:V9" si="2">(O6+P6)/S6/60</f>
        <v>0.11056748500631312</v>
      </c>
    </row>
    <row r="7" spans="1:22">
      <c r="A7" s="57">
        <v>2</v>
      </c>
      <c r="B7" s="157" t="s">
        <v>289</v>
      </c>
      <c r="C7" s="157"/>
      <c r="D7" s="157"/>
      <c r="E7" s="159">
        <v>1500000</v>
      </c>
      <c r="F7" s="62">
        <v>0.05</v>
      </c>
      <c r="G7" s="160">
        <v>237500</v>
      </c>
      <c r="H7" s="157">
        <v>10</v>
      </c>
      <c r="I7" s="157">
        <v>4</v>
      </c>
      <c r="J7" s="57">
        <v>50</v>
      </c>
      <c r="K7" s="62">
        <v>0.95</v>
      </c>
      <c r="L7" s="57"/>
      <c r="M7" s="72">
        <v>1</v>
      </c>
      <c r="N7" s="72"/>
      <c r="O7" s="161">
        <v>7500</v>
      </c>
      <c r="P7" s="161">
        <v>15000</v>
      </c>
      <c r="Q7" s="57">
        <v>12</v>
      </c>
      <c r="R7" s="146">
        <f t="shared" ref="R7:R9" si="3">22*12</f>
        <v>264</v>
      </c>
      <c r="S7" s="57">
        <v>3168</v>
      </c>
      <c r="T7" s="74">
        <f t="shared" si="0"/>
        <v>1.2494739057239057</v>
      </c>
      <c r="U7" s="74">
        <f t="shared" si="1"/>
        <v>0.79166666666666663</v>
      </c>
      <c r="V7" s="74">
        <f t="shared" si="2"/>
        <v>0.11837121212121213</v>
      </c>
    </row>
    <row r="8" spans="1:22">
      <c r="A8" s="57">
        <v>3</v>
      </c>
      <c r="B8" s="157" t="s">
        <v>290</v>
      </c>
      <c r="C8" s="158" t="s">
        <v>291</v>
      </c>
      <c r="D8" s="157" t="s">
        <v>292</v>
      </c>
      <c r="E8" s="159">
        <v>1200000</v>
      </c>
      <c r="F8" s="62">
        <v>0.05</v>
      </c>
      <c r="G8" s="160">
        <v>142500</v>
      </c>
      <c r="H8" s="157">
        <v>10</v>
      </c>
      <c r="I8" s="157">
        <v>2</v>
      </c>
      <c r="J8" s="57">
        <v>50</v>
      </c>
      <c r="K8" s="62">
        <v>0.95</v>
      </c>
      <c r="L8" s="57"/>
      <c r="M8" s="72">
        <v>1</v>
      </c>
      <c r="N8" s="72"/>
      <c r="O8" s="161">
        <v>6000</v>
      </c>
      <c r="P8" s="161">
        <v>12000</v>
      </c>
      <c r="Q8" s="57">
        <v>12</v>
      </c>
      <c r="R8" s="146">
        <f t="shared" si="3"/>
        <v>264</v>
      </c>
      <c r="S8" s="57">
        <v>3168</v>
      </c>
      <c r="T8" s="74">
        <f t="shared" si="0"/>
        <v>0.74968434343434354</v>
      </c>
      <c r="U8" s="74">
        <f t="shared" si="1"/>
        <v>0.79166666666666663</v>
      </c>
      <c r="V8" s="74">
        <f t="shared" si="2"/>
        <v>9.4696969696969696E-2</v>
      </c>
    </row>
    <row r="9" spans="1:22">
      <c r="A9" s="57">
        <v>4</v>
      </c>
      <c r="B9" s="157" t="s">
        <v>293</v>
      </c>
      <c r="C9" s="157"/>
      <c r="D9" s="157"/>
      <c r="E9" s="162">
        <v>104800</v>
      </c>
      <c r="F9" s="62">
        <v>0.05</v>
      </c>
      <c r="G9" s="160">
        <v>16593.333333333332</v>
      </c>
      <c r="H9" s="157">
        <v>10</v>
      </c>
      <c r="I9" s="157">
        <v>4</v>
      </c>
      <c r="J9" s="57">
        <v>80</v>
      </c>
      <c r="K9" s="62">
        <v>0.8</v>
      </c>
      <c r="L9" s="57"/>
      <c r="M9" s="72">
        <v>1</v>
      </c>
      <c r="N9" s="72"/>
      <c r="O9" s="161">
        <v>524</v>
      </c>
      <c r="P9" s="161">
        <v>1048</v>
      </c>
      <c r="Q9" s="57">
        <v>12</v>
      </c>
      <c r="R9" s="146">
        <f t="shared" si="3"/>
        <v>264</v>
      </c>
      <c r="S9" s="57">
        <v>3168</v>
      </c>
      <c r="T9" s="74">
        <f>(E9-E9*F9)/(H9-I9)/(Q9*R9)/60</f>
        <v>8.7296576879910201E-2</v>
      </c>
      <c r="U9" s="74">
        <f t="shared" si="1"/>
        <v>1.0666666666666667</v>
      </c>
      <c r="V9" s="74">
        <f t="shared" si="2"/>
        <v>8.2702020202020197E-3</v>
      </c>
    </row>
    <row r="10" spans="1:22">
      <c r="B10" s="64" t="s">
        <v>148</v>
      </c>
    </row>
    <row r="11" spans="1:22">
      <c r="B11" s="65" t="s">
        <v>176</v>
      </c>
      <c r="C11" s="55"/>
    </row>
    <row r="12" spans="1:22">
      <c r="B12" s="65" t="s">
        <v>177</v>
      </c>
      <c r="C12" s="55"/>
    </row>
    <row r="13" spans="1:22">
      <c r="B13" s="65" t="s">
        <v>178</v>
      </c>
      <c r="C13" s="55"/>
    </row>
    <row r="14" spans="1:22">
      <c r="B14" s="65" t="s">
        <v>179</v>
      </c>
      <c r="C14" s="55"/>
    </row>
    <row r="15" spans="1:22">
      <c r="B15" s="55" t="s">
        <v>180</v>
      </c>
      <c r="P15" s="73"/>
    </row>
    <row r="18" spans="5:7" ht="22.5">
      <c r="E18" s="66"/>
      <c r="F18" s="66"/>
      <c r="G18" s="66"/>
    </row>
    <row r="19" spans="5:7" ht="22.5">
      <c r="E19" s="66"/>
      <c r="F19" s="66"/>
      <c r="G19" s="66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5" type="noConversion"/>
  <printOptions horizontalCentered="1"/>
  <pageMargins left="0.39370078740157499" right="0.39370078740157499" top="0.74803149606299202" bottom="0.74803149606299202" header="0.31496062992126" footer="0.31496062992126"/>
  <pageSetup paperSize="9" scale="71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G20"/>
  <sheetViews>
    <sheetView workbookViewId="0">
      <selection activeCell="D7" sqref="D7"/>
    </sheetView>
  </sheetViews>
  <sheetFormatPr defaultColWidth="9" defaultRowHeight="13.5"/>
  <cols>
    <col min="1" max="1" width="7.375" style="41" customWidth="1"/>
    <col min="2" max="2" width="19.875" style="41" customWidth="1"/>
    <col min="3" max="3" width="14.5" style="41" customWidth="1"/>
    <col min="4" max="4" width="12.25" style="41" customWidth="1"/>
    <col min="5" max="5" width="12.125" style="41" customWidth="1"/>
    <col min="6" max="6" width="10.125" style="41" customWidth="1"/>
    <col min="7" max="7" width="16.125" style="41" customWidth="1"/>
    <col min="8" max="8" width="12.75" style="41" customWidth="1"/>
    <col min="9" max="16384" width="9" style="41"/>
  </cols>
  <sheetData>
    <row r="1" spans="1:7" ht="20.25" customHeight="1">
      <c r="A1" s="243" t="s">
        <v>181</v>
      </c>
      <c r="B1" s="243"/>
      <c r="C1" s="243"/>
      <c r="D1" s="243"/>
      <c r="E1" s="243"/>
      <c r="F1" s="243"/>
      <c r="G1" s="243"/>
    </row>
    <row r="2" spans="1:7" s="16" customFormat="1" ht="18.75" customHeight="1">
      <c r="A2" s="188" t="str">
        <f>外购外协件明细!A2</f>
        <v>供应商 (盖章):北京光华荣昌汽车部件有限公司</v>
      </c>
      <c r="B2" s="188"/>
      <c r="C2" s="18" t="s">
        <v>58</v>
      </c>
      <c r="D2" s="244" t="str">
        <f>原材料明细!J2</f>
        <v>EST</v>
      </c>
      <c r="E2" s="244"/>
      <c r="F2" s="192" t="s">
        <v>60</v>
      </c>
      <c r="G2" s="192"/>
    </row>
    <row r="3" spans="1:7" s="16" customFormat="1" ht="18.75" customHeight="1">
      <c r="A3" s="42" t="str">
        <f>原材料明细!A3</f>
        <v>零件图号/名称:H4681021100A0/副驾驶员座椅总成</v>
      </c>
      <c r="B3" s="43"/>
      <c r="C3" s="43"/>
      <c r="D3" s="43"/>
      <c r="E3" s="43"/>
      <c r="F3" s="188" t="str">
        <f>原材料明细!N3</f>
        <v>报价填写日期:  2020.9.9</v>
      </c>
      <c r="G3" s="188"/>
    </row>
    <row r="4" spans="1:7" ht="27" customHeight="1">
      <c r="A4" s="242" t="s">
        <v>61</v>
      </c>
      <c r="B4" s="242" t="s">
        <v>182</v>
      </c>
      <c r="C4" s="242" t="s">
        <v>183</v>
      </c>
      <c r="D4" s="242" t="s">
        <v>184</v>
      </c>
      <c r="E4" s="242" t="s">
        <v>185</v>
      </c>
      <c r="F4" s="242" t="s">
        <v>186</v>
      </c>
      <c r="G4" s="242" t="s">
        <v>187</v>
      </c>
    </row>
    <row r="5" spans="1:7" ht="27" customHeight="1">
      <c r="A5" s="242"/>
      <c r="B5" s="242"/>
      <c r="C5" s="242"/>
      <c r="D5" s="242"/>
      <c r="E5" s="242"/>
      <c r="F5" s="242"/>
      <c r="G5" s="242"/>
    </row>
    <row r="6" spans="1:7">
      <c r="A6" s="44">
        <v>1</v>
      </c>
      <c r="B6" s="45" t="s">
        <v>35</v>
      </c>
      <c r="C6" s="46">
        <f>D6*汇总表!$D$17</f>
        <v>20.776841565740739</v>
      </c>
      <c r="D6" s="47">
        <v>0.04</v>
      </c>
      <c r="E6" s="48" t="s">
        <v>19</v>
      </c>
      <c r="F6" s="48" t="s">
        <v>19</v>
      </c>
      <c r="G6" s="48" t="s">
        <v>19</v>
      </c>
    </row>
    <row r="7" spans="1:7">
      <c r="A7" s="44">
        <v>2</v>
      </c>
      <c r="B7" s="45" t="s">
        <v>36</v>
      </c>
      <c r="C7" s="46">
        <f>D7*汇总表!$D$17</f>
        <v>7.7913155871527762</v>
      </c>
      <c r="D7" s="47">
        <v>1.4999999999999999E-2</v>
      </c>
      <c r="E7" s="48" t="s">
        <v>19</v>
      </c>
      <c r="F7" s="48" t="s">
        <v>19</v>
      </c>
      <c r="G7" s="48" t="s">
        <v>19</v>
      </c>
    </row>
    <row r="8" spans="1:7" ht="21" customHeight="1">
      <c r="A8" s="44">
        <v>3</v>
      </c>
      <c r="B8" s="45" t="s">
        <v>188</v>
      </c>
      <c r="C8" s="46">
        <f>D8*汇总表!$D$17</f>
        <v>15.582631174305552</v>
      </c>
      <c r="D8" s="47">
        <v>0.03</v>
      </c>
      <c r="E8" s="48" t="s">
        <v>19</v>
      </c>
      <c r="F8" s="48" t="s">
        <v>19</v>
      </c>
      <c r="G8" s="48" t="s">
        <v>19</v>
      </c>
    </row>
    <row r="10" spans="1:7" ht="24.75" customHeight="1">
      <c r="A10" s="243" t="s">
        <v>189</v>
      </c>
      <c r="B10" s="243" t="s">
        <v>190</v>
      </c>
      <c r="C10" s="243"/>
      <c r="D10" s="243"/>
      <c r="E10" s="243"/>
      <c r="F10" s="243"/>
      <c r="G10" s="243"/>
    </row>
    <row r="11" spans="1:7" s="40" customFormat="1">
      <c r="A11" s="49" t="s">
        <v>61</v>
      </c>
      <c r="B11" s="241" t="s">
        <v>191</v>
      </c>
      <c r="C11" s="241"/>
      <c r="D11" s="241" t="s">
        <v>192</v>
      </c>
      <c r="E11" s="241"/>
      <c r="F11" s="241" t="s">
        <v>193</v>
      </c>
      <c r="G11" s="241"/>
    </row>
    <row r="12" spans="1:7" s="40" customFormat="1">
      <c r="A12" s="49">
        <v>1</v>
      </c>
      <c r="B12" s="241" t="s">
        <v>194</v>
      </c>
      <c r="C12" s="241"/>
      <c r="D12" s="241" t="s">
        <v>19</v>
      </c>
      <c r="E12" s="241"/>
      <c r="F12" s="241" t="s">
        <v>19</v>
      </c>
      <c r="G12" s="241"/>
    </row>
    <row r="13" spans="1:7" s="40" customFormat="1">
      <c r="A13" s="49">
        <v>2</v>
      </c>
      <c r="B13" s="241" t="s">
        <v>195</v>
      </c>
      <c r="C13" s="241"/>
      <c r="D13" s="241" t="s">
        <v>19</v>
      </c>
      <c r="E13" s="241"/>
      <c r="F13" s="241" t="s">
        <v>19</v>
      </c>
      <c r="G13" s="241"/>
    </row>
    <row r="14" spans="1:7" s="40" customFormat="1">
      <c r="A14" s="241">
        <v>3</v>
      </c>
      <c r="B14" s="241" t="s">
        <v>196</v>
      </c>
      <c r="C14" s="50" t="s">
        <v>197</v>
      </c>
      <c r="D14" s="241" t="s">
        <v>19</v>
      </c>
      <c r="E14" s="241"/>
      <c r="F14" s="241" t="s">
        <v>19</v>
      </c>
      <c r="G14" s="241"/>
    </row>
    <row r="15" spans="1:7" s="40" customFormat="1">
      <c r="A15" s="241"/>
      <c r="B15" s="241"/>
      <c r="C15" s="49" t="s">
        <v>198</v>
      </c>
      <c r="D15" s="241" t="s">
        <v>19</v>
      </c>
      <c r="E15" s="241"/>
      <c r="F15" s="241" t="s">
        <v>19</v>
      </c>
      <c r="G15" s="241"/>
    </row>
    <row r="16" spans="1:7">
      <c r="A16" s="51"/>
      <c r="B16" s="52" t="s">
        <v>148</v>
      </c>
      <c r="C16" s="51"/>
      <c r="D16" s="51"/>
      <c r="E16" s="53"/>
    </row>
    <row r="17" spans="1:5">
      <c r="A17" s="51"/>
      <c r="B17" s="54" t="s">
        <v>199</v>
      </c>
      <c r="C17" s="51"/>
      <c r="D17" s="51"/>
      <c r="E17" s="53"/>
    </row>
    <row r="18" spans="1:5">
      <c r="A18" s="51"/>
      <c r="B18" s="54" t="s">
        <v>200</v>
      </c>
      <c r="C18" s="51"/>
      <c r="D18" s="51"/>
      <c r="E18" s="53"/>
    </row>
    <row r="19" spans="1:5">
      <c r="A19" s="51"/>
      <c r="B19" s="54" t="s">
        <v>201</v>
      </c>
      <c r="C19" s="51"/>
      <c r="D19" s="51"/>
      <c r="E19" s="53"/>
    </row>
    <row r="20" spans="1:5" customFormat="1">
      <c r="B20" s="55" t="s">
        <v>202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scale="96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N46"/>
  <sheetViews>
    <sheetView topLeftCell="A22" workbookViewId="0">
      <selection activeCell="C55" sqref="C55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216" t="s">
        <v>203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4" s="16" customFormat="1" ht="18.75" customHeight="1">
      <c r="A2" s="188" t="s">
        <v>56</v>
      </c>
      <c r="B2" s="188"/>
      <c r="C2" s="244" t="str">
        <f>原材料明细!C2</f>
        <v>北京光华荣昌汽车部件有限公司</v>
      </c>
      <c r="D2" s="244"/>
      <c r="E2" s="244"/>
      <c r="F2" s="18" t="s">
        <v>58</v>
      </c>
      <c r="G2" s="244" t="str">
        <f>原材料明细!J2</f>
        <v>EST</v>
      </c>
      <c r="H2" s="244"/>
      <c r="I2" s="244"/>
      <c r="J2" s="244"/>
      <c r="K2" s="244"/>
      <c r="L2" s="278" t="s">
        <v>204</v>
      </c>
      <c r="M2" s="278"/>
      <c r="N2" s="278"/>
    </row>
    <row r="3" spans="1:14" s="16" customFormat="1" ht="18.75" customHeight="1">
      <c r="A3" s="19" t="s">
        <v>121</v>
      </c>
      <c r="B3" s="19"/>
      <c r="C3" s="244" t="str">
        <f>加工明细!D3</f>
        <v>H4681021100A0/副驾驶员座椅总成</v>
      </c>
      <c r="D3" s="244"/>
      <c r="E3" s="244"/>
      <c r="F3" s="244"/>
      <c r="G3" s="244"/>
      <c r="H3" s="244"/>
      <c r="I3" s="244"/>
      <c r="J3" s="244"/>
      <c r="K3" s="244"/>
      <c r="L3" s="188" t="str">
        <f>原材料明细!N3</f>
        <v>报价填写日期:  2020.9.9</v>
      </c>
      <c r="M3" s="188"/>
      <c r="N3" s="188"/>
    </row>
    <row r="4" spans="1:14" ht="15">
      <c r="A4" s="273" t="s">
        <v>205</v>
      </c>
      <c r="B4" s="274"/>
      <c r="C4" s="274"/>
      <c r="D4" s="274"/>
      <c r="E4" s="274"/>
      <c r="F4" s="274"/>
      <c r="G4" s="274"/>
      <c r="H4" s="275"/>
      <c r="I4" s="273" t="s">
        <v>206</v>
      </c>
      <c r="J4" s="274"/>
      <c r="K4" s="274"/>
      <c r="L4" s="274"/>
      <c r="M4" s="274"/>
      <c r="N4" s="275"/>
    </row>
    <row r="5" spans="1:14">
      <c r="A5" s="20" t="s">
        <v>61</v>
      </c>
      <c r="B5" s="276" t="s">
        <v>24</v>
      </c>
      <c r="C5" s="277"/>
      <c r="D5" s="277"/>
      <c r="E5" s="277"/>
      <c r="F5" s="277" t="s">
        <v>207</v>
      </c>
      <c r="G5" s="277"/>
      <c r="H5" s="22"/>
      <c r="I5" s="20" t="s">
        <v>61</v>
      </c>
      <c r="J5" s="276" t="s">
        <v>24</v>
      </c>
      <c r="K5" s="277"/>
      <c r="L5" s="277"/>
      <c r="M5" s="277"/>
      <c r="N5" s="21" t="s">
        <v>207</v>
      </c>
    </row>
    <row r="6" spans="1:14">
      <c r="A6" s="23">
        <v>1</v>
      </c>
      <c r="B6" s="264" t="s">
        <v>208</v>
      </c>
      <c r="C6" s="264"/>
      <c r="D6" s="264"/>
      <c r="E6" s="264"/>
      <c r="F6" s="265" t="s">
        <v>19</v>
      </c>
      <c r="G6" s="258"/>
      <c r="H6" s="24"/>
      <c r="I6" s="23">
        <v>1</v>
      </c>
      <c r="J6" s="266" t="s">
        <v>209</v>
      </c>
      <c r="K6" s="267"/>
      <c r="L6" s="267"/>
      <c r="M6" s="267"/>
      <c r="N6" s="36">
        <v>1960</v>
      </c>
    </row>
    <row r="7" spans="1:14">
      <c r="A7" s="23">
        <v>2</v>
      </c>
      <c r="B7" s="264" t="s">
        <v>210</v>
      </c>
      <c r="C7" s="264"/>
      <c r="D7" s="264"/>
      <c r="E7" s="264"/>
      <c r="F7" s="265" t="s">
        <v>19</v>
      </c>
      <c r="G7" s="258"/>
      <c r="H7" s="24"/>
      <c r="I7" s="23">
        <v>2</v>
      </c>
      <c r="J7" s="266" t="s">
        <v>211</v>
      </c>
      <c r="K7" s="267"/>
      <c r="L7" s="267"/>
      <c r="M7" s="267"/>
      <c r="N7" s="36">
        <v>960</v>
      </c>
    </row>
    <row r="8" spans="1:14">
      <c r="A8" s="23">
        <v>3</v>
      </c>
      <c r="B8" s="264" t="s">
        <v>212</v>
      </c>
      <c r="C8" s="264"/>
      <c r="D8" s="264"/>
      <c r="E8" s="264"/>
      <c r="F8" s="265" t="s">
        <v>19</v>
      </c>
      <c r="G8" s="258"/>
      <c r="H8" s="24"/>
      <c r="I8" s="23">
        <v>3</v>
      </c>
      <c r="J8" s="266" t="s">
        <v>213</v>
      </c>
      <c r="K8" s="267"/>
      <c r="L8" s="267"/>
      <c r="M8" s="267"/>
      <c r="N8" s="36">
        <v>1870</v>
      </c>
    </row>
    <row r="9" spans="1:14">
      <c r="A9" s="23">
        <v>4</v>
      </c>
      <c r="B9" s="264" t="s">
        <v>214</v>
      </c>
      <c r="C9" s="264"/>
      <c r="D9" s="264"/>
      <c r="E9" s="264"/>
      <c r="F9" s="265" t="s">
        <v>19</v>
      </c>
      <c r="G9" s="258"/>
      <c r="H9" s="24"/>
      <c r="I9" s="23">
        <v>4</v>
      </c>
      <c r="J9" s="266" t="s">
        <v>215</v>
      </c>
      <c r="K9" s="267"/>
      <c r="L9" s="267"/>
      <c r="M9" s="267"/>
      <c r="N9" s="36"/>
    </row>
    <row r="10" spans="1:14">
      <c r="A10" s="23">
        <v>5</v>
      </c>
      <c r="B10" s="264" t="s">
        <v>216</v>
      </c>
      <c r="C10" s="264"/>
      <c r="D10" s="264"/>
      <c r="E10" s="264"/>
      <c r="F10" s="265" t="s">
        <v>19</v>
      </c>
      <c r="G10" s="258"/>
      <c r="H10" s="24"/>
      <c r="I10" s="23">
        <v>5</v>
      </c>
      <c r="J10" s="266" t="s">
        <v>217</v>
      </c>
      <c r="K10" s="267"/>
      <c r="L10" s="267"/>
      <c r="M10" s="267"/>
      <c r="N10" s="36">
        <v>64</v>
      </c>
    </row>
    <row r="11" spans="1:14" ht="15">
      <c r="A11" s="273" t="s">
        <v>218</v>
      </c>
      <c r="B11" s="274"/>
      <c r="C11" s="274"/>
      <c r="D11" s="274"/>
      <c r="E11" s="274"/>
      <c r="F11" s="274"/>
      <c r="G11" s="275"/>
      <c r="H11" s="24"/>
      <c r="I11" s="23">
        <v>6</v>
      </c>
      <c r="J11" s="266" t="s">
        <v>219</v>
      </c>
      <c r="K11" s="267"/>
      <c r="L11" s="267"/>
      <c r="M11" s="267"/>
      <c r="N11" s="36">
        <v>2500</v>
      </c>
    </row>
    <row r="12" spans="1:14">
      <c r="A12" s="23">
        <v>1</v>
      </c>
      <c r="B12" s="264" t="s">
        <v>220</v>
      </c>
      <c r="C12" s="264"/>
      <c r="D12" s="264"/>
      <c r="E12" s="264"/>
      <c r="F12" s="265" t="s">
        <v>19</v>
      </c>
      <c r="G12" s="258"/>
      <c r="H12" s="24"/>
      <c r="I12" s="23">
        <v>7</v>
      </c>
      <c r="J12" s="266" t="s">
        <v>221</v>
      </c>
      <c r="K12" s="267"/>
      <c r="L12" s="267"/>
      <c r="M12" s="267"/>
      <c r="N12" s="36">
        <v>160000</v>
      </c>
    </row>
    <row r="13" spans="1:14">
      <c r="A13" s="23">
        <v>2</v>
      </c>
      <c r="B13" s="264" t="s">
        <v>222</v>
      </c>
      <c r="C13" s="264"/>
      <c r="D13" s="264"/>
      <c r="E13" s="264"/>
      <c r="F13" s="265" t="s">
        <v>19</v>
      </c>
      <c r="G13" s="258"/>
      <c r="H13" s="24"/>
      <c r="I13" s="23">
        <v>8</v>
      </c>
      <c r="J13" s="266" t="s">
        <v>223</v>
      </c>
      <c r="K13" s="267"/>
      <c r="L13" s="267"/>
      <c r="M13" s="267"/>
      <c r="N13" s="36">
        <v>1</v>
      </c>
    </row>
    <row r="14" spans="1:14">
      <c r="A14" s="23">
        <v>3</v>
      </c>
      <c r="B14" s="264" t="s">
        <v>224</v>
      </c>
      <c r="C14" s="264"/>
      <c r="D14" s="264"/>
      <c r="E14" s="264"/>
      <c r="F14" s="265" t="s">
        <v>19</v>
      </c>
      <c r="G14" s="258"/>
      <c r="H14" s="24"/>
      <c r="I14" s="23">
        <v>9</v>
      </c>
      <c r="J14" s="266" t="s">
        <v>225</v>
      </c>
      <c r="K14" s="267"/>
      <c r="L14" s="267"/>
      <c r="M14" s="267"/>
      <c r="N14" s="36">
        <v>100000</v>
      </c>
    </row>
    <row r="15" spans="1:14">
      <c r="A15" s="23">
        <v>4</v>
      </c>
      <c r="B15" s="264" t="s">
        <v>226</v>
      </c>
      <c r="C15" s="264"/>
      <c r="D15" s="264"/>
      <c r="E15" s="264"/>
      <c r="F15" s="265" t="s">
        <v>19</v>
      </c>
      <c r="G15" s="258"/>
      <c r="H15" s="24"/>
      <c r="I15" s="23">
        <v>10</v>
      </c>
      <c r="J15" s="266" t="s">
        <v>227</v>
      </c>
      <c r="K15" s="267"/>
      <c r="L15" s="267"/>
      <c r="M15" s="267"/>
      <c r="N15" s="163">
        <f>N12/N14</f>
        <v>1.6</v>
      </c>
    </row>
    <row r="16" spans="1:14">
      <c r="A16" s="23">
        <v>5</v>
      </c>
      <c r="B16" s="264" t="s">
        <v>228</v>
      </c>
      <c r="C16" s="264"/>
      <c r="D16" s="264"/>
      <c r="E16" s="264"/>
      <c r="F16" s="265" t="s">
        <v>19</v>
      </c>
      <c r="G16" s="258"/>
    </row>
    <row r="17" spans="1:14" ht="15">
      <c r="A17" s="25" t="s">
        <v>229</v>
      </c>
      <c r="B17" s="26"/>
    </row>
    <row r="18" spans="1:14" ht="24" customHeight="1">
      <c r="A18" s="268" t="s">
        <v>230</v>
      </c>
      <c r="B18" s="256"/>
      <c r="C18" s="27" t="s">
        <v>231</v>
      </c>
      <c r="D18" s="268" t="s">
        <v>232</v>
      </c>
      <c r="E18" s="269"/>
      <c r="F18" s="27" t="s">
        <v>233</v>
      </c>
      <c r="G18" s="27" t="s">
        <v>234</v>
      </c>
      <c r="H18" s="270" t="s">
        <v>235</v>
      </c>
      <c r="I18" s="269"/>
      <c r="J18" s="271" t="s">
        <v>236</v>
      </c>
      <c r="K18" s="272"/>
      <c r="L18" s="272"/>
      <c r="M18" s="268" t="s">
        <v>237</v>
      </c>
      <c r="N18" s="268"/>
    </row>
    <row r="19" spans="1:14">
      <c r="A19" s="255" t="s">
        <v>84</v>
      </c>
      <c r="B19" s="256"/>
      <c r="C19" s="28" t="s">
        <v>19</v>
      </c>
      <c r="D19" s="256" t="s">
        <v>19</v>
      </c>
      <c r="E19" s="256"/>
      <c r="F19" s="29" t="s">
        <v>19</v>
      </c>
      <c r="G19" s="23" t="s">
        <v>19</v>
      </c>
      <c r="H19" s="257" t="s">
        <v>19</v>
      </c>
      <c r="I19" s="258"/>
      <c r="J19" s="256" t="s">
        <v>19</v>
      </c>
      <c r="K19" s="256"/>
      <c r="L19" s="256"/>
      <c r="M19" s="259" t="s">
        <v>19</v>
      </c>
      <c r="N19" s="260"/>
    </row>
    <row r="20" spans="1:14">
      <c r="A20" s="255" t="s">
        <v>238</v>
      </c>
      <c r="B20" s="256"/>
      <c r="C20" s="28" t="s">
        <v>19</v>
      </c>
      <c r="D20" s="256" t="s">
        <v>19</v>
      </c>
      <c r="E20" s="256"/>
      <c r="F20" s="29" t="s">
        <v>19</v>
      </c>
      <c r="G20" s="23" t="s">
        <v>19</v>
      </c>
      <c r="H20" s="257" t="s">
        <v>19</v>
      </c>
      <c r="I20" s="258"/>
      <c r="J20" s="256" t="s">
        <v>19</v>
      </c>
      <c r="K20" s="256"/>
      <c r="L20" s="256"/>
      <c r="M20" s="259" t="s">
        <v>19</v>
      </c>
      <c r="N20" s="260"/>
    </row>
    <row r="21" spans="1:14">
      <c r="A21" s="255" t="s">
        <v>239</v>
      </c>
      <c r="B21" s="256"/>
      <c r="C21" s="28" t="s">
        <v>19</v>
      </c>
      <c r="D21" s="256" t="s">
        <v>19</v>
      </c>
      <c r="E21" s="256"/>
      <c r="F21" s="29" t="s">
        <v>19</v>
      </c>
      <c r="G21" s="23" t="s">
        <v>19</v>
      </c>
      <c r="H21" s="257" t="s">
        <v>19</v>
      </c>
      <c r="I21" s="258"/>
      <c r="J21" s="256" t="s">
        <v>19</v>
      </c>
      <c r="K21" s="256"/>
      <c r="L21" s="256"/>
      <c r="M21" s="259" t="s">
        <v>19</v>
      </c>
      <c r="N21" s="260"/>
    </row>
    <row r="22" spans="1:14">
      <c r="A22" s="255" t="s">
        <v>240</v>
      </c>
      <c r="B22" s="256"/>
      <c r="C22" s="28" t="s">
        <v>19</v>
      </c>
      <c r="D22" s="256" t="s">
        <v>19</v>
      </c>
      <c r="E22" s="256"/>
      <c r="F22" s="29" t="s">
        <v>19</v>
      </c>
      <c r="G22" s="23" t="s">
        <v>19</v>
      </c>
      <c r="H22" s="257" t="s">
        <v>19</v>
      </c>
      <c r="I22" s="258"/>
      <c r="J22" s="256" t="s">
        <v>19</v>
      </c>
      <c r="K22" s="256"/>
      <c r="L22" s="256"/>
      <c r="M22" s="259" t="s">
        <v>19</v>
      </c>
      <c r="N22" s="260"/>
    </row>
    <row r="23" spans="1:14">
      <c r="A23" s="255" t="s">
        <v>241</v>
      </c>
      <c r="B23" s="256"/>
      <c r="C23" s="28" t="s">
        <v>19</v>
      </c>
      <c r="D23" s="256" t="s">
        <v>19</v>
      </c>
      <c r="E23" s="256"/>
      <c r="F23" s="29" t="s">
        <v>19</v>
      </c>
      <c r="G23" s="23" t="s">
        <v>19</v>
      </c>
      <c r="H23" s="257" t="s">
        <v>19</v>
      </c>
      <c r="I23" s="258"/>
      <c r="J23" s="256" t="s">
        <v>19</v>
      </c>
      <c r="K23" s="256"/>
      <c r="L23" s="256"/>
      <c r="M23" s="259" t="s">
        <v>19</v>
      </c>
      <c r="N23" s="260"/>
    </row>
    <row r="24" spans="1:14">
      <c r="A24" s="255" t="s">
        <v>242</v>
      </c>
      <c r="B24" s="256"/>
      <c r="C24" s="28" t="s">
        <v>19</v>
      </c>
      <c r="D24" s="256" t="s">
        <v>19</v>
      </c>
      <c r="E24" s="256"/>
      <c r="F24" s="29" t="s">
        <v>19</v>
      </c>
      <c r="G24" s="23" t="s">
        <v>19</v>
      </c>
      <c r="H24" s="257" t="s">
        <v>19</v>
      </c>
      <c r="I24" s="258"/>
      <c r="J24" s="256" t="s">
        <v>19</v>
      </c>
      <c r="K24" s="256"/>
      <c r="L24" s="256"/>
      <c r="M24" s="259" t="s">
        <v>19</v>
      </c>
      <c r="N24" s="260"/>
    </row>
    <row r="25" spans="1:14">
      <c r="A25" s="255" t="s">
        <v>243</v>
      </c>
      <c r="B25" s="256"/>
      <c r="C25" s="28" t="s">
        <v>19</v>
      </c>
      <c r="D25" s="256" t="s">
        <v>19</v>
      </c>
      <c r="E25" s="256"/>
      <c r="F25" s="29" t="s">
        <v>19</v>
      </c>
      <c r="G25" s="23" t="s">
        <v>19</v>
      </c>
      <c r="H25" s="257" t="s">
        <v>19</v>
      </c>
      <c r="I25" s="258"/>
      <c r="J25" s="256" t="s">
        <v>19</v>
      </c>
      <c r="K25" s="256"/>
      <c r="L25" s="256"/>
      <c r="M25" s="259" t="s">
        <v>19</v>
      </c>
      <c r="N25" s="260"/>
    </row>
    <row r="26" spans="1:14">
      <c r="A26" s="255" t="s">
        <v>244</v>
      </c>
      <c r="B26" s="256"/>
      <c r="C26" s="28" t="s">
        <v>19</v>
      </c>
      <c r="D26" s="256" t="s">
        <v>19</v>
      </c>
      <c r="E26" s="256"/>
      <c r="F26" s="29" t="s">
        <v>19</v>
      </c>
      <c r="G26" s="23" t="s">
        <v>19</v>
      </c>
      <c r="H26" s="257" t="s">
        <v>19</v>
      </c>
      <c r="I26" s="258"/>
      <c r="J26" s="256" t="s">
        <v>19</v>
      </c>
      <c r="K26" s="256"/>
      <c r="L26" s="256"/>
      <c r="M26" s="259" t="s">
        <v>19</v>
      </c>
      <c r="N26" s="260"/>
    </row>
    <row r="27" spans="1:14">
      <c r="A27" s="255" t="s">
        <v>245</v>
      </c>
      <c r="B27" s="256"/>
      <c r="C27" s="28" t="s">
        <v>19</v>
      </c>
      <c r="D27" s="256" t="s">
        <v>19</v>
      </c>
      <c r="E27" s="256"/>
      <c r="F27" s="29" t="s">
        <v>19</v>
      </c>
      <c r="G27" s="23" t="s">
        <v>19</v>
      </c>
      <c r="H27" s="257" t="s">
        <v>19</v>
      </c>
      <c r="I27" s="258"/>
      <c r="J27" s="256" t="s">
        <v>19</v>
      </c>
      <c r="K27" s="256"/>
      <c r="L27" s="256"/>
      <c r="M27" s="259" t="s">
        <v>19</v>
      </c>
      <c r="N27" s="260"/>
    </row>
    <row r="28" spans="1:14">
      <c r="A28" s="261" t="s">
        <v>246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52" t="str">
        <f>M21</f>
        <v>/</v>
      </c>
      <c r="N28" s="252"/>
    </row>
    <row r="30" spans="1:14">
      <c r="A30" s="250" t="s">
        <v>247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62">
        <f>N15</f>
        <v>1.6</v>
      </c>
      <c r="N30" s="263"/>
    </row>
    <row r="32" spans="1:14">
      <c r="A32" s="254" t="s">
        <v>248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</row>
    <row r="33" spans="1:14" ht="13.5" customHeight="1">
      <c r="A33" s="251" t="s">
        <v>249</v>
      </c>
      <c r="B33" s="251"/>
      <c r="C33" s="246" t="s">
        <v>294</v>
      </c>
      <c r="D33" s="246"/>
      <c r="E33" s="30" t="s">
        <v>295</v>
      </c>
      <c r="F33" s="247"/>
      <c r="G33" s="247"/>
      <c r="H33" s="247"/>
      <c r="I33" s="251" t="s">
        <v>296</v>
      </c>
      <c r="J33" s="251"/>
      <c r="K33" s="251"/>
      <c r="L33" s="251"/>
      <c r="M33" s="247">
        <v>9</v>
      </c>
      <c r="N33" s="247"/>
    </row>
    <row r="34" spans="1:14" ht="13.5" customHeight="1">
      <c r="A34" s="251" t="s">
        <v>250</v>
      </c>
      <c r="B34" s="251"/>
      <c r="C34" s="246" t="s">
        <v>251</v>
      </c>
      <c r="D34" s="246"/>
      <c r="E34" s="30" t="s">
        <v>297</v>
      </c>
      <c r="F34" s="247" t="s">
        <v>298</v>
      </c>
      <c r="G34" s="247"/>
      <c r="H34" s="247"/>
      <c r="I34" s="251" t="s">
        <v>299</v>
      </c>
      <c r="J34" s="251"/>
      <c r="K34" s="251"/>
      <c r="L34" s="251"/>
      <c r="M34" s="247">
        <v>8</v>
      </c>
      <c r="N34" s="247"/>
    </row>
    <row r="35" spans="1:14" ht="13.5" customHeight="1">
      <c r="A35" s="251" t="s">
        <v>252</v>
      </c>
      <c r="B35" s="251"/>
      <c r="C35" s="246">
        <v>280</v>
      </c>
      <c r="D35" s="246"/>
      <c r="E35" s="246" t="s">
        <v>300</v>
      </c>
      <c r="F35" s="247"/>
      <c r="G35" s="247"/>
      <c r="H35" s="247"/>
      <c r="I35" s="251" t="s">
        <v>301</v>
      </c>
      <c r="J35" s="251"/>
      <c r="K35" s="251"/>
      <c r="L35" s="251"/>
      <c r="M35" s="247">
        <v>1700</v>
      </c>
      <c r="N35" s="247"/>
    </row>
    <row r="36" spans="1:14" ht="13.5" customHeight="1">
      <c r="A36" s="251" t="s">
        <v>253</v>
      </c>
      <c r="B36" s="251"/>
      <c r="C36" s="246" t="s">
        <v>19</v>
      </c>
      <c r="D36" s="246"/>
      <c r="E36" s="246"/>
      <c r="F36" s="247"/>
      <c r="G36" s="247"/>
      <c r="H36" s="247"/>
      <c r="I36" s="251" t="s">
        <v>302</v>
      </c>
      <c r="J36" s="251"/>
      <c r="K36" s="251"/>
      <c r="L36" s="251"/>
      <c r="M36" s="252">
        <f>M35/M34/M33</f>
        <v>23.611111111111111</v>
      </c>
      <c r="N36" s="252"/>
    </row>
    <row r="37" spans="1:14" ht="13.5" customHeight="1"/>
    <row r="38" spans="1:14" ht="19.5" customHeight="1">
      <c r="A38" s="253" t="s">
        <v>254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</row>
    <row r="39" spans="1:14">
      <c r="A39" s="248" t="s">
        <v>255</v>
      </c>
      <c r="B39" s="248"/>
      <c r="C39" s="248"/>
      <c r="D39" s="248"/>
      <c r="E39" s="247" t="s">
        <v>19</v>
      </c>
      <c r="F39" s="247"/>
      <c r="G39" s="247" t="s">
        <v>148</v>
      </c>
      <c r="H39" s="247" t="s">
        <v>19</v>
      </c>
      <c r="I39" s="247"/>
      <c r="J39" s="247"/>
      <c r="K39" s="247"/>
      <c r="L39" s="247"/>
      <c r="M39" s="247"/>
      <c r="N39" s="247"/>
    </row>
    <row r="40" spans="1:14">
      <c r="A40" s="248" t="s">
        <v>256</v>
      </c>
      <c r="B40" s="248"/>
      <c r="C40" s="248"/>
      <c r="D40" s="248"/>
      <c r="E40" s="247" t="s">
        <v>19</v>
      </c>
      <c r="F40" s="247"/>
      <c r="G40" s="247"/>
      <c r="H40" s="247"/>
      <c r="I40" s="247"/>
      <c r="J40" s="247"/>
      <c r="K40" s="247"/>
      <c r="L40" s="247"/>
      <c r="M40" s="247"/>
      <c r="N40" s="247"/>
    </row>
    <row r="41" spans="1:14" ht="13.5" customHeight="1">
      <c r="A41" s="248" t="s">
        <v>257</v>
      </c>
      <c r="B41" s="248"/>
      <c r="C41" s="248"/>
      <c r="D41" s="248"/>
      <c r="E41" s="247" t="s">
        <v>19</v>
      </c>
      <c r="F41" s="247"/>
      <c r="G41" s="247"/>
      <c r="H41" s="247"/>
      <c r="I41" s="247"/>
      <c r="J41" s="247"/>
      <c r="K41" s="247"/>
      <c r="L41" s="247"/>
      <c r="M41" s="247"/>
      <c r="N41" s="247"/>
    </row>
    <row r="42" spans="1:14">
      <c r="A42" s="249" t="s">
        <v>258</v>
      </c>
      <c r="B42" s="249"/>
      <c r="C42" s="249"/>
      <c r="D42" s="249"/>
      <c r="E42" s="247" t="s">
        <v>19</v>
      </c>
      <c r="F42" s="247"/>
      <c r="G42" s="247"/>
      <c r="H42" s="247"/>
      <c r="I42" s="247"/>
      <c r="J42" s="247"/>
      <c r="K42" s="247"/>
      <c r="L42" s="247"/>
      <c r="M42" s="247"/>
      <c r="N42" s="247"/>
    </row>
    <row r="43" spans="1:14" s="17" customFormat="1"/>
    <row r="44" spans="1:14">
      <c r="A44" s="250" t="s">
        <v>259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45">
        <f>M36</f>
        <v>23.611111111111111</v>
      </c>
      <c r="N44" s="245"/>
    </row>
    <row r="45" spans="1:14">
      <c r="A45" s="33"/>
      <c r="B45" s="33"/>
      <c r="C45" s="33"/>
      <c r="D45" s="33"/>
      <c r="E45" s="33"/>
      <c r="F45" s="33"/>
      <c r="G45" s="33"/>
      <c r="H45" s="33"/>
      <c r="I45" s="33"/>
      <c r="J45" s="37"/>
      <c r="K45" s="38"/>
      <c r="L45" s="38"/>
      <c r="M45" s="39"/>
      <c r="N45" s="34"/>
    </row>
    <row r="46" spans="1:14">
      <c r="A46" s="34"/>
      <c r="B46" s="35" t="s">
        <v>260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</sheetData>
  <mergeCells count="131">
    <mergeCell ref="A1:N1"/>
    <mergeCell ref="A2:B2"/>
    <mergeCell ref="C2:E2"/>
    <mergeCell ref="G2:K2"/>
    <mergeCell ref="L2:N2"/>
    <mergeCell ref="C3:K3"/>
    <mergeCell ref="L3:N3"/>
    <mergeCell ref="A4:H4"/>
    <mergeCell ref="I4:N4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A11:G11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30:L30"/>
    <mergeCell ref="M30:N30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M44:N44"/>
    <mergeCell ref="E35:E36"/>
    <mergeCell ref="G39:G42"/>
    <mergeCell ref="H39:N42"/>
    <mergeCell ref="F35:H36"/>
    <mergeCell ref="A39:D39"/>
    <mergeCell ref="E39:F39"/>
    <mergeCell ref="A40:D40"/>
    <mergeCell ref="E40:F40"/>
    <mergeCell ref="A41:D41"/>
    <mergeCell ref="E41:F41"/>
    <mergeCell ref="A42:D42"/>
    <mergeCell ref="E42:F42"/>
    <mergeCell ref="A44:L44"/>
    <mergeCell ref="A35:B35"/>
    <mergeCell ref="C35:D35"/>
    <mergeCell ref="I35:L35"/>
    <mergeCell ref="M35:N35"/>
    <mergeCell ref="A36:B36"/>
    <mergeCell ref="C36:D36"/>
    <mergeCell ref="I36:L36"/>
    <mergeCell ref="M36:N36"/>
    <mergeCell ref="A38:N38"/>
  </mergeCells>
  <phoneticPr fontId="25" type="noConversion"/>
  <printOptions horizontalCentered="1"/>
  <pageMargins left="0.31496062992126" right="0.31496062992126" top="0.55118110236220497" bottom="0.35433070866141703" header="0.31496062992126" footer="0.31496062992126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17"/>
  <sheetViews>
    <sheetView workbookViewId="0">
      <selection activeCell="D29" sqref="D29"/>
    </sheetView>
  </sheetViews>
  <sheetFormatPr defaultColWidth="9" defaultRowHeight="13.5"/>
  <cols>
    <col min="1" max="1" width="4.25" customWidth="1"/>
    <col min="2" max="2" width="15.5" style="2" customWidth="1"/>
    <col min="3" max="3" width="10.875" style="2" customWidth="1"/>
    <col min="4" max="4" width="16.5" customWidth="1"/>
    <col min="5" max="5" width="7.625" customWidth="1"/>
    <col min="6" max="6" width="6.125" customWidth="1"/>
    <col min="7" max="7" width="16.375" customWidth="1"/>
    <col min="8" max="8" width="12.375" customWidth="1"/>
    <col min="10" max="11" width="6.75" customWidth="1"/>
    <col min="12" max="12" width="8" customWidth="1"/>
    <col min="13" max="13" width="10.7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290" t="s">
        <v>261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13"/>
      <c r="S1" s="13"/>
      <c r="T1" s="13"/>
      <c r="U1" s="13"/>
    </row>
    <row r="2" spans="1:21" s="1" customFormat="1">
      <c r="A2" s="233" t="s">
        <v>120</v>
      </c>
      <c r="B2" s="233"/>
      <c r="C2" s="233"/>
      <c r="D2" s="221" t="str">
        <f>加工明细!D2</f>
        <v>北京光华荣昌汽车部件有限公司</v>
      </c>
      <c r="E2" s="221"/>
      <c r="F2" s="221"/>
      <c r="G2" s="221"/>
      <c r="H2" s="3" t="s">
        <v>58</v>
      </c>
      <c r="I2" s="170" t="str">
        <f>加工明细!K2</f>
        <v>EST</v>
      </c>
      <c r="J2" s="170"/>
      <c r="K2" s="170"/>
      <c r="L2" s="170"/>
      <c r="M2" s="291" t="s">
        <v>204</v>
      </c>
      <c r="N2" s="291"/>
      <c r="O2" s="291"/>
      <c r="P2" s="291"/>
      <c r="Q2" s="291"/>
    </row>
    <row r="3" spans="1:21" s="1" customFormat="1">
      <c r="A3" s="202" t="s">
        <v>121</v>
      </c>
      <c r="B3" s="202"/>
      <c r="C3" s="202"/>
      <c r="D3" s="223" t="str">
        <f>加工明细!D3</f>
        <v>H4681021100A0/副驾驶员座椅总成</v>
      </c>
      <c r="E3" s="223"/>
      <c r="F3" s="223"/>
      <c r="G3" s="223"/>
      <c r="H3" s="223"/>
      <c r="I3" s="223"/>
      <c r="J3" s="223"/>
      <c r="K3" s="223"/>
      <c r="L3" s="223"/>
      <c r="M3" s="213" t="str">
        <f>原材料明细!N3</f>
        <v>报价填写日期:  2020.9.9</v>
      </c>
      <c r="N3" s="213"/>
      <c r="O3" s="213"/>
      <c r="P3" s="213"/>
      <c r="Q3" s="213"/>
    </row>
    <row r="4" spans="1:21" ht="13.5" customHeight="1">
      <c r="A4" s="286" t="s">
        <v>61</v>
      </c>
      <c r="B4" s="286" t="s">
        <v>63</v>
      </c>
      <c r="C4" s="286" t="s">
        <v>262</v>
      </c>
      <c r="D4" s="286" t="s">
        <v>123</v>
      </c>
      <c r="E4" s="286" t="s">
        <v>109</v>
      </c>
      <c r="F4" s="286" t="s">
        <v>263</v>
      </c>
      <c r="G4" s="286" t="s">
        <v>264</v>
      </c>
      <c r="H4" s="286" t="s">
        <v>265</v>
      </c>
      <c r="I4" s="286" t="s">
        <v>266</v>
      </c>
      <c r="J4" s="286" t="s">
        <v>267</v>
      </c>
      <c r="K4" s="286"/>
      <c r="L4" s="287" t="s">
        <v>268</v>
      </c>
      <c r="M4" s="287"/>
      <c r="N4" s="287"/>
      <c r="O4" s="288" t="s">
        <v>269</v>
      </c>
      <c r="P4" s="288" t="s">
        <v>270</v>
      </c>
      <c r="Q4" s="288" t="s">
        <v>27</v>
      </c>
    </row>
    <row r="5" spans="1:21" ht="24" customHeight="1">
      <c r="A5" s="286"/>
      <c r="B5" s="286"/>
      <c r="C5" s="286"/>
      <c r="D5" s="286"/>
      <c r="E5" s="286"/>
      <c r="F5" s="286"/>
      <c r="G5" s="286"/>
      <c r="H5" s="286"/>
      <c r="I5" s="286"/>
      <c r="J5" s="4" t="s">
        <v>70</v>
      </c>
      <c r="K5" s="4" t="s">
        <v>271</v>
      </c>
      <c r="L5" s="4" t="s">
        <v>272</v>
      </c>
      <c r="M5" s="7" t="s">
        <v>273</v>
      </c>
      <c r="N5" s="7" t="s">
        <v>87</v>
      </c>
      <c r="O5" s="289"/>
      <c r="P5" s="289"/>
      <c r="Q5" s="289"/>
    </row>
    <row r="6" spans="1:21">
      <c r="A6" s="5">
        <v>1</v>
      </c>
      <c r="B6" s="5" t="s">
        <v>303</v>
      </c>
      <c r="C6" s="5" t="s">
        <v>304</v>
      </c>
      <c r="D6" s="5"/>
      <c r="E6" s="5"/>
      <c r="F6" s="5"/>
      <c r="G6" s="5" t="s">
        <v>303</v>
      </c>
      <c r="H6" s="5" t="s">
        <v>305</v>
      </c>
      <c r="I6" s="5" t="s">
        <v>306</v>
      </c>
      <c r="J6" s="5"/>
      <c r="K6" s="5"/>
      <c r="L6" s="5"/>
      <c r="M6" s="281">
        <v>232000</v>
      </c>
      <c r="N6" s="5"/>
      <c r="O6" s="283">
        <v>50000</v>
      </c>
      <c r="P6" s="279">
        <f>M6/O6</f>
        <v>4.6399999999999997</v>
      </c>
      <c r="Q6" s="14"/>
    </row>
    <row r="7" spans="1:21">
      <c r="A7" s="5">
        <v>2</v>
      </c>
      <c r="B7" s="5" t="s">
        <v>307</v>
      </c>
      <c r="C7" s="5" t="s">
        <v>308</v>
      </c>
      <c r="D7" s="5"/>
      <c r="E7" s="5"/>
      <c r="F7" s="5"/>
      <c r="G7" s="5" t="s">
        <v>307</v>
      </c>
      <c r="H7" s="5" t="s">
        <v>305</v>
      </c>
      <c r="I7" s="5" t="s">
        <v>306</v>
      </c>
      <c r="J7" s="5"/>
      <c r="K7" s="5"/>
      <c r="L7" s="5"/>
      <c r="M7" s="282"/>
      <c r="N7" s="5"/>
      <c r="O7" s="284"/>
      <c r="P7" s="280"/>
      <c r="Q7" s="14"/>
    </row>
    <row r="8" spans="1:21">
      <c r="A8" s="5">
        <v>3</v>
      </c>
      <c r="B8" s="5" t="s">
        <v>309</v>
      </c>
      <c r="C8" s="5" t="s">
        <v>310</v>
      </c>
      <c r="D8" s="5"/>
      <c r="E8" s="5"/>
      <c r="F8" s="5"/>
      <c r="G8" s="5" t="s">
        <v>309</v>
      </c>
      <c r="H8" s="5" t="s">
        <v>311</v>
      </c>
      <c r="I8" s="5" t="s">
        <v>312</v>
      </c>
      <c r="J8" s="5"/>
      <c r="K8" s="5"/>
      <c r="L8" s="5"/>
      <c r="M8" s="8">
        <v>43000</v>
      </c>
      <c r="N8" s="5"/>
      <c r="O8" s="9">
        <v>50000</v>
      </c>
      <c r="P8" s="10">
        <f t="shared" ref="P8:P14" si="0">M8/O8</f>
        <v>0.86</v>
      </c>
      <c r="Q8" s="14"/>
    </row>
    <row r="9" spans="1:21">
      <c r="A9" s="5">
        <v>4</v>
      </c>
      <c r="B9" s="5" t="s">
        <v>313</v>
      </c>
      <c r="C9" s="5"/>
      <c r="D9" s="5"/>
      <c r="E9" s="5"/>
      <c r="F9" s="5"/>
      <c r="G9" s="5" t="s">
        <v>313</v>
      </c>
      <c r="H9" s="5"/>
      <c r="I9" s="5"/>
      <c r="J9" s="5"/>
      <c r="K9" s="5"/>
      <c r="L9" s="5"/>
      <c r="M9" s="8">
        <v>62000</v>
      </c>
      <c r="N9" s="5"/>
      <c r="O9" s="9">
        <v>50000</v>
      </c>
      <c r="P9" s="10">
        <f t="shared" si="0"/>
        <v>1.24</v>
      </c>
      <c r="Q9" s="14"/>
    </row>
    <row r="10" spans="1:21">
      <c r="A10" s="5">
        <v>5</v>
      </c>
      <c r="B10" s="5" t="s">
        <v>314</v>
      </c>
      <c r="C10" s="5"/>
      <c r="D10" s="5"/>
      <c r="E10" s="5"/>
      <c r="F10" s="5"/>
      <c r="G10" s="5" t="s">
        <v>314</v>
      </c>
      <c r="H10" s="5"/>
      <c r="I10" s="5"/>
      <c r="J10" s="5"/>
      <c r="K10" s="5"/>
      <c r="L10" s="5"/>
      <c r="M10" s="8">
        <v>58000</v>
      </c>
      <c r="N10" s="5"/>
      <c r="O10" s="9">
        <v>50000</v>
      </c>
      <c r="P10" s="10">
        <f t="shared" si="0"/>
        <v>1.1599999999999999</v>
      </c>
      <c r="Q10" s="14"/>
    </row>
    <row r="11" spans="1:21">
      <c r="A11" s="5">
        <v>6</v>
      </c>
      <c r="B11" s="5" t="s">
        <v>279</v>
      </c>
      <c r="C11" s="5"/>
      <c r="D11" s="5"/>
      <c r="E11" s="5"/>
      <c r="F11" s="5"/>
      <c r="G11" s="5" t="s">
        <v>279</v>
      </c>
      <c r="H11" s="5"/>
      <c r="I11" s="5"/>
      <c r="J11" s="5"/>
      <c r="K11" s="5"/>
      <c r="L11" s="5"/>
      <c r="M11" s="8">
        <v>49000</v>
      </c>
      <c r="N11" s="5"/>
      <c r="O11" s="9">
        <v>50000</v>
      </c>
      <c r="P11" s="10">
        <f t="shared" si="0"/>
        <v>0.98</v>
      </c>
      <c r="Q11" s="14"/>
    </row>
    <row r="12" spans="1:21">
      <c r="A12" s="5">
        <v>7</v>
      </c>
      <c r="B12" s="5" t="s">
        <v>315</v>
      </c>
      <c r="C12" s="5"/>
      <c r="D12" s="5"/>
      <c r="E12" s="5"/>
      <c r="F12" s="5"/>
      <c r="G12" s="5" t="s">
        <v>315</v>
      </c>
      <c r="H12" s="5"/>
      <c r="I12" s="5"/>
      <c r="J12" s="5"/>
      <c r="K12" s="5"/>
      <c r="L12" s="5"/>
      <c r="M12" s="8">
        <v>62000</v>
      </c>
      <c r="N12" s="5"/>
      <c r="O12" s="9">
        <v>50000</v>
      </c>
      <c r="P12" s="10">
        <f t="shared" si="0"/>
        <v>1.24</v>
      </c>
      <c r="Q12" s="14"/>
    </row>
    <row r="13" spans="1:21">
      <c r="A13" s="5">
        <v>8</v>
      </c>
      <c r="B13" s="5" t="s">
        <v>316</v>
      </c>
      <c r="C13" s="5"/>
      <c r="D13" s="5"/>
      <c r="E13" s="5"/>
      <c r="F13" s="5"/>
      <c r="G13" s="5" t="s">
        <v>316</v>
      </c>
      <c r="H13" s="5"/>
      <c r="I13" s="5"/>
      <c r="J13" s="5"/>
      <c r="K13" s="5"/>
      <c r="L13" s="5"/>
      <c r="M13" s="8">
        <v>51000</v>
      </c>
      <c r="N13" s="5"/>
      <c r="O13" s="9">
        <v>50000</v>
      </c>
      <c r="P13" s="10">
        <f t="shared" si="0"/>
        <v>1.02</v>
      </c>
      <c r="Q13" s="14"/>
    </row>
    <row r="14" spans="1:21">
      <c r="A14" s="5">
        <v>9</v>
      </c>
      <c r="B14" s="5" t="s">
        <v>317</v>
      </c>
      <c r="C14" s="5"/>
      <c r="D14" s="5"/>
      <c r="E14" s="5"/>
      <c r="F14" s="5"/>
      <c r="G14" s="5" t="s">
        <v>317</v>
      </c>
      <c r="H14" s="5"/>
      <c r="I14" s="5"/>
      <c r="J14" s="5"/>
      <c r="K14" s="5"/>
      <c r="L14" s="5"/>
      <c r="M14" s="8">
        <v>51000</v>
      </c>
      <c r="N14" s="5"/>
      <c r="O14" s="9">
        <v>50000</v>
      </c>
      <c r="P14" s="10">
        <f t="shared" si="0"/>
        <v>1.02</v>
      </c>
      <c r="Q14" s="14"/>
    </row>
    <row r="15" spans="1:21">
      <c r="A15" s="285" t="s">
        <v>87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11">
        <f>SUM(L6:L14)</f>
        <v>0</v>
      </c>
      <c r="M15" s="11">
        <f>SUM(M6:M14)</f>
        <v>608000</v>
      </c>
      <c r="N15" s="11">
        <f>SUM(N6:N14)</f>
        <v>0</v>
      </c>
      <c r="O15" s="5" t="s">
        <v>19</v>
      </c>
      <c r="P15" s="12">
        <f>SUM(P6:P14)</f>
        <v>12.16</v>
      </c>
      <c r="Q15" s="15"/>
    </row>
    <row r="17" spans="2:2">
      <c r="B17" s="6" t="s">
        <v>274</v>
      </c>
    </row>
  </sheetData>
  <mergeCells count="26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P6:P7"/>
    <mergeCell ref="M6:M7"/>
    <mergeCell ref="O6:O7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2020-09-09T05:29:55Z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KSOProductBuildVer">
    <vt:lpwstr>2052-11.1.0.9098</vt:lpwstr>
  </property>
</Properties>
</file>