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691"/>
  </bookViews>
  <sheets>
    <sheet name="月度付款  " sheetId="22" r:id="rId1"/>
    <sheet name="月付款明细 " sheetId="24" r:id="rId2"/>
    <sheet name="Sheet1" sheetId="21" r:id="rId3"/>
  </sheets>
  <externalReferences>
    <externalReference r:id="rId4"/>
  </externalReferences>
  <definedNames>
    <definedName name="_xlnm._FilterDatabase" localSheetId="0" hidden="1">'月度付款  '!$A$4:$AA$66</definedName>
    <definedName name="_xlnm._FilterDatabase" localSheetId="1" hidden="1">'月付款明细 '!$A$2:$BR$61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E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H8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K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卖广亿螺母，货款中扣除</t>
        </r>
      </text>
    </comment>
    <comment ref="B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B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E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</t>
        </r>
      </text>
    </comment>
    <comment ref="BB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三包费</t>
        </r>
      </text>
    </comment>
    <comment ref="BH2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6</t>
        </r>
        <r>
          <rPr>
            <sz val="9"/>
            <rFont val="宋体"/>
            <charset val="134"/>
          </rPr>
          <t>月三包费</t>
        </r>
      </text>
    </comment>
    <comment ref="BE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考核款</t>
        </r>
      </text>
    </comment>
    <comment ref="J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
</t>
        </r>
      </text>
    </comment>
    <comment ref="J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</t>
        </r>
      </text>
    </comment>
    <comment ref="BE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2020.7-2020.12厂房租赁费</t>
        </r>
      </text>
    </comment>
    <comment ref="C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原邓景亮</t>
        </r>
      </text>
    </comment>
    <comment ref="BE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2020.7-2020.9厂房租赁费
</t>
        </r>
      </text>
    </comment>
  </commentList>
</comments>
</file>

<file path=xl/sharedStrings.xml><?xml version="1.0" encoding="utf-8"?>
<sst xmlns="http://schemas.openxmlformats.org/spreadsheetml/2006/main" count="322" uniqueCount="167">
  <si>
    <t>2020年11月供应商付款明细</t>
  </si>
  <si>
    <t>单位：潍坊光华荣昌汽车技术有限公司</t>
  </si>
  <si>
    <t>单位：元</t>
  </si>
  <si>
    <t>序号</t>
  </si>
  <si>
    <t>供应商代码</t>
  </si>
  <si>
    <t>供应商名称</t>
  </si>
  <si>
    <t>账期</t>
  </si>
  <si>
    <t>2020、6月底余额</t>
  </si>
  <si>
    <t>2020.8月底余额</t>
  </si>
  <si>
    <t>7月账期开始~20.12.31已付款</t>
  </si>
  <si>
    <t>9月账期开始~20.12.31已付款</t>
  </si>
  <si>
    <t>按账期应付</t>
  </si>
  <si>
    <t>付款计划</t>
  </si>
  <si>
    <t>贴息费</t>
  </si>
  <si>
    <t>实付金额</t>
  </si>
  <si>
    <t>支付比例</t>
  </si>
  <si>
    <t>支付方式</t>
  </si>
  <si>
    <t>备注</t>
  </si>
  <si>
    <t>A</t>
  </si>
  <si>
    <t>B</t>
  </si>
  <si>
    <t>C</t>
  </si>
  <si>
    <t>D</t>
  </si>
  <si>
    <t>E=A-C/B-D</t>
  </si>
  <si>
    <t>F</t>
  </si>
  <si>
    <t>G</t>
  </si>
  <si>
    <t>H</t>
  </si>
  <si>
    <t>I=F/E(%)</t>
  </si>
  <si>
    <t>现金扣点</t>
  </si>
  <si>
    <t>承兑</t>
  </si>
  <si>
    <t>现金</t>
  </si>
  <si>
    <t>20.4月份挂账金额</t>
  </si>
  <si>
    <t>20.5月份挂账金额</t>
  </si>
  <si>
    <t>20.6月份挂账金额</t>
  </si>
  <si>
    <t>20.7月份挂账金额</t>
  </si>
  <si>
    <t>20.8月份挂账金额</t>
  </si>
  <si>
    <t>20.9月份挂账金额</t>
  </si>
  <si>
    <t>20.10月份挂账金额</t>
  </si>
  <si>
    <t>20.11月份挂账金额</t>
  </si>
  <si>
    <t>2020年7至11月份挂账总金额</t>
  </si>
  <si>
    <t>2020年11月应付账款余额</t>
  </si>
  <si>
    <t>北京浦东三浦标准件有限公司</t>
  </si>
  <si>
    <t>120天</t>
  </si>
  <si>
    <t>北京瑞隆祥模具有限公司</t>
  </si>
  <si>
    <t>天津市益中汽车安全带厂</t>
  </si>
  <si>
    <t>黄骅市泰行汽车配件有限公司</t>
  </si>
  <si>
    <t>黄骅市长生汽车灯镜有限公司</t>
  </si>
  <si>
    <t>黄骅市广亿汽车部件有限公司</t>
  </si>
  <si>
    <t>黄骅市鑫祺汽车配件有限公司</t>
  </si>
  <si>
    <t>海兴中盛弹簧有限公司</t>
  </si>
  <si>
    <t>1913025A</t>
  </si>
  <si>
    <t>河北新强力机械制造有限公司</t>
  </si>
  <si>
    <t>黄骅市亚征汽车配件有限公司</t>
  </si>
  <si>
    <t>黄骅天丰汽车配件有限公司</t>
  </si>
  <si>
    <t>黄骅市雍丰塑料制品有限公司</t>
  </si>
  <si>
    <t>1913050A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</si>
  <si>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</si>
  <si>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</si>
  <si>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</si>
  <si>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</si>
  <si>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深州市卓伦橡塑磨具有限公司</t>
  </si>
  <si>
    <t>保定市京苑汽车装饰配件厂</t>
  </si>
  <si>
    <t>保定兆龙通用电器塑业有限公司</t>
  </si>
  <si>
    <t>1913247A</t>
  </si>
  <si>
    <t>沧州志鹏聚氨酯制品有限公司</t>
  </si>
  <si>
    <t>黄骅万昌五金制品有限公司</t>
  </si>
  <si>
    <t>文安县德实汽车配件有限公司</t>
  </si>
  <si>
    <t>黄骅再兴汽车配件有限公司</t>
  </si>
  <si>
    <t>江苏力乐汽车部件股份有限公司</t>
  </si>
  <si>
    <t>常州华阳万联汽车附件有限公司</t>
  </si>
  <si>
    <t>苏州苏宁标准件有限公司</t>
  </si>
  <si>
    <t>黄骅市京港机电设备有限公司</t>
  </si>
  <si>
    <t>青岛福基纺织有限公司</t>
  </si>
  <si>
    <t>诸城市黄海剑杆织布厂</t>
  </si>
  <si>
    <t>襄阳杰创化工新材料有限公司</t>
  </si>
  <si>
    <t>L1172</t>
  </si>
  <si>
    <t>合肥光码科技有限公司</t>
  </si>
  <si>
    <t>黄骅同辉汽车配件有限公司</t>
  </si>
  <si>
    <t>北京旺博林包装材料有限公司</t>
  </si>
  <si>
    <t>黄骅汇铭汽车部件有限公司</t>
  </si>
  <si>
    <t>L1031</t>
  </si>
  <si>
    <t>江阴长青工艺品有限公司</t>
  </si>
  <si>
    <t>L1091</t>
  </si>
  <si>
    <t>湖南精正设备制造有限公司</t>
  </si>
  <si>
    <t>L1171</t>
  </si>
  <si>
    <t>北京鹏宇兴业精密模具制造有限</t>
  </si>
  <si>
    <t>L2036</t>
  </si>
  <si>
    <t>厦门市三友和机械有限公司</t>
  </si>
  <si>
    <t>L2037</t>
  </si>
  <si>
    <t>廊坊华文机电设备有限公司</t>
  </si>
  <si>
    <t>L3002</t>
  </si>
  <si>
    <t>北京华伟唐运输服务有限公</t>
  </si>
  <si>
    <t>L3016</t>
  </si>
  <si>
    <t>北京祥瑞祥远运输有限责任公司</t>
  </si>
  <si>
    <t>1932389A</t>
  </si>
  <si>
    <t>溧阳鑫岩汽车零部件有限公司</t>
  </si>
  <si>
    <t>日照联成工程机械有限公司</t>
  </si>
  <si>
    <t>北京场景智能科技有限公司</t>
  </si>
  <si>
    <t>山东金达汽车部件制造有限公司</t>
  </si>
  <si>
    <t>L1176</t>
  </si>
  <si>
    <t>安路普（北京）汽车技术有限公</t>
  </si>
  <si>
    <t>慈溪市维克多自控元件有限公司</t>
  </si>
  <si>
    <t>浙江万里安全器材制造有限公司</t>
  </si>
  <si>
    <t>山东万澳汽车附件科技有限公司</t>
  </si>
  <si>
    <t>L2026a</t>
  </si>
  <si>
    <t>旷达汽车饰件系统有限公司</t>
  </si>
  <si>
    <t>L4896</t>
  </si>
  <si>
    <t>湘乡简美新材料科技有限公司</t>
  </si>
  <si>
    <t>l4309</t>
  </si>
  <si>
    <t>吉林省德邦汽车电子有限公司</t>
  </si>
  <si>
    <t>L4876</t>
  </si>
  <si>
    <t>青岛华瑞利工贸有限公司</t>
  </si>
  <si>
    <t>60天</t>
  </si>
  <si>
    <t>潍坊振晟汽车零部件有限公司</t>
  </si>
  <si>
    <t>诸城市新汇众物流有限公司</t>
  </si>
  <si>
    <t>L4382</t>
  </si>
  <si>
    <t>诸城市仁德物流有限公司</t>
  </si>
  <si>
    <t>黄骅市致远摩托车配件有限公司</t>
  </si>
  <si>
    <t>L4991</t>
  </si>
  <si>
    <t>黄骅市洪昌运输队</t>
  </si>
  <si>
    <t>合计</t>
  </si>
  <si>
    <t xml:space="preserve">经办人：                                          部门批准：                                                财务审核：                                                财务经理：                                                              总经理：  </t>
  </si>
  <si>
    <t>付款明细</t>
  </si>
  <si>
    <t>19.4月</t>
  </si>
  <si>
    <t>4月扣点</t>
  </si>
  <si>
    <t>4月考核</t>
  </si>
  <si>
    <t>19.5月</t>
  </si>
  <si>
    <t>5月扣点</t>
  </si>
  <si>
    <t>5月考核</t>
  </si>
  <si>
    <t>19.6月</t>
  </si>
  <si>
    <t>6月扣点</t>
  </si>
  <si>
    <t>6月考核</t>
  </si>
  <si>
    <t>19.7月</t>
  </si>
  <si>
    <t>7月扣点</t>
  </si>
  <si>
    <t>7月考核</t>
  </si>
  <si>
    <t>19.8月</t>
  </si>
  <si>
    <t>8月扣点</t>
  </si>
  <si>
    <t>8月考核</t>
  </si>
  <si>
    <t>19.9月</t>
  </si>
  <si>
    <t>9月扣点</t>
  </si>
  <si>
    <t>9月考核</t>
  </si>
  <si>
    <t>19.10月</t>
  </si>
  <si>
    <t>10月扣点</t>
  </si>
  <si>
    <t>10月考核</t>
  </si>
  <si>
    <t>19.11月</t>
  </si>
  <si>
    <t>11月扣点</t>
  </si>
  <si>
    <t>11月考核</t>
  </si>
  <si>
    <t>19.12月</t>
  </si>
  <si>
    <t>12月扣点</t>
  </si>
  <si>
    <t>12月考核</t>
  </si>
  <si>
    <t>20.1月</t>
  </si>
  <si>
    <t>1月扣点</t>
  </si>
  <si>
    <t>1月考核</t>
  </si>
  <si>
    <t>20.2月</t>
  </si>
  <si>
    <t>2月扣点</t>
  </si>
  <si>
    <t>2月考核</t>
  </si>
  <si>
    <t>20.3月</t>
  </si>
  <si>
    <t>3月扣点</t>
  </si>
  <si>
    <t>3月考核</t>
  </si>
  <si>
    <t>20.4月</t>
  </si>
  <si>
    <t>20.5月</t>
  </si>
  <si>
    <t>20.6月</t>
  </si>
  <si>
    <t>20.7月</t>
  </si>
  <si>
    <t>20.8月</t>
  </si>
  <si>
    <t>20.9月</t>
  </si>
  <si>
    <t>20.10月</t>
  </si>
  <si>
    <t>20.11月</t>
  </si>
  <si>
    <t>20.12月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</si>
</sst>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  <numFmt numFmtId="177" formatCode="#,##0.00_ "/>
    <numFmt numFmtId="178" formatCode="_-* #,##0_-;\-* #,##0_-;_-* &quot;-&quot;_-;_-@_-"/>
    <numFmt numFmtId="179" formatCode="_ \¥* #,##0.00_ ;_ \¥* \-#,##0.00_ ;_ \¥* &quot;-&quot;??_ ;_ @_ "/>
    <numFmt numFmtId="180" formatCode="#,##0.00_);[Red]\(#,##0.00\)"/>
    <numFmt numFmtId="181" formatCode="0.00_ "/>
    <numFmt numFmtId="182" formatCode="_-* #,##0.00_-;\-* #,##0.00_-;_-* &quot;-&quot;??_-;_-@_-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indexed="0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b/>
      <sz val="9"/>
      <color rgb="FFFF0000"/>
      <name val="宋体"/>
      <charset val="134"/>
      <scheme val="maj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MS Sans Serif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30" borderId="14" applyNumberFormat="0" applyAlignment="0" applyProtection="0">
      <alignment vertical="center"/>
    </xf>
    <xf numFmtId="0" fontId="34" fillId="30" borderId="11" applyNumberFormat="0" applyAlignment="0" applyProtection="0">
      <alignment vertical="center"/>
    </xf>
    <xf numFmtId="0" fontId="35" fillId="35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0"/>
    <xf numFmtId="43" fontId="28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0" borderId="1" xfId="5" applyNumberFormat="1" applyFont="1" applyFill="1" applyBorder="1" applyAlignment="1">
      <alignment horizontal="center" vertical="center" wrapText="1" shrinkToFit="1"/>
    </xf>
    <xf numFmtId="4" fontId="3" fillId="0" borderId="1" xfId="5" applyNumberFormat="1" applyFont="1" applyFill="1" applyBorder="1" applyAlignment="1">
      <alignment horizontal="center" vertical="center" shrinkToFit="1"/>
    </xf>
    <xf numFmtId="4" fontId="3" fillId="2" borderId="1" xfId="5" applyNumberFormat="1" applyFont="1" applyFill="1" applyBorder="1" applyAlignment="1">
      <alignment horizontal="center" vertical="center" wrapText="1" shrinkToFit="1"/>
    </xf>
    <xf numFmtId="4" fontId="3" fillId="2" borderId="1" xfId="5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4" fontId="5" fillId="0" borderId="1" xfId="5" applyNumberFormat="1" applyFont="1" applyFill="1" applyBorder="1" applyAlignment="1">
      <alignment horizontal="left" shrinkToFit="1"/>
    </xf>
    <xf numFmtId="4" fontId="5" fillId="2" borderId="1" xfId="5" applyNumberFormat="1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left" vertical="center"/>
    </xf>
    <xf numFmtId="4" fontId="4" fillId="0" borderId="1" xfId="5" applyNumberFormat="1" applyFont="1" applyFill="1" applyBorder="1" applyAlignment="1">
      <alignment horizontal="left" vertical="center"/>
    </xf>
    <xf numFmtId="4" fontId="5" fillId="2" borderId="1" xfId="5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49" applyNumberFormat="1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6" fillId="3" borderId="1" xfId="49" applyFont="1" applyFill="1" applyBorder="1" applyAlignment="1">
      <alignment horizontal="left" vertical="center"/>
    </xf>
    <xf numFmtId="0" fontId="7" fillId="3" borderId="1" xfId="0" applyFont="1" applyFill="1" applyBorder="1" applyAlignment="1"/>
    <xf numFmtId="0" fontId="6" fillId="2" borderId="1" xfId="49" applyFont="1" applyFill="1" applyBorder="1" applyAlignment="1">
      <alignment horizontal="left" vertical="center"/>
    </xf>
    <xf numFmtId="0" fontId="6" fillId="4" borderId="1" xfId="49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4" fontId="4" fillId="2" borderId="1" xfId="5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9" fillId="2" borderId="1" xfId="0" applyFont="1" applyFill="1" applyBorder="1">
      <alignment vertical="center"/>
    </xf>
    <xf numFmtId="4" fontId="3" fillId="2" borderId="5" xfId="5" applyNumberFormat="1" applyFont="1" applyFill="1" applyBorder="1" applyAlignment="1">
      <alignment horizontal="center" vertical="center" wrapText="1" shrinkToFit="1"/>
    </xf>
    <xf numFmtId="0" fontId="4" fillId="2" borderId="5" xfId="0" applyFont="1" applyFill="1" applyBorder="1">
      <alignment vertical="center"/>
    </xf>
    <xf numFmtId="0" fontId="0" fillId="2" borderId="5" xfId="0" applyFill="1" applyBorder="1">
      <alignment vertical="center"/>
    </xf>
    <xf numFmtId="4" fontId="3" fillId="3" borderId="1" xfId="5" applyNumberFormat="1" applyFont="1" applyFill="1" applyBorder="1" applyAlignment="1">
      <alignment horizontal="center" vertical="center" wrapText="1" shrinkToFit="1"/>
    </xf>
    <xf numFmtId="0" fontId="5" fillId="3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5" borderId="0" xfId="0" applyFill="1">
      <alignment vertical="center"/>
    </xf>
    <xf numFmtId="177" fontId="0" fillId="6" borderId="0" xfId="0" applyNumberFormat="1" applyFill="1">
      <alignment vertical="center"/>
    </xf>
    <xf numFmtId="0" fontId="10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49" applyFont="1" applyFill="1" applyBorder="1" applyAlignment="1">
      <alignment horizontal="left" vertical="center"/>
    </xf>
    <xf numFmtId="0" fontId="12" fillId="0" borderId="7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8" xfId="49" applyFont="1" applyFill="1" applyBorder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 wrapText="1"/>
    </xf>
    <xf numFmtId="0" fontId="13" fillId="0" borderId="6" xfId="49" applyFont="1" applyFill="1" applyBorder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" fontId="14" fillId="0" borderId="1" xfId="5" applyNumberFormat="1" applyFont="1" applyFill="1" applyBorder="1" applyAlignment="1">
      <alignment horizontal="left" shrinkToFit="1"/>
    </xf>
    <xf numFmtId="4" fontId="14" fillId="0" borderId="1" xfId="5" applyNumberFormat="1" applyFont="1" applyFill="1" applyBorder="1" applyAlignment="1">
      <alignment horizontal="right" shrinkToFit="1"/>
    </xf>
    <xf numFmtId="4" fontId="12" fillId="0" borderId="1" xfId="5" applyNumberFormat="1" applyFont="1" applyFill="1" applyBorder="1" applyAlignment="1">
      <alignment horizontal="right" shrinkToFit="1"/>
    </xf>
    <xf numFmtId="0" fontId="14" fillId="0" borderId="1" xfId="5" applyNumberFormat="1" applyFont="1" applyFill="1" applyBorder="1" applyAlignment="1">
      <alignment horizontal="left" shrinkToFit="1"/>
    </xf>
    <xf numFmtId="0" fontId="6" fillId="0" borderId="1" xfId="0" applyNumberFormat="1" applyFont="1" applyFill="1" applyBorder="1" applyAlignment="1">
      <alignment horizontal="left" vertical="center"/>
    </xf>
    <xf numFmtId="0" fontId="6" fillId="5" borderId="1" xfId="49" applyFont="1" applyFill="1" applyBorder="1" applyAlignment="1">
      <alignment horizontal="center" vertical="center"/>
    </xf>
    <xf numFmtId="0" fontId="7" fillId="5" borderId="1" xfId="0" applyFont="1" applyFill="1" applyBorder="1" applyAlignment="1"/>
    <xf numFmtId="4" fontId="14" fillId="5" borderId="1" xfId="5" applyNumberFormat="1" applyFont="1" applyFill="1" applyBorder="1" applyAlignment="1">
      <alignment horizontal="right" shrinkToFit="1"/>
    </xf>
    <xf numFmtId="0" fontId="7" fillId="5" borderId="1" xfId="0" applyFont="1" applyFill="1" applyBorder="1" applyAlignment="1">
      <alignment horizontal="left"/>
    </xf>
    <xf numFmtId="0" fontId="6" fillId="5" borderId="1" xfId="49" applyFont="1" applyFill="1" applyBorder="1" applyAlignment="1">
      <alignment horizontal="left" vertical="center"/>
    </xf>
    <xf numFmtId="4" fontId="14" fillId="5" borderId="1" xfId="5" applyNumberFormat="1" applyFont="1" applyFill="1" applyBorder="1" applyAlignment="1">
      <alignment horizontal="left" shrinkToFit="1"/>
    </xf>
    <xf numFmtId="0" fontId="6" fillId="0" borderId="3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4" fontId="14" fillId="0" borderId="1" xfId="5" applyNumberFormat="1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left" vertical="center"/>
    </xf>
    <xf numFmtId="4" fontId="14" fillId="0" borderId="0" xfId="5" applyNumberFormat="1" applyFont="1" applyFill="1" applyBorder="1" applyAlignment="1">
      <alignment horizontal="right" shrinkToFit="1"/>
    </xf>
    <xf numFmtId="0" fontId="10" fillId="0" borderId="0" xfId="0" applyFont="1" applyFill="1" applyBorder="1" applyAlignment="1">
      <alignment horizontal="center" vertical="center"/>
    </xf>
    <xf numFmtId="10" fontId="12" fillId="0" borderId="7" xfId="49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3" fillId="7" borderId="1" xfId="49" applyNumberFormat="1" applyFont="1" applyFill="1" applyBorder="1" applyAlignment="1">
      <alignment horizontal="center" vertical="center"/>
    </xf>
    <xf numFmtId="179" fontId="13" fillId="0" borderId="1" xfId="49" applyNumberFormat="1" applyFont="1" applyFill="1" applyBorder="1" applyAlignment="1">
      <alignment horizontal="center" vertical="center"/>
    </xf>
    <xf numFmtId="10" fontId="13" fillId="0" borderId="1" xfId="49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43" fontId="14" fillId="0" borderId="1" xfId="8" applyFont="1" applyFill="1" applyBorder="1" applyAlignment="1">
      <alignment vertical="center"/>
    </xf>
    <xf numFmtId="181" fontId="14" fillId="0" borderId="1" xfId="8" applyNumberFormat="1" applyFont="1" applyFill="1" applyBorder="1" applyAlignment="1">
      <alignment horizontal="center" vertical="center"/>
    </xf>
    <xf numFmtId="10" fontId="14" fillId="0" borderId="1" xfId="8" applyNumberFormat="1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 wrapText="1"/>
    </xf>
    <xf numFmtId="182" fontId="15" fillId="0" borderId="1" xfId="0" applyNumberFormat="1" applyFont="1" applyFill="1" applyBorder="1" applyAlignment="1">
      <alignment horizontal="center" vertical="center" wrapText="1"/>
    </xf>
    <xf numFmtId="43" fontId="12" fillId="0" borderId="1" xfId="8" applyFont="1" applyFill="1" applyBorder="1" applyAlignment="1">
      <alignment vertical="center"/>
    </xf>
    <xf numFmtId="182" fontId="12" fillId="0" borderId="1" xfId="0" applyNumberFormat="1" applyFont="1" applyFill="1" applyBorder="1" applyAlignment="1">
      <alignment horizontal="center" vertical="center" wrapText="1"/>
    </xf>
    <xf numFmtId="182" fontId="16" fillId="0" borderId="1" xfId="0" applyNumberFormat="1" applyFont="1" applyFill="1" applyBorder="1" applyAlignment="1">
      <alignment horizontal="center" vertical="center" wrapText="1"/>
    </xf>
    <xf numFmtId="43" fontId="14" fillId="5" borderId="1" xfId="8" applyFont="1" applyFill="1" applyBorder="1" applyAlignment="1">
      <alignment vertical="center"/>
    </xf>
    <xf numFmtId="181" fontId="14" fillId="5" borderId="1" xfId="8" applyNumberFormat="1" applyFont="1" applyFill="1" applyBorder="1" applyAlignment="1">
      <alignment horizontal="center" vertical="center"/>
    </xf>
    <xf numFmtId="10" fontId="14" fillId="5" borderId="1" xfId="8" applyNumberFormat="1" applyFont="1" applyFill="1" applyBorder="1" applyAlignment="1">
      <alignment horizontal="center" vertical="center"/>
    </xf>
    <xf numFmtId="182" fontId="14" fillId="5" borderId="1" xfId="0" applyNumberFormat="1" applyFont="1" applyFill="1" applyBorder="1" applyAlignment="1">
      <alignment horizontal="center" vertical="center" wrapText="1"/>
    </xf>
    <xf numFmtId="43" fontId="12" fillId="5" borderId="1" xfId="8" applyFont="1" applyFill="1" applyBorder="1" applyAlignment="1">
      <alignment vertical="center"/>
    </xf>
    <xf numFmtId="182" fontId="12" fillId="5" borderId="1" xfId="0" applyNumberFormat="1" applyFont="1" applyFill="1" applyBorder="1" applyAlignment="1">
      <alignment horizontal="center" vertical="center" wrapText="1"/>
    </xf>
    <xf numFmtId="182" fontId="16" fillId="5" borderId="1" xfId="0" applyNumberFormat="1" applyFont="1" applyFill="1" applyBorder="1" applyAlignment="1">
      <alignment horizontal="center" vertical="center" wrapText="1"/>
    </xf>
    <xf numFmtId="182" fontId="1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82" fontId="12" fillId="0" borderId="0" xfId="0" applyNumberFormat="1" applyFont="1" applyFill="1" applyBorder="1" applyAlignment="1">
      <alignment horizontal="center" vertical="center" wrapText="1"/>
    </xf>
    <xf numFmtId="182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7" fontId="8" fillId="6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6" borderId="0" xfId="0" applyNumberFormat="1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177" fontId="4" fillId="5" borderId="0" xfId="0" applyNumberFormat="1" applyFont="1" applyFill="1">
      <alignment vertical="center"/>
    </xf>
    <xf numFmtId="0" fontId="13" fillId="5" borderId="1" xfId="0" applyFont="1" applyFill="1" applyBorder="1" applyAlignment="1">
      <alignment horizontal="center" vertical="center"/>
    </xf>
    <xf numFmtId="0" fontId="8" fillId="7" borderId="0" xfId="0" applyFont="1" applyFill="1">
      <alignment vertical="center"/>
    </xf>
    <xf numFmtId="4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B05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493;&#22346;&#20809;&#21326;&#33635;&#26124;&#20379;&#24212;&#21830;&#22238;&#27454;&#35745;&#21010;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付款  "/>
      <sheetName val="月付款明细 "/>
      <sheetName val="Sheet1"/>
    </sheetNames>
    <sheetDataSet>
      <sheetData sheetId="0"/>
      <sheetData sheetId="1">
        <row r="64">
          <cell r="BC64">
            <v>6423300</v>
          </cell>
          <cell r="BD64">
            <v>626700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0"/>
  <sheetViews>
    <sheetView tabSelected="1" workbookViewId="0">
      <pane ySplit="4" topLeftCell="A5" activePane="bottomLeft" state="frozen"/>
      <selection/>
      <selection pane="bottomLeft" activeCell="AC12" sqref="AC12"/>
    </sheetView>
  </sheetViews>
  <sheetFormatPr defaultColWidth="9" defaultRowHeight="13.5"/>
  <cols>
    <col min="1" max="1" width="6.875" customWidth="1"/>
    <col min="3" max="3" width="22.5" customWidth="1"/>
    <col min="4" max="4" width="9" customWidth="1"/>
    <col min="5" max="5" width="11.125" customWidth="1"/>
    <col min="6" max="6" width="10.375" customWidth="1"/>
    <col min="7" max="7" width="15.5" customWidth="1"/>
    <col min="8" max="8" width="12.25" customWidth="1"/>
    <col min="9" max="9" width="13.875" customWidth="1"/>
    <col min="10" max="10" width="12.25" hidden="1" customWidth="1"/>
    <col min="11" max="11" width="12.625" hidden="1" customWidth="1"/>
    <col min="12" max="12" width="9" hidden="1" customWidth="1"/>
    <col min="13" max="13" width="9" customWidth="1"/>
    <col min="14" max="16" width="8.25" hidden="1" customWidth="1"/>
    <col min="17" max="24" width="12.125" customWidth="1"/>
    <col min="25" max="25" width="9" customWidth="1"/>
    <col min="26" max="26" width="12.7916666666667" customWidth="1"/>
    <col min="27" max="27" width="19.75" style="48" customWidth="1"/>
    <col min="28" max="28" width="11.5"/>
    <col min="29" max="29" width="9.375"/>
  </cols>
  <sheetData>
    <row r="1" ht="18.75" spans="1:25">
      <c r="A1" s="49" t="s">
        <v>0</v>
      </c>
      <c r="B1" s="49"/>
      <c r="C1" s="50"/>
      <c r="D1" s="49"/>
      <c r="E1" s="51"/>
      <c r="F1" s="51"/>
      <c r="G1" s="51"/>
      <c r="H1" s="51"/>
      <c r="I1" s="51"/>
      <c r="J1" s="49"/>
      <c r="K1" s="49"/>
      <c r="L1" s="49"/>
      <c r="M1" s="49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49"/>
    </row>
    <row r="2" spans="1:25">
      <c r="A2" s="52" t="s">
        <v>1</v>
      </c>
      <c r="B2" s="52"/>
      <c r="C2" s="52"/>
      <c r="D2" s="52"/>
      <c r="E2" s="52"/>
      <c r="F2" s="52"/>
      <c r="G2" s="53"/>
      <c r="H2" s="53"/>
      <c r="I2" s="53"/>
      <c r="J2" s="52"/>
      <c r="K2" s="53"/>
      <c r="L2" s="52"/>
      <c r="M2" s="77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52" t="s">
        <v>2</v>
      </c>
    </row>
    <row r="3" ht="33.75" spans="1:25">
      <c r="A3" s="54" t="s">
        <v>3</v>
      </c>
      <c r="B3" s="55" t="s">
        <v>4</v>
      </c>
      <c r="C3" s="54" t="s">
        <v>5</v>
      </c>
      <c r="D3" s="54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79" t="s">
        <v>11</v>
      </c>
      <c r="J3" s="80" t="s">
        <v>12</v>
      </c>
      <c r="K3" s="58" t="s">
        <v>13</v>
      </c>
      <c r="L3" s="58" t="s">
        <v>14</v>
      </c>
      <c r="M3" s="81" t="s">
        <v>15</v>
      </c>
      <c r="N3" s="82" t="s">
        <v>16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103" t="s">
        <v>17</v>
      </c>
    </row>
    <row r="4" ht="22.5" spans="1:27">
      <c r="A4" s="54"/>
      <c r="B4" s="57"/>
      <c r="C4" s="54"/>
      <c r="D4" s="54"/>
      <c r="E4" s="58" t="s">
        <v>18</v>
      </c>
      <c r="F4" s="58" t="s">
        <v>19</v>
      </c>
      <c r="G4" s="58" t="s">
        <v>20</v>
      </c>
      <c r="H4" s="58" t="s">
        <v>21</v>
      </c>
      <c r="I4" s="58" t="s">
        <v>22</v>
      </c>
      <c r="J4" s="80" t="s">
        <v>23</v>
      </c>
      <c r="K4" s="58" t="s">
        <v>24</v>
      </c>
      <c r="L4" s="58" t="s">
        <v>25</v>
      </c>
      <c r="M4" s="81" t="s">
        <v>26</v>
      </c>
      <c r="N4" s="82" t="s">
        <v>27</v>
      </c>
      <c r="O4" s="82" t="s">
        <v>28</v>
      </c>
      <c r="P4" s="82" t="s">
        <v>29</v>
      </c>
      <c r="Q4" s="82" t="s">
        <v>30</v>
      </c>
      <c r="R4" s="82" t="s">
        <v>31</v>
      </c>
      <c r="S4" s="82" t="s">
        <v>32</v>
      </c>
      <c r="T4" s="82" t="s">
        <v>33</v>
      </c>
      <c r="U4" s="82" t="s">
        <v>34</v>
      </c>
      <c r="V4" s="82" t="s">
        <v>35</v>
      </c>
      <c r="W4" s="82" t="s">
        <v>36</v>
      </c>
      <c r="X4" s="82" t="s">
        <v>37</v>
      </c>
      <c r="Y4" s="103"/>
      <c r="Z4" s="104" t="s">
        <v>38</v>
      </c>
      <c r="AA4" s="105" t="s">
        <v>39</v>
      </c>
    </row>
    <row r="5" spans="1:27">
      <c r="A5" s="59">
        <v>1</v>
      </c>
      <c r="B5" s="20">
        <v>1911127</v>
      </c>
      <c r="C5" s="60" t="s">
        <v>40</v>
      </c>
      <c r="D5" s="59" t="s">
        <v>41</v>
      </c>
      <c r="E5" s="61">
        <v>541170.39</v>
      </c>
      <c r="F5" s="61"/>
      <c r="G5" s="61">
        <f>VLOOKUP(B5,'月付款明细 '!B:BO,66,0)</f>
        <v>300000</v>
      </c>
      <c r="H5" s="61"/>
      <c r="I5" s="61">
        <f>E5-G5</f>
        <v>241170.39</v>
      </c>
      <c r="J5" s="83"/>
      <c r="K5" s="84"/>
      <c r="L5" s="83"/>
      <c r="M5" s="85">
        <f t="shared" ref="M5:M52" si="0">IFERROR(J5/I5,"")</f>
        <v>0</v>
      </c>
      <c r="N5" s="86"/>
      <c r="O5" s="86"/>
      <c r="P5" s="86"/>
      <c r="Q5" s="86">
        <v>0</v>
      </c>
      <c r="R5" s="86">
        <v>118883.86</v>
      </c>
      <c r="S5" s="86">
        <v>75616.01</v>
      </c>
      <c r="T5" s="86">
        <v>93895.12</v>
      </c>
      <c r="U5" s="86">
        <v>62670.6</v>
      </c>
      <c r="V5" s="86">
        <v>61142.13</v>
      </c>
      <c r="W5" s="86">
        <v>65021.02</v>
      </c>
      <c r="X5" s="86">
        <v>75937.45</v>
      </c>
      <c r="Y5" s="106"/>
      <c r="Z5" s="33">
        <f>SUM(T5:X5)</f>
        <v>358666.32</v>
      </c>
      <c r="AA5" s="107">
        <f>I5+Z5</f>
        <v>599836.71</v>
      </c>
    </row>
    <row r="6" spans="1:27">
      <c r="A6" s="59">
        <v>2</v>
      </c>
      <c r="B6" s="20">
        <v>1911138</v>
      </c>
      <c r="C6" s="60" t="s">
        <v>42</v>
      </c>
      <c r="D6" s="59" t="s">
        <v>41</v>
      </c>
      <c r="E6" s="61">
        <v>41599.39</v>
      </c>
      <c r="F6" s="61"/>
      <c r="G6" s="61">
        <f>VLOOKUP(B6,'月付款明细 '!B:BO,66,0)</f>
        <v>0</v>
      </c>
      <c r="H6" s="61"/>
      <c r="I6" s="61">
        <f t="shared" ref="I5:I27" si="1">E6-G6</f>
        <v>41599.39</v>
      </c>
      <c r="J6" s="83"/>
      <c r="K6" s="84"/>
      <c r="L6" s="83"/>
      <c r="M6" s="85">
        <f t="shared" si="0"/>
        <v>0</v>
      </c>
      <c r="N6" s="86"/>
      <c r="O6" s="86"/>
      <c r="P6" s="87"/>
      <c r="Q6" s="86">
        <v>0</v>
      </c>
      <c r="R6" s="86">
        <v>0</v>
      </c>
      <c r="S6" s="86"/>
      <c r="T6" s="86"/>
      <c r="U6" s="86"/>
      <c r="V6" s="86">
        <v>7262.4</v>
      </c>
      <c r="W6" s="86">
        <v>6390.04</v>
      </c>
      <c r="X6" s="86">
        <v>1461.2</v>
      </c>
      <c r="Y6" s="106"/>
      <c r="Z6" s="33">
        <f t="shared" ref="Z6:Z37" si="2">SUM(T6:X6)</f>
        <v>15113.64</v>
      </c>
      <c r="AA6" s="107">
        <f t="shared" ref="AA6:AA37" si="3">I6+Z6</f>
        <v>56713.03</v>
      </c>
    </row>
    <row r="7" spans="1:27">
      <c r="A7" s="59">
        <v>3</v>
      </c>
      <c r="B7" s="20">
        <v>1912220</v>
      </c>
      <c r="C7" s="60" t="s">
        <v>43</v>
      </c>
      <c r="D7" s="59" t="s">
        <v>41</v>
      </c>
      <c r="E7" s="61">
        <v>3666.5</v>
      </c>
      <c r="F7" s="61"/>
      <c r="G7" s="61">
        <f>VLOOKUP(B7,'月付款明细 '!B:BO,66,0)</f>
        <v>3666.5</v>
      </c>
      <c r="H7" s="61"/>
      <c r="I7" s="61">
        <f t="shared" si="1"/>
        <v>0</v>
      </c>
      <c r="J7" s="83"/>
      <c r="K7" s="84"/>
      <c r="L7" s="83"/>
      <c r="M7" s="85" t="str">
        <f t="shared" si="0"/>
        <v/>
      </c>
      <c r="N7" s="86"/>
      <c r="O7" s="86"/>
      <c r="P7" s="87"/>
      <c r="Q7" s="86">
        <v>0</v>
      </c>
      <c r="R7" s="86">
        <v>0</v>
      </c>
      <c r="S7" s="86"/>
      <c r="T7" s="86"/>
      <c r="U7" s="86"/>
      <c r="V7" s="86">
        <v>0</v>
      </c>
      <c r="W7" s="86">
        <v>0</v>
      </c>
      <c r="X7" s="86">
        <v>0</v>
      </c>
      <c r="Y7" s="106"/>
      <c r="Z7" s="33">
        <f t="shared" si="2"/>
        <v>0</v>
      </c>
      <c r="AA7" s="107">
        <f t="shared" si="3"/>
        <v>0</v>
      </c>
    </row>
    <row r="8" spans="1:27">
      <c r="A8" s="59">
        <v>4</v>
      </c>
      <c r="B8" s="20">
        <v>1913001</v>
      </c>
      <c r="C8" s="60" t="s">
        <v>44</v>
      </c>
      <c r="D8" s="59" t="s">
        <v>41</v>
      </c>
      <c r="E8" s="61">
        <v>305641.23</v>
      </c>
      <c r="F8" s="62"/>
      <c r="G8" s="61">
        <f>VLOOKUP(B8,'月付款明细 '!B:BO,66,0)</f>
        <v>120000</v>
      </c>
      <c r="H8" s="62"/>
      <c r="I8" s="61">
        <f t="shared" si="1"/>
        <v>185641.23</v>
      </c>
      <c r="J8" s="83"/>
      <c r="K8" s="84"/>
      <c r="L8" s="88"/>
      <c r="M8" s="85">
        <f t="shared" si="0"/>
        <v>0</v>
      </c>
      <c r="N8" s="89"/>
      <c r="O8" s="89"/>
      <c r="P8" s="90"/>
      <c r="Q8" s="86">
        <v>69702.69</v>
      </c>
      <c r="R8" s="86">
        <v>49458.37</v>
      </c>
      <c r="S8" s="86"/>
      <c r="T8" s="86">
        <v>25331.32</v>
      </c>
      <c r="U8" s="86">
        <v>28050.25</v>
      </c>
      <c r="V8" s="86">
        <v>0</v>
      </c>
      <c r="W8" s="86">
        <v>5319.1</v>
      </c>
      <c r="X8" s="86">
        <v>0</v>
      </c>
      <c r="Y8" s="103"/>
      <c r="Z8" s="33">
        <f t="shared" si="2"/>
        <v>58700.67</v>
      </c>
      <c r="AA8" s="107">
        <f t="shared" si="3"/>
        <v>244341.9</v>
      </c>
    </row>
    <row r="9" spans="1:27">
      <c r="A9" s="59">
        <v>5</v>
      </c>
      <c r="B9" s="20">
        <v>1913005</v>
      </c>
      <c r="C9" s="60" t="s">
        <v>45</v>
      </c>
      <c r="D9" s="59" t="s">
        <v>41</v>
      </c>
      <c r="E9" s="61">
        <v>3620827.21</v>
      </c>
      <c r="F9" s="61"/>
      <c r="G9" s="61">
        <f>VLOOKUP(B9,'月付款明细 '!B:BO,66,0)</f>
        <v>3211887.5</v>
      </c>
      <c r="H9" s="61"/>
      <c r="I9" s="61">
        <f t="shared" si="1"/>
        <v>408939.71</v>
      </c>
      <c r="J9" s="83"/>
      <c r="K9" s="84"/>
      <c r="L9" s="83"/>
      <c r="M9" s="85">
        <f t="shared" si="0"/>
        <v>0</v>
      </c>
      <c r="N9" s="86"/>
      <c r="O9" s="86"/>
      <c r="P9" s="87"/>
      <c r="Q9" s="86">
        <v>707440.31</v>
      </c>
      <c r="R9" s="86">
        <v>674709.87</v>
      </c>
      <c r="S9" s="86">
        <v>294905.08</v>
      </c>
      <c r="T9" s="86">
        <v>248181.63</v>
      </c>
      <c r="U9" s="86">
        <v>219626.08</v>
      </c>
      <c r="V9" s="86">
        <v>198196.54</v>
      </c>
      <c r="W9" s="86">
        <v>288456.37</v>
      </c>
      <c r="X9" s="86">
        <v>297415.88</v>
      </c>
      <c r="Y9" s="106"/>
      <c r="Z9" s="33">
        <f t="shared" si="2"/>
        <v>1251876.5</v>
      </c>
      <c r="AA9" s="107">
        <f t="shared" si="3"/>
        <v>1660816.21</v>
      </c>
    </row>
    <row r="10" spans="1:27">
      <c r="A10" s="59">
        <v>6</v>
      </c>
      <c r="B10" s="20">
        <v>1913006</v>
      </c>
      <c r="C10" s="60" t="s">
        <v>46</v>
      </c>
      <c r="D10" s="59" t="s">
        <v>41</v>
      </c>
      <c r="E10" s="61">
        <v>4203484.93</v>
      </c>
      <c r="F10" s="61"/>
      <c r="G10" s="61">
        <f>VLOOKUP(B10,'月付款明细 '!B:BO,66,0)</f>
        <v>3296757</v>
      </c>
      <c r="H10" s="61"/>
      <c r="I10" s="61">
        <f t="shared" si="1"/>
        <v>906727.93</v>
      </c>
      <c r="J10" s="83"/>
      <c r="K10" s="84"/>
      <c r="L10" s="83"/>
      <c r="M10" s="85">
        <f t="shared" si="0"/>
        <v>0</v>
      </c>
      <c r="N10" s="86"/>
      <c r="O10" s="86"/>
      <c r="P10" s="87"/>
      <c r="Q10" s="86">
        <v>0</v>
      </c>
      <c r="R10" s="86">
        <v>463325.83</v>
      </c>
      <c r="S10" s="86">
        <v>1475469.92</v>
      </c>
      <c r="T10" s="86">
        <v>1080172.64</v>
      </c>
      <c r="U10" s="86">
        <v>684329.84</v>
      </c>
      <c r="V10" s="86">
        <v>554320.43</v>
      </c>
      <c r="W10" s="86">
        <v>759714.51</v>
      </c>
      <c r="X10" s="86">
        <v>645081.95</v>
      </c>
      <c r="Y10" s="106"/>
      <c r="Z10" s="33">
        <f t="shared" si="2"/>
        <v>3723619.37</v>
      </c>
      <c r="AA10" s="107">
        <f t="shared" si="3"/>
        <v>4630347.3</v>
      </c>
    </row>
    <row r="11" spans="1:27">
      <c r="A11" s="59">
        <v>7</v>
      </c>
      <c r="B11" s="20">
        <v>1913017</v>
      </c>
      <c r="C11" s="60" t="s">
        <v>47</v>
      </c>
      <c r="D11" s="59" t="s">
        <v>41</v>
      </c>
      <c r="E11" s="61">
        <v>1579117.49</v>
      </c>
      <c r="F11" s="61"/>
      <c r="G11" s="61">
        <f>VLOOKUP(B11,'月付款明细 '!B:BO,66,0)</f>
        <v>1352445</v>
      </c>
      <c r="H11" s="61"/>
      <c r="I11" s="61">
        <f t="shared" si="1"/>
        <v>226672.49</v>
      </c>
      <c r="J11" s="83"/>
      <c r="K11" s="84"/>
      <c r="L11" s="83"/>
      <c r="M11" s="85">
        <f t="shared" si="0"/>
        <v>0</v>
      </c>
      <c r="N11" s="86"/>
      <c r="O11" s="86"/>
      <c r="P11" s="87"/>
      <c r="Q11" s="86">
        <v>240485.43</v>
      </c>
      <c r="R11" s="86">
        <v>501816.54</v>
      </c>
      <c r="S11" s="86"/>
      <c r="T11" s="86">
        <v>809749.99</v>
      </c>
      <c r="U11" s="86">
        <v>453553.62</v>
      </c>
      <c r="V11" s="86">
        <v>630705.28</v>
      </c>
      <c r="W11" s="86">
        <v>436588.32</v>
      </c>
      <c r="X11" s="86">
        <v>270578.58</v>
      </c>
      <c r="Y11" s="106"/>
      <c r="Z11" s="33">
        <f t="shared" si="2"/>
        <v>2601175.79</v>
      </c>
      <c r="AA11" s="107">
        <f t="shared" si="3"/>
        <v>2827848.28</v>
      </c>
    </row>
    <row r="12" spans="1:27">
      <c r="A12" s="59">
        <v>8</v>
      </c>
      <c r="B12" s="20">
        <v>1913023</v>
      </c>
      <c r="C12" s="60" t="s">
        <v>48</v>
      </c>
      <c r="D12" s="59" t="s">
        <v>41</v>
      </c>
      <c r="E12" s="61">
        <v>27979.07</v>
      </c>
      <c r="F12" s="61"/>
      <c r="G12" s="61">
        <f>VLOOKUP(B12,'月付款明细 '!B:BO,66,0)</f>
        <v>12400</v>
      </c>
      <c r="H12" s="61"/>
      <c r="I12" s="61">
        <f t="shared" si="1"/>
        <v>15579.07</v>
      </c>
      <c r="J12" s="83"/>
      <c r="K12" s="84"/>
      <c r="L12" s="83"/>
      <c r="M12" s="85">
        <f t="shared" si="0"/>
        <v>0</v>
      </c>
      <c r="N12" s="86"/>
      <c r="O12" s="86"/>
      <c r="P12" s="87"/>
      <c r="Q12" s="86">
        <v>348.13</v>
      </c>
      <c r="R12" s="86">
        <v>1545.01</v>
      </c>
      <c r="S12" s="86">
        <v>1478.81</v>
      </c>
      <c r="T12" s="86">
        <v>704.73</v>
      </c>
      <c r="U12" s="86">
        <v>376.58</v>
      </c>
      <c r="V12" s="86">
        <v>604684.34</v>
      </c>
      <c r="W12" s="86">
        <v>107950.39</v>
      </c>
      <c r="X12" s="86">
        <v>88158.29</v>
      </c>
      <c r="Y12" s="106"/>
      <c r="Z12" s="33">
        <f t="shared" si="2"/>
        <v>801874.33</v>
      </c>
      <c r="AA12" s="107">
        <f t="shared" si="3"/>
        <v>817453.4</v>
      </c>
    </row>
    <row r="13" spans="1:27">
      <c r="A13" s="59">
        <v>9</v>
      </c>
      <c r="B13" s="20" t="s">
        <v>49</v>
      </c>
      <c r="C13" s="60" t="s">
        <v>50</v>
      </c>
      <c r="D13" s="59" t="s">
        <v>41</v>
      </c>
      <c r="E13" s="61">
        <v>951819.51</v>
      </c>
      <c r="F13" s="61"/>
      <c r="G13" s="61">
        <f>VLOOKUP(B13,'月付款明细 '!B:BO,66,0)</f>
        <v>800000</v>
      </c>
      <c r="H13" s="61"/>
      <c r="I13" s="61">
        <f t="shared" si="1"/>
        <v>151819.51</v>
      </c>
      <c r="J13" s="83"/>
      <c r="K13" s="84"/>
      <c r="L13" s="83"/>
      <c r="M13" s="85">
        <f t="shared" si="0"/>
        <v>0</v>
      </c>
      <c r="N13" s="86"/>
      <c r="O13" s="86"/>
      <c r="P13" s="87"/>
      <c r="Q13" s="86">
        <v>164992.97</v>
      </c>
      <c r="R13" s="86">
        <v>199275.63</v>
      </c>
      <c r="S13" s="86">
        <v>126708.11</v>
      </c>
      <c r="T13" s="86">
        <v>97277.91</v>
      </c>
      <c r="U13" s="86">
        <v>78415.73</v>
      </c>
      <c r="V13" s="86">
        <v>61636.7</v>
      </c>
      <c r="W13" s="86">
        <v>64900.99</v>
      </c>
      <c r="X13" s="86">
        <v>40555.13</v>
      </c>
      <c r="Y13" s="106"/>
      <c r="Z13" s="33">
        <f t="shared" si="2"/>
        <v>342786.46</v>
      </c>
      <c r="AA13" s="107">
        <f t="shared" si="3"/>
        <v>494605.97</v>
      </c>
    </row>
    <row r="14" spans="1:27">
      <c r="A14" s="59">
        <v>10</v>
      </c>
      <c r="B14" s="20">
        <v>1913027</v>
      </c>
      <c r="C14" s="60" t="s">
        <v>51</v>
      </c>
      <c r="D14" s="59" t="s">
        <v>41</v>
      </c>
      <c r="E14" s="61">
        <v>51383.39</v>
      </c>
      <c r="F14" s="61"/>
      <c r="G14" s="61">
        <f>VLOOKUP(B14,'月付款明细 '!B:BO,66,0)</f>
        <v>20000</v>
      </c>
      <c r="H14" s="61"/>
      <c r="I14" s="61">
        <f t="shared" si="1"/>
        <v>31383.39</v>
      </c>
      <c r="J14" s="83"/>
      <c r="K14" s="84"/>
      <c r="L14" s="83"/>
      <c r="M14" s="85">
        <f t="shared" si="0"/>
        <v>0</v>
      </c>
      <c r="N14" s="86"/>
      <c r="O14" s="86"/>
      <c r="P14" s="87"/>
      <c r="Q14" s="86">
        <v>0</v>
      </c>
      <c r="R14" s="86">
        <v>15871.25</v>
      </c>
      <c r="S14" s="86">
        <v>1574.54</v>
      </c>
      <c r="T14" s="86"/>
      <c r="U14" s="86">
        <v>3949.74</v>
      </c>
      <c r="V14" s="86">
        <v>2291.22</v>
      </c>
      <c r="W14" s="86">
        <v>0</v>
      </c>
      <c r="X14" s="86">
        <v>13615.52</v>
      </c>
      <c r="Y14" s="106"/>
      <c r="Z14" s="33">
        <f t="shared" si="2"/>
        <v>19856.48</v>
      </c>
      <c r="AA14" s="107">
        <f t="shared" si="3"/>
        <v>51239.87</v>
      </c>
    </row>
    <row r="15" spans="1:27">
      <c r="A15" s="59">
        <v>11</v>
      </c>
      <c r="B15" s="20">
        <v>1913032</v>
      </c>
      <c r="C15" s="60" t="s">
        <v>52</v>
      </c>
      <c r="D15" s="59" t="s">
        <v>41</v>
      </c>
      <c r="E15" s="61">
        <v>22844.09</v>
      </c>
      <c r="F15" s="61"/>
      <c r="G15" s="61">
        <f>VLOOKUP(B15,'月付款明细 '!B:BO,66,0)</f>
        <v>10000</v>
      </c>
      <c r="H15" s="61"/>
      <c r="I15" s="61">
        <f t="shared" si="1"/>
        <v>12844.09</v>
      </c>
      <c r="J15" s="83"/>
      <c r="K15" s="84"/>
      <c r="L15" s="83"/>
      <c r="M15" s="85">
        <f t="shared" si="0"/>
        <v>0</v>
      </c>
      <c r="N15" s="86"/>
      <c r="O15" s="86"/>
      <c r="P15" s="87"/>
      <c r="Q15" s="86">
        <v>0</v>
      </c>
      <c r="R15" s="86">
        <v>0</v>
      </c>
      <c r="S15" s="86"/>
      <c r="T15" s="86"/>
      <c r="U15" s="86"/>
      <c r="V15" s="86">
        <v>0</v>
      </c>
      <c r="W15" s="86">
        <v>0</v>
      </c>
      <c r="X15" s="86">
        <v>0</v>
      </c>
      <c r="Y15" s="106"/>
      <c r="Z15" s="33">
        <f t="shared" si="2"/>
        <v>0</v>
      </c>
      <c r="AA15" s="107">
        <f t="shared" si="3"/>
        <v>12844.09</v>
      </c>
    </row>
    <row r="16" spans="1:27">
      <c r="A16" s="59">
        <v>12</v>
      </c>
      <c r="B16" s="20">
        <v>1913045</v>
      </c>
      <c r="C16" s="60" t="s">
        <v>53</v>
      </c>
      <c r="D16" s="59" t="s">
        <v>41</v>
      </c>
      <c r="E16" s="61">
        <v>889434.84</v>
      </c>
      <c r="F16" s="61"/>
      <c r="G16" s="61">
        <f>VLOOKUP(B16,'月付款明细 '!B:BO,66,0)</f>
        <v>781350</v>
      </c>
      <c r="H16" s="61"/>
      <c r="I16" s="61">
        <f t="shared" si="1"/>
        <v>108084.84</v>
      </c>
      <c r="J16" s="83"/>
      <c r="K16" s="84"/>
      <c r="L16" s="83"/>
      <c r="M16" s="85">
        <f t="shared" si="0"/>
        <v>0</v>
      </c>
      <c r="N16" s="86"/>
      <c r="O16" s="86"/>
      <c r="P16" s="87"/>
      <c r="Q16" s="86">
        <v>159453.41</v>
      </c>
      <c r="R16" s="86">
        <v>135940.87</v>
      </c>
      <c r="S16" s="86">
        <v>67959.22</v>
      </c>
      <c r="T16" s="86">
        <v>66764.92</v>
      </c>
      <c r="U16" s="86">
        <v>80502.02</v>
      </c>
      <c r="V16" s="86">
        <v>62684.81</v>
      </c>
      <c r="W16" s="86">
        <v>93585.85</v>
      </c>
      <c r="X16" s="86">
        <v>78810.35</v>
      </c>
      <c r="Y16" s="106"/>
      <c r="Z16" s="33">
        <f t="shared" si="2"/>
        <v>382347.95</v>
      </c>
      <c r="AA16" s="107">
        <f t="shared" si="3"/>
        <v>490432.79</v>
      </c>
    </row>
    <row r="17" spans="1:27">
      <c r="A17" s="59">
        <v>13</v>
      </c>
      <c r="B17" s="20" t="s">
        <v>54</v>
      </c>
      <c r="C17" s="60" t="s">
        <v>55</v>
      </c>
      <c r="D17" s="59" t="s">
        <v>41</v>
      </c>
      <c r="E17" s="61">
        <v>911624.27</v>
      </c>
      <c r="F17" s="61"/>
      <c r="G17" s="61">
        <f>VLOOKUP(B17,'月付款明细 '!B:BO,66,0)</f>
        <v>823600</v>
      </c>
      <c r="H17" s="61"/>
      <c r="I17" s="61">
        <f t="shared" si="1"/>
        <v>88024.27</v>
      </c>
      <c r="J17" s="83"/>
      <c r="K17" s="84"/>
      <c r="L17" s="83"/>
      <c r="M17" s="85">
        <f t="shared" si="0"/>
        <v>0</v>
      </c>
      <c r="N17" s="86"/>
      <c r="O17" s="86"/>
      <c r="P17" s="87"/>
      <c r="Q17" s="86">
        <v>0</v>
      </c>
      <c r="R17" s="86">
        <v>0</v>
      </c>
      <c r="S17" s="86">
        <v>406652.3</v>
      </c>
      <c r="T17" s="86">
        <v>39578.98</v>
      </c>
      <c r="U17" s="86">
        <v>42834.18</v>
      </c>
      <c r="V17" s="86">
        <v>49228.48</v>
      </c>
      <c r="W17" s="86">
        <v>93595.44</v>
      </c>
      <c r="X17" s="86">
        <v>103433.06</v>
      </c>
      <c r="Y17" s="106"/>
      <c r="Z17" s="33">
        <f t="shared" si="2"/>
        <v>328670.14</v>
      </c>
      <c r="AA17" s="107">
        <f t="shared" si="3"/>
        <v>416694.41</v>
      </c>
    </row>
    <row r="18" spans="1:27">
      <c r="A18" s="59">
        <v>14</v>
      </c>
      <c r="B18" s="20">
        <v>1913078</v>
      </c>
      <c r="C18" s="60" t="s">
        <v>56</v>
      </c>
      <c r="D18" s="59" t="s">
        <v>41</v>
      </c>
      <c r="E18" s="61">
        <v>22020.97</v>
      </c>
      <c r="F18" s="61"/>
      <c r="G18" s="61">
        <f>VLOOKUP(B18,'月付款明细 '!B:BO,66,0)</f>
        <v>10000</v>
      </c>
      <c r="H18" s="61"/>
      <c r="I18" s="61">
        <f t="shared" si="1"/>
        <v>12020.97</v>
      </c>
      <c r="J18" s="83"/>
      <c r="K18" s="84"/>
      <c r="L18" s="83"/>
      <c r="M18" s="85">
        <f t="shared" si="0"/>
        <v>0</v>
      </c>
      <c r="N18" s="86"/>
      <c r="O18" s="86"/>
      <c r="P18" s="87"/>
      <c r="Q18" s="86">
        <v>0</v>
      </c>
      <c r="R18" s="86">
        <v>0</v>
      </c>
      <c r="S18" s="86"/>
      <c r="T18" s="86"/>
      <c r="U18" s="86"/>
      <c r="V18" s="86">
        <v>19539.49</v>
      </c>
      <c r="W18" s="86">
        <v>0</v>
      </c>
      <c r="X18" s="86">
        <v>0</v>
      </c>
      <c r="Y18" s="106"/>
      <c r="Z18" s="33">
        <f t="shared" si="2"/>
        <v>19539.49</v>
      </c>
      <c r="AA18" s="107">
        <f t="shared" si="3"/>
        <v>31560.46</v>
      </c>
    </row>
    <row r="19" spans="1:27">
      <c r="A19" s="59">
        <v>15</v>
      </c>
      <c r="B19" s="20">
        <v>1913092</v>
      </c>
      <c r="C19" s="60" t="s">
        <v>57</v>
      </c>
      <c r="D19" s="59" t="s">
        <v>41</v>
      </c>
      <c r="E19" s="61">
        <v>16944.14</v>
      </c>
      <c r="F19" s="61"/>
      <c r="G19" s="61">
        <f>VLOOKUP(B19,'月付款明细 '!B:BO,66,0)</f>
        <v>0</v>
      </c>
      <c r="H19" s="61"/>
      <c r="I19" s="61">
        <f t="shared" si="1"/>
        <v>16944.14</v>
      </c>
      <c r="J19" s="83"/>
      <c r="K19" s="84"/>
      <c r="L19" s="83"/>
      <c r="M19" s="85">
        <f t="shared" si="0"/>
        <v>0</v>
      </c>
      <c r="N19" s="86"/>
      <c r="O19" s="86"/>
      <c r="P19" s="87"/>
      <c r="Q19" s="86">
        <v>0</v>
      </c>
      <c r="R19" s="86">
        <v>0</v>
      </c>
      <c r="S19" s="86"/>
      <c r="T19" s="86"/>
      <c r="U19" s="86"/>
      <c r="V19" s="86">
        <v>0</v>
      </c>
      <c r="W19" s="86">
        <v>0</v>
      </c>
      <c r="X19" s="86">
        <v>0</v>
      </c>
      <c r="Y19" s="106"/>
      <c r="Z19" s="33">
        <f t="shared" si="2"/>
        <v>0</v>
      </c>
      <c r="AA19" s="107">
        <f t="shared" si="3"/>
        <v>16944.14</v>
      </c>
    </row>
    <row r="20" spans="1:27">
      <c r="A20" s="59">
        <v>16</v>
      </c>
      <c r="B20" s="20">
        <v>1913101</v>
      </c>
      <c r="C20" s="60" t="s">
        <v>58</v>
      </c>
      <c r="D20" s="59" t="s">
        <v>41</v>
      </c>
      <c r="E20" s="61">
        <v>792736.21</v>
      </c>
      <c r="F20" s="61"/>
      <c r="G20" s="61">
        <f>VLOOKUP(B20,'月付款明细 '!B:BO,66,0)</f>
        <v>500000</v>
      </c>
      <c r="H20" s="61"/>
      <c r="I20" s="61">
        <f t="shared" si="1"/>
        <v>292736.21</v>
      </c>
      <c r="J20" s="83"/>
      <c r="K20" s="84"/>
      <c r="L20" s="83"/>
      <c r="M20" s="85">
        <f t="shared" si="0"/>
        <v>0</v>
      </c>
      <c r="N20" s="86"/>
      <c r="O20" s="86"/>
      <c r="P20" s="87"/>
      <c r="Q20" s="86">
        <v>78046.98</v>
      </c>
      <c r="R20" s="86">
        <v>120996.34</v>
      </c>
      <c r="S20" s="86">
        <v>101741.65</v>
      </c>
      <c r="T20" s="86">
        <v>117809.22</v>
      </c>
      <c r="U20" s="86">
        <v>85325.98</v>
      </c>
      <c r="V20" s="86">
        <v>79636.44</v>
      </c>
      <c r="W20" s="86">
        <v>112229.22</v>
      </c>
      <c r="X20" s="86">
        <v>89289.01</v>
      </c>
      <c r="Y20" s="106"/>
      <c r="Z20" s="33">
        <f t="shared" si="2"/>
        <v>484289.87</v>
      </c>
      <c r="AA20" s="107">
        <f t="shared" si="3"/>
        <v>777026.08</v>
      </c>
    </row>
    <row r="21" spans="1:27">
      <c r="A21" s="59">
        <v>17</v>
      </c>
      <c r="B21" s="20">
        <v>1913200</v>
      </c>
      <c r="C21" s="60" t="s">
        <v>59</v>
      </c>
      <c r="D21" s="59" t="s">
        <v>41</v>
      </c>
      <c r="E21" s="61">
        <v>124892.46</v>
      </c>
      <c r="F21" s="61"/>
      <c r="G21" s="61">
        <f>VLOOKUP(B21,'月付款明细 '!B:BO,66,0)</f>
        <v>120000</v>
      </c>
      <c r="H21" s="61"/>
      <c r="I21" s="61">
        <f t="shared" si="1"/>
        <v>4892.46000000001</v>
      </c>
      <c r="J21" s="83"/>
      <c r="K21" s="84"/>
      <c r="L21" s="83"/>
      <c r="M21" s="85">
        <f t="shared" si="0"/>
        <v>0</v>
      </c>
      <c r="N21" s="86"/>
      <c r="O21" s="86"/>
      <c r="P21" s="87"/>
      <c r="Q21" s="86">
        <v>0</v>
      </c>
      <c r="R21" s="86">
        <v>0</v>
      </c>
      <c r="S21" s="86"/>
      <c r="T21" s="86"/>
      <c r="U21" s="86"/>
      <c r="V21" s="86">
        <v>0</v>
      </c>
      <c r="W21" s="86">
        <v>0</v>
      </c>
      <c r="X21" s="86">
        <v>0</v>
      </c>
      <c r="Y21" s="106"/>
      <c r="Z21" s="33">
        <f t="shared" si="2"/>
        <v>0</v>
      </c>
      <c r="AA21" s="107">
        <f t="shared" si="3"/>
        <v>4892.46000000001</v>
      </c>
    </row>
    <row r="22" spans="1:27">
      <c r="A22" s="59">
        <v>18</v>
      </c>
      <c r="B22" s="20">
        <v>1913218</v>
      </c>
      <c r="C22" s="60" t="s">
        <v>60</v>
      </c>
      <c r="D22" s="59" t="s">
        <v>41</v>
      </c>
      <c r="E22" s="61">
        <v>625018.77</v>
      </c>
      <c r="F22" s="61"/>
      <c r="G22" s="61">
        <f>VLOOKUP(B22,'月付款明细 '!B:BO,66,0)</f>
        <v>200000</v>
      </c>
      <c r="H22" s="61"/>
      <c r="I22" s="61">
        <f t="shared" si="1"/>
        <v>425018.77</v>
      </c>
      <c r="J22" s="83"/>
      <c r="K22" s="84"/>
      <c r="L22" s="83"/>
      <c r="M22" s="85">
        <f t="shared" si="0"/>
        <v>0</v>
      </c>
      <c r="N22" s="86"/>
      <c r="O22" s="86"/>
      <c r="P22" s="87"/>
      <c r="Q22" s="86">
        <v>0</v>
      </c>
      <c r="R22" s="86">
        <v>84971.55</v>
      </c>
      <c r="S22" s="86"/>
      <c r="T22" s="86"/>
      <c r="U22" s="86"/>
      <c r="V22" s="86">
        <v>0</v>
      </c>
      <c r="W22" s="86">
        <v>0</v>
      </c>
      <c r="X22" s="86">
        <v>0</v>
      </c>
      <c r="Y22" s="106"/>
      <c r="Z22" s="33">
        <f t="shared" si="2"/>
        <v>0</v>
      </c>
      <c r="AA22" s="107">
        <f t="shared" si="3"/>
        <v>425018.77</v>
      </c>
    </row>
    <row r="23" spans="1:27">
      <c r="A23" s="59">
        <v>19</v>
      </c>
      <c r="B23" s="20">
        <v>1913219</v>
      </c>
      <c r="C23" s="60" t="s">
        <v>61</v>
      </c>
      <c r="D23" s="59" t="s">
        <v>41</v>
      </c>
      <c r="E23" s="61">
        <v>0</v>
      </c>
      <c r="F23" s="61"/>
      <c r="G23" s="61">
        <f>VLOOKUP(B23,'月付款明细 '!B:BO,66,0)</f>
        <v>0</v>
      </c>
      <c r="H23" s="61"/>
      <c r="I23" s="61">
        <f t="shared" si="1"/>
        <v>0</v>
      </c>
      <c r="J23" s="83"/>
      <c r="K23" s="84"/>
      <c r="L23" s="83"/>
      <c r="M23" s="85" t="str">
        <f t="shared" si="0"/>
        <v/>
      </c>
      <c r="N23" s="86"/>
      <c r="O23" s="86"/>
      <c r="P23" s="87"/>
      <c r="Q23" s="86">
        <v>0</v>
      </c>
      <c r="R23" s="86">
        <v>0</v>
      </c>
      <c r="S23" s="86"/>
      <c r="T23" s="86"/>
      <c r="U23" s="86"/>
      <c r="V23" s="86">
        <v>0</v>
      </c>
      <c r="W23" s="86">
        <v>0</v>
      </c>
      <c r="X23" s="86">
        <v>0</v>
      </c>
      <c r="Y23" s="106"/>
      <c r="Z23" s="33">
        <f t="shared" si="2"/>
        <v>0</v>
      </c>
      <c r="AA23" s="107">
        <f t="shared" si="3"/>
        <v>0</v>
      </c>
    </row>
    <row r="24" spans="1:27">
      <c r="A24" s="59">
        <v>20</v>
      </c>
      <c r="B24" s="20" t="s">
        <v>62</v>
      </c>
      <c r="C24" s="60" t="s">
        <v>63</v>
      </c>
      <c r="D24" s="59" t="s">
        <v>41</v>
      </c>
      <c r="E24" s="61">
        <v>384643.87</v>
      </c>
      <c r="F24" s="61"/>
      <c r="G24" s="61">
        <f>VLOOKUP(B24,'月付款明细 '!B:BO,66,0)</f>
        <v>127783.66</v>
      </c>
      <c r="H24" s="61"/>
      <c r="I24" s="61">
        <f t="shared" si="1"/>
        <v>256860.21</v>
      </c>
      <c r="J24" s="83"/>
      <c r="K24" s="84"/>
      <c r="L24" s="83"/>
      <c r="M24" s="85">
        <f t="shared" si="0"/>
        <v>0</v>
      </c>
      <c r="N24" s="86"/>
      <c r="O24" s="86"/>
      <c r="P24" s="87"/>
      <c r="Q24" s="86">
        <v>44414.47</v>
      </c>
      <c r="R24" s="86">
        <v>0</v>
      </c>
      <c r="S24" s="86"/>
      <c r="T24" s="86"/>
      <c r="U24" s="86">
        <v>104552.1</v>
      </c>
      <c r="V24" s="86">
        <v>0</v>
      </c>
      <c r="W24" s="86">
        <v>18707.84</v>
      </c>
      <c r="X24" s="86">
        <v>0</v>
      </c>
      <c r="Y24" s="106"/>
      <c r="Z24" s="33">
        <f t="shared" si="2"/>
        <v>123259.94</v>
      </c>
      <c r="AA24" s="107">
        <f t="shared" si="3"/>
        <v>380120.15</v>
      </c>
    </row>
    <row r="25" spans="1:27">
      <c r="A25" s="59">
        <v>21</v>
      </c>
      <c r="B25" s="20">
        <v>1913273</v>
      </c>
      <c r="C25" s="60" t="s">
        <v>64</v>
      </c>
      <c r="D25" s="59" t="s">
        <v>41</v>
      </c>
      <c r="E25" s="61">
        <v>532.5</v>
      </c>
      <c r="F25" s="61"/>
      <c r="G25" s="61">
        <f>VLOOKUP(B25,'月付款明细 '!B:BO,66,0)</f>
        <v>0</v>
      </c>
      <c r="H25" s="61"/>
      <c r="I25" s="61">
        <f t="shared" si="1"/>
        <v>532.5</v>
      </c>
      <c r="J25" s="83"/>
      <c r="K25" s="84"/>
      <c r="L25" s="83"/>
      <c r="M25" s="85">
        <f t="shared" si="0"/>
        <v>0</v>
      </c>
      <c r="N25" s="86"/>
      <c r="O25" s="86"/>
      <c r="P25" s="87"/>
      <c r="Q25" s="86">
        <v>0</v>
      </c>
      <c r="R25" s="86">
        <v>0</v>
      </c>
      <c r="S25" s="86"/>
      <c r="T25" s="86"/>
      <c r="U25" s="86"/>
      <c r="V25" s="86">
        <v>0</v>
      </c>
      <c r="W25" s="86">
        <v>0</v>
      </c>
      <c r="X25" s="86">
        <v>0</v>
      </c>
      <c r="Y25" s="106"/>
      <c r="Z25" s="33">
        <f t="shared" si="2"/>
        <v>0</v>
      </c>
      <c r="AA25" s="107">
        <f t="shared" si="3"/>
        <v>532.5</v>
      </c>
    </row>
    <row r="26" spans="1:27">
      <c r="A26" s="59">
        <v>22</v>
      </c>
      <c r="B26" s="20">
        <v>1913289</v>
      </c>
      <c r="C26" s="60" t="s">
        <v>65</v>
      </c>
      <c r="D26" s="59" t="s">
        <v>41</v>
      </c>
      <c r="E26" s="61">
        <v>6887917.1</v>
      </c>
      <c r="F26" s="61"/>
      <c r="G26" s="61">
        <f>VLOOKUP(B26,'月付款明细 '!B:BO,66,0)</f>
        <v>5208670.12</v>
      </c>
      <c r="H26" s="61"/>
      <c r="I26" s="61">
        <f t="shared" si="1"/>
        <v>1679246.98</v>
      </c>
      <c r="J26" s="83"/>
      <c r="K26" s="84"/>
      <c r="L26" s="83"/>
      <c r="M26" s="85">
        <f t="shared" si="0"/>
        <v>0</v>
      </c>
      <c r="N26" s="86"/>
      <c r="O26" s="86"/>
      <c r="P26" s="87"/>
      <c r="Q26" s="86">
        <v>893183.42</v>
      </c>
      <c r="R26" s="86">
        <v>1346499.67</v>
      </c>
      <c r="S26" s="86">
        <v>1316497.38</v>
      </c>
      <c r="T26" s="86">
        <v>1184483.18</v>
      </c>
      <c r="U26" s="86">
        <v>1096705.99</v>
      </c>
      <c r="V26" s="86">
        <v>1697595.8</v>
      </c>
      <c r="W26" s="86">
        <v>1211394.12</v>
      </c>
      <c r="X26" s="86">
        <v>889936.82</v>
      </c>
      <c r="Y26" s="106"/>
      <c r="Z26" s="33">
        <f t="shared" si="2"/>
        <v>6080115.91</v>
      </c>
      <c r="AA26" s="107">
        <f t="shared" si="3"/>
        <v>7759362.89</v>
      </c>
    </row>
    <row r="27" spans="1:27">
      <c r="A27" s="59">
        <v>23</v>
      </c>
      <c r="B27" s="20">
        <v>1913659</v>
      </c>
      <c r="C27" s="60" t="s">
        <v>66</v>
      </c>
      <c r="D27" s="59" t="s">
        <v>41</v>
      </c>
      <c r="E27" s="61">
        <v>874.57</v>
      </c>
      <c r="F27" s="61"/>
      <c r="G27" s="61">
        <f>VLOOKUP(B27,'月付款明细 '!B:BO,66,0)</f>
        <v>0</v>
      </c>
      <c r="H27" s="61"/>
      <c r="I27" s="61">
        <f t="shared" si="1"/>
        <v>874.57</v>
      </c>
      <c r="J27" s="83"/>
      <c r="K27" s="84"/>
      <c r="L27" s="83"/>
      <c r="M27" s="85">
        <f t="shared" si="0"/>
        <v>0</v>
      </c>
      <c r="N27" s="86"/>
      <c r="O27" s="86"/>
      <c r="P27" s="87"/>
      <c r="Q27" s="86">
        <v>0</v>
      </c>
      <c r="R27" s="86">
        <v>0</v>
      </c>
      <c r="S27" s="86"/>
      <c r="T27" s="86"/>
      <c r="U27" s="86"/>
      <c r="V27" s="86">
        <v>0</v>
      </c>
      <c r="W27" s="86">
        <v>0</v>
      </c>
      <c r="X27" s="86">
        <v>0</v>
      </c>
      <c r="Y27" s="106"/>
      <c r="Z27" s="33">
        <f t="shared" si="2"/>
        <v>0</v>
      </c>
      <c r="AA27" s="107">
        <f t="shared" si="3"/>
        <v>874.57</v>
      </c>
    </row>
    <row r="28" spans="1:27">
      <c r="A28" s="59">
        <v>25</v>
      </c>
      <c r="B28" s="20">
        <v>1932313</v>
      </c>
      <c r="C28" s="60" t="s">
        <v>67</v>
      </c>
      <c r="D28" s="59" t="s">
        <v>41</v>
      </c>
      <c r="E28" s="61">
        <v>3383329</v>
      </c>
      <c r="F28" s="61"/>
      <c r="G28" s="61">
        <f>VLOOKUP(B28,'月付款明细 '!B:BO,66,0)</f>
        <v>1815000</v>
      </c>
      <c r="H28" s="61"/>
      <c r="I28" s="61">
        <f>E28-G28</f>
        <v>1568329</v>
      </c>
      <c r="J28" s="83"/>
      <c r="K28" s="84"/>
      <c r="L28" s="83"/>
      <c r="M28" s="85">
        <f>IFERROR(J28/I28,"")</f>
        <v>0</v>
      </c>
      <c r="N28" s="86"/>
      <c r="O28" s="86"/>
      <c r="P28" s="87"/>
      <c r="Q28" s="86">
        <v>807445.82</v>
      </c>
      <c r="R28" s="86">
        <v>665296.8</v>
      </c>
      <c r="S28" s="86">
        <v>524603.09</v>
      </c>
      <c r="T28" s="86">
        <v>484195.62</v>
      </c>
      <c r="U28" s="86">
        <v>435379.37</v>
      </c>
      <c r="V28" s="86">
        <v>520432.63</v>
      </c>
      <c r="W28" s="86">
        <v>683788.2</v>
      </c>
      <c r="X28" s="86">
        <v>624416.02</v>
      </c>
      <c r="Y28" s="106"/>
      <c r="Z28" s="33">
        <f t="shared" si="2"/>
        <v>2748211.84</v>
      </c>
      <c r="AA28" s="107">
        <f>I28+Z28</f>
        <v>4316540.84</v>
      </c>
    </row>
    <row r="29" spans="1:27">
      <c r="A29" s="59">
        <v>26</v>
      </c>
      <c r="B29" s="20">
        <v>1932347</v>
      </c>
      <c r="C29" s="60" t="s">
        <v>68</v>
      </c>
      <c r="D29" s="59" t="s">
        <v>41</v>
      </c>
      <c r="E29" s="61">
        <v>1214988.84</v>
      </c>
      <c r="F29" s="61"/>
      <c r="G29" s="61">
        <f>VLOOKUP(B29,'月付款明细 '!B:BO,66,0)</f>
        <v>1000000</v>
      </c>
      <c r="H29" s="61"/>
      <c r="I29" s="61">
        <f>E29-G29</f>
        <v>214988.84</v>
      </c>
      <c r="J29" s="83"/>
      <c r="K29" s="84"/>
      <c r="L29" s="83"/>
      <c r="M29" s="85">
        <f>IFERROR(J29/I29,"")</f>
        <v>0</v>
      </c>
      <c r="N29" s="86"/>
      <c r="O29" s="86"/>
      <c r="P29" s="87"/>
      <c r="Q29" s="86">
        <v>0</v>
      </c>
      <c r="R29" s="86">
        <v>0</v>
      </c>
      <c r="S29" s="86">
        <v>815457.51</v>
      </c>
      <c r="T29" s="86">
        <v>95461.32</v>
      </c>
      <c r="U29" s="86">
        <v>97830.34</v>
      </c>
      <c r="V29" s="86">
        <v>137752.16</v>
      </c>
      <c r="W29" s="86">
        <v>220227.92</v>
      </c>
      <c r="X29" s="86">
        <v>256289.16</v>
      </c>
      <c r="Y29" s="106"/>
      <c r="Z29" s="33">
        <f t="shared" si="2"/>
        <v>807560.9</v>
      </c>
      <c r="AA29" s="107">
        <f>I29+Z29</f>
        <v>1022549.74</v>
      </c>
    </row>
    <row r="30" spans="1:27">
      <c r="A30" s="59">
        <v>27</v>
      </c>
      <c r="B30" s="20">
        <v>1937004</v>
      </c>
      <c r="C30" s="60" t="s">
        <v>69</v>
      </c>
      <c r="D30" s="59" t="s">
        <v>41</v>
      </c>
      <c r="E30" s="61">
        <v>50343.1</v>
      </c>
      <c r="F30" s="61"/>
      <c r="G30" s="61">
        <f>VLOOKUP(B30,'月付款明细 '!B:BO,66,0)</f>
        <v>30000</v>
      </c>
      <c r="H30" s="61"/>
      <c r="I30" s="61">
        <f>E30-G30</f>
        <v>20343.1</v>
      </c>
      <c r="J30" s="83"/>
      <c r="K30" s="84"/>
      <c r="L30" s="83"/>
      <c r="M30" s="85">
        <f>IFERROR(J30/I30,"")</f>
        <v>0</v>
      </c>
      <c r="N30" s="86"/>
      <c r="O30" s="86"/>
      <c r="P30" s="87"/>
      <c r="Q30" s="86">
        <v>921.68</v>
      </c>
      <c r="R30" s="86">
        <v>8264.57</v>
      </c>
      <c r="S30" s="86"/>
      <c r="T30" s="86">
        <v>1290.89</v>
      </c>
      <c r="U30" s="86"/>
      <c r="V30" s="86">
        <v>0</v>
      </c>
      <c r="W30" s="86">
        <v>0</v>
      </c>
      <c r="X30" s="86">
        <v>0</v>
      </c>
      <c r="Y30" s="106"/>
      <c r="Z30" s="33">
        <f t="shared" si="2"/>
        <v>1290.89</v>
      </c>
      <c r="AA30" s="107">
        <f>I30+Z30</f>
        <v>21633.99</v>
      </c>
    </row>
    <row r="31" s="1" customFormat="1" spans="1:29">
      <c r="A31" s="59">
        <v>29</v>
      </c>
      <c r="B31" s="20">
        <v>1937015</v>
      </c>
      <c r="C31" s="60" t="s">
        <v>70</v>
      </c>
      <c r="D31" s="59" t="s">
        <v>41</v>
      </c>
      <c r="E31" s="61">
        <v>84266.25</v>
      </c>
      <c r="F31" s="61"/>
      <c r="G31" s="61">
        <f>VLOOKUP(B31,'月付款明细 '!B:BO,66,0)</f>
        <v>40000</v>
      </c>
      <c r="H31" s="61"/>
      <c r="I31" s="61">
        <f>E31-G31</f>
        <v>44266.25</v>
      </c>
      <c r="J31" s="83"/>
      <c r="K31" s="84"/>
      <c r="L31" s="83"/>
      <c r="M31" s="85">
        <f>IFERROR(J31/I31,"")</f>
        <v>0</v>
      </c>
      <c r="N31" s="86"/>
      <c r="O31" s="86"/>
      <c r="P31" s="87"/>
      <c r="Q31" s="86">
        <v>0</v>
      </c>
      <c r="R31" s="86">
        <v>19397.38</v>
      </c>
      <c r="S31" s="86">
        <v>9949.67</v>
      </c>
      <c r="T31" s="86"/>
      <c r="U31" s="86">
        <v>20656.77</v>
      </c>
      <c r="V31" s="86">
        <v>9903.58</v>
      </c>
      <c r="W31" s="86">
        <v>0</v>
      </c>
      <c r="X31" s="86">
        <v>0</v>
      </c>
      <c r="Y31" s="106"/>
      <c r="Z31" s="33">
        <f t="shared" si="2"/>
        <v>30560.35</v>
      </c>
      <c r="AA31" s="107">
        <f>I31+Z31</f>
        <v>74826.6</v>
      </c>
      <c r="AB31"/>
      <c r="AC31"/>
    </row>
    <row r="32" s="1" customFormat="1" spans="1:29">
      <c r="A32" s="59">
        <v>31</v>
      </c>
      <c r="B32" s="20">
        <v>1937320</v>
      </c>
      <c r="C32" s="60" t="s">
        <v>71</v>
      </c>
      <c r="D32" s="59" t="s">
        <v>41</v>
      </c>
      <c r="E32" s="61">
        <v>5087748.68</v>
      </c>
      <c r="F32" s="62"/>
      <c r="G32" s="61">
        <f>VLOOKUP(B32,'月付款明细 '!B:BO,66,0)</f>
        <v>5600000</v>
      </c>
      <c r="H32" s="62"/>
      <c r="I32" s="61">
        <f>E32-G32</f>
        <v>-512251.32</v>
      </c>
      <c r="J32" s="83"/>
      <c r="K32" s="84"/>
      <c r="L32" s="88"/>
      <c r="M32" s="85">
        <f>IFERROR(J32/I32,"")</f>
        <v>0</v>
      </c>
      <c r="N32" s="89"/>
      <c r="O32" s="89"/>
      <c r="P32" s="89"/>
      <c r="Q32" s="86">
        <v>532519.85</v>
      </c>
      <c r="R32" s="86">
        <v>1638103</v>
      </c>
      <c r="S32" s="86">
        <v>1344079.62</v>
      </c>
      <c r="T32" s="86">
        <v>982638.97</v>
      </c>
      <c r="U32" s="86">
        <v>1857281.79</v>
      </c>
      <c r="V32" s="86">
        <v>1355934.58</v>
      </c>
      <c r="W32" s="86">
        <v>1828604.78</v>
      </c>
      <c r="X32" s="86">
        <v>3230098.42</v>
      </c>
      <c r="Y32" s="103"/>
      <c r="Z32" s="33">
        <f t="shared" si="2"/>
        <v>9254558.54</v>
      </c>
      <c r="AA32" s="107">
        <f>I32+Z32</f>
        <v>8742307.22</v>
      </c>
      <c r="AB32"/>
      <c r="AC32"/>
    </row>
    <row r="33" s="1" customFormat="1" spans="1:29">
      <c r="A33" s="59">
        <v>32</v>
      </c>
      <c r="B33" s="20">
        <v>1937338</v>
      </c>
      <c r="C33" s="60" t="s">
        <v>72</v>
      </c>
      <c r="D33" s="59" t="s">
        <v>41</v>
      </c>
      <c r="E33" s="61">
        <v>33466.84</v>
      </c>
      <c r="F33" s="61"/>
      <c r="G33" s="61">
        <f>VLOOKUP(B33,'月付款明细 '!B:BO,66,0)</f>
        <v>0</v>
      </c>
      <c r="H33" s="61"/>
      <c r="I33" s="61">
        <f>E33-G33</f>
        <v>33466.84</v>
      </c>
      <c r="J33" s="83"/>
      <c r="K33" s="84"/>
      <c r="L33" s="83"/>
      <c r="M33" s="85">
        <f>IFERROR(J33/I33,"")</f>
        <v>0</v>
      </c>
      <c r="N33" s="86"/>
      <c r="O33" s="86"/>
      <c r="P33" s="87"/>
      <c r="Q33" s="86">
        <v>0</v>
      </c>
      <c r="R33" s="86">
        <v>0</v>
      </c>
      <c r="S33" s="86"/>
      <c r="T33" s="86"/>
      <c r="U33" s="86"/>
      <c r="V33" s="86">
        <v>0</v>
      </c>
      <c r="W33" s="86">
        <v>0</v>
      </c>
      <c r="X33" s="86">
        <v>0</v>
      </c>
      <c r="Y33" s="106"/>
      <c r="Z33" s="33">
        <f t="shared" si="2"/>
        <v>0</v>
      </c>
      <c r="AA33" s="107">
        <f>I33+Z33</f>
        <v>33466.84</v>
      </c>
      <c r="AB33"/>
      <c r="AC33"/>
    </row>
    <row r="34" s="1" customFormat="1" spans="1:29">
      <c r="A34" s="59">
        <v>33</v>
      </c>
      <c r="B34" s="20">
        <v>1942576</v>
      </c>
      <c r="C34" s="60" t="s">
        <v>73</v>
      </c>
      <c r="D34" s="59" t="s">
        <v>41</v>
      </c>
      <c r="E34" s="61">
        <v>20491</v>
      </c>
      <c r="F34" s="61"/>
      <c r="G34" s="61">
        <f>VLOOKUP(B34,'月付款明细 '!B:BO,66,0)</f>
        <v>20491</v>
      </c>
      <c r="H34" s="61"/>
      <c r="I34" s="61">
        <f>E34-G34</f>
        <v>0</v>
      </c>
      <c r="J34" s="83"/>
      <c r="K34" s="84"/>
      <c r="L34" s="83"/>
      <c r="M34" s="85" t="str">
        <f>IFERROR(J34/I34,"")</f>
        <v/>
      </c>
      <c r="N34" s="86"/>
      <c r="O34" s="86"/>
      <c r="P34" s="87"/>
      <c r="Q34" s="86">
        <v>0</v>
      </c>
      <c r="R34" s="86">
        <v>0</v>
      </c>
      <c r="S34" s="86"/>
      <c r="T34" s="86"/>
      <c r="U34" s="86"/>
      <c r="V34" s="86">
        <v>0</v>
      </c>
      <c r="W34" s="86">
        <v>0</v>
      </c>
      <c r="X34" s="86">
        <v>0</v>
      </c>
      <c r="Y34" s="106"/>
      <c r="Z34" s="33">
        <f t="shared" si="2"/>
        <v>0</v>
      </c>
      <c r="AA34" s="107">
        <f>I34+Z34</f>
        <v>0</v>
      </c>
      <c r="AB34"/>
      <c r="AC34"/>
    </row>
    <row r="35" s="1" customFormat="1" spans="1:29">
      <c r="A35" s="59">
        <v>34</v>
      </c>
      <c r="B35" s="20" t="s">
        <v>74</v>
      </c>
      <c r="C35" s="60" t="s">
        <v>75</v>
      </c>
      <c r="D35" s="59" t="s">
        <v>41</v>
      </c>
      <c r="E35" s="61">
        <v>28482.59</v>
      </c>
      <c r="F35" s="61"/>
      <c r="G35" s="61">
        <f>VLOOKUP(B35,'月付款明细 '!B:BO,66,0)</f>
        <v>0</v>
      </c>
      <c r="H35" s="61"/>
      <c r="I35" s="61">
        <f>E35-G35</f>
        <v>28482.59</v>
      </c>
      <c r="J35" s="83"/>
      <c r="K35" s="84"/>
      <c r="L35" s="83"/>
      <c r="M35" s="85">
        <f>IFERROR(J35/I35,"")</f>
        <v>0</v>
      </c>
      <c r="N35" s="86"/>
      <c r="O35" s="86"/>
      <c r="P35" s="87"/>
      <c r="Q35" s="86">
        <v>7303.92</v>
      </c>
      <c r="R35" s="86">
        <v>0</v>
      </c>
      <c r="S35" s="86">
        <v>2362.29</v>
      </c>
      <c r="T35" s="86">
        <v>5008.05</v>
      </c>
      <c r="U35" s="86"/>
      <c r="V35" s="86">
        <v>0</v>
      </c>
      <c r="W35" s="86">
        <v>188.98</v>
      </c>
      <c r="X35" s="86">
        <v>0</v>
      </c>
      <c r="Y35" s="106"/>
      <c r="Z35" s="33">
        <f t="shared" si="2"/>
        <v>5197.03</v>
      </c>
      <c r="AA35" s="107">
        <f>I35+Z35</f>
        <v>33679.62</v>
      </c>
      <c r="AB35"/>
      <c r="AC35"/>
    </row>
    <row r="36" s="1" customFormat="1" spans="1:29">
      <c r="A36" s="59">
        <v>36</v>
      </c>
      <c r="B36" s="20">
        <v>1913010</v>
      </c>
      <c r="C36" s="60" t="s">
        <v>76</v>
      </c>
      <c r="D36" s="59" t="s">
        <v>41</v>
      </c>
      <c r="E36" s="61">
        <v>2893.18</v>
      </c>
      <c r="F36" s="61"/>
      <c r="G36" s="61">
        <f>VLOOKUP(B36,'月付款明细 '!B:BO,66,0)</f>
        <v>0</v>
      </c>
      <c r="H36" s="61"/>
      <c r="I36" s="61">
        <f t="shared" ref="I36:I56" si="4">E36-G36</f>
        <v>2893.18</v>
      </c>
      <c r="J36" s="83"/>
      <c r="K36" s="84"/>
      <c r="L36" s="83"/>
      <c r="M36" s="85">
        <f>IFERROR(J36/I36,"")</f>
        <v>0</v>
      </c>
      <c r="N36" s="86"/>
      <c r="O36" s="86"/>
      <c r="P36" s="86"/>
      <c r="Q36" s="86">
        <v>0</v>
      </c>
      <c r="R36" s="86">
        <v>0</v>
      </c>
      <c r="S36" s="86"/>
      <c r="T36" s="86"/>
      <c r="U36" s="86"/>
      <c r="V36" s="86">
        <v>0</v>
      </c>
      <c r="W36" s="86">
        <v>0</v>
      </c>
      <c r="X36" s="86">
        <v>0</v>
      </c>
      <c r="Y36" s="106"/>
      <c r="Z36" s="33">
        <f t="shared" si="2"/>
        <v>0</v>
      </c>
      <c r="AA36" s="107">
        <f t="shared" ref="AA36:AA58" si="5">I36+Z36</f>
        <v>2893.18</v>
      </c>
      <c r="AB36"/>
      <c r="AC36"/>
    </row>
    <row r="37" s="1" customFormat="1" spans="1:29">
      <c r="A37" s="59">
        <v>37</v>
      </c>
      <c r="B37" s="20">
        <v>1911101</v>
      </c>
      <c r="C37" s="63" t="s">
        <v>77</v>
      </c>
      <c r="D37" s="59" t="s">
        <v>41</v>
      </c>
      <c r="E37" s="61">
        <v>70.8</v>
      </c>
      <c r="F37" s="61"/>
      <c r="G37" s="61">
        <f>VLOOKUP(B37,'月付款明细 '!B:BO,66,0)</f>
        <v>0</v>
      </c>
      <c r="H37" s="61"/>
      <c r="I37" s="61">
        <f t="shared" si="4"/>
        <v>70.8</v>
      </c>
      <c r="J37" s="83"/>
      <c r="K37" s="84"/>
      <c r="L37" s="83"/>
      <c r="M37" s="85">
        <f>IFERROR(J37/I37,"")</f>
        <v>0</v>
      </c>
      <c r="N37" s="86"/>
      <c r="O37" s="86"/>
      <c r="P37" s="86"/>
      <c r="Q37" s="86">
        <v>0</v>
      </c>
      <c r="R37" s="86">
        <v>0</v>
      </c>
      <c r="S37" s="86"/>
      <c r="T37" s="86"/>
      <c r="U37" s="86"/>
      <c r="V37" s="86">
        <v>0</v>
      </c>
      <c r="W37" s="86">
        <v>0</v>
      </c>
      <c r="X37" s="86">
        <v>0</v>
      </c>
      <c r="Y37" s="106"/>
      <c r="Z37" s="33">
        <f t="shared" si="2"/>
        <v>0</v>
      </c>
      <c r="AA37" s="107">
        <f t="shared" si="5"/>
        <v>70.8</v>
      </c>
      <c r="AB37"/>
      <c r="AC37"/>
    </row>
    <row r="38" s="1" customFormat="1" spans="1:29">
      <c r="A38" s="59">
        <v>38</v>
      </c>
      <c r="B38" s="20">
        <v>1913717</v>
      </c>
      <c r="C38" s="63" t="s">
        <v>78</v>
      </c>
      <c r="D38" s="59" t="s">
        <v>41</v>
      </c>
      <c r="E38" s="61">
        <v>25713.36</v>
      </c>
      <c r="F38" s="61"/>
      <c r="G38" s="61">
        <f>VLOOKUP(B38,'月付款明细 '!B:BO,66,0)</f>
        <v>10000</v>
      </c>
      <c r="H38" s="61"/>
      <c r="I38" s="61">
        <f t="shared" si="4"/>
        <v>15713.36</v>
      </c>
      <c r="J38" s="83"/>
      <c r="K38" s="84"/>
      <c r="L38" s="83"/>
      <c r="M38" s="85">
        <f>IFERROR(J38/I38,"")</f>
        <v>0</v>
      </c>
      <c r="N38" s="86"/>
      <c r="O38" s="86"/>
      <c r="P38" s="86"/>
      <c r="Q38" s="86">
        <v>0</v>
      </c>
      <c r="R38" s="86">
        <v>0</v>
      </c>
      <c r="S38" s="86"/>
      <c r="T38" s="86"/>
      <c r="U38" s="86"/>
      <c r="V38" s="86">
        <v>0</v>
      </c>
      <c r="W38" s="86">
        <v>0</v>
      </c>
      <c r="X38" s="86">
        <v>0</v>
      </c>
      <c r="Y38" s="106"/>
      <c r="Z38" s="33">
        <f t="shared" ref="Z38:Z62" si="6">SUM(T38:X38)</f>
        <v>0</v>
      </c>
      <c r="AA38" s="107">
        <f t="shared" si="5"/>
        <v>15713.36</v>
      </c>
      <c r="AB38"/>
      <c r="AC38"/>
    </row>
    <row r="39" s="1" customFormat="1" spans="1:29">
      <c r="A39" s="59">
        <v>39</v>
      </c>
      <c r="B39" s="20" t="s">
        <v>79</v>
      </c>
      <c r="C39" s="63" t="s">
        <v>80</v>
      </c>
      <c r="D39" s="59" t="s">
        <v>41</v>
      </c>
      <c r="E39" s="61">
        <v>47900</v>
      </c>
      <c r="F39" s="61"/>
      <c r="G39" s="61">
        <f>VLOOKUP(B39,'月付款明细 '!B:BO,66,0)</f>
        <v>0</v>
      </c>
      <c r="H39" s="61"/>
      <c r="I39" s="61">
        <f t="shared" si="4"/>
        <v>47900</v>
      </c>
      <c r="J39" s="83"/>
      <c r="K39" s="84"/>
      <c r="L39" s="83"/>
      <c r="M39" s="85">
        <f>IFERROR(J39/I39,"")</f>
        <v>0</v>
      </c>
      <c r="N39" s="86"/>
      <c r="O39" s="86"/>
      <c r="P39" s="86"/>
      <c r="Q39" s="86">
        <v>0</v>
      </c>
      <c r="R39" s="86">
        <v>0</v>
      </c>
      <c r="S39" s="86"/>
      <c r="T39" s="86"/>
      <c r="U39" s="86"/>
      <c r="V39" s="86">
        <v>0</v>
      </c>
      <c r="W39" s="86">
        <v>0</v>
      </c>
      <c r="X39" s="86">
        <v>0</v>
      </c>
      <c r="Y39" s="106"/>
      <c r="Z39" s="33">
        <f t="shared" si="6"/>
        <v>0</v>
      </c>
      <c r="AA39" s="107">
        <f t="shared" si="5"/>
        <v>47900</v>
      </c>
      <c r="AB39"/>
      <c r="AC39"/>
    </row>
    <row r="40" s="1" customFormat="1" spans="1:29">
      <c r="A40" s="59">
        <v>40</v>
      </c>
      <c r="B40" s="20" t="s">
        <v>81</v>
      </c>
      <c r="C40" s="63" t="s">
        <v>82</v>
      </c>
      <c r="D40" s="59" t="s">
        <v>41</v>
      </c>
      <c r="E40" s="61">
        <v>88420</v>
      </c>
      <c r="F40" s="61"/>
      <c r="G40" s="61">
        <f>VLOOKUP(B40,'月付款明细 '!B:BO,66,0)</f>
        <v>0</v>
      </c>
      <c r="H40" s="61"/>
      <c r="I40" s="61">
        <f t="shared" si="4"/>
        <v>88420</v>
      </c>
      <c r="J40" s="83"/>
      <c r="K40" s="84"/>
      <c r="L40" s="83"/>
      <c r="M40" s="85">
        <f>IFERROR(J40/I40,"")</f>
        <v>0</v>
      </c>
      <c r="N40" s="86"/>
      <c r="O40" s="86"/>
      <c r="P40" s="86"/>
      <c r="Q40" s="86">
        <v>0</v>
      </c>
      <c r="R40" s="86">
        <v>0</v>
      </c>
      <c r="S40" s="86"/>
      <c r="T40" s="86"/>
      <c r="U40" s="86"/>
      <c r="V40" s="86">
        <v>0</v>
      </c>
      <c r="W40" s="86">
        <v>0</v>
      </c>
      <c r="X40" s="86">
        <v>0</v>
      </c>
      <c r="Y40" s="106"/>
      <c r="Z40" s="33">
        <f t="shared" si="6"/>
        <v>0</v>
      </c>
      <c r="AA40" s="107">
        <f t="shared" si="5"/>
        <v>88420</v>
      </c>
      <c r="AB40"/>
      <c r="AC40"/>
    </row>
    <row r="41" spans="1:27">
      <c r="A41" s="59">
        <v>41</v>
      </c>
      <c r="B41" s="20" t="s">
        <v>83</v>
      </c>
      <c r="C41" s="63" t="s">
        <v>84</v>
      </c>
      <c r="D41" s="59" t="s">
        <v>41</v>
      </c>
      <c r="E41" s="61">
        <v>1050</v>
      </c>
      <c r="F41" s="61"/>
      <c r="G41" s="61">
        <f>VLOOKUP(B41,'月付款明细 '!B:BO,66,0)</f>
        <v>0</v>
      </c>
      <c r="H41" s="61"/>
      <c r="I41" s="61">
        <f t="shared" si="4"/>
        <v>1050</v>
      </c>
      <c r="J41" s="83"/>
      <c r="K41" s="84"/>
      <c r="L41" s="83"/>
      <c r="M41" s="85">
        <f>IFERROR(J41/I41,"")</f>
        <v>0</v>
      </c>
      <c r="N41" s="86"/>
      <c r="O41" s="86"/>
      <c r="P41" s="86"/>
      <c r="Q41" s="86">
        <v>0</v>
      </c>
      <c r="R41" s="86">
        <v>0</v>
      </c>
      <c r="S41" s="86"/>
      <c r="T41" s="86"/>
      <c r="U41" s="86"/>
      <c r="V41" s="86">
        <v>0</v>
      </c>
      <c r="W41" s="86">
        <v>0</v>
      </c>
      <c r="X41" s="86">
        <v>0</v>
      </c>
      <c r="Y41" s="106"/>
      <c r="Z41" s="33">
        <f t="shared" si="6"/>
        <v>0</v>
      </c>
      <c r="AA41" s="107">
        <f t="shared" si="5"/>
        <v>1050</v>
      </c>
    </row>
    <row r="42" spans="1:27">
      <c r="A42" s="59">
        <v>42</v>
      </c>
      <c r="B42" s="20" t="s">
        <v>85</v>
      </c>
      <c r="C42" s="63" t="s">
        <v>86</v>
      </c>
      <c r="D42" s="59" t="s">
        <v>41</v>
      </c>
      <c r="E42" s="61">
        <v>8615.38</v>
      </c>
      <c r="F42" s="61"/>
      <c r="G42" s="61">
        <f>VLOOKUP(B42,'月付款明细 '!B:BO,66,0)</f>
        <v>0</v>
      </c>
      <c r="H42" s="61"/>
      <c r="I42" s="61">
        <f t="shared" si="4"/>
        <v>8615.38</v>
      </c>
      <c r="J42" s="83"/>
      <c r="K42" s="84"/>
      <c r="L42" s="83"/>
      <c r="M42" s="85">
        <f>IFERROR(J42/I42,"")</f>
        <v>0</v>
      </c>
      <c r="N42" s="86"/>
      <c r="O42" s="86"/>
      <c r="P42" s="86"/>
      <c r="Q42" s="86">
        <v>0</v>
      </c>
      <c r="R42" s="86">
        <v>0</v>
      </c>
      <c r="S42" s="86"/>
      <c r="T42" s="86"/>
      <c r="U42" s="86"/>
      <c r="V42" s="86">
        <v>0</v>
      </c>
      <c r="W42" s="86">
        <v>0</v>
      </c>
      <c r="X42" s="86">
        <v>0</v>
      </c>
      <c r="Y42" s="106"/>
      <c r="Z42" s="33">
        <f t="shared" si="6"/>
        <v>0</v>
      </c>
      <c r="AA42" s="107">
        <f t="shared" si="5"/>
        <v>8615.38</v>
      </c>
    </row>
    <row r="43" spans="1:27">
      <c r="A43" s="59">
        <v>43</v>
      </c>
      <c r="B43" s="20" t="s">
        <v>87</v>
      </c>
      <c r="C43" s="63" t="s">
        <v>88</v>
      </c>
      <c r="D43" s="59" t="s">
        <v>41</v>
      </c>
      <c r="E43" s="61">
        <v>11063.25</v>
      </c>
      <c r="F43" s="61"/>
      <c r="G43" s="61">
        <f>VLOOKUP(B43,'月付款明细 '!B:BO,66,0)</f>
        <v>0</v>
      </c>
      <c r="H43" s="61"/>
      <c r="I43" s="61">
        <f t="shared" si="4"/>
        <v>11063.25</v>
      </c>
      <c r="J43" s="83"/>
      <c r="K43" s="84"/>
      <c r="L43" s="83"/>
      <c r="M43" s="85">
        <f>IFERROR(J43/I43,"")</f>
        <v>0</v>
      </c>
      <c r="N43" s="86"/>
      <c r="O43" s="86"/>
      <c r="P43" s="86"/>
      <c r="Q43" s="86">
        <v>0</v>
      </c>
      <c r="R43" s="86">
        <v>0</v>
      </c>
      <c r="S43" s="86"/>
      <c r="T43" s="86"/>
      <c r="U43" s="86"/>
      <c r="V43" s="86">
        <v>0</v>
      </c>
      <c r="W43" s="86">
        <v>0</v>
      </c>
      <c r="X43" s="86">
        <v>0</v>
      </c>
      <c r="Y43" s="106"/>
      <c r="Z43" s="33">
        <f t="shared" si="6"/>
        <v>0</v>
      </c>
      <c r="AA43" s="107">
        <f t="shared" si="5"/>
        <v>11063.25</v>
      </c>
    </row>
    <row r="44" spans="1:27">
      <c r="A44" s="59">
        <v>44</v>
      </c>
      <c r="B44" s="20" t="s">
        <v>89</v>
      </c>
      <c r="C44" s="63" t="s">
        <v>90</v>
      </c>
      <c r="D44" s="59" t="s">
        <v>41</v>
      </c>
      <c r="E44" s="61">
        <v>2200</v>
      </c>
      <c r="F44" s="61"/>
      <c r="G44" s="61">
        <f>VLOOKUP(B44,'月付款明细 '!B:BO,66,0)</f>
        <v>0</v>
      </c>
      <c r="H44" s="61"/>
      <c r="I44" s="61">
        <f t="shared" si="4"/>
        <v>2200</v>
      </c>
      <c r="J44" s="83"/>
      <c r="K44" s="84"/>
      <c r="L44" s="83"/>
      <c r="M44" s="85">
        <f>IFERROR(J44/I44,"")</f>
        <v>0</v>
      </c>
      <c r="N44" s="86"/>
      <c r="O44" s="86"/>
      <c r="P44" s="86"/>
      <c r="Q44" s="86">
        <v>0</v>
      </c>
      <c r="R44" s="86">
        <v>0</v>
      </c>
      <c r="S44" s="86"/>
      <c r="T44" s="86"/>
      <c r="U44" s="86"/>
      <c r="V44" s="86">
        <v>0</v>
      </c>
      <c r="W44" s="86">
        <v>0</v>
      </c>
      <c r="X44" s="86">
        <v>0</v>
      </c>
      <c r="Y44" s="106"/>
      <c r="Z44" s="33">
        <f t="shared" si="6"/>
        <v>0</v>
      </c>
      <c r="AA44" s="107">
        <f t="shared" si="5"/>
        <v>2200</v>
      </c>
    </row>
    <row r="45" spans="1:27">
      <c r="A45" s="59">
        <v>45</v>
      </c>
      <c r="B45" s="20" t="s">
        <v>91</v>
      </c>
      <c r="C45" s="64" t="s">
        <v>92</v>
      </c>
      <c r="D45" s="59" t="s">
        <v>41</v>
      </c>
      <c r="E45" s="61">
        <v>331290.72</v>
      </c>
      <c r="F45" s="61"/>
      <c r="G45" s="61">
        <f>VLOOKUP(B45,'月付款明细 '!B:BO,66,0)</f>
        <v>0</v>
      </c>
      <c r="H45" s="61"/>
      <c r="I45" s="61">
        <f t="shared" si="4"/>
        <v>331290.72</v>
      </c>
      <c r="J45" s="83"/>
      <c r="K45" s="84"/>
      <c r="L45" s="83"/>
      <c r="M45" s="85">
        <f>IFERROR(J45/I45,"")</f>
        <v>0</v>
      </c>
      <c r="N45" s="86"/>
      <c r="O45" s="86"/>
      <c r="P45" s="86"/>
      <c r="Q45" s="86">
        <v>0</v>
      </c>
      <c r="R45" s="86">
        <v>0</v>
      </c>
      <c r="S45" s="86"/>
      <c r="T45" s="86"/>
      <c r="U45" s="86"/>
      <c r="V45" s="86">
        <v>0</v>
      </c>
      <c r="W45" s="86">
        <v>0</v>
      </c>
      <c r="X45" s="86">
        <v>0</v>
      </c>
      <c r="Y45" s="106"/>
      <c r="Z45" s="33">
        <f t="shared" si="6"/>
        <v>0</v>
      </c>
      <c r="AA45" s="107">
        <f t="shared" si="5"/>
        <v>331290.72</v>
      </c>
    </row>
    <row r="46" spans="1:27">
      <c r="A46" s="59">
        <v>46</v>
      </c>
      <c r="B46" s="20" t="s">
        <v>93</v>
      </c>
      <c r="C46" s="20" t="s">
        <v>94</v>
      </c>
      <c r="D46" s="59" t="s">
        <v>41</v>
      </c>
      <c r="E46" s="61">
        <v>138199.87</v>
      </c>
      <c r="F46" s="61"/>
      <c r="G46" s="61">
        <f>VLOOKUP(B46,'月付款明细 '!B:BO,66,0)</f>
        <v>130000</v>
      </c>
      <c r="H46" s="61"/>
      <c r="I46" s="61">
        <f t="shared" si="4"/>
        <v>8199.87</v>
      </c>
      <c r="J46" s="83"/>
      <c r="K46" s="84"/>
      <c r="L46" s="83"/>
      <c r="M46" s="85">
        <f>IFERROR(J46/I46,"")</f>
        <v>0</v>
      </c>
      <c r="N46" s="86"/>
      <c r="O46" s="86"/>
      <c r="P46" s="86"/>
      <c r="Q46" s="86">
        <v>26853.12</v>
      </c>
      <c r="R46" s="86">
        <v>0</v>
      </c>
      <c r="S46" s="86"/>
      <c r="T46" s="86"/>
      <c r="U46" s="86"/>
      <c r="V46" s="86">
        <v>0</v>
      </c>
      <c r="W46" s="86">
        <v>0</v>
      </c>
      <c r="X46" s="86">
        <v>0</v>
      </c>
      <c r="Y46" s="106"/>
      <c r="Z46" s="33">
        <f t="shared" si="6"/>
        <v>0</v>
      </c>
      <c r="AA46" s="107">
        <f t="shared" si="5"/>
        <v>8199.87</v>
      </c>
    </row>
    <row r="47" spans="1:27">
      <c r="A47" s="59">
        <v>47</v>
      </c>
      <c r="B47" s="21">
        <v>1937678</v>
      </c>
      <c r="C47" s="22" t="s">
        <v>95</v>
      </c>
      <c r="D47" s="59" t="s">
        <v>41</v>
      </c>
      <c r="E47" s="61">
        <v>377087.1</v>
      </c>
      <c r="F47" s="61"/>
      <c r="G47" s="61">
        <f>VLOOKUP(B47,'月付款明细 '!B:BO,66,0)</f>
        <v>250000</v>
      </c>
      <c r="H47" s="61"/>
      <c r="I47" s="61">
        <f t="shared" si="4"/>
        <v>127087.1</v>
      </c>
      <c r="J47" s="83"/>
      <c r="K47" s="84"/>
      <c r="L47" s="83"/>
      <c r="M47" s="85">
        <f>IFERROR(J47/I47,"")</f>
        <v>0</v>
      </c>
      <c r="N47" s="86"/>
      <c r="O47" s="86"/>
      <c r="P47" s="86"/>
      <c r="Q47" s="86">
        <v>0</v>
      </c>
      <c r="R47" s="86">
        <v>166575.04</v>
      </c>
      <c r="S47" s="86">
        <v>107053.73</v>
      </c>
      <c r="T47" s="86">
        <v>53572.27</v>
      </c>
      <c r="U47" s="86">
        <v>78772.53</v>
      </c>
      <c r="V47" s="86">
        <v>82110.55</v>
      </c>
      <c r="W47" s="86">
        <v>93224.21</v>
      </c>
      <c r="X47" s="86">
        <v>83097.28</v>
      </c>
      <c r="Y47" s="106"/>
      <c r="Z47" s="33">
        <f>SUM(T47:X47)</f>
        <v>390776.84</v>
      </c>
      <c r="AA47" s="107">
        <f t="shared" si="5"/>
        <v>517863.94</v>
      </c>
    </row>
    <row r="48" spans="1:27">
      <c r="A48" s="59">
        <v>48</v>
      </c>
      <c r="B48" s="21">
        <v>1911232</v>
      </c>
      <c r="C48" s="22" t="s">
        <v>96</v>
      </c>
      <c r="D48" s="59" t="s">
        <v>41</v>
      </c>
      <c r="E48" s="61">
        <v>0</v>
      </c>
      <c r="F48" s="61"/>
      <c r="G48" s="61">
        <f>VLOOKUP(B48,'月付款明细 '!B:BO,66,0)</f>
        <v>0</v>
      </c>
      <c r="H48" s="61"/>
      <c r="I48" s="61">
        <f t="shared" si="4"/>
        <v>0</v>
      </c>
      <c r="J48" s="83"/>
      <c r="K48" s="84"/>
      <c r="L48" s="83"/>
      <c r="M48" s="85" t="str">
        <f>IFERROR(J48/I48,"")</f>
        <v/>
      </c>
      <c r="N48" s="86"/>
      <c r="O48" s="86"/>
      <c r="P48" s="86"/>
      <c r="Q48" s="86">
        <v>0</v>
      </c>
      <c r="R48" s="86">
        <v>0</v>
      </c>
      <c r="S48" s="86"/>
      <c r="T48" s="86"/>
      <c r="U48" s="86"/>
      <c r="V48" s="86">
        <v>0</v>
      </c>
      <c r="W48" s="86">
        <v>0</v>
      </c>
      <c r="X48" s="86">
        <v>0</v>
      </c>
      <c r="Y48" s="106"/>
      <c r="Z48" s="33">
        <f t="shared" si="6"/>
        <v>0</v>
      </c>
      <c r="AA48" s="107">
        <f t="shared" si="5"/>
        <v>0</v>
      </c>
    </row>
    <row r="49" spans="1:27">
      <c r="A49" s="59">
        <v>49</v>
      </c>
      <c r="B49" s="21">
        <v>1937655</v>
      </c>
      <c r="C49" s="22" t="s">
        <v>97</v>
      </c>
      <c r="D49" s="59" t="s">
        <v>41</v>
      </c>
      <c r="E49" s="61">
        <v>899649.14</v>
      </c>
      <c r="F49" s="61"/>
      <c r="G49" s="61">
        <f>VLOOKUP(B49,'月付款明细 '!B:BO,66,0)</f>
        <v>706000</v>
      </c>
      <c r="H49" s="61"/>
      <c r="I49" s="61">
        <f t="shared" si="4"/>
        <v>193649.14</v>
      </c>
      <c r="J49" s="83"/>
      <c r="K49" s="84"/>
      <c r="L49" s="83"/>
      <c r="M49" s="85">
        <f>IFERROR(J49/I49,"")</f>
        <v>0</v>
      </c>
      <c r="N49" s="86"/>
      <c r="O49" s="86"/>
      <c r="P49" s="86"/>
      <c r="Q49" s="86">
        <v>0</v>
      </c>
      <c r="R49" s="86">
        <v>711759.88</v>
      </c>
      <c r="S49" s="86">
        <v>187889.26</v>
      </c>
      <c r="T49" s="86">
        <v>255956.79</v>
      </c>
      <c r="U49" s="86">
        <v>432323.34</v>
      </c>
      <c r="V49" s="86">
        <v>299061.96</v>
      </c>
      <c r="W49" s="86">
        <v>450103.36</v>
      </c>
      <c r="X49" s="86">
        <v>341690.73</v>
      </c>
      <c r="Y49" s="106"/>
      <c r="Z49" s="33">
        <f t="shared" si="6"/>
        <v>1779136.18</v>
      </c>
      <c r="AA49" s="107">
        <f t="shared" si="5"/>
        <v>1972785.32</v>
      </c>
    </row>
    <row r="50" spans="1:27">
      <c r="A50" s="59">
        <v>51</v>
      </c>
      <c r="B50" s="23" t="s">
        <v>98</v>
      </c>
      <c r="C50" s="22" t="s">
        <v>99</v>
      </c>
      <c r="D50" s="59" t="s">
        <v>41</v>
      </c>
      <c r="E50" s="61">
        <v>1196362.39</v>
      </c>
      <c r="F50" s="61"/>
      <c r="G50" s="61">
        <f>VLOOKUP(B50,'月付款明细 '!B:BO,66,0)</f>
        <v>269750</v>
      </c>
      <c r="H50" s="61"/>
      <c r="I50" s="61">
        <f>E50-G50</f>
        <v>926612.39</v>
      </c>
      <c r="J50" s="83"/>
      <c r="K50" s="84"/>
      <c r="L50" s="83"/>
      <c r="M50" s="85">
        <f>IFERROR(J50/I50,"")</f>
        <v>0</v>
      </c>
      <c r="N50" s="86"/>
      <c r="O50" s="86"/>
      <c r="P50" s="86"/>
      <c r="Q50" s="86">
        <v>0</v>
      </c>
      <c r="R50" s="86">
        <v>326176.76</v>
      </c>
      <c r="S50" s="86"/>
      <c r="T50" s="86"/>
      <c r="U50" s="86">
        <v>337387.93</v>
      </c>
      <c r="V50" s="86">
        <v>0</v>
      </c>
      <c r="W50" s="86">
        <v>0</v>
      </c>
      <c r="X50" s="86">
        <v>0</v>
      </c>
      <c r="Y50" s="106"/>
      <c r="Z50" s="33">
        <f t="shared" si="6"/>
        <v>337387.93</v>
      </c>
      <c r="AA50" s="107">
        <f>I50+Z50</f>
        <v>1264000.32</v>
      </c>
    </row>
    <row r="51" spans="1:27">
      <c r="A51" s="59">
        <v>52</v>
      </c>
      <c r="B51" s="21">
        <v>1933714</v>
      </c>
      <c r="C51" s="22" t="s">
        <v>100</v>
      </c>
      <c r="D51" s="59" t="s">
        <v>41</v>
      </c>
      <c r="E51" s="61">
        <v>0</v>
      </c>
      <c r="F51" s="61"/>
      <c r="G51" s="61">
        <f>VLOOKUP(B51,'月付款明细 '!B:BO,66,0)</f>
        <v>0</v>
      </c>
      <c r="H51" s="61"/>
      <c r="I51" s="61">
        <f>E51-G51</f>
        <v>0</v>
      </c>
      <c r="J51" s="83"/>
      <c r="K51" s="84"/>
      <c r="L51" s="83"/>
      <c r="M51" s="85" t="str">
        <f>IFERROR(J51/I51,"")</f>
        <v/>
      </c>
      <c r="N51" s="86"/>
      <c r="O51" s="86"/>
      <c r="P51" s="86"/>
      <c r="Q51" s="86">
        <v>0</v>
      </c>
      <c r="R51" s="86">
        <v>0</v>
      </c>
      <c r="S51" s="86"/>
      <c r="T51" s="86">
        <v>1375</v>
      </c>
      <c r="U51" s="86"/>
      <c r="V51" s="86">
        <v>17600</v>
      </c>
      <c r="W51" s="86">
        <v>17600</v>
      </c>
      <c r="X51" s="86">
        <v>2200</v>
      </c>
      <c r="Y51" s="106"/>
      <c r="Z51" s="33">
        <f t="shared" si="6"/>
        <v>38775</v>
      </c>
      <c r="AA51" s="107">
        <f>I51+Z51</f>
        <v>38775</v>
      </c>
    </row>
    <row r="52" spans="1:27">
      <c r="A52" s="59">
        <v>53</v>
      </c>
      <c r="B52" s="21">
        <v>1937685</v>
      </c>
      <c r="C52" s="22" t="s">
        <v>101</v>
      </c>
      <c r="D52" s="59" t="s">
        <v>41</v>
      </c>
      <c r="E52" s="61">
        <v>0</v>
      </c>
      <c r="F52" s="61"/>
      <c r="G52" s="61">
        <f>VLOOKUP(B52,'月付款明细 '!B:BO,66,0)</f>
        <v>0</v>
      </c>
      <c r="H52" s="61"/>
      <c r="I52" s="61">
        <f>E52-G52</f>
        <v>0</v>
      </c>
      <c r="J52" s="83"/>
      <c r="K52" s="84"/>
      <c r="L52" s="83"/>
      <c r="M52" s="85" t="str">
        <f>IFERROR(J52/I52,"")</f>
        <v/>
      </c>
      <c r="N52" s="86"/>
      <c r="O52" s="86"/>
      <c r="P52" s="86"/>
      <c r="Q52" s="86">
        <v>0</v>
      </c>
      <c r="R52" s="86">
        <v>0</v>
      </c>
      <c r="S52" s="86"/>
      <c r="T52" s="86">
        <v>246316.27</v>
      </c>
      <c r="U52" s="86">
        <v>66306.14</v>
      </c>
      <c r="V52" s="86">
        <v>67757.06</v>
      </c>
      <c r="W52" s="86">
        <v>72238.64</v>
      </c>
      <c r="X52" s="86">
        <v>54311.19</v>
      </c>
      <c r="Y52" s="106"/>
      <c r="Z52" s="33">
        <f t="shared" si="6"/>
        <v>506929.3</v>
      </c>
      <c r="AA52" s="107">
        <f>I52+Z52</f>
        <v>506929.3</v>
      </c>
    </row>
    <row r="53" spans="1:27">
      <c r="A53" s="59">
        <v>54</v>
      </c>
      <c r="B53" s="21">
        <v>1937687</v>
      </c>
      <c r="C53" s="22" t="s">
        <v>102</v>
      </c>
      <c r="D53" s="59" t="s">
        <v>41</v>
      </c>
      <c r="E53" s="61">
        <v>0</v>
      </c>
      <c r="F53" s="61"/>
      <c r="G53" s="61">
        <f>VLOOKUP(B53,'月付款明细 '!B:BO,66,0)</f>
        <v>0</v>
      </c>
      <c r="H53" s="61"/>
      <c r="I53" s="61">
        <f>E53-G53</f>
        <v>0</v>
      </c>
      <c r="J53" s="83"/>
      <c r="K53" s="84"/>
      <c r="L53" s="83"/>
      <c r="M53" s="85" t="str">
        <f>IFERROR(J53/I53,"")</f>
        <v/>
      </c>
      <c r="N53" s="86"/>
      <c r="O53" s="86"/>
      <c r="P53" s="86"/>
      <c r="Q53" s="86">
        <v>0</v>
      </c>
      <c r="R53" s="86">
        <v>0</v>
      </c>
      <c r="S53" s="86"/>
      <c r="T53" s="86">
        <v>40034.68</v>
      </c>
      <c r="U53" s="86">
        <v>6253.96</v>
      </c>
      <c r="V53" s="86">
        <v>10230.57</v>
      </c>
      <c r="W53" s="86">
        <v>11413.14</v>
      </c>
      <c r="X53" s="86">
        <v>11289.24</v>
      </c>
      <c r="Y53" s="106"/>
      <c r="Z53" s="33">
        <f t="shared" si="6"/>
        <v>79221.59</v>
      </c>
      <c r="AA53" s="107">
        <f>I53+Z53</f>
        <v>79221.59</v>
      </c>
    </row>
    <row r="54" spans="1:27">
      <c r="A54" s="59">
        <v>56</v>
      </c>
      <c r="B54" s="22" t="s">
        <v>103</v>
      </c>
      <c r="C54" s="22" t="s">
        <v>104</v>
      </c>
      <c r="D54" s="59" t="s">
        <v>41</v>
      </c>
      <c r="E54" s="61">
        <v>0</v>
      </c>
      <c r="F54" s="61"/>
      <c r="G54" s="61">
        <f>VLOOKUP(B54,'月付款明细 '!B:BO,66,0)</f>
        <v>0</v>
      </c>
      <c r="H54" s="61"/>
      <c r="I54" s="61">
        <f>F54-H54</f>
        <v>0</v>
      </c>
      <c r="J54" s="83"/>
      <c r="K54" s="84"/>
      <c r="L54" s="83"/>
      <c r="M54" s="85"/>
      <c r="N54" s="86"/>
      <c r="O54" s="86"/>
      <c r="P54" s="86"/>
      <c r="Q54" s="86"/>
      <c r="R54" s="86"/>
      <c r="S54" s="86"/>
      <c r="T54" s="86"/>
      <c r="U54" s="86"/>
      <c r="V54" s="86">
        <v>770143.21</v>
      </c>
      <c r="W54" s="86">
        <v>322358.7</v>
      </c>
      <c r="X54" s="86">
        <v>710004.77</v>
      </c>
      <c r="Y54" s="106"/>
      <c r="Z54" s="33">
        <f t="shared" si="6"/>
        <v>1802506.68</v>
      </c>
      <c r="AA54" s="107">
        <f>I54+Z54</f>
        <v>1802506.68</v>
      </c>
    </row>
    <row r="55" spans="1:27">
      <c r="A55" s="59">
        <v>57</v>
      </c>
      <c r="B55" s="23" t="s">
        <v>105</v>
      </c>
      <c r="C55" s="22" t="s">
        <v>106</v>
      </c>
      <c r="D55" s="59" t="s">
        <v>41</v>
      </c>
      <c r="E55" s="61">
        <v>0</v>
      </c>
      <c r="F55" s="61"/>
      <c r="G55" s="61">
        <f>VLOOKUP(B55,'月付款明细 '!B:BO,66,0)</f>
        <v>0</v>
      </c>
      <c r="H55" s="61"/>
      <c r="I55" s="61">
        <f>F55-H55</f>
        <v>0</v>
      </c>
      <c r="J55" s="83"/>
      <c r="K55" s="84"/>
      <c r="L55" s="83"/>
      <c r="M55" s="85"/>
      <c r="N55" s="86"/>
      <c r="O55" s="86"/>
      <c r="P55" s="86"/>
      <c r="Q55" s="86"/>
      <c r="R55" s="86"/>
      <c r="S55" s="86"/>
      <c r="T55" s="86"/>
      <c r="U55" s="86"/>
      <c r="V55" s="86">
        <v>153802.45</v>
      </c>
      <c r="W55" s="86">
        <v>137394.58</v>
      </c>
      <c r="X55" s="86">
        <v>155840.29</v>
      </c>
      <c r="Y55" s="106"/>
      <c r="Z55" s="33">
        <f t="shared" si="6"/>
        <v>447037.32</v>
      </c>
      <c r="AA55" s="107">
        <f>I55+Z55</f>
        <v>447037.32</v>
      </c>
    </row>
    <row r="56" spans="1:27">
      <c r="A56" s="59">
        <v>58</v>
      </c>
      <c r="B56" s="23" t="s">
        <v>107</v>
      </c>
      <c r="C56" s="22" t="s">
        <v>108</v>
      </c>
      <c r="D56" s="59" t="s">
        <v>41</v>
      </c>
      <c r="E56" s="61">
        <v>0</v>
      </c>
      <c r="F56" s="61"/>
      <c r="G56" s="61">
        <f>VLOOKUP(B56,'月付款明细 '!B:BO,66,0)</f>
        <v>0</v>
      </c>
      <c r="H56" s="61"/>
      <c r="I56" s="61">
        <f>F56-H56</f>
        <v>0</v>
      </c>
      <c r="J56" s="83"/>
      <c r="K56" s="84"/>
      <c r="L56" s="83"/>
      <c r="M56" s="85"/>
      <c r="N56" s="86"/>
      <c r="O56" s="86"/>
      <c r="P56" s="86"/>
      <c r="Q56" s="86"/>
      <c r="R56" s="86"/>
      <c r="S56" s="86"/>
      <c r="T56" s="86"/>
      <c r="U56" s="86"/>
      <c r="V56" s="86"/>
      <c r="W56" s="86">
        <v>171816</v>
      </c>
      <c r="X56" s="86">
        <v>47671.88</v>
      </c>
      <c r="Y56" s="106"/>
      <c r="Z56" s="33">
        <f t="shared" si="6"/>
        <v>219487.88</v>
      </c>
      <c r="AA56" s="107">
        <f>I56+Z56</f>
        <v>219487.88</v>
      </c>
    </row>
    <row r="57" s="47" customFormat="1" spans="1:29">
      <c r="A57" s="65">
        <v>55</v>
      </c>
      <c r="B57" s="66" t="s">
        <v>109</v>
      </c>
      <c r="C57" s="66" t="s">
        <v>110</v>
      </c>
      <c r="D57" s="65" t="s">
        <v>111</v>
      </c>
      <c r="E57" s="67"/>
      <c r="F57" s="67">
        <v>344772.45</v>
      </c>
      <c r="G57" s="67"/>
      <c r="H57" s="67">
        <f>VLOOKUP(B57,'月付款明细 '!B:BO,66,0)</f>
        <v>250000</v>
      </c>
      <c r="I57" s="67">
        <f>F57-H57</f>
        <v>94772.45</v>
      </c>
      <c r="J57" s="91"/>
      <c r="K57" s="92"/>
      <c r="L57" s="91"/>
      <c r="M57" s="93">
        <f>IFERROR(J57/I57,"")</f>
        <v>0</v>
      </c>
      <c r="N57" s="94"/>
      <c r="O57" s="94"/>
      <c r="P57" s="94"/>
      <c r="Q57" s="94">
        <v>0</v>
      </c>
      <c r="R57" s="94">
        <v>98672.25</v>
      </c>
      <c r="S57" s="94"/>
      <c r="T57" s="94">
        <v>246100.2</v>
      </c>
      <c r="U57" s="94"/>
      <c r="V57" s="94">
        <v>0</v>
      </c>
      <c r="W57" s="94">
        <v>260743.04</v>
      </c>
      <c r="X57" s="94">
        <v>0</v>
      </c>
      <c r="Y57" s="108"/>
      <c r="Z57" s="109">
        <f>SUM(V57:X57)</f>
        <v>260743.04</v>
      </c>
      <c r="AA57" s="110">
        <f>Z57+I57</f>
        <v>355515.49</v>
      </c>
      <c r="AB57"/>
      <c r="AC57"/>
    </row>
    <row r="58" s="47" customFormat="1" spans="1:29">
      <c r="A58" s="65">
        <v>50</v>
      </c>
      <c r="B58" s="68">
        <v>1937680</v>
      </c>
      <c r="C58" s="66" t="s">
        <v>112</v>
      </c>
      <c r="D58" s="65" t="s">
        <v>111</v>
      </c>
      <c r="E58" s="67"/>
      <c r="F58" s="67">
        <v>246278.22</v>
      </c>
      <c r="G58" s="67"/>
      <c r="H58" s="67">
        <f>VLOOKUP(B58,'月付款明细 '!B:BO,66,0)</f>
        <v>180000</v>
      </c>
      <c r="I58" s="67">
        <f>F58-H58</f>
        <v>66278.22</v>
      </c>
      <c r="J58" s="91"/>
      <c r="K58" s="92"/>
      <c r="L58" s="91"/>
      <c r="M58" s="93">
        <f>IFERROR(J58/I58,"")</f>
        <v>0</v>
      </c>
      <c r="N58" s="94"/>
      <c r="O58" s="94"/>
      <c r="P58" s="94"/>
      <c r="Q58" s="94">
        <v>72202.6</v>
      </c>
      <c r="R58" s="94">
        <v>61179.33</v>
      </c>
      <c r="S58" s="94">
        <v>46950.37</v>
      </c>
      <c r="T58" s="94">
        <v>33775.7</v>
      </c>
      <c r="U58" s="94">
        <v>58680.22</v>
      </c>
      <c r="V58" s="94">
        <v>63927.43</v>
      </c>
      <c r="W58" s="94">
        <v>78643.61</v>
      </c>
      <c r="X58" s="94">
        <v>83227.76</v>
      </c>
      <c r="Y58" s="108"/>
      <c r="Z58" s="109">
        <f>SUM(V58:X58)</f>
        <v>225798.8</v>
      </c>
      <c r="AA58" s="110">
        <f>Z58+I58</f>
        <v>292077.02</v>
      </c>
      <c r="AB58"/>
      <c r="AC58"/>
    </row>
    <row r="59" s="47" customFormat="1" spans="1:29">
      <c r="A59" s="65">
        <v>28</v>
      </c>
      <c r="B59" s="69">
        <v>1937012</v>
      </c>
      <c r="C59" s="70" t="s">
        <v>113</v>
      </c>
      <c r="D59" s="65" t="s">
        <v>111</v>
      </c>
      <c r="E59" s="67"/>
      <c r="F59" s="67">
        <v>383750</v>
      </c>
      <c r="G59" s="67"/>
      <c r="H59" s="67">
        <f>VLOOKUP(B59,'月付款明细 '!B:BO,66,0)</f>
        <v>320000</v>
      </c>
      <c r="I59" s="67">
        <f>F59-H59</f>
        <v>63750</v>
      </c>
      <c r="J59" s="91"/>
      <c r="K59" s="92"/>
      <c r="L59" s="95"/>
      <c r="M59" s="93">
        <f>IFERROR(J59/I59,"")</f>
        <v>0</v>
      </c>
      <c r="N59" s="96"/>
      <c r="O59" s="96"/>
      <c r="P59" s="97"/>
      <c r="Q59" s="94">
        <v>0</v>
      </c>
      <c r="R59" s="94">
        <v>0</v>
      </c>
      <c r="S59" s="94"/>
      <c r="T59" s="94"/>
      <c r="U59" s="94"/>
      <c r="V59" s="94">
        <v>0</v>
      </c>
      <c r="W59" s="94">
        <v>0</v>
      </c>
      <c r="X59" s="94">
        <v>0</v>
      </c>
      <c r="Y59" s="111"/>
      <c r="Z59" s="109">
        <f>SUM(V59:X59)</f>
        <v>0</v>
      </c>
      <c r="AA59" s="110">
        <f>Z59+I59</f>
        <v>63750</v>
      </c>
      <c r="AB59"/>
      <c r="AC59"/>
    </row>
    <row r="60" s="47" customFormat="1" spans="1:29">
      <c r="A60" s="65">
        <v>35</v>
      </c>
      <c r="B60" s="69" t="s">
        <v>114</v>
      </c>
      <c r="C60" s="70" t="s">
        <v>115</v>
      </c>
      <c r="D60" s="65" t="s">
        <v>111</v>
      </c>
      <c r="E60" s="67"/>
      <c r="F60" s="67">
        <v>623177</v>
      </c>
      <c r="G60" s="67"/>
      <c r="H60" s="67">
        <f>VLOOKUP(B60,'月付款明细 '!B:BO,66,0)</f>
        <v>700000</v>
      </c>
      <c r="I60" s="67">
        <f>F60-H60</f>
        <v>-76823</v>
      </c>
      <c r="J60" s="91"/>
      <c r="K60" s="92"/>
      <c r="L60" s="91"/>
      <c r="M60" s="93">
        <f>IFERROR(J60/I60,"")</f>
        <v>0</v>
      </c>
      <c r="N60" s="94"/>
      <c r="O60" s="94"/>
      <c r="P60" s="94"/>
      <c r="Q60" s="94">
        <v>151429.8</v>
      </c>
      <c r="R60" s="94">
        <v>217730</v>
      </c>
      <c r="S60" s="94">
        <v>197036</v>
      </c>
      <c r="T60" s="94">
        <v>174408</v>
      </c>
      <c r="U60" s="94">
        <v>165627</v>
      </c>
      <c r="V60" s="94">
        <v>128865</v>
      </c>
      <c r="W60" s="94">
        <v>148763</v>
      </c>
      <c r="X60" s="94">
        <v>135009</v>
      </c>
      <c r="Y60" s="108"/>
      <c r="Z60" s="109">
        <f>SUM(V60:X60)</f>
        <v>412637</v>
      </c>
      <c r="AA60" s="110">
        <f>Z60+I60</f>
        <v>335814</v>
      </c>
      <c r="AB60"/>
      <c r="AC60"/>
    </row>
    <row r="61" s="47" customFormat="1" spans="1:29">
      <c r="A61" s="65">
        <v>24</v>
      </c>
      <c r="B61" s="69">
        <v>1913665</v>
      </c>
      <c r="C61" s="70" t="s">
        <v>116</v>
      </c>
      <c r="D61" s="65" t="s">
        <v>111</v>
      </c>
      <c r="E61" s="67"/>
      <c r="F61" s="67">
        <v>503832.02</v>
      </c>
      <c r="G61" s="67"/>
      <c r="H61" s="67">
        <f>VLOOKUP(B61,'月付款明细 '!B:BO,66,0)</f>
        <v>500150</v>
      </c>
      <c r="I61" s="67">
        <f>F61-H61</f>
        <v>3682.02000000002</v>
      </c>
      <c r="J61" s="91"/>
      <c r="K61" s="92"/>
      <c r="L61" s="91"/>
      <c r="M61" s="93">
        <f>IFERROR(J61/I61,"")</f>
        <v>0</v>
      </c>
      <c r="N61" s="94"/>
      <c r="O61" s="94"/>
      <c r="P61" s="98"/>
      <c r="Q61" s="94">
        <v>119783.08</v>
      </c>
      <c r="R61" s="94">
        <v>211538.72</v>
      </c>
      <c r="S61" s="94">
        <v>142297.05</v>
      </c>
      <c r="T61" s="94">
        <v>139446.88</v>
      </c>
      <c r="U61" s="94">
        <v>139060.57</v>
      </c>
      <c r="V61" s="94">
        <v>154758.95</v>
      </c>
      <c r="W61" s="94">
        <v>154997.02</v>
      </c>
      <c r="X61" s="94">
        <v>145773.82</v>
      </c>
      <c r="Y61" s="108"/>
      <c r="Z61" s="109">
        <f>SUM(V61:X61)</f>
        <v>455529.79</v>
      </c>
      <c r="AA61" s="110">
        <f>Z61+I61</f>
        <v>459211.81</v>
      </c>
      <c r="AB61"/>
      <c r="AC61"/>
    </row>
    <row r="62" s="47" customFormat="1" spans="1:29">
      <c r="A62" s="65">
        <v>59</v>
      </c>
      <c r="B62" s="69" t="s">
        <v>117</v>
      </c>
      <c r="C62" s="69" t="s">
        <v>118</v>
      </c>
      <c r="D62" s="65" t="s">
        <v>111</v>
      </c>
      <c r="E62" s="67"/>
      <c r="F62" s="67">
        <v>0</v>
      </c>
      <c r="G62" s="67"/>
      <c r="H62" s="67">
        <f>VLOOKUP(B62,'月付款明细 '!B:BO,66,0)</f>
        <v>0</v>
      </c>
      <c r="I62" s="67">
        <f>F62-H62</f>
        <v>0</v>
      </c>
      <c r="J62" s="91"/>
      <c r="K62" s="92"/>
      <c r="L62" s="91"/>
      <c r="M62" s="93" t="str">
        <f>IFERROR(J62/I62,"")</f>
        <v/>
      </c>
      <c r="N62" s="94"/>
      <c r="O62" s="94"/>
      <c r="P62" s="94"/>
      <c r="Q62" s="94">
        <v>0</v>
      </c>
      <c r="R62" s="94">
        <v>28000</v>
      </c>
      <c r="S62" s="94"/>
      <c r="T62" s="94"/>
      <c r="U62" s="94"/>
      <c r="V62" s="94">
        <v>0</v>
      </c>
      <c r="W62" s="94">
        <v>0</v>
      </c>
      <c r="X62" s="94">
        <v>80000</v>
      </c>
      <c r="Y62" s="108"/>
      <c r="Z62" s="109">
        <f>SUM(V62:X62)</f>
        <v>80000</v>
      </c>
      <c r="AA62" s="110">
        <f>I62+Z62</f>
        <v>80000</v>
      </c>
      <c r="AB62"/>
      <c r="AC62"/>
    </row>
    <row r="63" spans="1:27">
      <c r="A63" s="59"/>
      <c r="B63" s="59"/>
      <c r="C63" s="71" t="s">
        <v>119</v>
      </c>
      <c r="D63" s="72"/>
      <c r="E63" s="73">
        <f>SUM(E5:E62)</f>
        <v>35039804.39</v>
      </c>
      <c r="F63" s="73">
        <f>SUM(F5:F62)</f>
        <v>2101809.69</v>
      </c>
      <c r="G63" s="61">
        <f>SUM(G5:G62)</f>
        <v>26769800.78</v>
      </c>
      <c r="H63" s="73">
        <f>SUM(H5:H62)</f>
        <v>1950150</v>
      </c>
      <c r="I63" s="73">
        <f>SUM(I5:I62)</f>
        <v>8421663.3</v>
      </c>
      <c r="J63" s="73"/>
      <c r="K63" s="73">
        <f>SUM(K5:K62)</f>
        <v>0</v>
      </c>
      <c r="L63" s="73">
        <f>SUM(L5:L62)</f>
        <v>0</v>
      </c>
      <c r="M63" s="85">
        <f>J63/I63</f>
        <v>0</v>
      </c>
      <c r="N63" s="86"/>
      <c r="O63" s="86"/>
      <c r="P63" s="86"/>
      <c r="Q63" s="86">
        <f t="shared" ref="Q63:W63" si="7">SUM(Q5:Q62)</f>
        <v>4076527.68</v>
      </c>
      <c r="R63" s="86">
        <f t="shared" si="7"/>
        <v>7865988.52</v>
      </c>
      <c r="S63" s="86">
        <f t="shared" si="7"/>
        <v>7246281.61</v>
      </c>
      <c r="T63" s="86">
        <f t="shared" si="7"/>
        <v>6523530.28</v>
      </c>
      <c r="U63" s="86">
        <f t="shared" si="7"/>
        <v>6636452.67</v>
      </c>
      <c r="V63" s="86">
        <f t="shared" si="7"/>
        <v>7801204.19</v>
      </c>
      <c r="W63" s="86">
        <f t="shared" si="7"/>
        <v>7915958.39</v>
      </c>
      <c r="X63" s="86">
        <f>SUM(X5:X62)</f>
        <v>8555192.8</v>
      </c>
      <c r="Y63" s="106"/>
      <c r="Z63" s="112">
        <f>SUM(Z5:Z62)</f>
        <v>36475239.76</v>
      </c>
      <c r="AA63" s="107">
        <f>SUM(AA5:AA62)</f>
        <v>44896903.06</v>
      </c>
    </row>
    <row r="64" spans="1:26">
      <c r="A64" s="74" t="s">
        <v>120</v>
      </c>
      <c r="B64" s="74"/>
      <c r="C64" s="74"/>
      <c r="D64" s="74"/>
      <c r="E64" s="75"/>
      <c r="F64" s="75"/>
      <c r="G64" s="75"/>
      <c r="H64" s="75"/>
      <c r="I64" s="75"/>
      <c r="J64" s="74"/>
      <c r="K64" s="99"/>
      <c r="L64" s="74"/>
      <c r="M64" s="74"/>
      <c r="N64" s="100"/>
      <c r="O64" s="101"/>
      <c r="P64" s="101"/>
      <c r="Q64" s="101"/>
      <c r="R64" s="101"/>
      <c r="S64" s="102"/>
      <c r="T64" s="102"/>
      <c r="U64" s="102"/>
      <c r="V64" s="102"/>
      <c r="W64" s="102"/>
      <c r="X64" s="102"/>
      <c r="Y64" s="74"/>
      <c r="Z64" s="33"/>
    </row>
    <row r="69" spans="9:9">
      <c r="I69" s="113"/>
    </row>
    <row r="70" spans="5:5">
      <c r="E70" s="33"/>
    </row>
  </sheetData>
  <autoFilter ref="A4:AA66">
    <extLst/>
  </autoFilter>
  <mergeCells count="8">
    <mergeCell ref="A1:Y1"/>
    <mergeCell ref="N3:P3"/>
    <mergeCell ref="C63:D63"/>
    <mergeCell ref="A3:A4"/>
    <mergeCell ref="B3:B4"/>
    <mergeCell ref="C3:C4"/>
    <mergeCell ref="D3:D4"/>
    <mergeCell ref="Y3:Y4"/>
  </mergeCells>
  <conditionalFormatting sqref="C60">
    <cfRule type="duplicateValues" dxfId="0" priority="1"/>
  </conditionalFormatting>
  <conditionalFormatting sqref="C5:C6">
    <cfRule type="duplicateValues" dxfId="0" priority="3"/>
  </conditionalFormatting>
  <conditionalFormatting sqref="C7:C44 C59 C61">
    <cfRule type="duplicateValues" dxfId="0" priority="2"/>
  </conditionalFormatting>
  <pageMargins left="0.275" right="0" top="0.393055555555556" bottom="0" header="0.0777777777777778" footer="0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68"/>
  <sheetViews>
    <sheetView workbookViewId="0">
      <pane xSplit="3" ySplit="2" topLeftCell="BC3" activePane="bottomRight" state="frozenSplit"/>
      <selection/>
      <selection pane="topRight"/>
      <selection pane="bottomLeft"/>
      <selection pane="bottomRight" activeCell="BM14" sqref="BM14"/>
    </sheetView>
  </sheetViews>
  <sheetFormatPr defaultColWidth="9" defaultRowHeight="13.5"/>
  <cols>
    <col min="1" max="1" width="5.625" customWidth="1"/>
    <col min="2" max="2" width="12.5" customWidth="1"/>
    <col min="3" max="3" width="24.625" style="1" customWidth="1"/>
    <col min="4" max="6" width="9" customWidth="1"/>
    <col min="7" max="7" width="11.625" style="2" customWidth="1"/>
    <col min="8" max="15" width="9" style="2" customWidth="1"/>
    <col min="16" max="16" width="10.375" customWidth="1"/>
    <col min="17" max="18" width="9" customWidth="1"/>
    <col min="19" max="19" width="12" customWidth="1"/>
    <col min="20" max="20" width="10.375" customWidth="1"/>
    <col min="21" max="21" width="9" customWidth="1"/>
    <col min="22" max="22" width="12" customWidth="1"/>
    <col min="23" max="23" width="11.625" customWidth="1"/>
    <col min="24" max="45" width="9" customWidth="1"/>
    <col min="46" max="46" width="10.125"/>
    <col min="49" max="49" width="9.25"/>
    <col min="52" max="52" width="9.25"/>
    <col min="55" max="55" width="9.25"/>
    <col min="58" max="58" width="10.125" style="3"/>
    <col min="59" max="59" width="9" style="3"/>
    <col min="60" max="66" width="9.125" style="3" customWidth="1"/>
    <col min="67" max="67" width="11.5"/>
    <col min="69" max="69" width="27.5" customWidth="1"/>
  </cols>
  <sheetData>
    <row r="1" spans="1:18">
      <c r="A1" s="4" t="s">
        <v>3</v>
      </c>
      <c r="B1" s="4" t="s">
        <v>4</v>
      </c>
      <c r="C1" s="4" t="s">
        <v>5</v>
      </c>
      <c r="D1" s="5" t="s">
        <v>121</v>
      </c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</row>
    <row r="2" ht="14.25" spans="1:66">
      <c r="A2" s="4"/>
      <c r="B2" s="4"/>
      <c r="C2" s="4"/>
      <c r="D2" s="8" t="s">
        <v>122</v>
      </c>
      <c r="E2" s="9" t="s">
        <v>123</v>
      </c>
      <c r="F2" s="8" t="s">
        <v>124</v>
      </c>
      <c r="G2" s="10" t="s">
        <v>125</v>
      </c>
      <c r="H2" s="11" t="s">
        <v>126</v>
      </c>
      <c r="I2" s="10" t="s">
        <v>127</v>
      </c>
      <c r="J2" s="10" t="s">
        <v>128</v>
      </c>
      <c r="K2" s="11" t="s">
        <v>129</v>
      </c>
      <c r="L2" s="10" t="s">
        <v>130</v>
      </c>
      <c r="M2" s="10" t="s">
        <v>131</v>
      </c>
      <c r="N2" s="11" t="s">
        <v>132</v>
      </c>
      <c r="O2" s="10" t="s">
        <v>133</v>
      </c>
      <c r="P2" s="10" t="s">
        <v>134</v>
      </c>
      <c r="Q2" s="11" t="s">
        <v>135</v>
      </c>
      <c r="R2" s="10" t="s">
        <v>136</v>
      </c>
      <c r="S2" s="10" t="s">
        <v>137</v>
      </c>
      <c r="T2" s="11" t="s">
        <v>138</v>
      </c>
      <c r="U2" s="10" t="s">
        <v>139</v>
      </c>
      <c r="V2" s="10" t="s">
        <v>140</v>
      </c>
      <c r="W2" s="11" t="s">
        <v>141</v>
      </c>
      <c r="X2" s="10" t="s">
        <v>142</v>
      </c>
      <c r="Y2" s="10" t="s">
        <v>143</v>
      </c>
      <c r="Z2" s="11" t="s">
        <v>144</v>
      </c>
      <c r="AA2" s="10" t="s">
        <v>145</v>
      </c>
      <c r="AB2" s="10" t="s">
        <v>146</v>
      </c>
      <c r="AC2" s="11" t="s">
        <v>147</v>
      </c>
      <c r="AD2" s="10" t="s">
        <v>148</v>
      </c>
      <c r="AE2" s="10" t="s">
        <v>149</v>
      </c>
      <c r="AF2" s="11" t="s">
        <v>150</v>
      </c>
      <c r="AG2" s="10" t="s">
        <v>151</v>
      </c>
      <c r="AH2" s="10" t="s">
        <v>152</v>
      </c>
      <c r="AI2" s="11" t="s">
        <v>153</v>
      </c>
      <c r="AJ2" s="10" t="s">
        <v>154</v>
      </c>
      <c r="AK2" s="10" t="s">
        <v>155</v>
      </c>
      <c r="AL2" s="10" t="s">
        <v>156</v>
      </c>
      <c r="AM2" s="10" t="s">
        <v>157</v>
      </c>
      <c r="AN2" s="10" t="s">
        <v>158</v>
      </c>
      <c r="AO2" s="10" t="s">
        <v>123</v>
      </c>
      <c r="AP2" s="10" t="s">
        <v>124</v>
      </c>
      <c r="AQ2" s="10" t="s">
        <v>159</v>
      </c>
      <c r="AR2" s="10" t="s">
        <v>126</v>
      </c>
      <c r="AS2" s="10" t="s">
        <v>127</v>
      </c>
      <c r="AT2" s="10" t="s">
        <v>160</v>
      </c>
      <c r="AU2" s="10" t="s">
        <v>129</v>
      </c>
      <c r="AV2" s="10" t="s">
        <v>130</v>
      </c>
      <c r="AW2" s="40" t="s">
        <v>161</v>
      </c>
      <c r="AX2" s="10" t="s">
        <v>132</v>
      </c>
      <c r="AY2" s="10" t="s">
        <v>133</v>
      </c>
      <c r="AZ2" s="10" t="s">
        <v>162</v>
      </c>
      <c r="BA2" s="10" t="s">
        <v>135</v>
      </c>
      <c r="BB2" s="10" t="s">
        <v>136</v>
      </c>
      <c r="BC2" s="10" t="s">
        <v>163</v>
      </c>
      <c r="BD2" s="10" t="s">
        <v>138</v>
      </c>
      <c r="BE2" s="10" t="s">
        <v>139</v>
      </c>
      <c r="BF2" s="43" t="s">
        <v>164</v>
      </c>
      <c r="BG2" s="43" t="s">
        <v>141</v>
      </c>
      <c r="BH2" s="43" t="s">
        <v>142</v>
      </c>
      <c r="BI2" s="43" t="s">
        <v>165</v>
      </c>
      <c r="BJ2" s="43" t="s">
        <v>144</v>
      </c>
      <c r="BK2" s="43" t="s">
        <v>145</v>
      </c>
      <c r="BL2" s="43" t="s">
        <v>166</v>
      </c>
      <c r="BM2" s="43" t="s">
        <v>147</v>
      </c>
      <c r="BN2" s="43" t="s">
        <v>148</v>
      </c>
    </row>
    <row r="3" spans="1:67">
      <c r="A3" s="12">
        <v>1</v>
      </c>
      <c r="B3" s="12">
        <v>1911127</v>
      </c>
      <c r="C3" s="12" t="s">
        <v>40</v>
      </c>
      <c r="D3" s="13"/>
      <c r="E3" s="13"/>
      <c r="F3" s="13"/>
      <c r="G3" s="14">
        <v>19400</v>
      </c>
      <c r="H3" s="14">
        <v>600</v>
      </c>
      <c r="I3" s="14"/>
      <c r="J3" s="14">
        <v>47500</v>
      </c>
      <c r="K3" s="14"/>
      <c r="L3" s="14"/>
      <c r="M3" s="36">
        <v>100000</v>
      </c>
      <c r="N3" s="36"/>
      <c r="O3" s="36"/>
      <c r="P3" s="36"/>
      <c r="Q3" s="38"/>
      <c r="R3" s="38"/>
      <c r="S3" s="39">
        <v>97000</v>
      </c>
      <c r="T3" s="39">
        <v>3000</v>
      </c>
      <c r="U3" s="38"/>
      <c r="V3" s="38"/>
      <c r="W3" s="38"/>
      <c r="X3" s="38"/>
      <c r="Y3" s="36">
        <f>29100+6900</f>
        <v>36000</v>
      </c>
      <c r="Z3" s="36">
        <v>900</v>
      </c>
      <c r="AA3" s="38"/>
      <c r="AB3" s="36">
        <v>100000</v>
      </c>
      <c r="AC3" s="36">
        <v>0</v>
      </c>
      <c r="AD3" s="38"/>
      <c r="AE3" s="36">
        <v>47500</v>
      </c>
      <c r="AF3" s="36">
        <v>2500</v>
      </c>
      <c r="AG3" s="38"/>
      <c r="AH3" s="38"/>
      <c r="AI3" s="38"/>
      <c r="AJ3" s="38"/>
      <c r="AK3" s="36">
        <v>50000</v>
      </c>
      <c r="AL3" s="38"/>
      <c r="AM3" s="38"/>
      <c r="AN3" s="36">
        <f>97000+48500</f>
        <v>145500</v>
      </c>
      <c r="AO3" s="36">
        <f>3000+1500</f>
        <v>4500</v>
      </c>
      <c r="AP3" s="38"/>
      <c r="AQ3" s="38"/>
      <c r="AR3" s="38"/>
      <c r="AS3" s="38"/>
      <c r="AT3" s="36">
        <v>97000</v>
      </c>
      <c r="AU3" s="36">
        <v>3000</v>
      </c>
      <c r="AV3" s="38"/>
      <c r="AW3" s="41">
        <v>90000</v>
      </c>
      <c r="AX3" s="36">
        <v>10000</v>
      </c>
      <c r="AY3" s="38"/>
      <c r="AZ3" s="36"/>
      <c r="BA3" s="38"/>
      <c r="BB3" s="38"/>
      <c r="BC3" s="36">
        <v>97000</v>
      </c>
      <c r="BD3" s="36">
        <v>3000</v>
      </c>
      <c r="BE3" s="38"/>
      <c r="BF3" s="44">
        <v>97000</v>
      </c>
      <c r="BG3" s="44">
        <v>3000</v>
      </c>
      <c r="BH3" s="45"/>
      <c r="BI3" s="44">
        <v>0</v>
      </c>
      <c r="BJ3" s="44">
        <v>0</v>
      </c>
      <c r="BK3" s="44"/>
      <c r="BL3" s="44"/>
      <c r="BM3" s="44"/>
      <c r="BN3" s="44"/>
      <c r="BO3" s="33">
        <f>SUM(AW3:BN3)</f>
        <v>300000</v>
      </c>
    </row>
    <row r="4" spans="1:67">
      <c r="A4" s="12">
        <v>2</v>
      </c>
      <c r="B4" s="12">
        <v>1911138</v>
      </c>
      <c r="C4" s="12" t="s">
        <v>42</v>
      </c>
      <c r="D4" s="13"/>
      <c r="E4" s="13"/>
      <c r="F4" s="13"/>
      <c r="G4" s="14"/>
      <c r="H4" s="14"/>
      <c r="I4" s="14"/>
      <c r="J4" s="14"/>
      <c r="K4" s="14"/>
      <c r="L4" s="14"/>
      <c r="M4" s="36"/>
      <c r="N4" s="36"/>
      <c r="O4" s="36"/>
      <c r="P4" s="36"/>
      <c r="Q4" s="38"/>
      <c r="R4" s="38"/>
      <c r="S4" s="36"/>
      <c r="T4" s="36"/>
      <c r="U4" s="38"/>
      <c r="V4" s="38"/>
      <c r="W4" s="38"/>
      <c r="X4" s="38"/>
      <c r="Y4" s="38"/>
      <c r="Z4" s="38"/>
      <c r="AA4" s="38"/>
      <c r="AB4" s="36">
        <v>0</v>
      </c>
      <c r="AC4" s="36">
        <v>0</v>
      </c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41"/>
      <c r="AX4" s="36"/>
      <c r="AY4" s="38"/>
      <c r="AZ4" s="36"/>
      <c r="BA4" s="38"/>
      <c r="BB4" s="38"/>
      <c r="BC4" s="36">
        <v>0</v>
      </c>
      <c r="BD4" s="36">
        <v>0</v>
      </c>
      <c r="BE4" s="38"/>
      <c r="BF4" s="45"/>
      <c r="BG4" s="45"/>
      <c r="BH4" s="45"/>
      <c r="BI4" s="44">
        <v>0</v>
      </c>
      <c r="BJ4" s="44">
        <v>0</v>
      </c>
      <c r="BK4" s="44"/>
      <c r="BL4" s="44"/>
      <c r="BM4" s="44"/>
      <c r="BN4" s="44"/>
      <c r="BO4" s="33">
        <f t="shared" ref="BO4:BO35" si="0">SUM(AW4:BN4)</f>
        <v>0</v>
      </c>
    </row>
    <row r="5" spans="1:67">
      <c r="A5" s="12">
        <v>3</v>
      </c>
      <c r="B5" s="12">
        <v>1912220</v>
      </c>
      <c r="C5" s="15" t="s">
        <v>43</v>
      </c>
      <c r="D5" s="13"/>
      <c r="E5" s="13"/>
      <c r="F5" s="13"/>
      <c r="G5" s="14"/>
      <c r="H5" s="14"/>
      <c r="I5" s="14"/>
      <c r="J5" s="14"/>
      <c r="K5" s="14"/>
      <c r="L5" s="14"/>
      <c r="M5" s="36"/>
      <c r="N5" s="36"/>
      <c r="O5" s="36"/>
      <c r="P5" s="36"/>
      <c r="Q5" s="38"/>
      <c r="R5" s="38"/>
      <c r="S5" s="36"/>
      <c r="T5" s="36"/>
      <c r="U5" s="38"/>
      <c r="V5" s="38"/>
      <c r="W5" s="38"/>
      <c r="X5" s="38"/>
      <c r="Y5" s="36">
        <v>4850</v>
      </c>
      <c r="Z5" s="36">
        <v>150</v>
      </c>
      <c r="AA5" s="38"/>
      <c r="AB5" s="36">
        <v>0</v>
      </c>
      <c r="AC5" s="36">
        <v>0</v>
      </c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41"/>
      <c r="AX5" s="36"/>
      <c r="AY5" s="38"/>
      <c r="AZ5" s="36">
        <v>3556.5</v>
      </c>
      <c r="BA5" s="36">
        <v>110</v>
      </c>
      <c r="BB5" s="38"/>
      <c r="BC5" s="36">
        <v>0</v>
      </c>
      <c r="BD5" s="36">
        <v>0</v>
      </c>
      <c r="BE5" s="38"/>
      <c r="BF5" s="45"/>
      <c r="BG5" s="45"/>
      <c r="BH5" s="45"/>
      <c r="BI5" s="44">
        <v>0</v>
      </c>
      <c r="BJ5" s="44">
        <v>0</v>
      </c>
      <c r="BK5" s="44"/>
      <c r="BL5" s="44"/>
      <c r="BM5" s="44"/>
      <c r="BN5" s="44"/>
      <c r="BO5" s="33">
        <f t="shared" si="0"/>
        <v>3666.5</v>
      </c>
    </row>
    <row r="6" spans="1:67">
      <c r="A6" s="12">
        <v>4</v>
      </c>
      <c r="B6" s="12">
        <v>1913001</v>
      </c>
      <c r="C6" s="12" t="s">
        <v>44</v>
      </c>
      <c r="D6" s="13"/>
      <c r="E6" s="13"/>
      <c r="F6" s="13"/>
      <c r="G6" s="14">
        <v>29100</v>
      </c>
      <c r="H6" s="14">
        <v>900</v>
      </c>
      <c r="I6" s="14"/>
      <c r="J6" s="14">
        <v>76000</v>
      </c>
      <c r="K6" s="14">
        <v>4000</v>
      </c>
      <c r="L6" s="14"/>
      <c r="M6" s="36"/>
      <c r="N6" s="36"/>
      <c r="O6" s="36"/>
      <c r="P6" s="36"/>
      <c r="Q6" s="38"/>
      <c r="R6" s="38"/>
      <c r="S6" s="36">
        <v>48500</v>
      </c>
      <c r="T6" s="39">
        <v>1500</v>
      </c>
      <c r="U6" s="38"/>
      <c r="V6" s="36">
        <v>48500</v>
      </c>
      <c r="W6" s="36">
        <v>1500</v>
      </c>
      <c r="X6" s="38"/>
      <c r="Y6" s="36"/>
      <c r="Z6" s="36"/>
      <c r="AA6" s="36"/>
      <c r="AB6" s="36">
        <v>50000</v>
      </c>
      <c r="AC6" s="36">
        <v>0</v>
      </c>
      <c r="AD6" s="36"/>
      <c r="AE6" s="36">
        <v>47500</v>
      </c>
      <c r="AF6" s="36">
        <v>2500</v>
      </c>
      <c r="AG6" s="36"/>
      <c r="AH6" s="36"/>
      <c r="AI6" s="36"/>
      <c r="AJ6" s="36"/>
      <c r="AK6" s="36"/>
      <c r="AL6" s="36"/>
      <c r="AM6" s="36"/>
      <c r="AN6" s="36">
        <v>83145.28</v>
      </c>
      <c r="AO6" s="36"/>
      <c r="AP6" s="36"/>
      <c r="AQ6" s="36">
        <v>48500</v>
      </c>
      <c r="AR6" s="36">
        <v>1500</v>
      </c>
      <c r="AS6" s="36"/>
      <c r="AT6" s="36">
        <v>48500</v>
      </c>
      <c r="AU6" s="36">
        <v>1500</v>
      </c>
      <c r="AV6" s="36"/>
      <c r="AW6" s="41"/>
      <c r="AX6" s="36"/>
      <c r="AY6" s="36"/>
      <c r="AZ6" s="36"/>
      <c r="BA6" s="36"/>
      <c r="BB6" s="36"/>
      <c r="BC6" s="36">
        <v>0</v>
      </c>
      <c r="BD6" s="36">
        <v>0</v>
      </c>
      <c r="BE6" s="36"/>
      <c r="BF6" s="44">
        <v>19400</v>
      </c>
      <c r="BG6" s="44">
        <v>600</v>
      </c>
      <c r="BH6" s="44"/>
      <c r="BI6" s="44">
        <v>97000</v>
      </c>
      <c r="BJ6" s="44">
        <v>3000</v>
      </c>
      <c r="BK6" s="44"/>
      <c r="BL6" s="44"/>
      <c r="BM6" s="44"/>
      <c r="BN6" s="44"/>
      <c r="BO6" s="33">
        <f t="shared" si="0"/>
        <v>120000</v>
      </c>
    </row>
    <row r="7" spans="1:67">
      <c r="A7" s="12">
        <v>5</v>
      </c>
      <c r="B7" s="12">
        <v>1913005</v>
      </c>
      <c r="C7" s="12" t="s">
        <v>45</v>
      </c>
      <c r="D7" s="13"/>
      <c r="E7" s="13"/>
      <c r="F7" s="13"/>
      <c r="G7" s="14">
        <v>194000</v>
      </c>
      <c r="H7" s="14">
        <v>6000</v>
      </c>
      <c r="I7" s="14"/>
      <c r="J7" s="14">
        <v>950000</v>
      </c>
      <c r="K7" s="14">
        <v>50000</v>
      </c>
      <c r="L7" s="14"/>
      <c r="M7" s="36">
        <v>500000</v>
      </c>
      <c r="N7" s="36"/>
      <c r="O7" s="36"/>
      <c r="P7" s="36">
        <v>97000</v>
      </c>
      <c r="Q7" s="36">
        <v>3000</v>
      </c>
      <c r="R7" s="38"/>
      <c r="S7" s="36">
        <v>970000</v>
      </c>
      <c r="T7" s="39">
        <v>30000</v>
      </c>
      <c r="U7" s="38"/>
      <c r="V7" s="38"/>
      <c r="W7" s="38"/>
      <c r="X7" s="38"/>
      <c r="Y7" s="36">
        <f>500000+300000</f>
        <v>800000</v>
      </c>
      <c r="Z7" s="36"/>
      <c r="AA7" s="36"/>
      <c r="AB7" s="36">
        <v>500000</v>
      </c>
      <c r="AC7" s="36">
        <v>0</v>
      </c>
      <c r="AD7" s="36"/>
      <c r="AE7" s="36">
        <v>285000</v>
      </c>
      <c r="AF7" s="36">
        <v>15000</v>
      </c>
      <c r="AG7" s="36"/>
      <c r="AH7" s="36"/>
      <c r="AI7" s="36"/>
      <c r="AJ7" s="36"/>
      <c r="AK7" s="36">
        <v>300000</v>
      </c>
      <c r="AL7" s="36"/>
      <c r="AM7" s="36"/>
      <c r="AN7" s="36">
        <f>500000+485000</f>
        <v>985000</v>
      </c>
      <c r="AO7" s="36">
        <v>15000</v>
      </c>
      <c r="AP7" s="36"/>
      <c r="AQ7" s="36"/>
      <c r="AR7" s="36"/>
      <c r="AS7" s="36"/>
      <c r="AT7" s="36">
        <v>1067000</v>
      </c>
      <c r="AU7" s="36">
        <v>33000</v>
      </c>
      <c r="AV7" s="36"/>
      <c r="AW7" s="41">
        <v>1800000</v>
      </c>
      <c r="AX7" s="36">
        <v>0</v>
      </c>
      <c r="AY7" s="36"/>
      <c r="AZ7" s="36"/>
      <c r="BA7" s="36"/>
      <c r="BB7" s="36"/>
      <c r="BC7" s="36">
        <v>0</v>
      </c>
      <c r="BD7" s="36">
        <v>200000</v>
      </c>
      <c r="BE7" s="36">
        <v>9645</v>
      </c>
      <c r="BF7" s="44">
        <v>388000</v>
      </c>
      <c r="BG7" s="44">
        <v>12000</v>
      </c>
      <c r="BH7" s="46">
        <v>2242.5</v>
      </c>
      <c r="BI7" s="44">
        <v>776000</v>
      </c>
      <c r="BJ7" s="44">
        <v>24000</v>
      </c>
      <c r="BK7" s="44"/>
      <c r="BL7" s="44"/>
      <c r="BM7" s="44"/>
      <c r="BN7" s="44"/>
      <c r="BO7" s="33">
        <f t="shared" si="0"/>
        <v>3211887.5</v>
      </c>
    </row>
    <row r="8" spans="1:67">
      <c r="A8" s="12">
        <v>6</v>
      </c>
      <c r="B8" s="12">
        <v>1913006</v>
      </c>
      <c r="C8" s="12" t="s">
        <v>46</v>
      </c>
      <c r="D8" s="13"/>
      <c r="E8" s="13"/>
      <c r="F8" s="13"/>
      <c r="G8" s="14">
        <v>97000</v>
      </c>
      <c r="H8" s="14">
        <v>3000</v>
      </c>
      <c r="I8" s="14"/>
      <c r="J8" s="14">
        <v>617500</v>
      </c>
      <c r="K8" s="14">
        <v>32500</v>
      </c>
      <c r="L8" s="14"/>
      <c r="M8" s="36">
        <f>400000+97000</f>
        <v>497000</v>
      </c>
      <c r="N8" s="36">
        <v>3000</v>
      </c>
      <c r="O8" s="36"/>
      <c r="P8" s="36"/>
      <c r="Q8" s="38"/>
      <c r="R8" s="38"/>
      <c r="S8" s="36">
        <v>776000</v>
      </c>
      <c r="T8" s="39">
        <v>24000</v>
      </c>
      <c r="U8" s="36"/>
      <c r="V8" s="36">
        <v>100000</v>
      </c>
      <c r="W8" s="38"/>
      <c r="X8" s="38"/>
      <c r="Y8" s="36">
        <v>500000</v>
      </c>
      <c r="Z8" s="36"/>
      <c r="AA8" s="36"/>
      <c r="AB8" s="36">
        <v>450000</v>
      </c>
      <c r="AC8" s="36">
        <v>0</v>
      </c>
      <c r="AD8" s="36"/>
      <c r="AE8" s="36">
        <f>475000+46400+380000</f>
        <v>901400</v>
      </c>
      <c r="AF8" s="36">
        <f>20000+25000</f>
        <v>45000</v>
      </c>
      <c r="AG8" s="36"/>
      <c r="AH8" s="36"/>
      <c r="AI8" s="36"/>
      <c r="AJ8" s="36"/>
      <c r="AK8" s="36">
        <f>200000+291000</f>
        <v>491000</v>
      </c>
      <c r="AL8" s="36">
        <v>9000</v>
      </c>
      <c r="AM8" s="36"/>
      <c r="AN8" s="36">
        <v>500000</v>
      </c>
      <c r="AO8" s="36"/>
      <c r="AP8" s="36"/>
      <c r="AQ8" s="36">
        <f>500000+291000</f>
        <v>791000</v>
      </c>
      <c r="AR8" s="36">
        <v>9000</v>
      </c>
      <c r="AS8" s="36"/>
      <c r="AT8" s="36">
        <v>200000</v>
      </c>
      <c r="AU8" s="36"/>
      <c r="AV8" s="36"/>
      <c r="AW8" s="41">
        <f>87300+1800000</f>
        <v>1887300</v>
      </c>
      <c r="AX8" s="36">
        <v>2700</v>
      </c>
      <c r="AY8" s="36"/>
      <c r="AZ8" s="36"/>
      <c r="BA8" s="36"/>
      <c r="BB8" s="36"/>
      <c r="BC8" s="36">
        <v>291000</v>
      </c>
      <c r="BD8" s="36">
        <v>209000</v>
      </c>
      <c r="BE8" s="36">
        <v>4350</v>
      </c>
      <c r="BF8" s="44">
        <v>388000</v>
      </c>
      <c r="BG8" s="44">
        <v>12000</v>
      </c>
      <c r="BH8" s="46">
        <v>832</v>
      </c>
      <c r="BI8" s="44">
        <f>291000+194000</f>
        <v>485000</v>
      </c>
      <c r="BJ8" s="44">
        <f>9000+6000</f>
        <v>15000</v>
      </c>
      <c r="BK8" s="46">
        <v>1575</v>
      </c>
      <c r="BL8" s="44"/>
      <c r="BM8" s="44"/>
      <c r="BN8" s="44"/>
      <c r="BO8" s="33">
        <f t="shared" si="0"/>
        <v>3296757</v>
      </c>
    </row>
    <row r="9" spans="1:67">
      <c r="A9" s="12">
        <v>7</v>
      </c>
      <c r="B9" s="12">
        <v>1913017</v>
      </c>
      <c r="C9" s="12" t="s">
        <v>47</v>
      </c>
      <c r="D9" s="13">
        <v>48500</v>
      </c>
      <c r="E9" s="13">
        <v>1500</v>
      </c>
      <c r="F9" s="13"/>
      <c r="G9" s="14"/>
      <c r="H9" s="14"/>
      <c r="I9" s="14"/>
      <c r="J9" s="14">
        <v>427500</v>
      </c>
      <c r="K9" s="14">
        <v>22500</v>
      </c>
      <c r="L9" s="14"/>
      <c r="M9" s="36">
        <v>100000</v>
      </c>
      <c r="N9" s="36"/>
      <c r="O9" s="36"/>
      <c r="P9" s="36"/>
      <c r="Q9" s="38"/>
      <c r="R9" s="38"/>
      <c r="S9" s="36">
        <v>291000</v>
      </c>
      <c r="T9" s="39">
        <v>9000</v>
      </c>
      <c r="U9" s="36">
        <v>948</v>
      </c>
      <c r="V9" s="36">
        <v>19400</v>
      </c>
      <c r="W9" s="36">
        <v>600</v>
      </c>
      <c r="X9" s="38"/>
      <c r="Y9" s="36">
        <v>500000</v>
      </c>
      <c r="Z9" s="36"/>
      <c r="AA9" s="36"/>
      <c r="AB9" s="36">
        <v>300000</v>
      </c>
      <c r="AC9" s="36">
        <v>0</v>
      </c>
      <c r="AD9" s="36"/>
      <c r="AE9" s="36">
        <v>400000</v>
      </c>
      <c r="AF9" s="36">
        <v>12000</v>
      </c>
      <c r="AG9" s="36"/>
      <c r="AH9" s="36"/>
      <c r="AI9" s="36"/>
      <c r="AJ9" s="36"/>
      <c r="AK9" s="36">
        <v>194000</v>
      </c>
      <c r="AL9" s="36">
        <v>6000</v>
      </c>
      <c r="AM9" s="36"/>
      <c r="AN9" s="36">
        <f>291000+194000</f>
        <v>485000</v>
      </c>
      <c r="AO9" s="36">
        <f>9000+6000</f>
        <v>15000</v>
      </c>
      <c r="AP9" s="36"/>
      <c r="AQ9" s="36">
        <f>97000+48500</f>
        <v>145500</v>
      </c>
      <c r="AR9" s="36">
        <f>3000+1500</f>
        <v>4500</v>
      </c>
      <c r="AS9" s="36"/>
      <c r="AT9" s="36">
        <v>200000</v>
      </c>
      <c r="AU9" s="36"/>
      <c r="AV9" s="36"/>
      <c r="AW9" s="41">
        <f>48500+540000</f>
        <v>588500</v>
      </c>
      <c r="AX9" s="36">
        <f>1500</f>
        <v>1500</v>
      </c>
      <c r="AY9" s="36"/>
      <c r="AZ9" s="36"/>
      <c r="BA9" s="36"/>
      <c r="BB9" s="36"/>
      <c r="BC9" s="36">
        <v>291000</v>
      </c>
      <c r="BD9" s="36">
        <v>69000</v>
      </c>
      <c r="BE9" s="36">
        <v>2445</v>
      </c>
      <c r="BF9" s="44">
        <v>388000</v>
      </c>
      <c r="BG9" s="44">
        <v>12000</v>
      </c>
      <c r="BH9" s="44"/>
      <c r="BI9" s="44">
        <v>0</v>
      </c>
      <c r="BJ9" s="44">
        <v>0</v>
      </c>
      <c r="BK9" s="44"/>
      <c r="BL9" s="44"/>
      <c r="BM9" s="44"/>
      <c r="BN9" s="44"/>
      <c r="BO9" s="33">
        <f t="shared" si="0"/>
        <v>1352445</v>
      </c>
    </row>
    <row r="10" spans="1:67">
      <c r="A10" s="12">
        <v>8</v>
      </c>
      <c r="B10" s="12">
        <v>1913023</v>
      </c>
      <c r="C10" s="12" t="s">
        <v>48</v>
      </c>
      <c r="D10" s="13"/>
      <c r="E10" s="13"/>
      <c r="F10" s="13"/>
      <c r="G10" s="14"/>
      <c r="H10" s="14"/>
      <c r="I10" s="14"/>
      <c r="J10" s="14"/>
      <c r="K10" s="14"/>
      <c r="L10" s="14"/>
      <c r="M10" s="36"/>
      <c r="N10" s="36"/>
      <c r="O10" s="36"/>
      <c r="P10" s="36"/>
      <c r="Q10" s="38"/>
      <c r="R10" s="38"/>
      <c r="S10" s="36"/>
      <c r="T10" s="36"/>
      <c r="U10" s="36"/>
      <c r="V10" s="38"/>
      <c r="W10" s="38"/>
      <c r="X10" s="38"/>
      <c r="Y10" s="36"/>
      <c r="Z10" s="36"/>
      <c r="AA10" s="36"/>
      <c r="AB10" s="36">
        <v>0</v>
      </c>
      <c r="AC10" s="36">
        <v>0</v>
      </c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>
        <v>19400</v>
      </c>
      <c r="AU10" s="36">
        <v>600</v>
      </c>
      <c r="AV10" s="36"/>
      <c r="AW10" s="41"/>
      <c r="AX10" s="36"/>
      <c r="AY10" s="36"/>
      <c r="AZ10" s="36"/>
      <c r="BA10" s="36"/>
      <c r="BB10" s="36"/>
      <c r="BC10" s="36">
        <v>9700</v>
      </c>
      <c r="BD10" s="36">
        <v>300</v>
      </c>
      <c r="BE10" s="36">
        <v>2400</v>
      </c>
      <c r="BF10" s="44"/>
      <c r="BG10" s="44"/>
      <c r="BH10" s="44"/>
      <c r="BI10" s="44">
        <v>0</v>
      </c>
      <c r="BJ10" s="44">
        <v>0</v>
      </c>
      <c r="BK10" s="44"/>
      <c r="BL10" s="44"/>
      <c r="BM10" s="44"/>
      <c r="BN10" s="44"/>
      <c r="BO10" s="33">
        <f t="shared" si="0"/>
        <v>12400</v>
      </c>
    </row>
    <row r="11" spans="1:67">
      <c r="A11" s="12">
        <v>9</v>
      </c>
      <c r="B11" s="12" t="s">
        <v>49</v>
      </c>
      <c r="C11" s="12" t="s">
        <v>50</v>
      </c>
      <c r="D11" s="13"/>
      <c r="E11" s="13"/>
      <c r="F11" s="13"/>
      <c r="G11" s="14">
        <v>50000</v>
      </c>
      <c r="H11" s="14"/>
      <c r="I11" s="14"/>
      <c r="J11" s="14">
        <v>261900</v>
      </c>
      <c r="K11" s="14">
        <v>8100</v>
      </c>
      <c r="L11" s="14"/>
      <c r="M11" s="36">
        <v>100000</v>
      </c>
      <c r="N11" s="36"/>
      <c r="O11" s="36"/>
      <c r="P11" s="36"/>
      <c r="Q11" s="38"/>
      <c r="R11" s="38"/>
      <c r="S11" s="36">
        <v>194000</v>
      </c>
      <c r="T11" s="39">
        <v>6000</v>
      </c>
      <c r="U11" s="36">
        <v>360</v>
      </c>
      <c r="V11" s="38"/>
      <c r="W11" s="38"/>
      <c r="X11" s="38"/>
      <c r="Y11" s="36">
        <v>100000</v>
      </c>
      <c r="Z11" s="36"/>
      <c r="AA11" s="36"/>
      <c r="AB11" s="36">
        <v>100000</v>
      </c>
      <c r="AC11" s="36">
        <v>0</v>
      </c>
      <c r="AD11" s="36"/>
      <c r="AE11" s="36">
        <v>190000</v>
      </c>
      <c r="AF11" s="36">
        <v>10000</v>
      </c>
      <c r="AG11" s="36"/>
      <c r="AH11" s="36"/>
      <c r="AI11" s="36"/>
      <c r="AJ11" s="36"/>
      <c r="AK11" s="36">
        <v>100000</v>
      </c>
      <c r="AL11" s="36"/>
      <c r="AM11" s="36"/>
      <c r="AN11" s="36">
        <v>97000</v>
      </c>
      <c r="AO11" s="36">
        <v>3000</v>
      </c>
      <c r="AP11" s="36"/>
      <c r="AQ11" s="36">
        <v>97000</v>
      </c>
      <c r="AR11" s="36">
        <v>3000</v>
      </c>
      <c r="AS11" s="36"/>
      <c r="AT11" s="36">
        <v>97000</v>
      </c>
      <c r="AU11" s="36">
        <v>3000</v>
      </c>
      <c r="AV11" s="36"/>
      <c r="AW11" s="41"/>
      <c r="AX11" s="36"/>
      <c r="AY11" s="36"/>
      <c r="AZ11" s="36"/>
      <c r="BA11" s="36"/>
      <c r="BB11" s="36"/>
      <c r="BC11" s="36">
        <v>291000</v>
      </c>
      <c r="BD11" s="36">
        <v>9000</v>
      </c>
      <c r="BE11" s="36"/>
      <c r="BF11" s="44">
        <v>291000</v>
      </c>
      <c r="BG11" s="44">
        <v>9000</v>
      </c>
      <c r="BH11" s="44"/>
      <c r="BI11" s="44">
        <v>194000</v>
      </c>
      <c r="BJ11" s="44">
        <v>6000</v>
      </c>
      <c r="BK11" s="44"/>
      <c r="BL11" s="44"/>
      <c r="BM11" s="44"/>
      <c r="BN11" s="44"/>
      <c r="BO11" s="33">
        <f t="shared" si="0"/>
        <v>800000</v>
      </c>
    </row>
    <row r="12" spans="1:67">
      <c r="A12" s="12">
        <v>10</v>
      </c>
      <c r="B12" s="12">
        <v>1913027</v>
      </c>
      <c r="C12" s="12" t="s">
        <v>51</v>
      </c>
      <c r="D12" s="13"/>
      <c r="E12" s="13"/>
      <c r="F12" s="13"/>
      <c r="G12" s="14"/>
      <c r="H12" s="14"/>
      <c r="I12" s="14"/>
      <c r="J12" s="14">
        <v>28500</v>
      </c>
      <c r="K12" s="14">
        <v>1500</v>
      </c>
      <c r="L12" s="14"/>
      <c r="M12" s="36"/>
      <c r="N12" s="36"/>
      <c r="O12" s="36"/>
      <c r="P12" s="36"/>
      <c r="Q12" s="38"/>
      <c r="R12" s="38"/>
      <c r="S12" s="36"/>
      <c r="T12" s="36"/>
      <c r="U12" s="36"/>
      <c r="V12" s="38"/>
      <c r="W12" s="38"/>
      <c r="X12" s="38"/>
      <c r="Y12" s="36"/>
      <c r="Z12" s="36"/>
      <c r="AA12" s="36"/>
      <c r="AB12" s="36">
        <v>19400</v>
      </c>
      <c r="AC12" s="36">
        <v>600</v>
      </c>
      <c r="AD12" s="36"/>
      <c r="AE12" s="36">
        <v>47500</v>
      </c>
      <c r="AF12" s="36">
        <v>2500</v>
      </c>
      <c r="AG12" s="36"/>
      <c r="AH12" s="36"/>
      <c r="AI12" s="36"/>
      <c r="AJ12" s="36"/>
      <c r="AK12" s="36">
        <v>9700</v>
      </c>
      <c r="AL12" s="36">
        <v>300</v>
      </c>
      <c r="AM12" s="36"/>
      <c r="AN12" s="36"/>
      <c r="AO12" s="36"/>
      <c r="AP12" s="36"/>
      <c r="AQ12" s="36"/>
      <c r="AR12" s="36"/>
      <c r="AS12" s="36"/>
      <c r="AT12" s="36">
        <v>9700</v>
      </c>
      <c r="AU12" s="36">
        <v>300</v>
      </c>
      <c r="AV12" s="36"/>
      <c r="AW12" s="41"/>
      <c r="AX12" s="36"/>
      <c r="AY12" s="36"/>
      <c r="AZ12" s="36"/>
      <c r="BA12" s="36"/>
      <c r="BB12" s="36"/>
      <c r="BC12" s="36">
        <v>19400</v>
      </c>
      <c r="BD12" s="36">
        <v>600</v>
      </c>
      <c r="BE12" s="36"/>
      <c r="BF12" s="44"/>
      <c r="BG12" s="44"/>
      <c r="BH12" s="44"/>
      <c r="BI12" s="44">
        <v>0</v>
      </c>
      <c r="BJ12" s="44">
        <v>0</v>
      </c>
      <c r="BK12" s="44"/>
      <c r="BL12" s="44"/>
      <c r="BM12" s="44"/>
      <c r="BN12" s="44"/>
      <c r="BO12" s="33">
        <f t="shared" si="0"/>
        <v>20000</v>
      </c>
    </row>
    <row r="13" spans="1:67">
      <c r="A13" s="12">
        <v>11</v>
      </c>
      <c r="B13" s="12">
        <v>1913032</v>
      </c>
      <c r="C13" s="12" t="s">
        <v>52</v>
      </c>
      <c r="D13" s="13"/>
      <c r="E13" s="13"/>
      <c r="F13" s="13"/>
      <c r="G13" s="14"/>
      <c r="H13" s="14"/>
      <c r="I13" s="14"/>
      <c r="J13" s="14"/>
      <c r="K13" s="14"/>
      <c r="L13" s="14"/>
      <c r="M13" s="36"/>
      <c r="N13" s="36"/>
      <c r="O13" s="36"/>
      <c r="P13" s="36"/>
      <c r="Q13" s="38"/>
      <c r="R13" s="38"/>
      <c r="S13" s="36"/>
      <c r="T13" s="36"/>
      <c r="U13" s="36"/>
      <c r="V13" s="38"/>
      <c r="W13" s="38"/>
      <c r="X13" s="38"/>
      <c r="Y13" s="36"/>
      <c r="Z13" s="36"/>
      <c r="AA13" s="36"/>
      <c r="AB13" s="36">
        <v>0</v>
      </c>
      <c r="AC13" s="36">
        <v>0</v>
      </c>
      <c r="AD13" s="36"/>
      <c r="AE13" s="36">
        <v>47500</v>
      </c>
      <c r="AF13" s="36">
        <v>2500</v>
      </c>
      <c r="AG13" s="36"/>
      <c r="AH13" s="36"/>
      <c r="AI13" s="36"/>
      <c r="AJ13" s="36"/>
      <c r="AK13" s="36">
        <v>9700</v>
      </c>
      <c r="AL13" s="36">
        <v>300</v>
      </c>
      <c r="AM13" s="36"/>
      <c r="AN13" s="36"/>
      <c r="AO13" s="36"/>
      <c r="AP13" s="36"/>
      <c r="AQ13" s="36"/>
      <c r="AR13" s="36"/>
      <c r="AS13" s="36"/>
      <c r="AT13" s="36">
        <v>9700</v>
      </c>
      <c r="AU13" s="36">
        <v>300</v>
      </c>
      <c r="AV13" s="36"/>
      <c r="AW13" s="41"/>
      <c r="AX13" s="36"/>
      <c r="AY13" s="36"/>
      <c r="AZ13" s="36"/>
      <c r="BA13" s="36"/>
      <c r="BB13" s="36"/>
      <c r="BC13" s="36">
        <v>9700</v>
      </c>
      <c r="BD13" s="36">
        <v>300</v>
      </c>
      <c r="BE13" s="36"/>
      <c r="BF13" s="44"/>
      <c r="BG13" s="44"/>
      <c r="BH13" s="44"/>
      <c r="BI13" s="44">
        <v>0</v>
      </c>
      <c r="BJ13" s="44">
        <v>0</v>
      </c>
      <c r="BK13" s="44"/>
      <c r="BL13" s="44"/>
      <c r="BM13" s="44"/>
      <c r="BN13" s="44"/>
      <c r="BO13" s="33">
        <f t="shared" si="0"/>
        <v>10000</v>
      </c>
    </row>
    <row r="14" spans="1:67">
      <c r="A14" s="12">
        <v>12</v>
      </c>
      <c r="B14" s="12">
        <v>1913045</v>
      </c>
      <c r="C14" s="12" t="s">
        <v>53</v>
      </c>
      <c r="D14" s="13"/>
      <c r="E14" s="13"/>
      <c r="F14" s="13"/>
      <c r="G14" s="14">
        <v>100000</v>
      </c>
      <c r="H14" s="14"/>
      <c r="I14" s="14"/>
      <c r="J14" s="14">
        <v>237500</v>
      </c>
      <c r="K14" s="14">
        <v>12500</v>
      </c>
      <c r="L14" s="14"/>
      <c r="M14" s="36">
        <v>100000</v>
      </c>
      <c r="N14" s="36"/>
      <c r="O14" s="36"/>
      <c r="P14" s="36"/>
      <c r="Q14" s="38"/>
      <c r="R14" s="38"/>
      <c r="S14" s="36">
        <v>194000</v>
      </c>
      <c r="T14" s="39">
        <v>6000</v>
      </c>
      <c r="U14" s="36"/>
      <c r="V14" s="36">
        <f>10000+20000</f>
        <v>30000</v>
      </c>
      <c r="W14" s="38"/>
      <c r="X14" s="38"/>
      <c r="Y14" s="36">
        <f>100000+100000</f>
        <v>200000</v>
      </c>
      <c r="Z14" s="36"/>
      <c r="AA14" s="36"/>
      <c r="AB14" s="36">
        <v>200000</v>
      </c>
      <c r="AC14" s="36">
        <v>0</v>
      </c>
      <c r="AD14" s="36"/>
      <c r="AE14" s="36">
        <v>195000</v>
      </c>
      <c r="AF14" s="36">
        <v>8000</v>
      </c>
      <c r="AG14" s="36"/>
      <c r="AH14" s="36"/>
      <c r="AI14" s="36"/>
      <c r="AJ14" s="36"/>
      <c r="AK14" s="36">
        <v>100000</v>
      </c>
      <c r="AL14" s="36"/>
      <c r="AM14" s="36"/>
      <c r="AN14" s="36">
        <f>150000+97000</f>
        <v>247000</v>
      </c>
      <c r="AO14" s="36">
        <v>3000</v>
      </c>
      <c r="AP14" s="36"/>
      <c r="AQ14" s="36"/>
      <c r="AR14" s="36"/>
      <c r="AS14" s="36"/>
      <c r="AT14" s="36">
        <v>97000</v>
      </c>
      <c r="AU14" s="36">
        <v>3000</v>
      </c>
      <c r="AV14" s="36"/>
      <c r="AW14" s="41">
        <v>450000</v>
      </c>
      <c r="AX14" s="36">
        <v>50000</v>
      </c>
      <c r="AY14" s="36"/>
      <c r="AZ14" s="36"/>
      <c r="BA14" s="36"/>
      <c r="BB14" s="36"/>
      <c r="BC14" s="36">
        <v>97000</v>
      </c>
      <c r="BD14" s="36">
        <v>3000</v>
      </c>
      <c r="BE14" s="36">
        <v>1350</v>
      </c>
      <c r="BF14" s="44">
        <v>77600</v>
      </c>
      <c r="BG14" s="44">
        <v>2400</v>
      </c>
      <c r="BH14" s="44"/>
      <c r="BI14" s="44">
        <v>97000</v>
      </c>
      <c r="BJ14" s="44">
        <v>3000</v>
      </c>
      <c r="BK14" s="44"/>
      <c r="BL14" s="44"/>
      <c r="BM14" s="44"/>
      <c r="BN14" s="44"/>
      <c r="BO14" s="33">
        <f t="shared" si="0"/>
        <v>781350</v>
      </c>
    </row>
    <row r="15" spans="1:67">
      <c r="A15" s="12">
        <v>13</v>
      </c>
      <c r="B15" s="12" t="s">
        <v>54</v>
      </c>
      <c r="C15" s="12" t="s">
        <v>55</v>
      </c>
      <c r="D15" s="13"/>
      <c r="E15" s="13"/>
      <c r="F15" s="13"/>
      <c r="G15" s="14">
        <v>97000</v>
      </c>
      <c r="H15" s="14">
        <v>3000</v>
      </c>
      <c r="I15" s="14"/>
      <c r="J15" s="14">
        <v>237500</v>
      </c>
      <c r="K15" s="14">
        <v>12500</v>
      </c>
      <c r="L15" s="14"/>
      <c r="M15" s="36">
        <f>48500+145500</f>
        <v>194000</v>
      </c>
      <c r="N15" s="36">
        <f>1500+4500</f>
        <v>6000</v>
      </c>
      <c r="O15" s="36"/>
      <c r="P15" s="36">
        <v>120000</v>
      </c>
      <c r="Q15" s="36"/>
      <c r="R15" s="36">
        <v>1000</v>
      </c>
      <c r="S15" s="36">
        <f>145500+500000</f>
        <v>645500</v>
      </c>
      <c r="T15" s="39">
        <v>4500</v>
      </c>
      <c r="U15" s="36">
        <v>564</v>
      </c>
      <c r="V15" s="38"/>
      <c r="W15" s="38"/>
      <c r="X15" s="38"/>
      <c r="Y15" s="36">
        <v>38030</v>
      </c>
      <c r="Z15" s="36"/>
      <c r="AA15" s="36"/>
      <c r="AB15" s="36">
        <v>100000</v>
      </c>
      <c r="AC15" s="36">
        <v>0</v>
      </c>
      <c r="AD15" s="36"/>
      <c r="AE15" s="36">
        <v>295000</v>
      </c>
      <c r="AF15" s="36">
        <v>11000</v>
      </c>
      <c r="AG15" s="36"/>
      <c r="AH15" s="36"/>
      <c r="AI15" s="36"/>
      <c r="AJ15" s="36"/>
      <c r="AK15" s="36">
        <v>50000</v>
      </c>
      <c r="AL15" s="36"/>
      <c r="AM15" s="36"/>
      <c r="AN15" s="36">
        <f>150000+97000</f>
        <v>247000</v>
      </c>
      <c r="AO15" s="36">
        <v>3000</v>
      </c>
      <c r="AP15" s="36"/>
      <c r="AQ15" s="36"/>
      <c r="AR15" s="36"/>
      <c r="AS15" s="36"/>
      <c r="AT15" s="36">
        <v>145500</v>
      </c>
      <c r="AU15" s="36">
        <v>4500</v>
      </c>
      <c r="AV15" s="36"/>
      <c r="AW15" s="41">
        <v>450000</v>
      </c>
      <c r="AX15" s="36">
        <v>0</v>
      </c>
      <c r="AY15" s="36"/>
      <c r="AZ15" s="36"/>
      <c r="BA15" s="36"/>
      <c r="BB15" s="36"/>
      <c r="BC15" s="36">
        <v>19400</v>
      </c>
      <c r="BD15" s="36">
        <v>50600</v>
      </c>
      <c r="BE15" s="36">
        <v>3600</v>
      </c>
      <c r="BF15" s="44">
        <v>194000</v>
      </c>
      <c r="BG15" s="44">
        <v>6000</v>
      </c>
      <c r="BH15" s="44"/>
      <c r="BI15" s="44">
        <v>97000</v>
      </c>
      <c r="BJ15" s="44">
        <v>3000</v>
      </c>
      <c r="BK15" s="44"/>
      <c r="BL15" s="44"/>
      <c r="BM15" s="44"/>
      <c r="BN15" s="44"/>
      <c r="BO15" s="33">
        <f t="shared" si="0"/>
        <v>823600</v>
      </c>
    </row>
    <row r="16" spans="1:67">
      <c r="A16" s="12">
        <v>14</v>
      </c>
      <c r="B16" s="12">
        <v>1913078</v>
      </c>
      <c r="C16" s="12" t="s">
        <v>56</v>
      </c>
      <c r="D16" s="13"/>
      <c r="E16" s="13"/>
      <c r="F16" s="13"/>
      <c r="G16" s="14"/>
      <c r="H16" s="14"/>
      <c r="I16" s="14"/>
      <c r="J16" s="14"/>
      <c r="K16" s="14"/>
      <c r="L16" s="14"/>
      <c r="M16" s="36"/>
      <c r="N16" s="36"/>
      <c r="O16" s="36"/>
      <c r="P16" s="36"/>
      <c r="Q16" s="38"/>
      <c r="R16" s="36"/>
      <c r="S16" s="36"/>
      <c r="T16" s="36"/>
      <c r="U16" s="36"/>
      <c r="V16" s="38"/>
      <c r="W16" s="38"/>
      <c r="X16" s="38"/>
      <c r="Y16" s="36"/>
      <c r="Z16" s="36"/>
      <c r="AA16" s="36"/>
      <c r="AB16" s="36">
        <v>0</v>
      </c>
      <c r="AC16" s="36">
        <v>0</v>
      </c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41"/>
      <c r="AX16" s="36"/>
      <c r="AY16" s="36"/>
      <c r="AZ16" s="36"/>
      <c r="BA16" s="36"/>
      <c r="BB16" s="36"/>
      <c r="BC16" s="36">
        <v>9700</v>
      </c>
      <c r="BD16" s="36">
        <v>300</v>
      </c>
      <c r="BE16" s="36"/>
      <c r="BF16" s="44"/>
      <c r="BG16" s="44"/>
      <c r="BH16" s="44"/>
      <c r="BI16" s="44">
        <v>0</v>
      </c>
      <c r="BJ16" s="44">
        <v>0</v>
      </c>
      <c r="BK16" s="44"/>
      <c r="BL16" s="44"/>
      <c r="BM16" s="44"/>
      <c r="BN16" s="44"/>
      <c r="BO16" s="33">
        <f t="shared" si="0"/>
        <v>10000</v>
      </c>
    </row>
    <row r="17" spans="1:67">
      <c r="A17" s="12">
        <v>15</v>
      </c>
      <c r="B17" s="12">
        <v>1913092</v>
      </c>
      <c r="C17" s="12" t="s">
        <v>57</v>
      </c>
      <c r="D17" s="13"/>
      <c r="E17" s="13"/>
      <c r="F17" s="13"/>
      <c r="G17" s="14"/>
      <c r="H17" s="14"/>
      <c r="I17" s="14"/>
      <c r="J17" s="14"/>
      <c r="K17" s="14"/>
      <c r="L17" s="14"/>
      <c r="M17" s="36"/>
      <c r="N17" s="36"/>
      <c r="O17" s="36"/>
      <c r="P17" s="36"/>
      <c r="Q17" s="38"/>
      <c r="R17" s="36"/>
      <c r="S17" s="36"/>
      <c r="T17" s="36"/>
      <c r="U17" s="36"/>
      <c r="V17" s="36">
        <v>4043.36</v>
      </c>
      <c r="W17" s="36">
        <v>125.05</v>
      </c>
      <c r="X17" s="38"/>
      <c r="Y17" s="36"/>
      <c r="Z17" s="36"/>
      <c r="AA17" s="36"/>
      <c r="AB17" s="36">
        <v>0</v>
      </c>
      <c r="AC17" s="36">
        <v>0</v>
      </c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41"/>
      <c r="AX17" s="36"/>
      <c r="AY17" s="36"/>
      <c r="AZ17" s="36"/>
      <c r="BA17" s="36"/>
      <c r="BB17" s="36"/>
      <c r="BC17" s="36">
        <v>0</v>
      </c>
      <c r="BD17" s="36">
        <v>0</v>
      </c>
      <c r="BE17" s="36"/>
      <c r="BF17" s="44"/>
      <c r="BG17" s="44"/>
      <c r="BH17" s="44"/>
      <c r="BI17" s="44">
        <v>0</v>
      </c>
      <c r="BJ17" s="44">
        <v>0</v>
      </c>
      <c r="BK17" s="44"/>
      <c r="BL17" s="44"/>
      <c r="BM17" s="44"/>
      <c r="BN17" s="44"/>
      <c r="BO17" s="33">
        <f t="shared" si="0"/>
        <v>0</v>
      </c>
    </row>
    <row r="18" spans="1:67">
      <c r="A18" s="12">
        <v>16</v>
      </c>
      <c r="B18" s="12">
        <v>1913101</v>
      </c>
      <c r="C18" s="12" t="s">
        <v>58</v>
      </c>
      <c r="D18" s="13"/>
      <c r="E18" s="13"/>
      <c r="F18" s="13"/>
      <c r="G18" s="14">
        <v>19400</v>
      </c>
      <c r="H18" s="14">
        <v>600</v>
      </c>
      <c r="I18" s="14"/>
      <c r="J18" s="14">
        <v>190000</v>
      </c>
      <c r="K18" s="14">
        <v>10000</v>
      </c>
      <c r="L18" s="14"/>
      <c r="M18" s="36">
        <v>100000</v>
      </c>
      <c r="N18" s="36"/>
      <c r="O18" s="36"/>
      <c r="P18" s="36"/>
      <c r="Q18" s="38"/>
      <c r="R18" s="36"/>
      <c r="S18" s="36">
        <v>48500</v>
      </c>
      <c r="T18" s="39">
        <v>1500</v>
      </c>
      <c r="U18" s="36"/>
      <c r="V18" s="38"/>
      <c r="W18" s="38"/>
      <c r="X18" s="38"/>
      <c r="Y18" s="36">
        <v>40000</v>
      </c>
      <c r="Z18" s="36"/>
      <c r="AA18" s="36"/>
      <c r="AB18" s="36">
        <v>100000</v>
      </c>
      <c r="AC18" s="36">
        <v>0</v>
      </c>
      <c r="AD18" s="36"/>
      <c r="AE18" s="36"/>
      <c r="AF18" s="36"/>
      <c r="AG18" s="36"/>
      <c r="AH18" s="36"/>
      <c r="AI18" s="36"/>
      <c r="AJ18" s="36"/>
      <c r="AK18" s="36">
        <v>100000</v>
      </c>
      <c r="AL18" s="36"/>
      <c r="AM18" s="36"/>
      <c r="AN18" s="36">
        <v>150000</v>
      </c>
      <c r="AO18" s="36"/>
      <c r="AP18" s="36"/>
      <c r="AQ18" s="36">
        <v>50000</v>
      </c>
      <c r="AR18" s="36"/>
      <c r="AS18" s="36"/>
      <c r="AT18" s="36">
        <v>97000</v>
      </c>
      <c r="AU18" s="36">
        <v>3000</v>
      </c>
      <c r="AV18" s="36"/>
      <c r="AW18" s="41"/>
      <c r="AX18" s="36"/>
      <c r="AY18" s="36"/>
      <c r="AZ18" s="36"/>
      <c r="BA18" s="36"/>
      <c r="BB18" s="36"/>
      <c r="BC18" s="36">
        <v>194000</v>
      </c>
      <c r="BD18" s="36">
        <v>6000</v>
      </c>
      <c r="BE18" s="36"/>
      <c r="BF18" s="44">
        <v>194000</v>
      </c>
      <c r="BG18" s="44">
        <v>6000</v>
      </c>
      <c r="BH18" s="44"/>
      <c r="BI18" s="44">
        <v>97000</v>
      </c>
      <c r="BJ18" s="44">
        <v>3000</v>
      </c>
      <c r="BK18" s="44"/>
      <c r="BL18" s="44"/>
      <c r="BM18" s="44"/>
      <c r="BN18" s="44"/>
      <c r="BO18" s="33">
        <f t="shared" si="0"/>
        <v>500000</v>
      </c>
    </row>
    <row r="19" spans="1:67">
      <c r="A19" s="12">
        <v>17</v>
      </c>
      <c r="B19" s="12">
        <v>1913200</v>
      </c>
      <c r="C19" s="12" t="s">
        <v>59</v>
      </c>
      <c r="D19" s="13"/>
      <c r="E19" s="13"/>
      <c r="F19" s="13"/>
      <c r="G19" s="14">
        <v>9700</v>
      </c>
      <c r="H19" s="14">
        <v>300</v>
      </c>
      <c r="I19" s="14"/>
      <c r="J19" s="14">
        <v>9500</v>
      </c>
      <c r="K19" s="14">
        <v>500</v>
      </c>
      <c r="L19" s="14"/>
      <c r="M19" s="36"/>
      <c r="N19" s="36">
        <v>300</v>
      </c>
      <c r="O19" s="36"/>
      <c r="P19" s="36"/>
      <c r="Q19" s="38"/>
      <c r="R19" s="36"/>
      <c r="S19" s="36"/>
      <c r="T19" s="36"/>
      <c r="U19" s="36"/>
      <c r="V19" s="38"/>
      <c r="W19" s="38"/>
      <c r="X19" s="38"/>
      <c r="Y19" s="36"/>
      <c r="Z19" s="36"/>
      <c r="AA19" s="36"/>
      <c r="AB19" s="36">
        <v>0</v>
      </c>
      <c r="AC19" s="36">
        <v>0</v>
      </c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>
        <v>48500</v>
      </c>
      <c r="AO19" s="36">
        <v>1500</v>
      </c>
      <c r="AP19" s="36"/>
      <c r="AQ19" s="36"/>
      <c r="AR19" s="36"/>
      <c r="AS19" s="36"/>
      <c r="AT19" s="36">
        <v>19400</v>
      </c>
      <c r="AU19" s="36">
        <v>600</v>
      </c>
      <c r="AV19" s="36"/>
      <c r="AW19" s="41">
        <v>108000</v>
      </c>
      <c r="AX19" s="36">
        <v>12000</v>
      </c>
      <c r="AY19" s="36"/>
      <c r="AZ19" s="36"/>
      <c r="BA19" s="36"/>
      <c r="BB19" s="36"/>
      <c r="BC19" s="36">
        <v>0</v>
      </c>
      <c r="BD19" s="36">
        <v>0</v>
      </c>
      <c r="BE19" s="36"/>
      <c r="BF19" s="44"/>
      <c r="BG19" s="44"/>
      <c r="BH19" s="44"/>
      <c r="BI19" s="44">
        <v>0</v>
      </c>
      <c r="BJ19" s="44">
        <v>0</v>
      </c>
      <c r="BK19" s="44"/>
      <c r="BL19" s="44"/>
      <c r="BM19" s="44"/>
      <c r="BN19" s="44"/>
      <c r="BO19" s="33">
        <f t="shared" si="0"/>
        <v>120000</v>
      </c>
    </row>
    <row r="20" spans="1:67">
      <c r="A20" s="12">
        <v>18</v>
      </c>
      <c r="B20" s="12">
        <v>1913218</v>
      </c>
      <c r="C20" s="12" t="s">
        <v>60</v>
      </c>
      <c r="D20" s="13"/>
      <c r="E20" s="13"/>
      <c r="F20" s="13"/>
      <c r="G20" s="14"/>
      <c r="H20" s="14"/>
      <c r="I20" s="14"/>
      <c r="J20" s="14">
        <v>190000</v>
      </c>
      <c r="K20" s="14">
        <v>10000</v>
      </c>
      <c r="L20" s="14"/>
      <c r="M20" s="36">
        <v>200000</v>
      </c>
      <c r="N20" s="36"/>
      <c r="O20" s="36"/>
      <c r="P20" s="36"/>
      <c r="Q20" s="38"/>
      <c r="R20" s="36"/>
      <c r="S20" s="36">
        <v>47500</v>
      </c>
      <c r="T20" s="39">
        <v>2500</v>
      </c>
      <c r="U20" s="36">
        <v>240</v>
      </c>
      <c r="V20" s="38"/>
      <c r="W20" s="38"/>
      <c r="X20" s="38"/>
      <c r="Y20" s="36"/>
      <c r="Z20" s="36"/>
      <c r="AA20" s="36"/>
      <c r="AB20" s="36">
        <v>0</v>
      </c>
      <c r="AC20" s="36">
        <v>0</v>
      </c>
      <c r="AD20" s="36"/>
      <c r="AE20" s="36">
        <v>95000</v>
      </c>
      <c r="AF20" s="36">
        <v>5000</v>
      </c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41"/>
      <c r="AX20" s="36"/>
      <c r="AY20" s="36"/>
      <c r="AZ20" s="36"/>
      <c r="BA20" s="36"/>
      <c r="BB20" s="36"/>
      <c r="BC20" s="36">
        <v>194000</v>
      </c>
      <c r="BD20" s="36">
        <v>6000</v>
      </c>
      <c r="BE20" s="36"/>
      <c r="BF20" s="44"/>
      <c r="BG20" s="44"/>
      <c r="BH20" s="44"/>
      <c r="BI20" s="44">
        <v>0</v>
      </c>
      <c r="BJ20" s="44">
        <v>0</v>
      </c>
      <c r="BK20" s="44"/>
      <c r="BL20" s="44"/>
      <c r="BM20" s="44"/>
      <c r="BN20" s="44"/>
      <c r="BO20" s="33">
        <f t="shared" si="0"/>
        <v>200000</v>
      </c>
    </row>
    <row r="21" spans="1:67">
      <c r="A21" s="12">
        <v>19</v>
      </c>
      <c r="B21" s="12">
        <v>1913219</v>
      </c>
      <c r="C21" s="12" t="s">
        <v>61</v>
      </c>
      <c r="D21" s="13"/>
      <c r="E21" s="13"/>
      <c r="F21" s="13"/>
      <c r="G21" s="14"/>
      <c r="H21" s="14"/>
      <c r="I21" s="14"/>
      <c r="J21" s="14"/>
      <c r="K21" s="14"/>
      <c r="L21" s="14"/>
      <c r="M21" s="36"/>
      <c r="N21" s="36"/>
      <c r="O21" s="36"/>
      <c r="P21" s="36"/>
      <c r="Q21" s="38"/>
      <c r="R21" s="36"/>
      <c r="S21" s="36"/>
      <c r="T21" s="36"/>
      <c r="U21" s="36"/>
      <c r="V21" s="38"/>
      <c r="W21" s="38"/>
      <c r="X21" s="38"/>
      <c r="Y21" s="36"/>
      <c r="Z21" s="36"/>
      <c r="AA21" s="36"/>
      <c r="AB21" s="36">
        <v>0</v>
      </c>
      <c r="AC21" s="36">
        <v>0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>
        <v>4287.16</v>
      </c>
      <c r="AU21" s="36">
        <v>132.6</v>
      </c>
      <c r="AV21" s="36"/>
      <c r="AW21" s="41"/>
      <c r="AX21" s="36"/>
      <c r="AY21" s="36"/>
      <c r="AZ21" s="36"/>
      <c r="BA21" s="36"/>
      <c r="BB21" s="36"/>
      <c r="BC21" s="36">
        <v>0</v>
      </c>
      <c r="BD21" s="36">
        <v>0</v>
      </c>
      <c r="BE21" s="36"/>
      <c r="BF21" s="44"/>
      <c r="BG21" s="44"/>
      <c r="BH21" s="44"/>
      <c r="BI21" s="44">
        <v>0</v>
      </c>
      <c r="BJ21" s="44">
        <v>0</v>
      </c>
      <c r="BK21" s="44"/>
      <c r="BL21" s="44"/>
      <c r="BM21" s="44"/>
      <c r="BN21" s="44"/>
      <c r="BO21" s="33">
        <f t="shared" si="0"/>
        <v>0</v>
      </c>
    </row>
    <row r="22" spans="1:67">
      <c r="A22" s="12">
        <v>20</v>
      </c>
      <c r="B22" s="12" t="s">
        <v>62</v>
      </c>
      <c r="C22" s="12" t="s">
        <v>63</v>
      </c>
      <c r="D22" s="13"/>
      <c r="E22" s="13"/>
      <c r="F22" s="13"/>
      <c r="G22" s="14"/>
      <c r="H22" s="14"/>
      <c r="I22" s="14"/>
      <c r="J22" s="14">
        <v>85500</v>
      </c>
      <c r="K22" s="14">
        <v>4500</v>
      </c>
      <c r="L22" s="14"/>
      <c r="M22" s="36">
        <v>95000</v>
      </c>
      <c r="N22" s="36">
        <v>5000</v>
      </c>
      <c r="O22" s="36"/>
      <c r="P22" s="36"/>
      <c r="Q22" s="38"/>
      <c r="R22" s="36"/>
      <c r="S22" s="36">
        <v>190000</v>
      </c>
      <c r="T22" s="39">
        <v>10000</v>
      </c>
      <c r="U22" s="36"/>
      <c r="V22" s="38"/>
      <c r="W22" s="38"/>
      <c r="X22" s="38"/>
      <c r="Y22" s="36"/>
      <c r="Z22" s="36"/>
      <c r="AA22" s="36"/>
      <c r="AB22" s="36">
        <v>0</v>
      </c>
      <c r="AC22" s="36">
        <v>0</v>
      </c>
      <c r="AD22" s="36"/>
      <c r="AE22" s="36">
        <v>95000</v>
      </c>
      <c r="AF22" s="36">
        <v>5000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41"/>
      <c r="AX22" s="36"/>
      <c r="AY22" s="36"/>
      <c r="AZ22" s="36"/>
      <c r="BA22" s="36"/>
      <c r="BB22" s="36"/>
      <c r="BC22" s="36">
        <v>0</v>
      </c>
      <c r="BD22" s="36">
        <v>0</v>
      </c>
      <c r="BE22" s="36"/>
      <c r="BF22" s="44">
        <v>123950.15</v>
      </c>
      <c r="BG22" s="44">
        <v>3833.51</v>
      </c>
      <c r="BH22" s="44"/>
      <c r="BI22" s="44">
        <v>0</v>
      </c>
      <c r="BJ22" s="44">
        <v>0</v>
      </c>
      <c r="BK22" s="44"/>
      <c r="BL22" s="44"/>
      <c r="BM22" s="44"/>
      <c r="BN22" s="44"/>
      <c r="BO22" s="33">
        <f t="shared" si="0"/>
        <v>127783.66</v>
      </c>
    </row>
    <row r="23" spans="1:67">
      <c r="A23" s="12">
        <v>21</v>
      </c>
      <c r="B23" s="12">
        <v>1913273</v>
      </c>
      <c r="C23" s="12" t="s">
        <v>64</v>
      </c>
      <c r="D23" s="13"/>
      <c r="E23" s="13"/>
      <c r="F23" s="13"/>
      <c r="G23" s="14"/>
      <c r="H23" s="14"/>
      <c r="I23" s="14"/>
      <c r="J23" s="14"/>
      <c r="K23" s="14"/>
      <c r="L23" s="14"/>
      <c r="M23" s="36"/>
      <c r="N23" s="36"/>
      <c r="O23" s="36"/>
      <c r="P23" s="36"/>
      <c r="Q23" s="38"/>
      <c r="R23" s="36"/>
      <c r="S23" s="36">
        <v>4850</v>
      </c>
      <c r="T23" s="39">
        <v>150</v>
      </c>
      <c r="U23" s="36"/>
      <c r="V23" s="38"/>
      <c r="W23" s="38"/>
      <c r="X23" s="38"/>
      <c r="Y23" s="36"/>
      <c r="Z23" s="36"/>
      <c r="AA23" s="36"/>
      <c r="AB23" s="36">
        <v>0</v>
      </c>
      <c r="AC23" s="36">
        <v>0</v>
      </c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41"/>
      <c r="AX23" s="36"/>
      <c r="AY23" s="36"/>
      <c r="AZ23" s="36"/>
      <c r="BA23" s="36"/>
      <c r="BB23" s="36"/>
      <c r="BC23" s="36">
        <v>0</v>
      </c>
      <c r="BD23" s="36">
        <v>0</v>
      </c>
      <c r="BE23" s="36"/>
      <c r="BF23" s="44"/>
      <c r="BG23" s="44"/>
      <c r="BH23" s="44"/>
      <c r="BI23" s="44">
        <v>0</v>
      </c>
      <c r="BJ23" s="44">
        <v>0</v>
      </c>
      <c r="BK23" s="44"/>
      <c r="BL23" s="44"/>
      <c r="BM23" s="44"/>
      <c r="BN23" s="44"/>
      <c r="BO23" s="33">
        <f t="shared" si="0"/>
        <v>0</v>
      </c>
    </row>
    <row r="24" spans="1:67">
      <c r="A24" s="12">
        <v>22</v>
      </c>
      <c r="B24" s="12">
        <v>1913289</v>
      </c>
      <c r="C24" s="12" t="s">
        <v>65</v>
      </c>
      <c r="D24" s="13">
        <v>145500</v>
      </c>
      <c r="E24" s="13">
        <v>4500</v>
      </c>
      <c r="F24" s="13"/>
      <c r="G24" s="14">
        <v>291000</v>
      </c>
      <c r="H24" s="14">
        <v>9000</v>
      </c>
      <c r="I24" s="14"/>
      <c r="J24" s="14">
        <v>1520000</v>
      </c>
      <c r="K24" s="14">
        <v>80000</v>
      </c>
      <c r="L24" s="14"/>
      <c r="M24" s="36">
        <v>1000000</v>
      </c>
      <c r="N24" s="36"/>
      <c r="O24" s="36"/>
      <c r="P24" s="36"/>
      <c r="Q24" s="38"/>
      <c r="R24" s="36">
        <v>250</v>
      </c>
      <c r="S24" s="36">
        <f>500000+970000</f>
        <v>1470000</v>
      </c>
      <c r="T24" s="39">
        <v>30000</v>
      </c>
      <c r="U24" s="36">
        <v>2400</v>
      </c>
      <c r="V24" s="36">
        <v>97000</v>
      </c>
      <c r="W24" s="36">
        <v>3000</v>
      </c>
      <c r="X24" s="38"/>
      <c r="Y24" s="36">
        <f>500000+97000+600000</f>
        <v>1197000</v>
      </c>
      <c r="Z24" s="36">
        <v>3000</v>
      </c>
      <c r="AA24" s="36"/>
      <c r="AB24" s="36">
        <v>2000000</v>
      </c>
      <c r="AC24" s="36">
        <v>0</v>
      </c>
      <c r="AD24" s="36"/>
      <c r="AE24" s="36">
        <v>975000</v>
      </c>
      <c r="AF24" s="36">
        <v>25000</v>
      </c>
      <c r="AG24" s="36">
        <v>2194.5</v>
      </c>
      <c r="AH24" s="36"/>
      <c r="AI24" s="36"/>
      <c r="AJ24" s="36"/>
      <c r="AK24" s="36">
        <v>800000</v>
      </c>
      <c r="AL24" s="36"/>
      <c r="AM24" s="36"/>
      <c r="AN24" s="36">
        <v>970000</v>
      </c>
      <c r="AO24" s="36">
        <v>30000</v>
      </c>
      <c r="AP24" s="36">
        <v>4486.25</v>
      </c>
      <c r="AQ24" s="36">
        <v>970000</v>
      </c>
      <c r="AR24" s="36">
        <v>30000</v>
      </c>
      <c r="AS24" s="36"/>
      <c r="AT24" s="36"/>
      <c r="AU24" s="36"/>
      <c r="AV24" s="36"/>
      <c r="AW24" s="41">
        <v>1000000</v>
      </c>
      <c r="AX24" s="36"/>
      <c r="AY24" s="36"/>
      <c r="AZ24" s="36">
        <v>485000</v>
      </c>
      <c r="BA24" s="36">
        <v>15000</v>
      </c>
      <c r="BB24" s="36">
        <v>6577.62</v>
      </c>
      <c r="BC24" s="36">
        <v>1485000</v>
      </c>
      <c r="BD24" s="36">
        <v>15000</v>
      </c>
      <c r="BE24" s="36"/>
      <c r="BF24" s="44">
        <f>194000+1000000</f>
        <v>1194000</v>
      </c>
      <c r="BG24" s="44">
        <v>6000</v>
      </c>
      <c r="BH24" s="46">
        <v>2092.5</v>
      </c>
      <c r="BI24" s="44">
        <v>970000</v>
      </c>
      <c r="BJ24" s="44">
        <v>30000</v>
      </c>
      <c r="BK24" s="44"/>
      <c r="BL24" s="44"/>
      <c r="BM24" s="44"/>
      <c r="BN24" s="44"/>
      <c r="BO24" s="33">
        <f t="shared" si="0"/>
        <v>5208670.12</v>
      </c>
    </row>
    <row r="25" spans="1:67">
      <c r="A25" s="12">
        <v>23</v>
      </c>
      <c r="B25" s="12">
        <v>1913659</v>
      </c>
      <c r="C25" s="12" t="s">
        <v>66</v>
      </c>
      <c r="D25" s="13"/>
      <c r="E25" s="13"/>
      <c r="F25" s="13"/>
      <c r="G25" s="14"/>
      <c r="H25" s="14"/>
      <c r="I25" s="14"/>
      <c r="J25" s="14"/>
      <c r="K25" s="14"/>
      <c r="L25" s="14"/>
      <c r="M25" s="36"/>
      <c r="N25" s="36"/>
      <c r="O25" s="36"/>
      <c r="P25" s="36">
        <v>728.85</v>
      </c>
      <c r="Q25" s="38"/>
      <c r="R25" s="36"/>
      <c r="S25" s="36"/>
      <c r="T25" s="36"/>
      <c r="U25" s="36"/>
      <c r="V25" s="38"/>
      <c r="W25" s="38"/>
      <c r="X25" s="38"/>
      <c r="Y25" s="36"/>
      <c r="Z25" s="36"/>
      <c r="AA25" s="36"/>
      <c r="AB25" s="36">
        <v>0</v>
      </c>
      <c r="AC25" s="36">
        <v>0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41"/>
      <c r="AX25" s="36"/>
      <c r="AY25" s="36"/>
      <c r="AZ25" s="36"/>
      <c r="BA25" s="36"/>
      <c r="BB25" s="36"/>
      <c r="BC25" s="36">
        <v>0</v>
      </c>
      <c r="BD25" s="36">
        <v>0</v>
      </c>
      <c r="BE25" s="36"/>
      <c r="BF25" s="44"/>
      <c r="BG25" s="44"/>
      <c r="BH25" s="44"/>
      <c r="BI25" s="44">
        <v>0</v>
      </c>
      <c r="BJ25" s="44">
        <v>0</v>
      </c>
      <c r="BK25" s="44"/>
      <c r="BL25" s="44"/>
      <c r="BM25" s="44"/>
      <c r="BN25" s="44"/>
      <c r="BO25" s="33">
        <f t="shared" si="0"/>
        <v>0</v>
      </c>
    </row>
    <row r="26" spans="1:67">
      <c r="A26" s="12">
        <v>25</v>
      </c>
      <c r="B26" s="12">
        <v>1932313</v>
      </c>
      <c r="C26" s="12" t="s">
        <v>67</v>
      </c>
      <c r="D26" s="13">
        <v>291000</v>
      </c>
      <c r="E26" s="13">
        <v>9000</v>
      </c>
      <c r="F26" s="13">
        <v>3000</v>
      </c>
      <c r="G26" s="14"/>
      <c r="H26" s="14"/>
      <c r="I26" s="14">
        <v>3000</v>
      </c>
      <c r="J26" s="14">
        <v>436500</v>
      </c>
      <c r="K26" s="14">
        <v>13500</v>
      </c>
      <c r="L26" s="14">
        <v>3000</v>
      </c>
      <c r="M26" s="36">
        <v>300000</v>
      </c>
      <c r="N26" s="36"/>
      <c r="O26" s="36">
        <v>3000</v>
      </c>
      <c r="P26" s="36"/>
      <c r="Q26" s="36">
        <v>3000</v>
      </c>
      <c r="R26" s="38"/>
      <c r="S26" s="36">
        <v>300000</v>
      </c>
      <c r="T26" s="36"/>
      <c r="U26" s="36">
        <v>3000</v>
      </c>
      <c r="V26" s="36">
        <v>100000</v>
      </c>
      <c r="W26" s="38"/>
      <c r="X26" s="36">
        <v>3000</v>
      </c>
      <c r="Y26" s="36">
        <v>500000</v>
      </c>
      <c r="Z26" s="36"/>
      <c r="AA26" s="36">
        <v>3000</v>
      </c>
      <c r="AB26" s="36">
        <v>400000</v>
      </c>
      <c r="AC26" s="36">
        <v>0</v>
      </c>
      <c r="AD26" s="36">
        <v>3000</v>
      </c>
      <c r="AE26" s="36">
        <f>291000+291000</f>
        <v>582000</v>
      </c>
      <c r="AF26" s="36">
        <f>9000+9000</f>
        <v>18000</v>
      </c>
      <c r="AG26" s="36">
        <v>3000</v>
      </c>
      <c r="AH26" s="36"/>
      <c r="AI26" s="36">
        <v>15000</v>
      </c>
      <c r="AJ26" s="36"/>
      <c r="AK26" s="36">
        <v>485000</v>
      </c>
      <c r="AL26" s="36">
        <v>15000</v>
      </c>
      <c r="AM26" s="36">
        <v>3000</v>
      </c>
      <c r="AN26" s="36">
        <v>500000</v>
      </c>
      <c r="AO26" s="36">
        <v>3000</v>
      </c>
      <c r="AP26" s="36"/>
      <c r="AQ26" s="36">
        <v>388000</v>
      </c>
      <c r="AR26" s="36">
        <v>12000</v>
      </c>
      <c r="AS26" s="36">
        <v>3000</v>
      </c>
      <c r="AT26" s="36">
        <v>440000</v>
      </c>
      <c r="AU26" s="36">
        <v>3000</v>
      </c>
      <c r="AV26" s="36"/>
      <c r="AW26" s="41"/>
      <c r="AX26" s="36">
        <v>3000</v>
      </c>
      <c r="AY26" s="36"/>
      <c r="AZ26" s="36"/>
      <c r="BA26" s="36"/>
      <c r="BB26" s="36">
        <v>3000</v>
      </c>
      <c r="BC26" s="36">
        <v>776000</v>
      </c>
      <c r="BD26" s="36">
        <v>24000</v>
      </c>
      <c r="BE26" s="36">
        <v>3000</v>
      </c>
      <c r="BF26" s="44">
        <f>500000</f>
        <v>500000</v>
      </c>
      <c r="BG26" s="44"/>
      <c r="BH26" s="44">
        <v>3000</v>
      </c>
      <c r="BI26" s="44">
        <v>485000</v>
      </c>
      <c r="BJ26" s="44">
        <v>15000</v>
      </c>
      <c r="BK26" s="44">
        <v>3000</v>
      </c>
      <c r="BL26" s="44"/>
      <c r="BM26" s="44"/>
      <c r="BN26" s="44"/>
      <c r="BO26" s="33">
        <f t="shared" si="0"/>
        <v>1815000</v>
      </c>
    </row>
    <row r="27" spans="1:67">
      <c r="A27" s="12">
        <v>26</v>
      </c>
      <c r="B27" s="12">
        <v>1932347</v>
      </c>
      <c r="C27" s="12" t="s">
        <v>68</v>
      </c>
      <c r="D27" s="13"/>
      <c r="E27" s="13"/>
      <c r="F27" s="13"/>
      <c r="G27" s="14"/>
      <c r="H27" s="14"/>
      <c r="I27" s="14"/>
      <c r="J27" s="14">
        <v>145500</v>
      </c>
      <c r="K27" s="14">
        <v>4500</v>
      </c>
      <c r="L27" s="14"/>
      <c r="M27" s="36">
        <v>100000</v>
      </c>
      <c r="N27" s="36"/>
      <c r="O27" s="36"/>
      <c r="P27" s="36"/>
      <c r="Q27" s="38"/>
      <c r="R27" s="38"/>
      <c r="S27" s="36">
        <v>200000</v>
      </c>
      <c r="T27" s="36"/>
      <c r="U27" s="36"/>
      <c r="V27" s="36">
        <v>100000</v>
      </c>
      <c r="W27" s="38"/>
      <c r="X27" s="38"/>
      <c r="Y27" s="36">
        <v>100000</v>
      </c>
      <c r="Z27" s="36"/>
      <c r="AA27" s="36"/>
      <c r="AB27" s="36">
        <v>197000</v>
      </c>
      <c r="AC27" s="36">
        <v>3000</v>
      </c>
      <c r="AD27" s="36"/>
      <c r="AE27" s="36">
        <v>100000</v>
      </c>
      <c r="AF27" s="36"/>
      <c r="AG27" s="36"/>
      <c r="AH27" s="36"/>
      <c r="AI27" s="36"/>
      <c r="AJ27" s="36"/>
      <c r="AK27" s="36">
        <v>97000</v>
      </c>
      <c r="AL27" s="36">
        <v>3000</v>
      </c>
      <c r="AM27" s="36"/>
      <c r="AN27" s="36">
        <v>194000</v>
      </c>
      <c r="AO27" s="36">
        <v>6000</v>
      </c>
      <c r="AP27" s="36"/>
      <c r="AQ27" s="36"/>
      <c r="AR27" s="36"/>
      <c r="AS27" s="36"/>
      <c r="AT27" s="36">
        <v>200000</v>
      </c>
      <c r="AU27" s="36"/>
      <c r="AV27" s="36"/>
      <c r="AW27" s="41">
        <v>200000</v>
      </c>
      <c r="AX27" s="36"/>
      <c r="AY27" s="36"/>
      <c r="AZ27" s="36"/>
      <c r="BA27" s="36"/>
      <c r="BB27" s="36"/>
      <c r="BC27" s="36">
        <v>200000</v>
      </c>
      <c r="BD27" s="36">
        <v>0</v>
      </c>
      <c r="BE27" s="36"/>
      <c r="BF27" s="44"/>
      <c r="BG27" s="44"/>
      <c r="BH27" s="44"/>
      <c r="BI27" s="44">
        <v>600000</v>
      </c>
      <c r="BJ27" s="44">
        <v>0</v>
      </c>
      <c r="BK27" s="44"/>
      <c r="BL27" s="44"/>
      <c r="BM27" s="44"/>
      <c r="BN27" s="44"/>
      <c r="BO27" s="33">
        <f t="shared" si="0"/>
        <v>1000000</v>
      </c>
    </row>
    <row r="28" spans="1:67">
      <c r="A28" s="12">
        <v>27</v>
      </c>
      <c r="B28" s="12">
        <v>1937004</v>
      </c>
      <c r="C28" s="12" t="s">
        <v>69</v>
      </c>
      <c r="D28" s="13"/>
      <c r="E28" s="13"/>
      <c r="F28" s="13"/>
      <c r="G28" s="14"/>
      <c r="H28" s="14"/>
      <c r="I28" s="14"/>
      <c r="J28" s="14"/>
      <c r="K28" s="14"/>
      <c r="L28" s="14"/>
      <c r="M28" s="36"/>
      <c r="N28" s="36"/>
      <c r="O28" s="36"/>
      <c r="P28" s="36"/>
      <c r="Q28" s="38"/>
      <c r="R28" s="38"/>
      <c r="S28" s="36"/>
      <c r="T28" s="36"/>
      <c r="U28" s="36"/>
      <c r="V28" s="36"/>
      <c r="W28" s="38"/>
      <c r="X28" s="38"/>
      <c r="Y28" s="36"/>
      <c r="Z28" s="36"/>
      <c r="AA28" s="36"/>
      <c r="AB28" s="36">
        <v>0</v>
      </c>
      <c r="AC28" s="36">
        <v>0</v>
      </c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>
        <v>19400</v>
      </c>
      <c r="AU28" s="36">
        <v>600</v>
      </c>
      <c r="AV28" s="36"/>
      <c r="AW28" s="41">
        <v>27000</v>
      </c>
      <c r="AX28" s="36">
        <v>3000</v>
      </c>
      <c r="AY28" s="36"/>
      <c r="AZ28" s="36"/>
      <c r="BA28" s="36"/>
      <c r="BB28" s="36"/>
      <c r="BC28" s="36">
        <v>0</v>
      </c>
      <c r="BD28" s="36">
        <v>0</v>
      </c>
      <c r="BE28" s="36"/>
      <c r="BF28" s="44"/>
      <c r="BG28" s="44"/>
      <c r="BH28" s="44"/>
      <c r="BI28" s="44">
        <v>0</v>
      </c>
      <c r="BJ28" s="44">
        <v>0</v>
      </c>
      <c r="BK28" s="44"/>
      <c r="BL28" s="44"/>
      <c r="BM28" s="44"/>
      <c r="BN28" s="44"/>
      <c r="BO28" s="33">
        <f t="shared" si="0"/>
        <v>30000</v>
      </c>
    </row>
    <row r="29" spans="1:67">
      <c r="A29" s="12">
        <v>29</v>
      </c>
      <c r="B29" s="12">
        <v>1937015</v>
      </c>
      <c r="C29" s="12" t="s">
        <v>70</v>
      </c>
      <c r="D29" s="13"/>
      <c r="E29" s="13"/>
      <c r="F29" s="13"/>
      <c r="G29" s="14"/>
      <c r="H29" s="14"/>
      <c r="I29" s="14"/>
      <c r="J29" s="14">
        <v>28500</v>
      </c>
      <c r="K29" s="14">
        <v>1500</v>
      </c>
      <c r="L29" s="14"/>
      <c r="M29" s="36"/>
      <c r="N29" s="36"/>
      <c r="O29" s="36"/>
      <c r="P29" s="36"/>
      <c r="Q29" s="38"/>
      <c r="R29" s="38"/>
      <c r="S29" s="36"/>
      <c r="T29" s="36"/>
      <c r="U29" s="38"/>
      <c r="V29" s="36"/>
      <c r="W29" s="38"/>
      <c r="X29" s="38"/>
      <c r="Y29" s="36"/>
      <c r="Z29" s="36"/>
      <c r="AA29" s="36"/>
      <c r="AB29" s="36">
        <v>0</v>
      </c>
      <c r="AC29" s="36">
        <v>0</v>
      </c>
      <c r="AD29" s="36"/>
      <c r="AE29" s="36"/>
      <c r="AF29" s="36"/>
      <c r="AG29" s="36"/>
      <c r="AH29" s="36"/>
      <c r="AI29" s="36"/>
      <c r="AJ29" s="36"/>
      <c r="AK29" s="36">
        <v>19400</v>
      </c>
      <c r="AL29" s="36">
        <v>600</v>
      </c>
      <c r="AM29" s="36"/>
      <c r="AN29" s="36"/>
      <c r="AO29" s="36"/>
      <c r="AP29" s="36"/>
      <c r="AQ29" s="36"/>
      <c r="AR29" s="36"/>
      <c r="AS29" s="36"/>
      <c r="AT29" s="36">
        <v>29100</v>
      </c>
      <c r="AU29" s="36">
        <v>900</v>
      </c>
      <c r="AV29" s="36"/>
      <c r="AW29" s="41">
        <v>29100</v>
      </c>
      <c r="AX29" s="36">
        <v>900</v>
      </c>
      <c r="AY29" s="36"/>
      <c r="AZ29" s="36"/>
      <c r="BA29" s="36"/>
      <c r="BB29" s="36"/>
      <c r="BC29" s="36">
        <v>9700</v>
      </c>
      <c r="BD29" s="36">
        <v>300</v>
      </c>
      <c r="BE29" s="36"/>
      <c r="BF29" s="44"/>
      <c r="BG29" s="44"/>
      <c r="BH29" s="44"/>
      <c r="BI29" s="44">
        <v>0</v>
      </c>
      <c r="BJ29" s="44">
        <v>0</v>
      </c>
      <c r="BK29" s="44"/>
      <c r="BL29" s="44"/>
      <c r="BM29" s="44"/>
      <c r="BN29" s="44"/>
      <c r="BO29" s="33">
        <f t="shared" si="0"/>
        <v>40000</v>
      </c>
    </row>
    <row r="30" spans="1:67">
      <c r="A30" s="12">
        <v>31</v>
      </c>
      <c r="B30" s="12">
        <v>1937320</v>
      </c>
      <c r="C30" s="12" t="s">
        <v>71</v>
      </c>
      <c r="D30" s="13"/>
      <c r="E30" s="13"/>
      <c r="F30" s="13"/>
      <c r="G30" s="14">
        <v>200000</v>
      </c>
      <c r="H30" s="14"/>
      <c r="I30" s="14"/>
      <c r="J30" s="14">
        <v>350000</v>
      </c>
      <c r="K30" s="14"/>
      <c r="L30" s="14"/>
      <c r="M30" s="36">
        <v>300000</v>
      </c>
      <c r="N30" s="36"/>
      <c r="O30" s="36"/>
      <c r="P30" s="36">
        <v>100000</v>
      </c>
      <c r="Q30" s="38"/>
      <c r="R30" s="38"/>
      <c r="S30" s="36">
        <v>500000</v>
      </c>
      <c r="T30" s="36"/>
      <c r="U30" s="38"/>
      <c r="V30" s="36">
        <v>100000</v>
      </c>
      <c r="W30" s="38"/>
      <c r="X30" s="38"/>
      <c r="Y30" s="36">
        <v>500000</v>
      </c>
      <c r="Z30" s="36"/>
      <c r="AA30" s="36"/>
      <c r="AB30" s="36">
        <v>0</v>
      </c>
      <c r="AC30" s="36">
        <v>0</v>
      </c>
      <c r="AD30" s="36"/>
      <c r="AE30" s="36">
        <v>300000</v>
      </c>
      <c r="AF30" s="36"/>
      <c r="AG30" s="36"/>
      <c r="AH30" s="36"/>
      <c r="AI30" s="36"/>
      <c r="AJ30" s="36"/>
      <c r="AK30" s="36"/>
      <c r="AL30" s="36"/>
      <c r="AM30" s="36"/>
      <c r="AN30" s="36">
        <v>585667</v>
      </c>
      <c r="AO30" s="36"/>
      <c r="AP30" s="36"/>
      <c r="AQ30" s="36">
        <v>500000</v>
      </c>
      <c r="AR30" s="36"/>
      <c r="AS30" s="36"/>
      <c r="AT30" s="36">
        <v>500000</v>
      </c>
      <c r="AU30" s="36"/>
      <c r="AV30" s="36"/>
      <c r="AW30" s="41">
        <v>700000</v>
      </c>
      <c r="AX30" s="36"/>
      <c r="AY30" s="36"/>
      <c r="AZ30" s="36">
        <f>200000+500000</f>
        <v>700000</v>
      </c>
      <c r="BA30" s="36"/>
      <c r="BB30" s="36"/>
      <c r="BC30" s="36">
        <v>1000000</v>
      </c>
      <c r="BD30" s="36">
        <v>0</v>
      </c>
      <c r="BE30" s="36"/>
      <c r="BF30" s="44">
        <v>1000000</v>
      </c>
      <c r="BG30" s="44"/>
      <c r="BH30" s="44"/>
      <c r="BI30" s="44">
        <v>1000000</v>
      </c>
      <c r="BJ30" s="44">
        <v>0</v>
      </c>
      <c r="BK30" s="44"/>
      <c r="BL30" s="44">
        <v>1200000</v>
      </c>
      <c r="BM30" s="44"/>
      <c r="BN30" s="44"/>
      <c r="BO30" s="33">
        <f t="shared" si="0"/>
        <v>5600000</v>
      </c>
    </row>
    <row r="31" spans="1:67">
      <c r="A31" s="12">
        <v>32</v>
      </c>
      <c r="B31" s="12">
        <v>1937338</v>
      </c>
      <c r="C31" s="12" t="s">
        <v>72</v>
      </c>
      <c r="D31" s="13"/>
      <c r="E31" s="13"/>
      <c r="F31" s="13"/>
      <c r="G31" s="14"/>
      <c r="H31" s="14"/>
      <c r="I31" s="14"/>
      <c r="J31" s="14"/>
      <c r="K31" s="14"/>
      <c r="L31" s="14"/>
      <c r="M31" s="36"/>
      <c r="N31" s="36"/>
      <c r="O31" s="36"/>
      <c r="P31" s="36"/>
      <c r="Q31" s="38"/>
      <c r="R31" s="38"/>
      <c r="S31" s="36">
        <v>47500</v>
      </c>
      <c r="T31" s="39">
        <v>2500</v>
      </c>
      <c r="U31" s="38"/>
      <c r="V31" s="38"/>
      <c r="W31" s="38"/>
      <c r="X31" s="38"/>
      <c r="Y31" s="36"/>
      <c r="Z31" s="36"/>
      <c r="AA31" s="36"/>
      <c r="AB31" s="36">
        <v>0</v>
      </c>
      <c r="AC31" s="36">
        <v>0</v>
      </c>
      <c r="AD31" s="36"/>
      <c r="AE31" s="36">
        <v>28500</v>
      </c>
      <c r="AF31" s="36">
        <v>1500</v>
      </c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41"/>
      <c r="AX31" s="36"/>
      <c r="AY31" s="36"/>
      <c r="AZ31" s="36"/>
      <c r="BA31" s="36"/>
      <c r="BB31" s="36"/>
      <c r="BC31" s="36">
        <v>0</v>
      </c>
      <c r="BD31" s="36">
        <v>0</v>
      </c>
      <c r="BE31" s="36"/>
      <c r="BF31" s="44"/>
      <c r="BG31" s="44"/>
      <c r="BH31" s="44"/>
      <c r="BI31" s="44">
        <v>0</v>
      </c>
      <c r="BJ31" s="44">
        <v>0</v>
      </c>
      <c r="BK31" s="44"/>
      <c r="BL31" s="44"/>
      <c r="BM31" s="44"/>
      <c r="BN31" s="44"/>
      <c r="BO31" s="33">
        <f t="shared" si="0"/>
        <v>0</v>
      </c>
    </row>
    <row r="32" spans="1:67">
      <c r="A32" s="12">
        <v>33</v>
      </c>
      <c r="B32" s="12">
        <v>1942576</v>
      </c>
      <c r="C32" s="12" t="s">
        <v>73</v>
      </c>
      <c r="D32" s="13"/>
      <c r="E32" s="13"/>
      <c r="F32" s="13"/>
      <c r="G32" s="14"/>
      <c r="H32" s="14"/>
      <c r="I32" s="14"/>
      <c r="J32" s="14">
        <v>100000</v>
      </c>
      <c r="K32" s="14"/>
      <c r="L32" s="14"/>
      <c r="M32" s="36"/>
      <c r="N32" s="36"/>
      <c r="O32" s="36"/>
      <c r="P32" s="36"/>
      <c r="Q32" s="38"/>
      <c r="R32" s="38"/>
      <c r="S32" s="36"/>
      <c r="T32" s="36"/>
      <c r="U32" s="38"/>
      <c r="V32" s="38"/>
      <c r="W32" s="38"/>
      <c r="X32" s="38"/>
      <c r="Y32" s="36"/>
      <c r="Z32" s="36"/>
      <c r="AA32" s="36"/>
      <c r="AB32" s="36">
        <v>0</v>
      </c>
      <c r="AC32" s="36">
        <v>0</v>
      </c>
      <c r="AD32" s="36"/>
      <c r="AE32" s="36">
        <v>47500</v>
      </c>
      <c r="AF32" s="36">
        <v>2500</v>
      </c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41">
        <v>18441.9</v>
      </c>
      <c r="AX32" s="36">
        <v>2049.1</v>
      </c>
      <c r="AY32" s="36"/>
      <c r="AZ32" s="36"/>
      <c r="BA32" s="36"/>
      <c r="BB32" s="36"/>
      <c r="BC32" s="36">
        <v>0</v>
      </c>
      <c r="BD32" s="36">
        <v>0</v>
      </c>
      <c r="BE32" s="36"/>
      <c r="BF32" s="44"/>
      <c r="BG32" s="44"/>
      <c r="BH32" s="44"/>
      <c r="BI32" s="44">
        <v>0</v>
      </c>
      <c r="BJ32" s="44">
        <v>0</v>
      </c>
      <c r="BK32" s="44"/>
      <c r="BL32" s="44"/>
      <c r="BM32" s="44"/>
      <c r="BN32" s="44"/>
      <c r="BO32" s="33">
        <f t="shared" si="0"/>
        <v>20491</v>
      </c>
    </row>
    <row r="33" spans="1:67">
      <c r="A33" s="12">
        <v>34</v>
      </c>
      <c r="B33" s="12" t="s">
        <v>74</v>
      </c>
      <c r="C33" s="12" t="s">
        <v>75</v>
      </c>
      <c r="D33" s="13"/>
      <c r="E33" s="13"/>
      <c r="F33" s="13"/>
      <c r="G33" s="14"/>
      <c r="H33" s="14"/>
      <c r="I33" s="14"/>
      <c r="J33" s="14"/>
      <c r="K33" s="14"/>
      <c r="L33" s="14"/>
      <c r="M33" s="36"/>
      <c r="N33" s="36"/>
      <c r="O33" s="36"/>
      <c r="P33" s="36"/>
      <c r="Q33" s="38"/>
      <c r="R33" s="38"/>
      <c r="S33" s="36"/>
      <c r="T33" s="36"/>
      <c r="U33" s="38"/>
      <c r="V33" s="38"/>
      <c r="W33" s="38"/>
      <c r="X33" s="38"/>
      <c r="Y33" s="36"/>
      <c r="Z33" s="36"/>
      <c r="AA33" s="36"/>
      <c r="AB33" s="36">
        <v>0</v>
      </c>
      <c r="AC33" s="36">
        <v>0</v>
      </c>
      <c r="AD33" s="36"/>
      <c r="AE33" s="36"/>
      <c r="AF33" s="36"/>
      <c r="AG33" s="36"/>
      <c r="AH33" s="36"/>
      <c r="AI33" s="36"/>
      <c r="AJ33" s="36"/>
      <c r="AK33" s="36">
        <v>9700</v>
      </c>
      <c r="AL33" s="36">
        <v>300</v>
      </c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41"/>
      <c r="AX33" s="36"/>
      <c r="AY33" s="36"/>
      <c r="AZ33" s="36"/>
      <c r="BA33" s="36"/>
      <c r="BB33" s="36"/>
      <c r="BC33" s="36">
        <v>0</v>
      </c>
      <c r="BD33" s="36">
        <v>0</v>
      </c>
      <c r="BE33" s="36"/>
      <c r="BF33" s="44"/>
      <c r="BG33" s="44"/>
      <c r="BH33" s="44"/>
      <c r="BI33" s="44">
        <v>0</v>
      </c>
      <c r="BJ33" s="44">
        <v>0</v>
      </c>
      <c r="BK33" s="44"/>
      <c r="BL33" s="44"/>
      <c r="BM33" s="44"/>
      <c r="BN33" s="44"/>
      <c r="BO33" s="33">
        <f t="shared" si="0"/>
        <v>0</v>
      </c>
    </row>
    <row r="34" spans="1:67">
      <c r="A34" s="12">
        <v>36</v>
      </c>
      <c r="B34" s="12">
        <v>1913010</v>
      </c>
      <c r="C34" s="12" t="s">
        <v>76</v>
      </c>
      <c r="D34" s="13"/>
      <c r="E34" s="13"/>
      <c r="F34" s="13"/>
      <c r="G34" s="14"/>
      <c r="H34" s="14"/>
      <c r="I34" s="14"/>
      <c r="J34" s="14"/>
      <c r="K34" s="14"/>
      <c r="L34" s="14"/>
      <c r="M34" s="36"/>
      <c r="N34" s="36"/>
      <c r="O34" s="36"/>
      <c r="P34" s="36"/>
      <c r="Q34" s="38"/>
      <c r="R34" s="38"/>
      <c r="S34" s="36"/>
      <c r="T34" s="36"/>
      <c r="U34" s="38"/>
      <c r="V34" s="38"/>
      <c r="W34" s="38"/>
      <c r="X34" s="38"/>
      <c r="Y34" s="36"/>
      <c r="Z34" s="36"/>
      <c r="AA34" s="36"/>
      <c r="AB34" s="36">
        <v>0</v>
      </c>
      <c r="AC34" s="36">
        <v>0</v>
      </c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41"/>
      <c r="AX34" s="36"/>
      <c r="AY34" s="36"/>
      <c r="AZ34" s="36"/>
      <c r="BA34" s="36"/>
      <c r="BB34" s="36"/>
      <c r="BC34" s="36">
        <v>0</v>
      </c>
      <c r="BD34" s="36">
        <v>0</v>
      </c>
      <c r="BE34" s="36"/>
      <c r="BF34" s="44"/>
      <c r="BG34" s="44"/>
      <c r="BH34" s="44"/>
      <c r="BI34" s="44">
        <v>0</v>
      </c>
      <c r="BJ34" s="44">
        <v>0</v>
      </c>
      <c r="BK34" s="44"/>
      <c r="BL34" s="44"/>
      <c r="BM34" s="44"/>
      <c r="BN34" s="44"/>
      <c r="BO34" s="33">
        <f t="shared" si="0"/>
        <v>0</v>
      </c>
    </row>
    <row r="35" spans="1:67">
      <c r="A35" s="12">
        <v>37</v>
      </c>
      <c r="B35" s="12">
        <v>1911101</v>
      </c>
      <c r="C35" s="12" t="s">
        <v>77</v>
      </c>
      <c r="D35" s="13"/>
      <c r="E35" s="13"/>
      <c r="F35" s="13"/>
      <c r="G35" s="14"/>
      <c r="H35" s="14"/>
      <c r="I35" s="14"/>
      <c r="J35" s="14"/>
      <c r="K35" s="14"/>
      <c r="L35" s="14"/>
      <c r="M35" s="36"/>
      <c r="N35" s="36"/>
      <c r="O35" s="36"/>
      <c r="P35" s="36"/>
      <c r="Q35" s="38"/>
      <c r="R35" s="38"/>
      <c r="S35" s="36"/>
      <c r="T35" s="36"/>
      <c r="U35" s="38"/>
      <c r="V35" s="38"/>
      <c r="W35" s="38"/>
      <c r="X35" s="38"/>
      <c r="Y35" s="36"/>
      <c r="Z35" s="36"/>
      <c r="AA35" s="36"/>
      <c r="AB35" s="36">
        <v>0</v>
      </c>
      <c r="AC35" s="36">
        <v>0</v>
      </c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41"/>
      <c r="AX35" s="36"/>
      <c r="AY35" s="36"/>
      <c r="AZ35" s="36"/>
      <c r="BA35" s="36"/>
      <c r="BB35" s="36"/>
      <c r="BC35" s="36">
        <v>0</v>
      </c>
      <c r="BD35" s="36">
        <v>0</v>
      </c>
      <c r="BE35" s="36"/>
      <c r="BF35" s="44"/>
      <c r="BG35" s="44"/>
      <c r="BH35" s="44"/>
      <c r="BI35" s="44">
        <v>0</v>
      </c>
      <c r="BJ35" s="44">
        <v>0</v>
      </c>
      <c r="BK35" s="44"/>
      <c r="BL35" s="44"/>
      <c r="BM35" s="44"/>
      <c r="BN35" s="44"/>
      <c r="BO35" s="33">
        <f t="shared" si="0"/>
        <v>0</v>
      </c>
    </row>
    <row r="36" spans="1:67">
      <c r="A36" s="12">
        <v>38</v>
      </c>
      <c r="B36" s="12">
        <v>1913717</v>
      </c>
      <c r="C36" s="12" t="s">
        <v>78</v>
      </c>
      <c r="D36" s="13"/>
      <c r="E36" s="13"/>
      <c r="F36" s="13"/>
      <c r="G36" s="14"/>
      <c r="H36" s="14"/>
      <c r="I36" s="14"/>
      <c r="J36" s="14"/>
      <c r="K36" s="14"/>
      <c r="L36" s="14"/>
      <c r="M36" s="36"/>
      <c r="N36" s="36"/>
      <c r="O36" s="36"/>
      <c r="P36" s="36"/>
      <c r="Q36" s="38"/>
      <c r="R36" s="38"/>
      <c r="S36" s="36">
        <v>29100</v>
      </c>
      <c r="T36" s="39">
        <v>900</v>
      </c>
      <c r="U36" s="38"/>
      <c r="V36" s="38"/>
      <c r="W36" s="38"/>
      <c r="X36" s="38"/>
      <c r="Y36" s="36"/>
      <c r="Z36" s="36"/>
      <c r="AA36" s="36"/>
      <c r="AB36" s="36">
        <v>0</v>
      </c>
      <c r="AC36" s="36">
        <v>0</v>
      </c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>
        <v>9700</v>
      </c>
      <c r="AU36" s="36">
        <v>300</v>
      </c>
      <c r="AV36" s="36"/>
      <c r="AW36" s="41"/>
      <c r="AX36" s="36"/>
      <c r="AY36" s="36"/>
      <c r="AZ36" s="36"/>
      <c r="BA36" s="36"/>
      <c r="BB36" s="36"/>
      <c r="BC36" s="36">
        <v>9700</v>
      </c>
      <c r="BD36" s="36">
        <v>300</v>
      </c>
      <c r="BE36" s="36"/>
      <c r="BF36" s="44"/>
      <c r="BG36" s="44"/>
      <c r="BH36" s="44"/>
      <c r="BI36" s="44">
        <v>0</v>
      </c>
      <c r="BJ36" s="44">
        <v>0</v>
      </c>
      <c r="BK36" s="44"/>
      <c r="BL36" s="44"/>
      <c r="BM36" s="44"/>
      <c r="BN36" s="44"/>
      <c r="BO36" s="33">
        <f t="shared" ref="BO36:BO54" si="1">SUM(AW36:BN36)</f>
        <v>10000</v>
      </c>
    </row>
    <row r="37" spans="1:67">
      <c r="A37" s="12">
        <v>39</v>
      </c>
      <c r="B37" s="12" t="s">
        <v>79</v>
      </c>
      <c r="C37" s="12" t="s">
        <v>80</v>
      </c>
      <c r="D37" s="13"/>
      <c r="E37" s="13"/>
      <c r="F37" s="13"/>
      <c r="G37" s="14"/>
      <c r="H37" s="14"/>
      <c r="I37" s="14"/>
      <c r="J37" s="14"/>
      <c r="K37" s="14"/>
      <c r="L37" s="14"/>
      <c r="M37" s="36"/>
      <c r="N37" s="36"/>
      <c r="O37" s="36"/>
      <c r="P37" s="36"/>
      <c r="Q37" s="38"/>
      <c r="R37" s="38"/>
      <c r="S37" s="36"/>
      <c r="T37" s="36"/>
      <c r="U37" s="38"/>
      <c r="V37" s="38"/>
      <c r="W37" s="38"/>
      <c r="X37" s="38"/>
      <c r="Y37" s="36"/>
      <c r="Z37" s="36"/>
      <c r="AA37" s="36"/>
      <c r="AB37" s="36">
        <v>0</v>
      </c>
      <c r="AC37" s="36">
        <v>0</v>
      </c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41"/>
      <c r="AX37" s="36"/>
      <c r="AY37" s="36"/>
      <c r="AZ37" s="36"/>
      <c r="BA37" s="36"/>
      <c r="BB37" s="36"/>
      <c r="BC37" s="36">
        <v>0</v>
      </c>
      <c r="BD37" s="36">
        <v>0</v>
      </c>
      <c r="BE37" s="36"/>
      <c r="BF37" s="44"/>
      <c r="BG37" s="44"/>
      <c r="BH37" s="44"/>
      <c r="BI37" s="44">
        <v>0</v>
      </c>
      <c r="BJ37" s="44">
        <v>0</v>
      </c>
      <c r="BK37" s="44"/>
      <c r="BL37" s="44"/>
      <c r="BM37" s="44"/>
      <c r="BN37" s="44"/>
      <c r="BO37" s="33">
        <f t="shared" si="1"/>
        <v>0</v>
      </c>
    </row>
    <row r="38" spans="1:67">
      <c r="A38" s="12">
        <v>40</v>
      </c>
      <c r="B38" s="12" t="s">
        <v>81</v>
      </c>
      <c r="C38" s="12" t="s">
        <v>82</v>
      </c>
      <c r="D38" s="13"/>
      <c r="E38" s="13"/>
      <c r="F38" s="13"/>
      <c r="G38" s="14"/>
      <c r="H38" s="14"/>
      <c r="I38" s="14"/>
      <c r="J38" s="14"/>
      <c r="K38" s="14"/>
      <c r="L38" s="14"/>
      <c r="M38" s="36"/>
      <c r="N38" s="36"/>
      <c r="O38" s="36"/>
      <c r="P38" s="36"/>
      <c r="Q38" s="38"/>
      <c r="R38" s="38"/>
      <c r="S38" s="36"/>
      <c r="T38" s="36"/>
      <c r="U38" s="38"/>
      <c r="V38" s="38"/>
      <c r="W38" s="38"/>
      <c r="X38" s="38"/>
      <c r="Y38" s="36"/>
      <c r="Z38" s="36"/>
      <c r="AA38" s="36"/>
      <c r="AB38" s="36">
        <v>0</v>
      </c>
      <c r="AC38" s="36">
        <v>0</v>
      </c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41"/>
      <c r="AX38" s="36"/>
      <c r="AY38" s="36"/>
      <c r="AZ38" s="36"/>
      <c r="BA38" s="36"/>
      <c r="BB38" s="36"/>
      <c r="BC38" s="36">
        <v>0</v>
      </c>
      <c r="BD38" s="36">
        <v>0</v>
      </c>
      <c r="BE38" s="36"/>
      <c r="BF38" s="44"/>
      <c r="BG38" s="44"/>
      <c r="BH38" s="44"/>
      <c r="BI38" s="44">
        <v>0</v>
      </c>
      <c r="BJ38" s="44">
        <v>0</v>
      </c>
      <c r="BK38" s="44"/>
      <c r="BL38" s="44"/>
      <c r="BM38" s="44"/>
      <c r="BN38" s="44"/>
      <c r="BO38" s="33">
        <f t="shared" si="1"/>
        <v>0</v>
      </c>
    </row>
    <row r="39" spans="1:67">
      <c r="A39" s="12">
        <v>41</v>
      </c>
      <c r="B39" s="12" t="s">
        <v>83</v>
      </c>
      <c r="C39" s="12" t="s">
        <v>84</v>
      </c>
      <c r="D39" s="13"/>
      <c r="E39" s="13"/>
      <c r="F39" s="13"/>
      <c r="G39" s="14"/>
      <c r="H39" s="14"/>
      <c r="I39" s="14"/>
      <c r="J39" s="14"/>
      <c r="K39" s="14"/>
      <c r="L39" s="14"/>
      <c r="M39" s="36"/>
      <c r="N39" s="36"/>
      <c r="O39" s="36"/>
      <c r="P39" s="36"/>
      <c r="Q39" s="38"/>
      <c r="R39" s="38"/>
      <c r="S39" s="36"/>
      <c r="T39" s="36"/>
      <c r="U39" s="38"/>
      <c r="V39" s="38"/>
      <c r="W39" s="38"/>
      <c r="X39" s="38"/>
      <c r="Y39" s="36"/>
      <c r="Z39" s="36"/>
      <c r="AA39" s="36"/>
      <c r="AB39" s="36">
        <v>0</v>
      </c>
      <c r="AC39" s="36">
        <v>0</v>
      </c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41"/>
      <c r="AX39" s="36"/>
      <c r="AY39" s="36"/>
      <c r="AZ39" s="36"/>
      <c r="BA39" s="36"/>
      <c r="BB39" s="36"/>
      <c r="BC39" s="36">
        <v>0</v>
      </c>
      <c r="BD39" s="36">
        <v>0</v>
      </c>
      <c r="BE39" s="36"/>
      <c r="BF39" s="44"/>
      <c r="BG39" s="44"/>
      <c r="BH39" s="44"/>
      <c r="BI39" s="44">
        <v>0</v>
      </c>
      <c r="BJ39" s="44">
        <v>0</v>
      </c>
      <c r="BK39" s="44"/>
      <c r="BL39" s="44"/>
      <c r="BM39" s="44"/>
      <c r="BN39" s="44"/>
      <c r="BO39" s="33">
        <f t="shared" si="1"/>
        <v>0</v>
      </c>
    </row>
    <row r="40" spans="1:67">
      <c r="A40" s="12">
        <v>42</v>
      </c>
      <c r="B40" s="12" t="s">
        <v>85</v>
      </c>
      <c r="C40" s="12" t="s">
        <v>86</v>
      </c>
      <c r="D40" s="13"/>
      <c r="E40" s="13"/>
      <c r="F40" s="13"/>
      <c r="G40" s="14"/>
      <c r="H40" s="14"/>
      <c r="I40" s="14"/>
      <c r="J40" s="14"/>
      <c r="K40" s="14"/>
      <c r="L40" s="14"/>
      <c r="M40" s="36"/>
      <c r="N40" s="36"/>
      <c r="O40" s="36"/>
      <c r="P40" s="36"/>
      <c r="Q40" s="38"/>
      <c r="R40" s="38"/>
      <c r="S40" s="36"/>
      <c r="T40" s="36"/>
      <c r="U40" s="38"/>
      <c r="V40" s="38"/>
      <c r="W40" s="38"/>
      <c r="X40" s="38"/>
      <c r="Y40" s="36"/>
      <c r="Z40" s="36"/>
      <c r="AA40" s="36"/>
      <c r="AB40" s="36">
        <v>0</v>
      </c>
      <c r="AC40" s="36">
        <v>0</v>
      </c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41"/>
      <c r="AX40" s="36"/>
      <c r="AY40" s="36"/>
      <c r="AZ40" s="36"/>
      <c r="BA40" s="36"/>
      <c r="BB40" s="36"/>
      <c r="BC40" s="36">
        <v>0</v>
      </c>
      <c r="BD40" s="36">
        <v>0</v>
      </c>
      <c r="BE40" s="36"/>
      <c r="BF40" s="44"/>
      <c r="BG40" s="44"/>
      <c r="BH40" s="44"/>
      <c r="BI40" s="44">
        <v>0</v>
      </c>
      <c r="BJ40" s="44">
        <v>0</v>
      </c>
      <c r="BK40" s="44"/>
      <c r="BL40" s="44"/>
      <c r="BM40" s="44"/>
      <c r="BN40" s="44"/>
      <c r="BO40" s="33">
        <f t="shared" si="1"/>
        <v>0</v>
      </c>
    </row>
    <row r="41" spans="1:67">
      <c r="A41" s="12">
        <v>43</v>
      </c>
      <c r="B41" s="12" t="s">
        <v>87</v>
      </c>
      <c r="C41" s="12" t="s">
        <v>88</v>
      </c>
      <c r="D41" s="13"/>
      <c r="E41" s="13"/>
      <c r="F41" s="13"/>
      <c r="G41" s="14"/>
      <c r="H41" s="14"/>
      <c r="I41" s="14"/>
      <c r="J41" s="14"/>
      <c r="K41" s="14"/>
      <c r="L41" s="14"/>
      <c r="M41" s="36"/>
      <c r="N41" s="36"/>
      <c r="O41" s="36"/>
      <c r="P41" s="36"/>
      <c r="Q41" s="38"/>
      <c r="R41" s="38"/>
      <c r="S41" s="36"/>
      <c r="T41" s="36"/>
      <c r="U41" s="38"/>
      <c r="V41" s="38"/>
      <c r="W41" s="38"/>
      <c r="X41" s="38"/>
      <c r="Y41" s="36"/>
      <c r="Z41" s="36"/>
      <c r="AA41" s="36"/>
      <c r="AB41" s="36">
        <v>0</v>
      </c>
      <c r="AC41" s="36">
        <v>0</v>
      </c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41"/>
      <c r="AX41" s="36"/>
      <c r="AY41" s="36"/>
      <c r="AZ41" s="36"/>
      <c r="BA41" s="36"/>
      <c r="BB41" s="36"/>
      <c r="BC41" s="36">
        <v>0</v>
      </c>
      <c r="BD41" s="36">
        <v>0</v>
      </c>
      <c r="BE41" s="36"/>
      <c r="BF41" s="44"/>
      <c r="BG41" s="44"/>
      <c r="BH41" s="44"/>
      <c r="BI41" s="44">
        <v>0</v>
      </c>
      <c r="BJ41" s="44">
        <v>0</v>
      </c>
      <c r="BK41" s="44"/>
      <c r="BL41" s="44"/>
      <c r="BM41" s="44"/>
      <c r="BN41" s="44"/>
      <c r="BO41" s="33">
        <f t="shared" si="1"/>
        <v>0</v>
      </c>
    </row>
    <row r="42" spans="1:67">
      <c r="A42" s="12">
        <v>44</v>
      </c>
      <c r="B42" s="12" t="s">
        <v>89</v>
      </c>
      <c r="C42" s="12" t="s">
        <v>90</v>
      </c>
      <c r="D42" s="13"/>
      <c r="E42" s="13"/>
      <c r="F42" s="13"/>
      <c r="G42" s="14"/>
      <c r="H42" s="14"/>
      <c r="I42" s="14"/>
      <c r="J42" s="14"/>
      <c r="K42" s="14"/>
      <c r="L42" s="14"/>
      <c r="M42" s="36"/>
      <c r="N42" s="36"/>
      <c r="O42" s="36"/>
      <c r="P42" s="36"/>
      <c r="Q42" s="38"/>
      <c r="R42" s="38"/>
      <c r="S42" s="36"/>
      <c r="T42" s="36"/>
      <c r="U42" s="38"/>
      <c r="V42" s="38"/>
      <c r="W42" s="38"/>
      <c r="X42" s="38"/>
      <c r="Y42" s="36"/>
      <c r="Z42" s="36"/>
      <c r="AA42" s="36"/>
      <c r="AB42" s="36">
        <v>0</v>
      </c>
      <c r="AC42" s="36">
        <v>0</v>
      </c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41"/>
      <c r="AX42" s="36"/>
      <c r="AY42" s="36"/>
      <c r="AZ42" s="36"/>
      <c r="BA42" s="36"/>
      <c r="BB42" s="36"/>
      <c r="BC42" s="36">
        <v>0</v>
      </c>
      <c r="BD42" s="36">
        <v>0</v>
      </c>
      <c r="BE42" s="36"/>
      <c r="BF42" s="44"/>
      <c r="BG42" s="44"/>
      <c r="BH42" s="44"/>
      <c r="BI42" s="44">
        <v>0</v>
      </c>
      <c r="BJ42" s="44">
        <v>0</v>
      </c>
      <c r="BK42" s="44"/>
      <c r="BL42" s="44"/>
      <c r="BM42" s="44"/>
      <c r="BN42" s="44"/>
      <c r="BO42" s="33">
        <f t="shared" si="1"/>
        <v>0</v>
      </c>
    </row>
    <row r="43" spans="1:67">
      <c r="A43" s="12">
        <v>45</v>
      </c>
      <c r="B43" s="12" t="s">
        <v>91</v>
      </c>
      <c r="C43" s="12" t="s">
        <v>92</v>
      </c>
      <c r="D43" s="16"/>
      <c r="E43" s="16"/>
      <c r="F43" s="16"/>
      <c r="G43" s="17"/>
      <c r="H43" s="17"/>
      <c r="I43" s="37"/>
      <c r="J43" s="14"/>
      <c r="K43" s="37"/>
      <c r="L43" s="37"/>
      <c r="M43" s="36"/>
      <c r="N43" s="36"/>
      <c r="O43" s="36"/>
      <c r="P43" s="36"/>
      <c r="Q43" s="38"/>
      <c r="R43" s="38"/>
      <c r="S43" s="36"/>
      <c r="T43" s="36"/>
      <c r="U43" s="38"/>
      <c r="V43" s="38"/>
      <c r="W43" s="38"/>
      <c r="X43" s="38"/>
      <c r="Y43" s="38"/>
      <c r="Z43" s="38"/>
      <c r="AA43" s="38"/>
      <c r="AB43" s="36">
        <v>0</v>
      </c>
      <c r="AC43" s="36">
        <v>0</v>
      </c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6"/>
      <c r="AU43" s="36"/>
      <c r="AV43" s="38"/>
      <c r="AW43" s="42"/>
      <c r="AX43" s="38"/>
      <c r="AY43" s="38"/>
      <c r="AZ43" s="36"/>
      <c r="BA43" s="38"/>
      <c r="BB43" s="38"/>
      <c r="BC43" s="36">
        <v>0</v>
      </c>
      <c r="BD43" s="36">
        <v>0</v>
      </c>
      <c r="BE43" s="38"/>
      <c r="BF43" s="45"/>
      <c r="BG43" s="45"/>
      <c r="BH43" s="45"/>
      <c r="BI43" s="44">
        <v>0</v>
      </c>
      <c r="BJ43" s="44">
        <v>0</v>
      </c>
      <c r="BK43" s="44"/>
      <c r="BL43" s="44"/>
      <c r="BM43" s="44"/>
      <c r="BN43" s="44"/>
      <c r="BO43" s="33">
        <f t="shared" si="1"/>
        <v>0</v>
      </c>
    </row>
    <row r="44" spans="1:67">
      <c r="A44" s="12">
        <v>46</v>
      </c>
      <c r="B44" s="18">
        <v>1937655</v>
      </c>
      <c r="C44" s="12" t="s">
        <v>97</v>
      </c>
      <c r="D44" s="16"/>
      <c r="E44" s="16"/>
      <c r="F44" s="16"/>
      <c r="G44" s="17"/>
      <c r="H44" s="17"/>
      <c r="I44" s="37"/>
      <c r="J44" s="14"/>
      <c r="K44" s="37"/>
      <c r="L44" s="37"/>
      <c r="M44" s="36"/>
      <c r="N44" s="36"/>
      <c r="O44" s="36"/>
      <c r="P44" s="36"/>
      <c r="Q44" s="38"/>
      <c r="R44" s="38"/>
      <c r="S44" s="36"/>
      <c r="T44" s="36"/>
      <c r="U44" s="38"/>
      <c r="V44" s="38"/>
      <c r="W44" s="38"/>
      <c r="X44" s="38"/>
      <c r="Y44" s="38"/>
      <c r="Z44" s="38"/>
      <c r="AA44" s="38"/>
      <c r="AB44" s="36"/>
      <c r="AC44" s="36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6"/>
      <c r="AU44" s="36"/>
      <c r="AV44" s="38"/>
      <c r="AW44" s="42"/>
      <c r="AX44" s="38"/>
      <c r="AY44" s="38"/>
      <c r="AZ44" s="36"/>
      <c r="BA44" s="38"/>
      <c r="BB44" s="38"/>
      <c r="BC44" s="36">
        <v>291000</v>
      </c>
      <c r="BD44" s="36">
        <v>9000</v>
      </c>
      <c r="BE44" s="36">
        <v>6000</v>
      </c>
      <c r="BF44" s="44">
        <v>291000</v>
      </c>
      <c r="BG44" s="44">
        <v>9000</v>
      </c>
      <c r="BH44" s="44"/>
      <c r="BI44" s="44">
        <v>97000</v>
      </c>
      <c r="BJ44" s="44">
        <v>3000</v>
      </c>
      <c r="BK44" s="44"/>
      <c r="BL44" s="44"/>
      <c r="BM44" s="44"/>
      <c r="BN44" s="44"/>
      <c r="BO44" s="33">
        <f t="shared" si="1"/>
        <v>706000</v>
      </c>
    </row>
    <row r="45" spans="1:67">
      <c r="A45" s="12">
        <v>48</v>
      </c>
      <c r="B45" s="19">
        <v>1911232</v>
      </c>
      <c r="C45" s="20" t="s">
        <v>96</v>
      </c>
      <c r="D45" s="16"/>
      <c r="E45" s="16"/>
      <c r="F45" s="16"/>
      <c r="G45" s="17"/>
      <c r="H45" s="17"/>
      <c r="I45" s="37"/>
      <c r="J45" s="14"/>
      <c r="K45" s="37"/>
      <c r="L45" s="37"/>
      <c r="M45" s="36"/>
      <c r="N45" s="36"/>
      <c r="O45" s="36"/>
      <c r="P45" s="36"/>
      <c r="Q45" s="38"/>
      <c r="R45" s="38"/>
      <c r="S45" s="36"/>
      <c r="T45" s="36"/>
      <c r="U45" s="38"/>
      <c r="V45" s="38"/>
      <c r="W45" s="38"/>
      <c r="X45" s="38"/>
      <c r="Y45" s="38"/>
      <c r="Z45" s="38"/>
      <c r="AA45" s="38"/>
      <c r="AB45" s="36">
        <v>0</v>
      </c>
      <c r="AC45" s="36">
        <v>0</v>
      </c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>
        <v>38500</v>
      </c>
      <c r="AO45" s="38"/>
      <c r="AP45" s="38"/>
      <c r="AQ45" s="38"/>
      <c r="AR45" s="38"/>
      <c r="AS45" s="38"/>
      <c r="AT45" s="36">
        <v>16500</v>
      </c>
      <c r="AU45" s="36"/>
      <c r="AV45" s="38"/>
      <c r="AW45" s="42"/>
      <c r="AX45" s="38"/>
      <c r="AY45" s="38"/>
      <c r="AZ45" s="36"/>
      <c r="BA45" s="38"/>
      <c r="BB45" s="38"/>
      <c r="BC45" s="36">
        <v>0</v>
      </c>
      <c r="BD45" s="36">
        <v>0</v>
      </c>
      <c r="BE45" s="38"/>
      <c r="BF45" s="45"/>
      <c r="BG45" s="45"/>
      <c r="BH45" s="45"/>
      <c r="BI45" s="44">
        <v>0</v>
      </c>
      <c r="BJ45" s="44">
        <v>0</v>
      </c>
      <c r="BK45" s="44"/>
      <c r="BL45" s="44"/>
      <c r="BM45" s="44"/>
      <c r="BN45" s="44"/>
      <c r="BO45" s="33">
        <f t="shared" si="1"/>
        <v>0</v>
      </c>
    </row>
    <row r="46" spans="1:67">
      <c r="A46" s="12">
        <v>50</v>
      </c>
      <c r="B46" s="20" t="s">
        <v>98</v>
      </c>
      <c r="C46" s="20" t="s">
        <v>99</v>
      </c>
      <c r="D46" s="16"/>
      <c r="E46" s="16"/>
      <c r="F46" s="16"/>
      <c r="G46" s="17"/>
      <c r="H46" s="17"/>
      <c r="I46" s="37"/>
      <c r="J46" s="14"/>
      <c r="K46" s="37"/>
      <c r="L46" s="37"/>
      <c r="M46" s="36"/>
      <c r="N46" s="36"/>
      <c r="O46" s="36"/>
      <c r="P46" s="36"/>
      <c r="Q46" s="38"/>
      <c r="R46" s="38"/>
      <c r="S46" s="36"/>
      <c r="T46" s="36"/>
      <c r="U46" s="38"/>
      <c r="V46" s="38"/>
      <c r="W46" s="38"/>
      <c r="X46" s="38"/>
      <c r="Y46" s="38"/>
      <c r="Z46" s="38"/>
      <c r="AA46" s="38"/>
      <c r="AB46" s="36">
        <v>0</v>
      </c>
      <c r="AC46" s="36">
        <v>0</v>
      </c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6"/>
      <c r="AU46" s="36"/>
      <c r="AV46" s="38"/>
      <c r="AW46" s="42"/>
      <c r="AX46" s="38"/>
      <c r="AY46" s="38"/>
      <c r="AZ46" s="36"/>
      <c r="BA46" s="38"/>
      <c r="BB46" s="38"/>
      <c r="BC46" s="36">
        <v>0</v>
      </c>
      <c r="BD46" s="36">
        <v>0</v>
      </c>
      <c r="BE46" s="38"/>
      <c r="BF46" s="45"/>
      <c r="BG46" s="45"/>
      <c r="BH46" s="45"/>
      <c r="BI46" s="46">
        <v>269750</v>
      </c>
      <c r="BJ46" s="44">
        <v>0</v>
      </c>
      <c r="BK46" s="44"/>
      <c r="BL46" s="44"/>
      <c r="BM46" s="44"/>
      <c r="BN46" s="44"/>
      <c r="BO46" s="33">
        <f t="shared" si="1"/>
        <v>269750</v>
      </c>
    </row>
    <row r="47" spans="1:67">
      <c r="A47" s="12">
        <v>51</v>
      </c>
      <c r="B47" s="21">
        <v>1937678</v>
      </c>
      <c r="C47" s="22" t="s">
        <v>95</v>
      </c>
      <c r="D47" s="16"/>
      <c r="E47" s="16"/>
      <c r="F47" s="16"/>
      <c r="G47" s="17"/>
      <c r="H47" s="17"/>
      <c r="I47" s="37"/>
      <c r="J47" s="14"/>
      <c r="K47" s="37"/>
      <c r="L47" s="37"/>
      <c r="M47" s="36"/>
      <c r="N47" s="36"/>
      <c r="O47" s="36"/>
      <c r="P47" s="36"/>
      <c r="Q47" s="38"/>
      <c r="R47" s="38"/>
      <c r="S47" s="36"/>
      <c r="T47" s="36"/>
      <c r="U47" s="38"/>
      <c r="V47" s="38"/>
      <c r="W47" s="38"/>
      <c r="X47" s="38"/>
      <c r="Y47" s="38"/>
      <c r="Z47" s="38"/>
      <c r="AA47" s="38"/>
      <c r="AB47" s="36">
        <v>0</v>
      </c>
      <c r="AC47" s="36">
        <v>0</v>
      </c>
      <c r="AD47" s="38"/>
      <c r="AE47" s="36">
        <v>47500</v>
      </c>
      <c r="AF47" s="36">
        <v>2500</v>
      </c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6">
        <v>58200</v>
      </c>
      <c r="AR47" s="36">
        <v>1800</v>
      </c>
      <c r="AS47" s="38"/>
      <c r="AT47" s="36">
        <v>29100</v>
      </c>
      <c r="AU47" s="36">
        <v>900</v>
      </c>
      <c r="AV47" s="38"/>
      <c r="AW47" s="42"/>
      <c r="AX47" s="38"/>
      <c r="AY47" s="38"/>
      <c r="AZ47" s="36">
        <v>97000</v>
      </c>
      <c r="BA47" s="36">
        <v>3000</v>
      </c>
      <c r="BB47" s="38"/>
      <c r="BC47" s="36">
        <v>48500</v>
      </c>
      <c r="BD47" s="36">
        <v>1500</v>
      </c>
      <c r="BE47" s="38"/>
      <c r="BF47" s="44">
        <v>97000</v>
      </c>
      <c r="BG47" s="44">
        <v>3000</v>
      </c>
      <c r="BH47" s="45"/>
      <c r="BI47" s="44">
        <v>0</v>
      </c>
      <c r="BJ47" s="44">
        <v>0</v>
      </c>
      <c r="BK47" s="44"/>
      <c r="BL47" s="44"/>
      <c r="BM47" s="44"/>
      <c r="BN47" s="44"/>
      <c r="BO47" s="33">
        <f t="shared" si="1"/>
        <v>250000</v>
      </c>
    </row>
    <row r="48" spans="1:67">
      <c r="A48" s="12">
        <v>52</v>
      </c>
      <c r="B48" s="21">
        <v>1933714</v>
      </c>
      <c r="C48" s="22" t="s">
        <v>100</v>
      </c>
      <c r="D48" s="16"/>
      <c r="E48" s="16"/>
      <c r="F48" s="16"/>
      <c r="G48" s="17"/>
      <c r="H48" s="17"/>
      <c r="I48" s="37"/>
      <c r="J48" s="14"/>
      <c r="K48" s="37"/>
      <c r="L48" s="37"/>
      <c r="M48" s="36"/>
      <c r="N48" s="36"/>
      <c r="O48" s="36"/>
      <c r="P48" s="36"/>
      <c r="Q48" s="38"/>
      <c r="R48" s="38"/>
      <c r="S48" s="36"/>
      <c r="T48" s="36"/>
      <c r="U48" s="38"/>
      <c r="V48" s="38"/>
      <c r="W48" s="38"/>
      <c r="X48" s="38"/>
      <c r="Y48" s="38"/>
      <c r="Z48" s="38"/>
      <c r="AA48" s="38"/>
      <c r="AB48" s="36"/>
      <c r="AC48" s="36"/>
      <c r="AD48" s="38"/>
      <c r="AE48" s="36"/>
      <c r="AF48" s="36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6"/>
      <c r="AR48" s="36"/>
      <c r="AS48" s="38"/>
      <c r="AT48" s="36"/>
      <c r="AU48" s="36"/>
      <c r="AV48" s="38"/>
      <c r="AW48" s="42"/>
      <c r="AX48" s="38"/>
      <c r="AY48" s="38"/>
      <c r="AZ48" s="36"/>
      <c r="BA48" s="38"/>
      <c r="BB48" s="38"/>
      <c r="BC48" s="36">
        <v>0</v>
      </c>
      <c r="BD48" s="36">
        <v>0</v>
      </c>
      <c r="BE48" s="38"/>
      <c r="BF48" s="45"/>
      <c r="BG48" s="45"/>
      <c r="BH48" s="45"/>
      <c r="BI48" s="44">
        <v>0</v>
      </c>
      <c r="BJ48" s="44">
        <v>0</v>
      </c>
      <c r="BK48" s="44"/>
      <c r="BL48" s="44"/>
      <c r="BM48" s="44"/>
      <c r="BN48" s="44"/>
      <c r="BO48" s="33">
        <f t="shared" si="1"/>
        <v>0</v>
      </c>
    </row>
    <row r="49" spans="1:67">
      <c r="A49" s="12">
        <v>53</v>
      </c>
      <c r="B49" s="21">
        <v>1937685</v>
      </c>
      <c r="C49" s="22" t="s">
        <v>101</v>
      </c>
      <c r="D49" s="16"/>
      <c r="E49" s="16"/>
      <c r="F49" s="16"/>
      <c r="G49" s="17"/>
      <c r="H49" s="17"/>
      <c r="I49" s="37"/>
      <c r="J49" s="14"/>
      <c r="K49" s="37"/>
      <c r="L49" s="37"/>
      <c r="M49" s="36"/>
      <c r="N49" s="36"/>
      <c r="O49" s="36"/>
      <c r="P49" s="36"/>
      <c r="Q49" s="38"/>
      <c r="R49" s="38"/>
      <c r="S49" s="36"/>
      <c r="T49" s="36"/>
      <c r="U49" s="38"/>
      <c r="V49" s="38"/>
      <c r="W49" s="38"/>
      <c r="X49" s="38"/>
      <c r="Y49" s="38"/>
      <c r="Z49" s="38"/>
      <c r="AA49" s="38"/>
      <c r="AB49" s="36"/>
      <c r="AC49" s="36"/>
      <c r="AD49" s="38"/>
      <c r="AE49" s="36"/>
      <c r="AF49" s="36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6"/>
      <c r="AR49" s="36"/>
      <c r="AS49" s="38"/>
      <c r="AT49" s="36"/>
      <c r="AU49" s="36"/>
      <c r="AV49" s="38"/>
      <c r="AW49" s="42"/>
      <c r="AX49" s="38"/>
      <c r="AY49" s="38"/>
      <c r="AZ49" s="36"/>
      <c r="BA49" s="38"/>
      <c r="BB49" s="38"/>
      <c r="BC49" s="36">
        <v>0</v>
      </c>
      <c r="BD49" s="36">
        <v>0</v>
      </c>
      <c r="BE49" s="38"/>
      <c r="BF49" s="45"/>
      <c r="BG49" s="45"/>
      <c r="BH49" s="45"/>
      <c r="BI49" s="44">
        <v>0</v>
      </c>
      <c r="BJ49" s="44">
        <v>0</v>
      </c>
      <c r="BK49" s="44"/>
      <c r="BL49" s="44"/>
      <c r="BM49" s="44"/>
      <c r="BN49" s="44"/>
      <c r="BO49" s="33">
        <f t="shared" si="1"/>
        <v>0</v>
      </c>
    </row>
    <row r="50" spans="1:67">
      <c r="A50" s="12">
        <v>54</v>
      </c>
      <c r="B50" s="21">
        <v>1937687</v>
      </c>
      <c r="C50" s="22" t="s">
        <v>102</v>
      </c>
      <c r="D50" s="16"/>
      <c r="E50" s="16"/>
      <c r="F50" s="16"/>
      <c r="G50" s="17"/>
      <c r="H50" s="17"/>
      <c r="I50" s="37"/>
      <c r="J50" s="14"/>
      <c r="K50" s="37"/>
      <c r="L50" s="37"/>
      <c r="M50" s="36"/>
      <c r="N50" s="36"/>
      <c r="O50" s="36"/>
      <c r="P50" s="36"/>
      <c r="Q50" s="38"/>
      <c r="R50" s="38"/>
      <c r="S50" s="36"/>
      <c r="T50" s="36"/>
      <c r="U50" s="38"/>
      <c r="V50" s="38"/>
      <c r="W50" s="38"/>
      <c r="X50" s="38"/>
      <c r="Y50" s="38"/>
      <c r="Z50" s="38"/>
      <c r="AA50" s="38"/>
      <c r="AB50" s="36"/>
      <c r="AC50" s="36"/>
      <c r="AD50" s="38"/>
      <c r="AE50" s="36"/>
      <c r="AF50" s="36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6"/>
      <c r="AR50" s="36"/>
      <c r="AS50" s="38"/>
      <c r="AT50" s="36"/>
      <c r="AU50" s="36"/>
      <c r="AV50" s="38"/>
      <c r="AW50" s="42"/>
      <c r="AX50" s="38"/>
      <c r="AY50" s="38"/>
      <c r="AZ50" s="36"/>
      <c r="BA50" s="38"/>
      <c r="BB50" s="38"/>
      <c r="BC50" s="36">
        <v>0</v>
      </c>
      <c r="BD50" s="36">
        <v>0</v>
      </c>
      <c r="BE50" s="38"/>
      <c r="BF50" s="45"/>
      <c r="BG50" s="45"/>
      <c r="BH50" s="45"/>
      <c r="BI50" s="44">
        <v>0</v>
      </c>
      <c r="BJ50" s="44">
        <v>0</v>
      </c>
      <c r="BK50" s="44"/>
      <c r="BL50" s="44"/>
      <c r="BM50" s="44"/>
      <c r="BN50" s="44"/>
      <c r="BO50" s="33">
        <f t="shared" si="1"/>
        <v>0</v>
      </c>
    </row>
    <row r="51" spans="1:67">
      <c r="A51" s="12">
        <v>56</v>
      </c>
      <c r="B51" s="22" t="s">
        <v>103</v>
      </c>
      <c r="C51" s="22" t="s">
        <v>104</v>
      </c>
      <c r="D51" s="16"/>
      <c r="E51" s="16"/>
      <c r="F51" s="16"/>
      <c r="G51" s="17"/>
      <c r="H51" s="17"/>
      <c r="I51" s="37"/>
      <c r="J51" s="14"/>
      <c r="K51" s="37"/>
      <c r="L51" s="37"/>
      <c r="M51" s="36"/>
      <c r="N51" s="36"/>
      <c r="O51" s="36"/>
      <c r="P51" s="36"/>
      <c r="Q51" s="38"/>
      <c r="R51" s="38"/>
      <c r="S51" s="36"/>
      <c r="T51" s="36"/>
      <c r="U51" s="38"/>
      <c r="V51" s="38"/>
      <c r="W51" s="38"/>
      <c r="X51" s="38"/>
      <c r="Y51" s="38"/>
      <c r="Z51" s="38"/>
      <c r="AA51" s="38"/>
      <c r="AB51" s="36"/>
      <c r="AC51" s="36"/>
      <c r="AD51" s="38"/>
      <c r="AE51" s="36"/>
      <c r="AF51" s="36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6"/>
      <c r="AR51" s="36"/>
      <c r="AS51" s="38"/>
      <c r="AT51" s="36"/>
      <c r="AU51" s="36"/>
      <c r="AV51" s="38"/>
      <c r="AW51" s="42"/>
      <c r="AX51" s="38"/>
      <c r="AY51" s="38"/>
      <c r="AZ51" s="36"/>
      <c r="BA51" s="38"/>
      <c r="BB51" s="38"/>
      <c r="BC51" s="36">
        <v>0</v>
      </c>
      <c r="BD51" s="36">
        <v>0</v>
      </c>
      <c r="BE51" s="38"/>
      <c r="BF51" s="44"/>
      <c r="BG51" s="45"/>
      <c r="BH51" s="45"/>
      <c r="BI51" s="44">
        <v>0</v>
      </c>
      <c r="BJ51" s="44">
        <v>0</v>
      </c>
      <c r="BK51" s="44"/>
      <c r="BL51" s="44"/>
      <c r="BM51" s="44"/>
      <c r="BN51" s="44"/>
      <c r="BO51" s="33">
        <f t="shared" si="1"/>
        <v>0</v>
      </c>
    </row>
    <row r="52" spans="1:67">
      <c r="A52" s="12">
        <v>57</v>
      </c>
      <c r="B52" s="23" t="s">
        <v>105</v>
      </c>
      <c r="C52" s="22" t="s">
        <v>106</v>
      </c>
      <c r="D52" s="16"/>
      <c r="E52" s="16"/>
      <c r="F52" s="16"/>
      <c r="G52" s="17"/>
      <c r="H52" s="17"/>
      <c r="I52" s="37"/>
      <c r="J52" s="14"/>
      <c r="K52" s="37"/>
      <c r="L52" s="37"/>
      <c r="M52" s="36"/>
      <c r="N52" s="36"/>
      <c r="O52" s="36"/>
      <c r="P52" s="36"/>
      <c r="Q52" s="38"/>
      <c r="R52" s="38"/>
      <c r="S52" s="36"/>
      <c r="T52" s="36"/>
      <c r="U52" s="38"/>
      <c r="V52" s="38"/>
      <c r="W52" s="38"/>
      <c r="X52" s="38"/>
      <c r="Y52" s="38"/>
      <c r="Z52" s="38"/>
      <c r="AA52" s="38"/>
      <c r="AB52" s="36"/>
      <c r="AC52" s="36"/>
      <c r="AD52" s="38"/>
      <c r="AE52" s="36"/>
      <c r="AF52" s="36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6"/>
      <c r="AR52" s="36"/>
      <c r="AS52" s="38"/>
      <c r="AT52" s="36"/>
      <c r="AU52" s="36"/>
      <c r="AV52" s="38"/>
      <c r="AW52" s="42"/>
      <c r="AX52" s="38"/>
      <c r="AY52" s="38"/>
      <c r="AZ52" s="36"/>
      <c r="BA52" s="38"/>
      <c r="BB52" s="38"/>
      <c r="BC52" s="36">
        <v>0</v>
      </c>
      <c r="BD52" s="36">
        <v>0</v>
      </c>
      <c r="BE52" s="38"/>
      <c r="BF52" s="45"/>
      <c r="BG52" s="45"/>
      <c r="BH52" s="45"/>
      <c r="BI52" s="44">
        <v>0</v>
      </c>
      <c r="BJ52" s="44">
        <v>0</v>
      </c>
      <c r="BK52" s="44"/>
      <c r="BL52" s="44"/>
      <c r="BM52" s="44"/>
      <c r="BN52" s="44"/>
      <c r="BO52" s="33">
        <f t="shared" si="1"/>
        <v>0</v>
      </c>
    </row>
    <row r="53" spans="1:67">
      <c r="A53" s="12">
        <v>59</v>
      </c>
      <c r="B53" s="12" t="s">
        <v>93</v>
      </c>
      <c r="C53" s="12" t="s">
        <v>94</v>
      </c>
      <c r="D53" s="16"/>
      <c r="E53" s="16"/>
      <c r="F53" s="16"/>
      <c r="G53" s="17"/>
      <c r="H53" s="17"/>
      <c r="I53" s="37"/>
      <c r="J53" s="14">
        <v>19000</v>
      </c>
      <c r="K53" s="37">
        <v>1000</v>
      </c>
      <c r="L53" s="37"/>
      <c r="M53" s="36"/>
      <c r="N53" s="36"/>
      <c r="O53" s="36"/>
      <c r="P53" s="36"/>
      <c r="Q53" s="38"/>
      <c r="R53" s="38"/>
      <c r="S53" s="38"/>
      <c r="T53" s="38"/>
      <c r="U53" s="38"/>
      <c r="V53" s="36">
        <v>19400</v>
      </c>
      <c r="W53" s="36">
        <v>600</v>
      </c>
      <c r="X53" s="38"/>
      <c r="Y53" s="38"/>
      <c r="Z53" s="38"/>
      <c r="AA53" s="38"/>
      <c r="AB53" s="36">
        <v>0</v>
      </c>
      <c r="AC53" s="36">
        <v>0</v>
      </c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6">
        <v>29100</v>
      </c>
      <c r="AU53" s="36">
        <v>900</v>
      </c>
      <c r="AV53" s="38"/>
      <c r="AW53" s="41">
        <v>90000</v>
      </c>
      <c r="AX53" s="36">
        <v>10000</v>
      </c>
      <c r="AY53" s="38"/>
      <c r="AZ53" s="36"/>
      <c r="BA53" s="38"/>
      <c r="BB53" s="38"/>
      <c r="BC53" s="36">
        <v>0</v>
      </c>
      <c r="BD53" s="36">
        <v>0</v>
      </c>
      <c r="BE53" s="38"/>
      <c r="BF53" s="45"/>
      <c r="BG53" s="45"/>
      <c r="BH53" s="45"/>
      <c r="BI53" s="44">
        <v>29100</v>
      </c>
      <c r="BJ53" s="44">
        <v>900</v>
      </c>
      <c r="BK53" s="44"/>
      <c r="BL53" s="44"/>
      <c r="BM53" s="44"/>
      <c r="BN53" s="44"/>
      <c r="BO53" s="33">
        <f t="shared" si="1"/>
        <v>130000</v>
      </c>
    </row>
    <row r="54" spans="1:67">
      <c r="A54" s="12">
        <v>58</v>
      </c>
      <c r="B54" s="23" t="s">
        <v>107</v>
      </c>
      <c r="C54" s="22" t="s">
        <v>108</v>
      </c>
      <c r="D54" s="16"/>
      <c r="E54" s="16"/>
      <c r="F54" s="16"/>
      <c r="G54" s="17"/>
      <c r="H54" s="17"/>
      <c r="I54" s="37"/>
      <c r="J54" s="14"/>
      <c r="K54" s="37"/>
      <c r="L54" s="37"/>
      <c r="M54" s="36"/>
      <c r="N54" s="36"/>
      <c r="O54" s="36"/>
      <c r="P54" s="36"/>
      <c r="Q54" s="38"/>
      <c r="R54" s="38"/>
      <c r="S54" s="36"/>
      <c r="T54" s="36"/>
      <c r="U54" s="38"/>
      <c r="V54" s="38"/>
      <c r="W54" s="38"/>
      <c r="X54" s="38"/>
      <c r="Y54" s="38"/>
      <c r="Z54" s="38"/>
      <c r="AA54" s="38"/>
      <c r="AB54" s="36"/>
      <c r="AC54" s="36"/>
      <c r="AD54" s="38"/>
      <c r="AE54" s="36"/>
      <c r="AF54" s="36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6"/>
      <c r="AR54" s="36"/>
      <c r="AS54" s="38"/>
      <c r="AT54" s="36"/>
      <c r="AU54" s="36"/>
      <c r="AV54" s="38"/>
      <c r="AW54" s="42"/>
      <c r="AX54" s="38"/>
      <c r="AY54" s="38"/>
      <c r="AZ54" s="36"/>
      <c r="BA54" s="38"/>
      <c r="BB54" s="38"/>
      <c r="BC54" s="36"/>
      <c r="BD54" s="36"/>
      <c r="BE54" s="38"/>
      <c r="BF54" s="45"/>
      <c r="BG54" s="45"/>
      <c r="BH54" s="45"/>
      <c r="BI54" s="44">
        <v>0</v>
      </c>
      <c r="BJ54" s="44">
        <v>0</v>
      </c>
      <c r="BK54" s="44"/>
      <c r="BL54" s="44"/>
      <c r="BM54" s="44"/>
      <c r="BN54" s="44"/>
      <c r="BO54" s="33">
        <f t="shared" si="1"/>
        <v>0</v>
      </c>
    </row>
    <row r="55" spans="1:67">
      <c r="A55" s="12">
        <v>49</v>
      </c>
      <c r="B55" s="19">
        <v>1937680</v>
      </c>
      <c r="C55" s="24" t="s">
        <v>112</v>
      </c>
      <c r="D55" s="16"/>
      <c r="E55" s="16"/>
      <c r="F55" s="16"/>
      <c r="G55" s="17"/>
      <c r="H55" s="17"/>
      <c r="I55" s="37"/>
      <c r="J55" s="14"/>
      <c r="K55" s="37"/>
      <c r="L55" s="37"/>
      <c r="M55" s="36"/>
      <c r="N55" s="36"/>
      <c r="O55" s="36"/>
      <c r="P55" s="36"/>
      <c r="Q55" s="38"/>
      <c r="R55" s="38"/>
      <c r="S55" s="36"/>
      <c r="T55" s="36"/>
      <c r="U55" s="38"/>
      <c r="V55" s="38"/>
      <c r="W55" s="38"/>
      <c r="X55" s="38"/>
      <c r="Y55" s="38"/>
      <c r="Z55" s="38"/>
      <c r="AA55" s="38"/>
      <c r="AB55" s="36">
        <v>0</v>
      </c>
      <c r="AC55" s="36">
        <v>0</v>
      </c>
      <c r="AD55" s="38"/>
      <c r="AE55" s="36">
        <v>75119</v>
      </c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6">
        <v>38800</v>
      </c>
      <c r="AU55" s="36">
        <v>1200</v>
      </c>
      <c r="AV55" s="38"/>
      <c r="AW55" s="42"/>
      <c r="AX55" s="38"/>
      <c r="AY55" s="38"/>
      <c r="AZ55" s="36">
        <v>29100</v>
      </c>
      <c r="BA55" s="36">
        <v>900</v>
      </c>
      <c r="BB55" s="38"/>
      <c r="BC55" s="36">
        <v>145500</v>
      </c>
      <c r="BD55" s="36">
        <v>4500</v>
      </c>
      <c r="BE55" s="38"/>
      <c r="BF55" s="45"/>
      <c r="BG55" s="45"/>
      <c r="BH55" s="45"/>
      <c r="BI55" s="44">
        <v>29100</v>
      </c>
      <c r="BJ55" s="44">
        <v>900</v>
      </c>
      <c r="BK55" s="44"/>
      <c r="BL55" s="44"/>
      <c r="BM55" s="44"/>
      <c r="BN55" s="44"/>
      <c r="BO55" s="33">
        <f>SUM(BC55:BN55)</f>
        <v>180000</v>
      </c>
    </row>
    <row r="56" spans="1:67">
      <c r="A56" s="12">
        <v>55</v>
      </c>
      <c r="B56" s="22" t="s">
        <v>109</v>
      </c>
      <c r="C56" s="25" t="s">
        <v>110</v>
      </c>
      <c r="D56" s="16"/>
      <c r="E56" s="16"/>
      <c r="F56" s="16"/>
      <c r="G56" s="17"/>
      <c r="H56" s="17"/>
      <c r="I56" s="37"/>
      <c r="J56" s="14"/>
      <c r="K56" s="37"/>
      <c r="L56" s="37"/>
      <c r="M56" s="36"/>
      <c r="N56" s="36"/>
      <c r="O56" s="36"/>
      <c r="P56" s="36"/>
      <c r="Q56" s="38"/>
      <c r="R56" s="38"/>
      <c r="S56" s="36"/>
      <c r="T56" s="36"/>
      <c r="U56" s="38"/>
      <c r="V56" s="38"/>
      <c r="W56" s="38"/>
      <c r="X56" s="38"/>
      <c r="Y56" s="38"/>
      <c r="Z56" s="38"/>
      <c r="AA56" s="38"/>
      <c r="AB56" s="36"/>
      <c r="AC56" s="36"/>
      <c r="AD56" s="38"/>
      <c r="AE56" s="36"/>
      <c r="AF56" s="36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6"/>
      <c r="AR56" s="36"/>
      <c r="AS56" s="38"/>
      <c r="AT56" s="36"/>
      <c r="AU56" s="36"/>
      <c r="AV56" s="38"/>
      <c r="AW56" s="42"/>
      <c r="AX56" s="38"/>
      <c r="AY56" s="38"/>
      <c r="AZ56" s="36"/>
      <c r="BA56" s="38"/>
      <c r="BB56" s="38"/>
      <c r="BC56" s="36">
        <v>48500</v>
      </c>
      <c r="BD56" s="36">
        <v>1500</v>
      </c>
      <c r="BE56" s="38"/>
      <c r="BF56" s="44">
        <v>100000</v>
      </c>
      <c r="BG56" s="45"/>
      <c r="BH56" s="45"/>
      <c r="BI56" s="44">
        <v>100000</v>
      </c>
      <c r="BJ56" s="44">
        <v>0</v>
      </c>
      <c r="BK56" s="44"/>
      <c r="BL56" s="44"/>
      <c r="BM56" s="44"/>
      <c r="BN56" s="44"/>
      <c r="BO56" s="33">
        <f>SUM(BC56:BN56)</f>
        <v>250000</v>
      </c>
    </row>
    <row r="57" spans="1:67">
      <c r="A57" s="12">
        <v>47</v>
      </c>
      <c r="B57" s="26" t="s">
        <v>117</v>
      </c>
      <c r="C57" s="27" t="s">
        <v>118</v>
      </c>
      <c r="D57" s="16"/>
      <c r="E57" s="16"/>
      <c r="F57" s="16"/>
      <c r="G57" s="17"/>
      <c r="H57" s="17"/>
      <c r="I57" s="37"/>
      <c r="J57" s="14"/>
      <c r="K57" s="37"/>
      <c r="L57" s="37"/>
      <c r="M57" s="36"/>
      <c r="N57" s="36"/>
      <c r="O57" s="36"/>
      <c r="P57" s="36"/>
      <c r="Q57" s="38"/>
      <c r="R57" s="38"/>
      <c r="S57" s="36">
        <v>52000</v>
      </c>
      <c r="T57" s="36"/>
      <c r="U57" s="38"/>
      <c r="V57" s="38"/>
      <c r="W57" s="38"/>
      <c r="X57" s="38"/>
      <c r="Y57" s="38"/>
      <c r="Z57" s="38"/>
      <c r="AA57" s="38"/>
      <c r="AB57" s="36">
        <v>0</v>
      </c>
      <c r="AC57" s="36">
        <v>0</v>
      </c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6"/>
      <c r="AU57" s="36"/>
      <c r="AV57" s="38"/>
      <c r="AW57" s="42"/>
      <c r="AX57" s="38"/>
      <c r="AY57" s="38"/>
      <c r="AZ57" s="36">
        <v>28000</v>
      </c>
      <c r="BA57" s="38"/>
      <c r="BB57" s="38"/>
      <c r="BC57" s="36">
        <v>0</v>
      </c>
      <c r="BD57" s="36">
        <v>0</v>
      </c>
      <c r="BE57" s="38"/>
      <c r="BF57" s="45"/>
      <c r="BG57" s="45"/>
      <c r="BH57" s="45"/>
      <c r="BI57" s="44">
        <v>0</v>
      </c>
      <c r="BJ57" s="44">
        <v>0</v>
      </c>
      <c r="BK57" s="44"/>
      <c r="BL57" s="44"/>
      <c r="BM57" s="44"/>
      <c r="BN57" s="44"/>
      <c r="BO57" s="33">
        <f>SUM(BC57:BN57)</f>
        <v>0</v>
      </c>
    </row>
    <row r="58" spans="1:67">
      <c r="A58" s="12">
        <v>24</v>
      </c>
      <c r="B58" s="12">
        <v>1913665</v>
      </c>
      <c r="C58" s="28" t="s">
        <v>116</v>
      </c>
      <c r="D58" s="13"/>
      <c r="E58" s="13"/>
      <c r="F58" s="13"/>
      <c r="G58" s="14">
        <v>48500</v>
      </c>
      <c r="H58" s="14"/>
      <c r="I58" s="14"/>
      <c r="J58" s="14">
        <v>171000</v>
      </c>
      <c r="K58" s="14">
        <v>9000</v>
      </c>
      <c r="L58" s="14"/>
      <c r="M58" s="36">
        <v>145500</v>
      </c>
      <c r="N58" s="36">
        <v>4500</v>
      </c>
      <c r="O58" s="36"/>
      <c r="P58" s="36"/>
      <c r="Q58" s="38"/>
      <c r="R58" s="38"/>
      <c r="S58" s="36">
        <v>95000</v>
      </c>
      <c r="T58" s="39">
        <v>5000</v>
      </c>
      <c r="U58" s="36">
        <v>240</v>
      </c>
      <c r="V58" s="38"/>
      <c r="W58" s="38"/>
      <c r="X58" s="38"/>
      <c r="Y58" s="36">
        <v>48500</v>
      </c>
      <c r="Z58" s="36">
        <v>1500</v>
      </c>
      <c r="AA58" s="36"/>
      <c r="AB58" s="36">
        <v>100000</v>
      </c>
      <c r="AC58" s="36">
        <v>0</v>
      </c>
      <c r="AD58" s="36"/>
      <c r="AE58" s="36">
        <v>195000</v>
      </c>
      <c r="AF58" s="36">
        <v>8000</v>
      </c>
      <c r="AG58" s="36"/>
      <c r="AH58" s="36"/>
      <c r="AI58" s="36"/>
      <c r="AJ58" s="36"/>
      <c r="AK58" s="36">
        <v>100000</v>
      </c>
      <c r="AL58" s="36"/>
      <c r="AM58" s="36"/>
      <c r="AN58" s="36">
        <f>97000+48500</f>
        <v>145500</v>
      </c>
      <c r="AO58" s="36">
        <f>3000+1500</f>
        <v>4500</v>
      </c>
      <c r="AP58" s="36"/>
      <c r="AQ58" s="36">
        <v>48500</v>
      </c>
      <c r="AR58" s="36">
        <v>1500</v>
      </c>
      <c r="AS58" s="36"/>
      <c r="AT58" s="36">
        <v>97000</v>
      </c>
      <c r="AU58" s="36">
        <v>3000</v>
      </c>
      <c r="AV58" s="36"/>
      <c r="AW58" s="41">
        <v>270000</v>
      </c>
      <c r="AX58" s="36">
        <v>30000</v>
      </c>
      <c r="AY58" s="36"/>
      <c r="AZ58" s="36"/>
      <c r="BA58" s="36"/>
      <c r="BB58" s="36"/>
      <c r="BC58" s="36">
        <v>292500</v>
      </c>
      <c r="BD58" s="36">
        <v>7500</v>
      </c>
      <c r="BE58" s="36">
        <v>150</v>
      </c>
      <c r="BF58" s="44">
        <v>194000</v>
      </c>
      <c r="BG58" s="44">
        <v>6000</v>
      </c>
      <c r="BH58" s="44"/>
      <c r="BI58" s="44">
        <v>0</v>
      </c>
      <c r="BJ58" s="44">
        <v>0</v>
      </c>
      <c r="BK58" s="44"/>
      <c r="BL58" s="44"/>
      <c r="BM58" s="44"/>
      <c r="BN58" s="44"/>
      <c r="BO58" s="33">
        <f>SUM(BC58:BN58)</f>
        <v>500150</v>
      </c>
    </row>
    <row r="59" spans="1:67">
      <c r="A59" s="12">
        <v>35</v>
      </c>
      <c r="B59" s="12" t="s">
        <v>114</v>
      </c>
      <c r="C59" s="28" t="s">
        <v>115</v>
      </c>
      <c r="D59" s="13"/>
      <c r="E59" s="13"/>
      <c r="F59" s="13"/>
      <c r="G59" s="14"/>
      <c r="H59" s="14"/>
      <c r="I59" s="14"/>
      <c r="J59" s="14"/>
      <c r="K59" s="14"/>
      <c r="L59" s="14"/>
      <c r="M59" s="36"/>
      <c r="N59" s="36"/>
      <c r="O59" s="36"/>
      <c r="P59" s="36"/>
      <c r="Q59" s="38"/>
      <c r="R59" s="38"/>
      <c r="S59" s="36">
        <v>20000</v>
      </c>
      <c r="T59" s="36"/>
      <c r="U59" s="38"/>
      <c r="V59" s="38"/>
      <c r="W59" s="38"/>
      <c r="X59" s="38"/>
      <c r="Y59" s="36"/>
      <c r="Z59" s="36"/>
      <c r="AA59" s="36"/>
      <c r="AB59" s="36">
        <v>0</v>
      </c>
      <c r="AC59" s="36">
        <v>0</v>
      </c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>
        <f>30000+50000+50000</f>
        <v>130000</v>
      </c>
      <c r="AO59" s="36">
        <v>2933</v>
      </c>
      <c r="AP59" s="36"/>
      <c r="AQ59" s="36">
        <v>50000</v>
      </c>
      <c r="AR59" s="36"/>
      <c r="AS59" s="36"/>
      <c r="AT59" s="36">
        <v>99000</v>
      </c>
      <c r="AU59" s="36">
        <v>1000</v>
      </c>
      <c r="AV59" s="36"/>
      <c r="AW59" s="41">
        <f>150000+50000</f>
        <v>200000</v>
      </c>
      <c r="AX59" s="36"/>
      <c r="AY59" s="36"/>
      <c r="AZ59" s="36">
        <v>50000</v>
      </c>
      <c r="BA59" s="36"/>
      <c r="BB59" s="36"/>
      <c r="BC59" s="36">
        <v>400000</v>
      </c>
      <c r="BD59" s="36">
        <v>0</v>
      </c>
      <c r="BE59" s="36"/>
      <c r="BF59" s="44">
        <f>138600+60000</f>
        <v>198600</v>
      </c>
      <c r="BG59" s="44">
        <v>1400</v>
      </c>
      <c r="BH59" s="44"/>
      <c r="BI59" s="44">
        <v>0</v>
      </c>
      <c r="BJ59" s="44">
        <v>0</v>
      </c>
      <c r="BK59" s="44"/>
      <c r="BL59" s="44">
        <v>99000</v>
      </c>
      <c r="BM59" s="44">
        <v>1000</v>
      </c>
      <c r="BN59" s="44"/>
      <c r="BO59" s="33">
        <f>SUM(BC59:BN59)</f>
        <v>700000</v>
      </c>
    </row>
    <row r="60" spans="1:67">
      <c r="A60" s="12">
        <v>28</v>
      </c>
      <c r="B60" s="12">
        <v>1937012</v>
      </c>
      <c r="C60" s="28" t="s">
        <v>113</v>
      </c>
      <c r="D60" s="13"/>
      <c r="E60" s="13"/>
      <c r="F60" s="13"/>
      <c r="G60" s="14">
        <v>50000</v>
      </c>
      <c r="H60" s="14"/>
      <c r="I60" s="14"/>
      <c r="J60" s="14">
        <v>150000</v>
      </c>
      <c r="K60" s="14"/>
      <c r="L60" s="14"/>
      <c r="M60" s="36">
        <v>80000</v>
      </c>
      <c r="N60" s="36"/>
      <c r="O60" s="36"/>
      <c r="P60" s="36"/>
      <c r="Q60" s="38"/>
      <c r="R60" s="38"/>
      <c r="S60" s="36">
        <v>200000</v>
      </c>
      <c r="T60" s="36"/>
      <c r="U60" s="38"/>
      <c r="V60" s="36"/>
      <c r="W60" s="38"/>
      <c r="X60" s="38"/>
      <c r="Y60" s="36"/>
      <c r="Z60" s="36"/>
      <c r="AA60" s="36"/>
      <c r="AB60" s="36">
        <v>500000</v>
      </c>
      <c r="AC60" s="36">
        <v>0</v>
      </c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>
        <v>200000</v>
      </c>
      <c r="AR60" s="36"/>
      <c r="AS60" s="36"/>
      <c r="AT60" s="36"/>
      <c r="AU60" s="36"/>
      <c r="AV60" s="36"/>
      <c r="AW60" s="41"/>
      <c r="AX60" s="36"/>
      <c r="AY60" s="36"/>
      <c r="AZ60" s="36"/>
      <c r="BA60" s="36"/>
      <c r="BB60" s="36"/>
      <c r="BC60" s="36">
        <v>194000</v>
      </c>
      <c r="BD60" s="36">
        <v>6000</v>
      </c>
      <c r="BE60" s="36"/>
      <c r="BF60" s="44"/>
      <c r="BG60" s="44"/>
      <c r="BH60" s="44"/>
      <c r="BI60" s="44">
        <v>120000</v>
      </c>
      <c r="BJ60" s="44">
        <v>0</v>
      </c>
      <c r="BK60" s="44"/>
      <c r="BL60" s="44"/>
      <c r="BM60" s="44"/>
      <c r="BN60" s="44"/>
      <c r="BO60" s="33">
        <f>SUM(BC60:BN60)</f>
        <v>320000</v>
      </c>
    </row>
    <row r="61" spans="1:67">
      <c r="A61" s="29" t="s">
        <v>119</v>
      </c>
      <c r="B61" s="30"/>
      <c r="C61" s="31"/>
      <c r="D61" s="32">
        <f>SUM(D3:D60)</f>
        <v>485000</v>
      </c>
      <c r="E61" s="32">
        <f t="shared" ref="E61:AJ61" si="2">SUM(E3:E60)</f>
        <v>15000</v>
      </c>
      <c r="F61" s="32">
        <f t="shared" si="2"/>
        <v>3000</v>
      </c>
      <c r="G61" s="32">
        <f t="shared" si="2"/>
        <v>1205100</v>
      </c>
      <c r="H61" s="32">
        <f t="shared" si="2"/>
        <v>23400</v>
      </c>
      <c r="I61" s="32">
        <f t="shared" si="2"/>
        <v>3000</v>
      </c>
      <c r="J61" s="32">
        <f t="shared" si="2"/>
        <v>6279400</v>
      </c>
      <c r="K61" s="32">
        <f t="shared" si="2"/>
        <v>278100</v>
      </c>
      <c r="L61" s="32">
        <f t="shared" si="2"/>
        <v>3000</v>
      </c>
      <c r="M61" s="32">
        <f t="shared" si="2"/>
        <v>3911500</v>
      </c>
      <c r="N61" s="32">
        <f t="shared" si="2"/>
        <v>18800</v>
      </c>
      <c r="O61" s="32">
        <f t="shared" si="2"/>
        <v>3000</v>
      </c>
      <c r="P61" s="32">
        <f t="shared" si="2"/>
        <v>317728.85</v>
      </c>
      <c r="Q61" s="32">
        <f t="shared" si="2"/>
        <v>6000</v>
      </c>
      <c r="R61" s="32">
        <f t="shared" si="2"/>
        <v>1250</v>
      </c>
      <c r="S61" s="32">
        <f t="shared" si="2"/>
        <v>6420450</v>
      </c>
      <c r="T61" s="32">
        <f t="shared" si="2"/>
        <v>136550</v>
      </c>
      <c r="U61" s="32">
        <f t="shared" si="2"/>
        <v>7752</v>
      </c>
      <c r="V61" s="32">
        <f t="shared" si="2"/>
        <v>618343.36</v>
      </c>
      <c r="W61" s="32">
        <f t="shared" si="2"/>
        <v>5825.05</v>
      </c>
      <c r="X61" s="32">
        <f t="shared" si="2"/>
        <v>3000</v>
      </c>
      <c r="Y61" s="32">
        <f t="shared" si="2"/>
        <v>4564380</v>
      </c>
      <c r="Z61" s="32">
        <f t="shared" si="2"/>
        <v>5550</v>
      </c>
      <c r="AA61" s="32">
        <f t="shared" si="2"/>
        <v>3000</v>
      </c>
      <c r="AB61" s="32">
        <f t="shared" si="2"/>
        <v>5116400</v>
      </c>
      <c r="AC61" s="32">
        <f t="shared" si="2"/>
        <v>3600</v>
      </c>
      <c r="AD61" s="32">
        <f t="shared" si="2"/>
        <v>3000</v>
      </c>
      <c r="AE61" s="32">
        <f t="shared" si="2"/>
        <v>4997019</v>
      </c>
      <c r="AF61" s="32">
        <f t="shared" si="2"/>
        <v>178500</v>
      </c>
      <c r="AG61" s="32">
        <f t="shared" si="2"/>
        <v>5194.5</v>
      </c>
      <c r="AH61" s="32">
        <f t="shared" si="2"/>
        <v>0</v>
      </c>
      <c r="AI61" s="32">
        <f t="shared" si="2"/>
        <v>15000</v>
      </c>
      <c r="AJ61" s="32">
        <f t="shared" si="2"/>
        <v>0</v>
      </c>
      <c r="AK61" s="32">
        <f t="shared" ref="AK61:BN61" si="3">SUM(AK3:AK60)</f>
        <v>2915500</v>
      </c>
      <c r="AL61" s="32">
        <f t="shared" si="3"/>
        <v>34500</v>
      </c>
      <c r="AM61" s="32">
        <f t="shared" si="3"/>
        <v>3000</v>
      </c>
      <c r="AN61" s="32">
        <f t="shared" si="3"/>
        <v>5551812.28</v>
      </c>
      <c r="AO61" s="32">
        <f t="shared" si="3"/>
        <v>91433</v>
      </c>
      <c r="AP61" s="32">
        <f t="shared" si="3"/>
        <v>4486.25</v>
      </c>
      <c r="AQ61" s="32">
        <f t="shared" si="3"/>
        <v>3346700</v>
      </c>
      <c r="AR61" s="32">
        <f t="shared" si="3"/>
        <v>63300</v>
      </c>
      <c r="AS61" s="32">
        <f t="shared" si="3"/>
        <v>3000</v>
      </c>
      <c r="AT61" s="32">
        <f t="shared" si="3"/>
        <v>3619187.16</v>
      </c>
      <c r="AU61" s="32">
        <f t="shared" si="3"/>
        <v>64732.6</v>
      </c>
      <c r="AV61" s="32">
        <f t="shared" si="3"/>
        <v>0</v>
      </c>
      <c r="AW61" s="32">
        <f t="shared" si="3"/>
        <v>7908341.9</v>
      </c>
      <c r="AX61" s="32">
        <f t="shared" si="3"/>
        <v>125149.1</v>
      </c>
      <c r="AY61" s="32">
        <f t="shared" si="3"/>
        <v>0</v>
      </c>
      <c r="AZ61" s="32">
        <f t="shared" si="3"/>
        <v>1392656.5</v>
      </c>
      <c r="BA61" s="32">
        <f t="shared" si="3"/>
        <v>19010</v>
      </c>
      <c r="BB61" s="32">
        <f t="shared" si="3"/>
        <v>9577.62</v>
      </c>
      <c r="BC61" s="32">
        <f>SUM(BC3:BC60)</f>
        <v>6423300</v>
      </c>
      <c r="BD61" s="32">
        <f t="shared" si="3"/>
        <v>626700</v>
      </c>
      <c r="BE61" s="32">
        <f t="shared" si="3"/>
        <v>32940</v>
      </c>
      <c r="BF61" s="32">
        <f t="shared" si="3"/>
        <v>5735550.15</v>
      </c>
      <c r="BG61" s="32">
        <f t="shared" si="3"/>
        <v>92233.51</v>
      </c>
      <c r="BH61" s="32">
        <f t="shared" si="3"/>
        <v>8167</v>
      </c>
      <c r="BI61" s="32">
        <f t="shared" si="3"/>
        <v>5542950</v>
      </c>
      <c r="BJ61" s="32">
        <f t="shared" si="3"/>
        <v>106800</v>
      </c>
      <c r="BK61" s="32">
        <f t="shared" si="3"/>
        <v>4575</v>
      </c>
      <c r="BL61" s="32">
        <f t="shared" si="3"/>
        <v>1299000</v>
      </c>
      <c r="BM61" s="32">
        <f t="shared" si="3"/>
        <v>1000</v>
      </c>
      <c r="BN61" s="32">
        <f>SUM(BN3:BN60)</f>
        <v>0</v>
      </c>
      <c r="BO61" s="33">
        <f>SUM(BO3:BO60)</f>
        <v>28719950.78</v>
      </c>
    </row>
    <row r="62" spans="1:67">
      <c r="A62" s="33"/>
      <c r="B62" s="33"/>
      <c r="C62" s="34"/>
      <c r="D62" s="33"/>
      <c r="E62" s="33"/>
      <c r="F62" s="33"/>
      <c r="G62" s="35"/>
      <c r="H62" s="35"/>
      <c r="I62" s="35"/>
      <c r="J62" s="35"/>
      <c r="K62" s="35"/>
      <c r="L62" s="35"/>
      <c r="M62" s="35"/>
      <c r="N62" s="35"/>
      <c r="O62" s="35"/>
      <c r="P62" s="33"/>
      <c r="BO62" s="33"/>
    </row>
    <row r="63" spans="67:67">
      <c r="BO63" s="33"/>
    </row>
    <row r="64" spans="55:67">
      <c r="BC64">
        <f>BC61-'[1]月付款明细 '!$BC$64</f>
        <v>0</v>
      </c>
      <c r="BD64">
        <f>BD61-'[1]月付款明细 '!$BD$64</f>
        <v>0</v>
      </c>
      <c r="BO64" s="33"/>
    </row>
    <row r="65" spans="67:67">
      <c r="BO65" s="33"/>
    </row>
    <row r="66" spans="7:67">
      <c r="G66" s="2">
        <f>SUM(G61:O61)</f>
        <v>11725300</v>
      </c>
      <c r="BO66" s="33"/>
    </row>
    <row r="67" spans="67:67">
      <c r="BO67" s="33"/>
    </row>
    <row r="68" spans="7:67">
      <c r="G68" s="2">
        <f>G66-G58-J58-K58</f>
        <v>11496800</v>
      </c>
      <c r="BO68" s="33"/>
    </row>
  </sheetData>
  <autoFilter ref="A2:BR61">
    <extLst/>
  </autoFilter>
  <mergeCells count="5">
    <mergeCell ref="D1:R1"/>
    <mergeCell ref="A61:C61"/>
    <mergeCell ref="A1:A2"/>
    <mergeCell ref="B1:B2"/>
    <mergeCell ref="C1:C2"/>
  </mergeCell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9" defaultRowHeight="13.5"/>
  <cols>
    <col min="2" max="2" width="10.375"/>
    <col min="4" max="4" width="10.375"/>
  </cols>
  <sheetData/>
  <conditionalFormatting sqref="A$1:B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月度付款  </vt:lpstr>
      <vt:lpstr>月付款明细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王晓曦</dc:creator>
  <cp:lastModifiedBy>李洪</cp:lastModifiedBy>
  <dcterms:created xsi:type="dcterms:W3CDTF">2013-07-01T03:22:00Z</dcterms:created>
  <cp:lastPrinted>2013-10-28T01:39:00Z</cp:lastPrinted>
  <dcterms:modified xsi:type="dcterms:W3CDTF">2020-12-02T03:31:52Z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</Properties>
</file>