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发放" sheetId="3" r:id="rId1"/>
    <sheet name="临时工" sheetId="8" r:id="rId2"/>
    <sheet name="KSO_Salary_Config" sheetId="4" state="veryHidden" r:id="rId3"/>
  </sheets>
  <externalReferences>
    <externalReference r:id="rId4"/>
  </externalReferences>
  <definedNames>
    <definedName name="_xlnm._FilterDatabase" localSheetId="0" hidden="1">发放!$A$3:$BA$70</definedName>
    <definedName name="_xlnm.Print_Area" localSheetId="0">发放!$A$1:$BA$67</definedName>
    <definedName name="_xlnm.Print_Titles" localSheetId="0">发放!$1:$3</definedName>
  </definedNames>
  <calcPr calcId="144525" fullPrecision="0"/>
</workbook>
</file>

<file path=xl/comments1.xml><?xml version="1.0" encoding="utf-8"?>
<comments xmlns="http://schemas.openxmlformats.org/spreadsheetml/2006/main">
  <authors>
    <author>Administrator</author>
  </authors>
  <commentList>
    <comment ref="L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健身操比赛+5分</t>
        </r>
      </text>
    </comment>
    <comment ref="L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改善提案+2分
健身操比赛+5分</t>
        </r>
      </text>
    </comment>
    <comment ref="L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健身操加5分</t>
        </r>
      </text>
    </comment>
    <comment ref="U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补发3月工龄工资</t>
        </r>
      </text>
    </comment>
    <comment ref="L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健身操比赛+5分</t>
        </r>
      </text>
    </comment>
    <comment ref="L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改善提案+2分
</t>
        </r>
      </text>
    </comment>
    <comment ref="Q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29个夜班</t>
        </r>
      </text>
    </comment>
    <comment ref="Q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27个夜班</t>
        </r>
      </text>
    </comment>
    <comment ref="Q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27个夜班</t>
        </r>
      </text>
    </comment>
    <comment ref="Q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28个夜班</t>
        </r>
      </text>
    </comment>
    <comment ref="Q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28个夜班</t>
        </r>
      </text>
    </comment>
    <comment ref="L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健身操比赛+5分</t>
        </r>
      </text>
    </comment>
    <comment ref="U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补3月质量奖励</t>
        </r>
      </text>
    </comment>
    <comment ref="L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健身操+5分
</t>
        </r>
      </text>
    </comment>
    <comment ref="U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补发3月工龄工资</t>
        </r>
      </text>
    </comment>
    <comment ref="U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补发3月工龄工资
</t>
        </r>
      </text>
    </comment>
    <comment ref="U3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补发3月工龄工资
</t>
        </r>
      </text>
    </comment>
    <comment ref="L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健身操+5分
</t>
        </r>
      </text>
    </comment>
    <comment ref="L45" authorId="0">
      <text>
        <r>
          <rPr>
            <b/>
            <sz val="9"/>
            <rFont val="宋体"/>
            <charset val="134"/>
          </rPr>
          <t xml:space="preserve">Administrator
</t>
        </r>
        <r>
          <rPr>
            <sz val="9"/>
            <rFont val="宋体"/>
            <charset val="134"/>
          </rPr>
          <t>健身操+5分</t>
        </r>
      </text>
    </comment>
    <comment ref="U4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18号加班餐</t>
        </r>
      </text>
    </comment>
    <comment ref="U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18号加班餐</t>
        </r>
      </text>
    </comment>
    <comment ref="L5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健身操比赛+5分
改善提案+2分</t>
        </r>
      </text>
    </comment>
    <comment ref="U5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补发3月工龄工资</t>
        </r>
      </text>
    </comment>
    <comment ref="U5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19、21、22号餐补</t>
        </r>
      </text>
    </comment>
    <comment ref="L5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健身操比赛+5分</t>
        </r>
      </text>
    </comment>
    <comment ref="L5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健身操比赛加5分</t>
        </r>
      </text>
    </comment>
    <comment ref="L5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健身操+5分</t>
        </r>
      </text>
    </comment>
    <comment ref="L5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健身操+5分
</t>
        </r>
      </text>
    </comment>
    <comment ref="U5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补3月全勤奖</t>
        </r>
      </text>
    </comment>
    <comment ref="L6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健身操+5分</t>
        </r>
      </text>
    </comment>
    <comment ref="U6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补3月错算工资</t>
        </r>
      </text>
    </comment>
  </commentList>
</comments>
</file>

<file path=xl/sharedStrings.xml><?xml version="1.0" encoding="utf-8"?>
<sst xmlns="http://schemas.openxmlformats.org/spreadsheetml/2006/main" count="666" uniqueCount="427">
  <si>
    <t>成都光华智能汽车部件有限公司2021年4月工资明细表</t>
  </si>
  <si>
    <t>序号</t>
  </si>
  <si>
    <t>姓名</t>
  </si>
  <si>
    <t>部门</t>
  </si>
  <si>
    <t>岗位</t>
  </si>
  <si>
    <t>身份证号码</t>
  </si>
  <si>
    <t>工资卡号（中行）</t>
  </si>
  <si>
    <t>考勤天数</t>
  </si>
  <si>
    <t>基本
工资</t>
  </si>
  <si>
    <t>岗位
工资</t>
  </si>
  <si>
    <t>绩效
工资</t>
  </si>
  <si>
    <t>全勤</t>
  </si>
  <si>
    <t>交通
补贴</t>
  </si>
  <si>
    <t>特殊岗位津贴</t>
  </si>
  <si>
    <t>厂龄补贴</t>
  </si>
  <si>
    <t>夜班津贴</t>
  </si>
  <si>
    <t>加班费</t>
  </si>
  <si>
    <t>奖罚</t>
  </si>
  <si>
    <t>缺勤扣款</t>
  </si>
  <si>
    <t>其他</t>
  </si>
  <si>
    <t>4月
应发工资</t>
  </si>
  <si>
    <t>社保、公积金公司部分</t>
  </si>
  <si>
    <t>各项扣款</t>
  </si>
  <si>
    <t>上期累计收入额</t>
  </si>
  <si>
    <t>上期累计减除费用</t>
  </si>
  <si>
    <t>上期累计专项扣除</t>
  </si>
  <si>
    <t>上期累计金额</t>
  </si>
  <si>
    <t>本期累计收入额</t>
  </si>
  <si>
    <t>本期专项附加</t>
  </si>
  <si>
    <t>起征累计</t>
  </si>
  <si>
    <t>应纳税所得额</t>
  </si>
  <si>
    <t>应纳税额</t>
  </si>
  <si>
    <t>已缴税额</t>
  </si>
  <si>
    <t>应补/退个税</t>
  </si>
  <si>
    <t>工会
会费</t>
  </si>
  <si>
    <t>4月
实发工资</t>
  </si>
  <si>
    <t>备注</t>
  </si>
  <si>
    <t>岗位性质</t>
  </si>
  <si>
    <t>岗位划分</t>
  </si>
  <si>
    <t>养老</t>
  </si>
  <si>
    <t>失业</t>
  </si>
  <si>
    <t>医疗</t>
  </si>
  <si>
    <t>大病</t>
  </si>
  <si>
    <t>工伤</t>
  </si>
  <si>
    <t>生育</t>
  </si>
  <si>
    <t>公积金</t>
  </si>
  <si>
    <t>4.5月
扣款小计</t>
  </si>
  <si>
    <t>子女教育</t>
  </si>
  <si>
    <t>赡养老人</t>
  </si>
  <si>
    <t>住房贷款利息</t>
  </si>
  <si>
    <t>住房租金</t>
  </si>
  <si>
    <t>继续教育</t>
  </si>
  <si>
    <t>专项附加累计</t>
  </si>
  <si>
    <t>张坤</t>
  </si>
  <si>
    <t>技术质量</t>
  </si>
  <si>
    <t>厂长</t>
  </si>
  <si>
    <t>间接</t>
  </si>
  <si>
    <t>科级</t>
  </si>
  <si>
    <t>420302198903041254</t>
  </si>
  <si>
    <t>6215683100022931927</t>
  </si>
  <si>
    <t>厂长办公室小计</t>
  </si>
  <si>
    <t>周继菊</t>
  </si>
  <si>
    <t>综合</t>
  </si>
  <si>
    <t>科长</t>
  </si>
  <si>
    <t>513401198901276424</t>
  </si>
  <si>
    <t>6216693100007496686</t>
  </si>
  <si>
    <t>彭远清</t>
  </si>
  <si>
    <t>保洁（兼职）</t>
  </si>
  <si>
    <t>二线</t>
  </si>
  <si>
    <t>51011219750808072X</t>
  </si>
  <si>
    <t>6217563100017328890</t>
  </si>
  <si>
    <t>综合管理科小计</t>
  </si>
  <si>
    <t>杨辉</t>
  </si>
  <si>
    <t>财务</t>
  </si>
  <si>
    <t>511025198308102623</t>
  </si>
  <si>
    <t>6217903100032985160</t>
  </si>
  <si>
    <t>陈文君</t>
  </si>
  <si>
    <t>会计</t>
  </si>
  <si>
    <t>511324199404276003</t>
  </si>
  <si>
    <t>6215683100023258072</t>
  </si>
  <si>
    <t>财务管理科小计</t>
  </si>
  <si>
    <t>韩万林</t>
  </si>
  <si>
    <t>生产制造</t>
  </si>
  <si>
    <t>工段长</t>
  </si>
  <si>
    <t>一线</t>
  </si>
  <si>
    <t>511922198909184513</t>
  </si>
  <si>
    <t>6215683100022018550</t>
  </si>
  <si>
    <t>彭燕</t>
  </si>
  <si>
    <t>注塑工</t>
  </si>
  <si>
    <t>直接</t>
  </si>
  <si>
    <t>510113198505287427</t>
  </si>
  <si>
    <t>6216693100005715574</t>
  </si>
  <si>
    <t>熊丽华</t>
  </si>
  <si>
    <t>510112198111050025</t>
  </si>
  <si>
    <t>6217853100017285156</t>
  </si>
  <si>
    <t>李春华</t>
  </si>
  <si>
    <t>513026197510045021</t>
  </si>
  <si>
    <t>6217853100016463564</t>
  </si>
  <si>
    <t>郑拾军</t>
  </si>
  <si>
    <t>410421197409010514</t>
  </si>
  <si>
    <t>6235723100000153213</t>
  </si>
  <si>
    <t>注塑车间小计</t>
  </si>
  <si>
    <t>曾超</t>
  </si>
  <si>
    <t>511025198611141414</t>
  </si>
  <si>
    <t>6217903100009286469</t>
  </si>
  <si>
    <t>方兰</t>
  </si>
  <si>
    <t>操作工</t>
  </si>
  <si>
    <t>510112198109290361</t>
  </si>
  <si>
    <t>6216613100015122214</t>
  </si>
  <si>
    <t>肖全英</t>
  </si>
  <si>
    <t>总装班长</t>
  </si>
  <si>
    <t>511011199001072825</t>
  </si>
  <si>
    <t>6217853100025205808</t>
  </si>
  <si>
    <t>李绍碧</t>
  </si>
  <si>
    <t>512223197410152162</t>
  </si>
  <si>
    <t>6217583100007227116</t>
  </si>
  <si>
    <t>陈平丽</t>
  </si>
  <si>
    <t>终检</t>
  </si>
  <si>
    <t>510112198006092426</t>
  </si>
  <si>
    <t>6217583100027918298</t>
  </si>
  <si>
    <t>易小利</t>
  </si>
  <si>
    <t>522122198910025287</t>
  </si>
  <si>
    <t>6217853100017450263</t>
  </si>
  <si>
    <t>文丽</t>
  </si>
  <si>
    <t>510122198108266426</t>
  </si>
  <si>
    <t>6217583100009114882</t>
  </si>
  <si>
    <t>陈义</t>
  </si>
  <si>
    <t>510112198007100782</t>
  </si>
  <si>
    <r>
      <rPr>
        <sz val="10"/>
        <color indexed="8"/>
        <rFont val="宋体"/>
        <charset val="134"/>
      </rPr>
      <t>6</t>
    </r>
    <r>
      <rPr>
        <sz val="10"/>
        <color indexed="8"/>
        <rFont val="宋体"/>
        <charset val="134"/>
      </rPr>
      <t>216613100009115661</t>
    </r>
  </si>
  <si>
    <t>刘芳</t>
  </si>
  <si>
    <t>510321198707044889</t>
  </si>
  <si>
    <t>6216603100007178390</t>
  </si>
  <si>
    <t>邓春梅</t>
  </si>
  <si>
    <t>510722198003221064</t>
  </si>
  <si>
    <t>6217853100026106187</t>
  </si>
  <si>
    <t>周春梅</t>
  </si>
  <si>
    <t>6217853100026124990</t>
  </si>
  <si>
    <t>罗世凤</t>
  </si>
  <si>
    <t>6217853100026173971</t>
  </si>
  <si>
    <t>叶美群</t>
  </si>
  <si>
    <t>6217853100026218347</t>
  </si>
  <si>
    <t>干达莉</t>
  </si>
  <si>
    <t>511027197608020943</t>
  </si>
  <si>
    <t>6216693100007295401</t>
  </si>
  <si>
    <t>刘怀香</t>
  </si>
  <si>
    <t>510112197802081264</t>
  </si>
  <si>
    <t>6216603100004379140</t>
  </si>
  <si>
    <t>杨辉琼</t>
  </si>
  <si>
    <t>512923197202152780</t>
  </si>
  <si>
    <t>6216603100007083756</t>
  </si>
  <si>
    <t>何会林</t>
  </si>
  <si>
    <t>511202197905034747</t>
  </si>
  <si>
    <t>6216613100023114799</t>
  </si>
  <si>
    <t>方华</t>
  </si>
  <si>
    <t>510112197903290321</t>
  </si>
  <si>
    <t>6215683100021585336</t>
  </si>
  <si>
    <t>刘光琼</t>
  </si>
  <si>
    <t>510112197703172443</t>
  </si>
  <si>
    <t>6013823100103680062</t>
  </si>
  <si>
    <t>杨晓英</t>
  </si>
  <si>
    <t>510321198111193680</t>
  </si>
  <si>
    <t>6215683100021590955</t>
  </si>
  <si>
    <t>李清</t>
  </si>
  <si>
    <t>513030199012123924</t>
  </si>
  <si>
    <t>4月27日入职，试用期</t>
  </si>
  <si>
    <t>孟春莉</t>
  </si>
  <si>
    <t>投料工</t>
  </si>
  <si>
    <t>412326198409085420</t>
  </si>
  <si>
    <t>6216613100026452071</t>
  </si>
  <si>
    <t>补退4月社保公积金</t>
  </si>
  <si>
    <t>总装车间小计</t>
  </si>
  <si>
    <t>郑友谊</t>
  </si>
  <si>
    <t>模具工程师</t>
  </si>
  <si>
    <t>513021197601286910</t>
  </si>
  <si>
    <t>6215683100019831775</t>
  </si>
  <si>
    <t>陈辉</t>
  </si>
  <si>
    <t>维修电工</t>
  </si>
  <si>
    <t>车间间接</t>
  </si>
  <si>
    <t>510623197809204817</t>
  </si>
  <si>
    <t>6216693100007594191</t>
  </si>
  <si>
    <t>设备管理科小计</t>
  </si>
  <si>
    <t>田友军</t>
  </si>
  <si>
    <t>生产管理</t>
  </si>
  <si>
    <t>生产计划</t>
  </si>
  <si>
    <t>511102198007014612</t>
  </si>
  <si>
    <t>6215683100021441530</t>
  </si>
  <si>
    <t>李飞</t>
  </si>
  <si>
    <t>511028199004058022</t>
  </si>
  <si>
    <t>6216603100005890343</t>
  </si>
  <si>
    <t>廖世金</t>
  </si>
  <si>
    <t>配料工</t>
  </si>
  <si>
    <t>6215683100021417175</t>
  </si>
  <si>
    <t>赵曼莉</t>
  </si>
  <si>
    <t>库管</t>
  </si>
  <si>
    <t>6235733100000301885</t>
  </si>
  <si>
    <t>5月6日离职</t>
  </si>
  <si>
    <t>蒲琼</t>
  </si>
  <si>
    <t>513723198703027907</t>
  </si>
  <si>
    <t>6217903100032875890</t>
  </si>
  <si>
    <t>赵兴艳</t>
  </si>
  <si>
    <t>511223197902245460</t>
  </si>
  <si>
    <t>6215683100021416797</t>
  </si>
  <si>
    <t>郭林凤</t>
  </si>
  <si>
    <t>采购</t>
  </si>
  <si>
    <t>632801198810060589</t>
  </si>
  <si>
    <t>6215683100023267917</t>
  </si>
  <si>
    <t>杨霞</t>
  </si>
  <si>
    <t>511028199304218024</t>
  </si>
  <si>
    <t>6216693100009822525</t>
  </si>
  <si>
    <t>付山春</t>
  </si>
  <si>
    <t>物料筹措</t>
  </si>
  <si>
    <t>510112198611164643</t>
  </si>
  <si>
    <t>4月28日入职，试用期</t>
  </si>
  <si>
    <t>生产管理科小计</t>
  </si>
  <si>
    <t>谭文波</t>
  </si>
  <si>
    <t>510622198204014517</t>
  </si>
  <si>
    <t>6216603100007119121</t>
  </si>
  <si>
    <t>张菊香</t>
  </si>
  <si>
    <t>SQE</t>
  </si>
  <si>
    <t>510921198605014024</t>
  </si>
  <si>
    <t>6217903100033605163</t>
  </si>
  <si>
    <t>朱小军</t>
  </si>
  <si>
    <t>质量工程师</t>
  </si>
  <si>
    <t>510823199104081191</t>
  </si>
  <si>
    <t>6217853100019547678</t>
  </si>
  <si>
    <t>车月</t>
  </si>
  <si>
    <t>510183199310080032</t>
  </si>
  <si>
    <t>6217903100027512045</t>
  </si>
  <si>
    <t>3月17入职，试用期</t>
  </si>
  <si>
    <t>陈梦菲</t>
  </si>
  <si>
    <t>现场服务（兼职）</t>
  </si>
  <si>
    <t>510112199405270722</t>
  </si>
  <si>
    <t>6217853100025378134</t>
  </si>
  <si>
    <t>任威利</t>
  </si>
  <si>
    <t>来料检</t>
  </si>
  <si>
    <t>513022198903283548</t>
  </si>
  <si>
    <t>6215683100019282433</t>
  </si>
  <si>
    <t>汪薛敏</t>
  </si>
  <si>
    <t>513902198504171745</t>
  </si>
  <si>
    <t>6216693100008670628</t>
  </si>
  <si>
    <t/>
  </si>
  <si>
    <t>曾莉</t>
  </si>
  <si>
    <t>510112198910151228</t>
  </si>
  <si>
    <t>6217853100026126342</t>
  </si>
  <si>
    <t>陈爽</t>
  </si>
  <si>
    <t>513029199610064746</t>
  </si>
  <si>
    <t>6215683100025995309</t>
  </si>
  <si>
    <t>邓雪松</t>
  </si>
  <si>
    <t>513601198011036243</t>
  </si>
  <si>
    <t>6217903100034751560</t>
  </si>
  <si>
    <t>袁美中</t>
  </si>
  <si>
    <t>返修</t>
  </si>
  <si>
    <t>510211197311109057</t>
  </si>
  <si>
    <t>6215683100020246138</t>
  </si>
  <si>
    <t>技术质量科小计</t>
  </si>
  <si>
    <t>合   计</t>
  </si>
  <si>
    <t>审批：                        审核：                             出纳：                         复核：                            制表：                         日期：</t>
  </si>
  <si>
    <t>成都光华智能汽车部件有限公司2021年04月工资明细表</t>
  </si>
  <si>
    <t>考勤时间</t>
  </si>
  <si>
    <t>各项津补贴</t>
  </si>
  <si>
    <t>应发工资</t>
  </si>
  <si>
    <t xml:space="preserve">
实发工资</t>
  </si>
  <si>
    <t>4月
扣款小计</t>
  </si>
  <si>
    <t>张龙彪</t>
  </si>
  <si>
    <t>注塑</t>
  </si>
  <si>
    <t>临时工</t>
  </si>
  <si>
    <t>2335H</t>
  </si>
  <si>
    <t>4月合计出勤2335小时</t>
  </si>
  <si>
    <t>4月劳务派遣明细</t>
  </si>
  <si>
    <t>用工时长</t>
  </si>
  <si>
    <t>金额（含税）</t>
  </si>
  <si>
    <t>总装</t>
  </si>
  <si>
    <t>质量</t>
  </si>
  <si>
    <t>生管</t>
  </si>
  <si>
    <t>合计</t>
  </si>
  <si>
    <t>制表：</t>
  </si>
  <si>
    <t>审核：</t>
  </si>
  <si>
    <t>批准：</t>
  </si>
  <si>
    <t>$A$3</t>
  </si>
  <si>
    <t>$B$3</t>
  </si>
  <si>
    <t>$C$3</t>
  </si>
  <si>
    <t>$D$3</t>
  </si>
  <si>
    <t>$E$3</t>
  </si>
  <si>
    <t>$F$3</t>
  </si>
  <si>
    <t>标题区域</t>
  </si>
  <si>
    <t>$A$3:$CD$4</t>
  </si>
  <si>
    <t>$G$3</t>
  </si>
  <si>
    <t>数据开始行</t>
  </si>
  <si>
    <t>$H$3</t>
  </si>
  <si>
    <t>$I$3</t>
  </si>
  <si>
    <t>$J$3</t>
  </si>
  <si>
    <t>餐补</t>
  </si>
  <si>
    <t>$K$3</t>
  </si>
  <si>
    <t>$L$3</t>
  </si>
  <si>
    <t>标题区域左上角值</t>
  </si>
  <si>
    <t>$M$3</t>
  </si>
  <si>
    <t>标题区域右下角值</t>
  </si>
  <si>
    <t>$N$3</t>
  </si>
  <si>
    <t>交通补贴</t>
  </si>
  <si>
    <t>$O$3</t>
  </si>
  <si>
    <t>$P$3</t>
  </si>
  <si>
    <t>工资表头json</t>
  </si>
  <si>
    <t>{"list":[{"id":"1","label":"序号","address":"$A$3","selected":2},{"id":"2","label":"姓名","address":"$B$3","selected":2},{"id":"3","label":"部门","address":"$C$3","selected":2},{"id":"4","label":"岗位","address":"$D$3","selected":2},{"id":"5","label":"身份证号码","address":"$E$3","selected":2},{"id":"6","label":"工资卡号（中行）","address":"$F$3","selected":2},{"id":"7","label":"考勤天数","address":"$G$3","selected":2},{"id":"8","label":"基本\n工资","address":"$H$3","selected":2},{"id":"9","label":"岗位\n工资","address":"$I$3","selected":2},{"id":"10","label":"绩效\n工资","address":"$J$3","selected":2},{"id":"11","label":"餐补","address":"$K$3","selected":2},{"id":"12","label":"各项津补贴","address":"$L$3","selected":2},{"id":"13","label":"厂龄补贴","address":"$M$3","selected":2},{"id":"14","label":"夜班津贴","address":"$N$3","selected":2},{"id":"15","label":"交通补贴","address":"$O$3","selected":2},{"id":"16","label":"缺勤扣款","address":"$P$3","selected":2},{"id":"17","label":"其他","address":"$Q$3","selected":2},{"id":"18","label":"5月\n应发工资","address":"$R$3","selected":2},{"id":"19","label":"各项扣款","address":"$S$3","selected":2,"children":[{"id":"19","label":"养老","address":"$S$4","selected":2},{"id":"20","label":"医疗","address":"$T$4","selected":2},{"id":"21","label":"失业","address":"$U$4","selected":2},{"id":"22","label":"公积金","address":"$V$4","selected":2},{"id":"23","label":"5.6月\n扣款小计","address":"$W$4","selected":2}]},{"id":"24","label":"税前工资","address":"$X$3","selected":2},{"id":"25","label":"1月应税工资","address":"$Y$3","selected":2},{"id":"26","label":"2月应税工资","address":"$Z$3","selected":2},{"id":"27","label":"3月应税工资","address":"$AA$3","selected":2},{"id":"28","label":"4月应税工资","address":"$AB$3","selected":2},{"id":"29","label":"5月应税工资","address":"$AC$3","selected":2},{"id":"30","label":"6月应税工资","address":"$AD$3","selected":2},{"id":"31","label":"7月应税工资","address":"$AE$3","selected":2},{"id":"32","label":"8月应税工资","address":"$AF$3","selected":2},{"id":"33","label":"9月应税工资","address":"$AG$3","selected":2},{"id":"34","label":"10月应税工资","address":"$AH$3","selected":2},{"id":"35","label":"11月应税工资","address":"$AI$3","selected":2},{"id":"36","label":"12月应税工资","address":"$AJ$3","selected":2},{"id":"37","label":"累计应税工资","address":"$AK$3","selected":2},{"id":"38","label":"1月专项附加","address":"$AL$3","selected":2},{"id":"39","label":"2月专项附加","address":"$AM$3","selected":2},{"id":"40","label":"3月专项附加","address":"$AN$3","selected":2},{"id":"41","label":"4月专项附加","address":"$AO$3","selected":2},{"id":"42","label":"5月专项附加","address":"$AP$3","selected":2},{"id":"43","label":"6月专项附加","address":"$AQ$3","selected":2},{"id":"44","label":"7月专项附加","address":"$AR$3","selected":2},{"id":"45","label":"8月专项附加","address":"$AS$3","selected":2},{"id":"46","label":"9月专项附加","address":"$AT$3","selected":2},{"id":"47","label":"10月专项附加","address":"$AU$3","selected":2},{"id":"48","label":"11月专项附加","address":"$AV$3","selected":2},{"id":"49","label":"12月专项附加","address":"$AW$3","selected":2},{"id":"50","label":"累计专项附加","address":"$AX$3","selected":2},{"id":"51","label":"1月起征","address":"$AY$3","selected":2},{"id":"52","label":"2月起征","address":"$AZ$3","selected":2},{"id":"53","label":"3月起征","address":"$BA$3","selected":2},{"id":"54","label":"4月起征","address":"$BB$3","selected":2},{"id":"55","label":"5月起征","address":"$BC$3","selected":2},{"id":"56","label":"6月起征","address":"$BD$3","selected":2},{"id":"57","label":"7月起征","address":"$BE$3","selected":2},{"id":"58","label":"8月起征","address":"$BF$3","selected":2},{"id":"59","label":"9月起征","address":"$BG$3","selected":2},{"id":"60","label":"10月起征","address":"$BH$3","selected":2},{"id":"61","label":"11月起征","address":"$BI$3","selected":2},{"id":"62","label":"12月起征","address":"$BJ$3","selected":2},{"id":"63","label":"起征累计","address":"$BK$3","selected":2},{"id":"64","label":"累计应税工资","address":"$BL$3","selected":2},{"id":"65","label":"累计应缴个税","address":"$BM$3","selected":2},{"id":"66","label":"1月已扣税","address":"$BN$3","selected":2},{"id":"67","label":"2月已扣税","address":"$BO$3","selected":2},{"id":"68","label":"3月已扣税","address":"$BP$3","selected":2},{"id":"69","label":"4月已扣税","address":"$BQ$3","selected":2},{"id":"70","label":"5月已扣税","address":"$BR$3","selected":2},{"id":"71","label":"6月已扣税","address":"$BS$3","selected":2},{"id":"72","label":"7月已扣税","address":"$BT$3","selected":2},{"id":"73","label":"8月已扣税","address":"$BU$3","selected":2},{"id":"74","label":"9月已扣税","address":"$BV$3","selected":2},{"id":"75","label":"10月已扣税","address":"$BW$3","selected":2},{"id":"76","label":"11月已扣税","address":"$BX$3","selected":2},{"id":"77","label":"12月已扣税","address":"$BY$3","selected":2},{"id":"78","label":"累计已扣税","address":"$BZ$3","selected":2},{"id":"79","label":"5月应缴个税","address":"$CA$3","selected":2},{"id":"80","label":"工会\n会费","address":"$CB$3","selected":2},{"id":"81","label":"5月\n实发工资","address":"$CC$3","selected":2},{"id":"82","label":"备注","address":"$CD$3","selected":2}]}</t>
  </si>
  <si>
    <t>$Q$3</t>
  </si>
  <si>
    <t>5月
应发工资</t>
  </si>
  <si>
    <t>$R$3</t>
  </si>
  <si>
    <t>$S$3</t>
  </si>
  <si>
    <t>$S$4</t>
  </si>
  <si>
    <t>$T$4</t>
  </si>
  <si>
    <t>$U$4</t>
  </si>
  <si>
    <t>$V$4</t>
  </si>
  <si>
    <t>5.6月
扣款小计</t>
  </si>
  <si>
    <t>$W$4</t>
  </si>
  <si>
    <t>税前工资</t>
  </si>
  <si>
    <t>$X$3</t>
  </si>
  <si>
    <t>1月应税工资</t>
  </si>
  <si>
    <t>$Y$3</t>
  </si>
  <si>
    <t>2月应税工资</t>
  </si>
  <si>
    <t>$Z$3</t>
  </si>
  <si>
    <t>3月应税工资</t>
  </si>
  <si>
    <t>$AA$3</t>
  </si>
  <si>
    <t>4月应税工资</t>
  </si>
  <si>
    <t>$AB$3</t>
  </si>
  <si>
    <t>5月应税工资</t>
  </si>
  <si>
    <t>$AC$3</t>
  </si>
  <si>
    <t>6月应税工资</t>
  </si>
  <si>
    <t>$AD$3</t>
  </si>
  <si>
    <t>7月应税工资</t>
  </si>
  <si>
    <t>$AE$3</t>
  </si>
  <si>
    <t>8月应税工资</t>
  </si>
  <si>
    <t>$AF$3</t>
  </si>
  <si>
    <t>9月应税工资</t>
  </si>
  <si>
    <t>$AG$3</t>
  </si>
  <si>
    <t>10月应税工资</t>
  </si>
  <si>
    <t>$AH$3</t>
  </si>
  <si>
    <t>11月应税工资</t>
  </si>
  <si>
    <t>$AI$3</t>
  </si>
  <si>
    <t>12月应税工资</t>
  </si>
  <si>
    <t>$AJ$3</t>
  </si>
  <si>
    <t>累计应税工资</t>
  </si>
  <si>
    <t>$AK$3</t>
  </si>
  <si>
    <t>1月专项附加</t>
  </si>
  <si>
    <t>$AL$3</t>
  </si>
  <si>
    <t>2月专项附加</t>
  </si>
  <si>
    <t>$AM$3</t>
  </si>
  <si>
    <t>3月专项附加</t>
  </si>
  <si>
    <t>$AN$3</t>
  </si>
  <si>
    <t>4月专项附加</t>
  </si>
  <si>
    <t>$AO$3</t>
  </si>
  <si>
    <t>5月专项附加</t>
  </si>
  <si>
    <t>$AP$3</t>
  </si>
  <si>
    <t>6月专项附加</t>
  </si>
  <si>
    <t>$AQ$3</t>
  </si>
  <si>
    <t>7月专项附加</t>
  </si>
  <si>
    <t>$AR$3</t>
  </si>
  <si>
    <t>8月专项附加</t>
  </si>
  <si>
    <t>$AS$3</t>
  </si>
  <si>
    <t>9月专项附加</t>
  </si>
  <si>
    <t>$AT$3</t>
  </si>
  <si>
    <t>10月专项附加</t>
  </si>
  <si>
    <t>$AU$3</t>
  </si>
  <si>
    <t>11月专项附加</t>
  </si>
  <si>
    <t>$AV$3</t>
  </si>
  <si>
    <t>12月专项附加</t>
  </si>
  <si>
    <t>$AW$3</t>
  </si>
  <si>
    <t>累计专项附加</t>
  </si>
  <si>
    <t>$AX$3</t>
  </si>
  <si>
    <t>1月起征</t>
  </si>
  <si>
    <t>$AY$3</t>
  </si>
  <si>
    <t>2月起征</t>
  </si>
  <si>
    <t>$AZ$3</t>
  </si>
  <si>
    <t>3月起征</t>
  </si>
  <si>
    <t>$BA$3</t>
  </si>
  <si>
    <t>4月起征</t>
  </si>
  <si>
    <t>$BB$3</t>
  </si>
  <si>
    <t>5月起征</t>
  </si>
  <si>
    <t>$BC$3</t>
  </si>
  <si>
    <t>6月起征</t>
  </si>
  <si>
    <t>$BD$3</t>
  </si>
  <si>
    <t>7月起征</t>
  </si>
  <si>
    <t>$BE$3</t>
  </si>
  <si>
    <t>8月起征</t>
  </si>
  <si>
    <t>$BF$3</t>
  </si>
  <si>
    <t>9月起征</t>
  </si>
  <si>
    <t>$BG$3</t>
  </si>
  <si>
    <t>10月起征</t>
  </si>
  <si>
    <t>$BH$3</t>
  </si>
  <si>
    <t>11月起征</t>
  </si>
  <si>
    <t>$BI$3</t>
  </si>
  <si>
    <t>12月起征</t>
  </si>
  <si>
    <t>$BJ$3</t>
  </si>
  <si>
    <t>$BK$3</t>
  </si>
  <si>
    <t>$BL$3</t>
  </si>
  <si>
    <t>累计应缴个税</t>
  </si>
  <si>
    <t>$BM$3</t>
  </si>
  <si>
    <t>1月已扣税</t>
  </si>
  <si>
    <t>$BN$3</t>
  </si>
  <si>
    <t>2月已扣税</t>
  </si>
  <si>
    <t>$BO$3</t>
  </si>
  <si>
    <t>3月已扣税</t>
  </si>
  <si>
    <t>$BP$3</t>
  </si>
  <si>
    <t>4月已扣税</t>
  </si>
  <si>
    <t>$BQ$3</t>
  </si>
  <si>
    <t>5月已扣税</t>
  </si>
  <si>
    <t>$BR$3</t>
  </si>
  <si>
    <t>6月已扣税</t>
  </si>
  <si>
    <t>$BS$3</t>
  </si>
  <si>
    <t>7月已扣税</t>
  </si>
  <si>
    <t>$BT$3</t>
  </si>
  <si>
    <t>8月已扣税</t>
  </si>
  <si>
    <t>$BU$3</t>
  </si>
  <si>
    <t>9月已扣税</t>
  </si>
  <si>
    <t>$BV$3</t>
  </si>
  <si>
    <t>10月已扣税</t>
  </si>
  <si>
    <t>$BW$3</t>
  </si>
  <si>
    <t>11月已扣税</t>
  </si>
  <si>
    <t>$BX$3</t>
  </si>
  <si>
    <t>12月已扣税</t>
  </si>
  <si>
    <t>$BY$3</t>
  </si>
  <si>
    <t>累计已扣税</t>
  </si>
  <si>
    <t>$BZ$3</t>
  </si>
  <si>
    <t>5月应缴个税</t>
  </si>
  <si>
    <t>$CA$3</t>
  </si>
  <si>
    <t>$CB$3</t>
  </si>
  <si>
    <t>5月
实发工资</t>
  </si>
  <si>
    <t>$CC$3</t>
  </si>
  <si>
    <t>$CD$3</t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</si>
</sst>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.00_);[Red]\(0.00\)"/>
  </numFmts>
  <fonts count="39">
    <font>
      <sz val="11"/>
      <color indexed="8"/>
      <name val="宋体"/>
      <charset val="134"/>
    </font>
    <font>
      <sz val="24"/>
      <color indexed="8"/>
      <name val="宋体"/>
      <charset val="134"/>
    </font>
    <font>
      <b/>
      <sz val="10"/>
      <color indexed="8"/>
      <name val="宋体"/>
      <charset val="134"/>
    </font>
    <font>
      <b/>
      <sz val="18"/>
      <color indexed="8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sz val="20"/>
      <color indexed="8"/>
      <name val="宋体"/>
      <charset val="134"/>
    </font>
    <font>
      <b/>
      <sz val="20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0"/>
      <color rgb="FFFF0000"/>
      <name val="宋体"/>
      <charset val="134"/>
    </font>
    <font>
      <sz val="12"/>
      <name val="宋体"/>
      <charset val="134"/>
    </font>
    <font>
      <sz val="11"/>
      <color indexed="62"/>
      <name val="宋体"/>
      <charset val="134"/>
    </font>
    <font>
      <sz val="10"/>
      <name val="楷体_GB2312"/>
      <charset val="134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6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7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4" fillId="0" borderId="0" applyFill="0" applyAlignment="0">
      <alignment vertical="center"/>
    </xf>
    <xf numFmtId="0" fontId="16" fillId="7" borderId="0" applyNumberFormat="0" applyBorder="0" applyAlignment="0" applyProtection="0">
      <alignment vertical="center"/>
    </xf>
    <xf numFmtId="0" fontId="19" fillId="8" borderId="28" applyNumberFormat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9" borderId="29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 applyFill="0" applyAlignment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Fill="0" applyAlignment="0">
      <alignment vertical="center"/>
    </xf>
    <xf numFmtId="0" fontId="0" fillId="0" borderId="0" applyFill="0" applyAlignment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30" applyNumberFormat="0" applyFill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34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2" fillId="22" borderId="35" applyNumberFormat="0" applyAlignment="0" applyProtection="0">
      <alignment vertical="center"/>
    </xf>
    <xf numFmtId="0" fontId="0" fillId="0" borderId="0" applyFill="0" applyAlignment="0">
      <alignment vertical="center"/>
    </xf>
    <xf numFmtId="0" fontId="25" fillId="22" borderId="28" applyNumberFormat="0" applyAlignment="0" applyProtection="0">
      <alignment vertical="center"/>
    </xf>
    <xf numFmtId="0" fontId="29" fillId="23" borderId="32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1" fillId="0" borderId="33" applyNumberFormat="0" applyFill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0" fillId="0" borderId="0" applyFill="0" applyAlignment="0">
      <alignment vertical="center"/>
    </xf>
    <xf numFmtId="0" fontId="23" fillId="17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4" fillId="0" borderId="0" applyFill="0" applyAlignment="0">
      <alignment vertical="center"/>
    </xf>
    <xf numFmtId="0" fontId="14" fillId="0" borderId="0" applyFill="0" applyAlignment="0">
      <alignment vertical="center"/>
    </xf>
    <xf numFmtId="0" fontId="16" fillId="27" borderId="0" applyNumberFormat="0" applyBorder="0" applyAlignment="0" applyProtection="0">
      <alignment vertical="center"/>
    </xf>
    <xf numFmtId="0" fontId="0" fillId="0" borderId="0" applyAlignment="0"/>
    <xf numFmtId="0" fontId="15" fillId="3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0" borderId="0" applyFill="0" applyAlignment="0">
      <alignment vertical="center"/>
    </xf>
    <xf numFmtId="0" fontId="16" fillId="3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0" borderId="0" applyFill="0" applyAlignment="0">
      <alignment vertical="center"/>
    </xf>
    <xf numFmtId="0" fontId="16" fillId="1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5" fillId="3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5" fillId="1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5" fillId="25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4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14" fillId="0" borderId="0" applyFill="0" applyAlignment="0">
      <alignment vertical="center"/>
    </xf>
    <xf numFmtId="0" fontId="14" fillId="0" borderId="0" applyFill="0" applyAlignment="0">
      <alignment vertical="center"/>
    </xf>
    <xf numFmtId="0" fontId="34" fillId="0" borderId="0" applyFill="0" applyAlignment="0">
      <alignment vertical="center"/>
    </xf>
    <xf numFmtId="0" fontId="35" fillId="0" borderId="0"/>
    <xf numFmtId="0" fontId="36" fillId="0" borderId="0" applyFill="0" applyAlignment="0">
      <alignment vertical="center"/>
    </xf>
    <xf numFmtId="0" fontId="14" fillId="0" borderId="0" applyFill="0" applyAlignment="0">
      <alignment vertical="center"/>
    </xf>
    <xf numFmtId="0" fontId="14" fillId="0" borderId="0" applyFill="0" applyAlignment="0">
      <alignment vertical="center"/>
    </xf>
    <xf numFmtId="0" fontId="14" fillId="0" borderId="0" applyFill="0" applyAlignment="0">
      <alignment vertical="center"/>
    </xf>
  </cellStyleXfs>
  <cellXfs count="118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2" fillId="0" borderId="7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shrinkToFit="1"/>
    </xf>
    <xf numFmtId="0" fontId="0" fillId="0" borderId="0" xfId="0" applyFill="1" applyAlignment="1"/>
    <xf numFmtId="49" fontId="0" fillId="0" borderId="0" xfId="0" applyNumberFormat="1" applyAlignment="1"/>
    <xf numFmtId="0" fontId="5" fillId="0" borderId="0" xfId="0" applyFont="1" applyAlignment="1"/>
    <xf numFmtId="0" fontId="7" fillId="0" borderId="0" xfId="0" applyFont="1" applyAlignment="1">
      <alignment horizontal="center" vertical="center"/>
    </xf>
    <xf numFmtId="0" fontId="4" fillId="0" borderId="8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49" fontId="4" fillId="0" borderId="5" xfId="0" applyNumberFormat="1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49" fontId="2" fillId="0" borderId="5" xfId="0" applyNumberFormat="1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shrinkToFit="1"/>
    </xf>
    <xf numFmtId="0" fontId="8" fillId="0" borderId="10" xfId="0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 shrinkToFit="1"/>
    </xf>
    <xf numFmtId="0" fontId="8" fillId="0" borderId="12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 shrinkToFit="1"/>
    </xf>
    <xf numFmtId="0" fontId="4" fillId="0" borderId="5" xfId="0" applyNumberFormat="1" applyFont="1" applyFill="1" applyBorder="1" applyAlignment="1">
      <alignment horizontal="center" vertical="center" shrinkToFit="1"/>
    </xf>
    <xf numFmtId="176" fontId="10" fillId="0" borderId="6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shrinkToFit="1"/>
    </xf>
    <xf numFmtId="176" fontId="10" fillId="0" borderId="5" xfId="0" applyNumberFormat="1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/>
    </xf>
    <xf numFmtId="176" fontId="9" fillId="0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12" fillId="3" borderId="12" xfId="42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shrinkToFit="1"/>
    </xf>
    <xf numFmtId="2" fontId="12" fillId="0" borderId="12" xfId="42" applyNumberFormat="1" applyFont="1" applyBorder="1" applyAlignment="1">
      <alignment horizontal="center" vertical="center" wrapText="1"/>
    </xf>
    <xf numFmtId="2" fontId="12" fillId="0" borderId="5" xfId="42" applyNumberFormat="1" applyFont="1" applyBorder="1" applyAlignment="1">
      <alignment horizontal="center" vertical="center" wrapText="1"/>
    </xf>
    <xf numFmtId="2" fontId="12" fillId="0" borderId="5" xfId="42" applyNumberFormat="1" applyFont="1" applyFill="1" applyBorder="1" applyAlignment="1">
      <alignment horizontal="center" vertical="center" wrapText="1"/>
    </xf>
    <xf numFmtId="2" fontId="12" fillId="0" borderId="12" xfId="42" applyNumberFormat="1" applyFont="1" applyFill="1" applyBorder="1" applyAlignment="1">
      <alignment horizontal="center" vertical="center" wrapText="1"/>
    </xf>
    <xf numFmtId="176" fontId="4" fillId="0" borderId="10" xfId="0" applyNumberFormat="1" applyFont="1" applyFill="1" applyBorder="1" applyAlignment="1">
      <alignment horizontal="center" vertical="center" shrinkToFit="1"/>
    </xf>
    <xf numFmtId="2" fontId="12" fillId="2" borderId="12" xfId="42" applyNumberFormat="1" applyFont="1" applyFill="1" applyBorder="1" applyAlignment="1">
      <alignment horizontal="center" vertical="center" wrapText="1"/>
    </xf>
    <xf numFmtId="176" fontId="2" fillId="2" borderId="6" xfId="0" applyNumberFormat="1" applyFont="1" applyFill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7" fontId="4" fillId="0" borderId="6" xfId="0" applyNumberFormat="1" applyFont="1" applyFill="1" applyBorder="1" applyAlignment="1">
      <alignment horizontal="center" vertical="center" wrapText="1"/>
    </xf>
    <xf numFmtId="176" fontId="13" fillId="0" borderId="12" xfId="0" applyNumberFormat="1" applyFont="1" applyFill="1" applyBorder="1" applyAlignment="1">
      <alignment horizontal="center" vertical="center" shrinkToFit="1"/>
    </xf>
    <xf numFmtId="176" fontId="13" fillId="0" borderId="6" xfId="0" applyNumberFormat="1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wrapText="1"/>
    </xf>
    <xf numFmtId="176" fontId="4" fillId="2" borderId="6" xfId="0" applyNumberFormat="1" applyFont="1" applyFill="1" applyBorder="1" applyAlignment="1">
      <alignment horizontal="center" vertical="center" wrapText="1"/>
    </xf>
    <xf numFmtId="177" fontId="4" fillId="2" borderId="6" xfId="0" applyNumberFormat="1" applyFont="1" applyFill="1" applyBorder="1" applyAlignment="1">
      <alignment horizontal="center" vertical="center" wrapText="1"/>
    </xf>
    <xf numFmtId="176" fontId="13" fillId="2" borderId="12" xfId="0" applyNumberFormat="1" applyFont="1" applyFill="1" applyBorder="1" applyAlignment="1">
      <alignment horizontal="center" vertical="center" shrinkToFit="1"/>
    </xf>
    <xf numFmtId="176" fontId="13" fillId="0" borderId="5" xfId="0" applyNumberFormat="1" applyFont="1" applyFill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176" fontId="13" fillId="0" borderId="7" xfId="0" applyNumberFormat="1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wrapText="1"/>
    </xf>
    <xf numFmtId="176" fontId="13" fillId="0" borderId="22" xfId="0" applyNumberFormat="1" applyFont="1" applyFill="1" applyBorder="1" applyAlignment="1">
      <alignment horizontal="center" vertical="center" shrinkToFit="1"/>
    </xf>
    <xf numFmtId="176" fontId="13" fillId="0" borderId="7" xfId="0" applyNumberFormat="1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shrinkToFit="1"/>
    </xf>
    <xf numFmtId="0" fontId="2" fillId="0" borderId="24" xfId="0" applyFont="1" applyFill="1" applyBorder="1" applyAlignment="1">
      <alignment horizontal="center" vertical="center" shrinkToFit="1"/>
    </xf>
    <xf numFmtId="0" fontId="2" fillId="0" borderId="25" xfId="0" applyFont="1" applyFill="1" applyBorder="1" applyAlignment="1">
      <alignment horizontal="center" vertical="center" shrinkToFit="1"/>
    </xf>
    <xf numFmtId="49" fontId="2" fillId="0" borderId="26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2" fillId="0" borderId="26" xfId="0" applyFont="1" applyFill="1" applyBorder="1" applyAlignment="1">
      <alignment horizontal="center" vertical="center" shrinkToFit="1"/>
    </xf>
    <xf numFmtId="176" fontId="2" fillId="0" borderId="26" xfId="0" applyNumberFormat="1" applyFont="1" applyFill="1" applyBorder="1" applyAlignment="1">
      <alignment horizontal="center" vertical="center" shrinkToFit="1"/>
    </xf>
    <xf numFmtId="176" fontId="4" fillId="0" borderId="0" xfId="0" applyNumberFormat="1" applyFont="1" applyFill="1" applyAlignment="1">
      <alignment horizontal="center" vertical="center" shrinkToFit="1"/>
    </xf>
    <xf numFmtId="0" fontId="0" fillId="0" borderId="0" xfId="0" applyBorder="1" applyAlignment="1"/>
    <xf numFmtId="0" fontId="0" fillId="0" borderId="0" xfId="0" applyFill="1" applyBorder="1" applyAlignment="1">
      <alignment horizontal="center"/>
    </xf>
    <xf numFmtId="0" fontId="5" fillId="0" borderId="0" xfId="0" applyFont="1" applyFill="1" applyAlignment="1"/>
    <xf numFmtId="176" fontId="4" fillId="0" borderId="0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/>
    <xf numFmtId="0" fontId="5" fillId="0" borderId="0" xfId="0" applyFont="1" applyBorder="1" applyAlignment="1"/>
    <xf numFmtId="176" fontId="2" fillId="0" borderId="0" xfId="0" applyNumberFormat="1" applyFont="1" applyFill="1" applyBorder="1" applyAlignment="1">
      <alignment horizontal="center" vertical="center" shrinkToFit="1"/>
    </xf>
    <xf numFmtId="0" fontId="0" fillId="0" borderId="0" xfId="0" applyBorder="1" applyAlignment="1">
      <alignment horizontal="center"/>
    </xf>
    <xf numFmtId="0" fontId="2" fillId="0" borderId="27" xfId="0" applyFont="1" applyFill="1" applyBorder="1" applyAlignment="1">
      <alignment horizontal="center" vertical="center" shrinkToFit="1"/>
    </xf>
    <xf numFmtId="49" fontId="4" fillId="0" borderId="5" xfId="0" applyNumberFormat="1" applyFont="1" applyFill="1" applyBorder="1" applyAlignment="1" quotePrefix="1">
      <alignment horizontal="center" vertical="center" shrinkToFit="1"/>
    </xf>
  </cellXfs>
  <cellStyles count="77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常规_发放" xfId="42"/>
    <cellStyle name="强调文字颜色 1" xfId="43" builtinId="29"/>
    <cellStyle name="20% - 强调文字颜色 1" xfId="44" builtinId="30"/>
    <cellStyle name="40% - 强调文字颜色 1" xfId="45" builtinId="31"/>
    <cellStyle name="60% - 着色 1" xfId="46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60% - 着色 3" xfId="51"/>
    <cellStyle name="20% - 强调文字颜色 4" xfId="52" builtinId="42"/>
    <cellStyle name="40% - 强调文字颜色 4" xfId="53" builtinId="43"/>
    <cellStyle name="20% - 着色 1" xfId="54"/>
    <cellStyle name="强调文字颜色 5" xfId="55" builtinId="45"/>
    <cellStyle name="40% - 强调文字颜色 5" xfId="56" builtinId="47"/>
    <cellStyle name="20% - 着色 2" xfId="57"/>
    <cellStyle name="60% - 强调文字颜色 5" xfId="58" builtinId="48"/>
    <cellStyle name="强调文字颜色 6" xfId="59" builtinId="49"/>
    <cellStyle name="40% - 强调文字颜色 6" xfId="60" builtinId="51"/>
    <cellStyle name="20% - 着色 3" xfId="61"/>
    <cellStyle name="60% - 强调文字颜色 6" xfId="62" builtinId="52"/>
    <cellStyle name="20% - 着色 4" xfId="63"/>
    <cellStyle name="着色 2" xfId="64"/>
    <cellStyle name="20% - 着色 6" xfId="65"/>
    <cellStyle name="40% - 着色 1" xfId="66"/>
    <cellStyle name="40% - 着色 2" xfId="67"/>
    <cellStyle name="40% - 着色 6" xfId="68"/>
    <cellStyle name="60% - 着色 5" xfId="69"/>
    <cellStyle name="60% - 着色 6" xfId="70"/>
    <cellStyle name="差_发放" xfId="71"/>
    <cellStyle name="常规 2" xfId="72"/>
    <cellStyle name="好_发放" xfId="73"/>
    <cellStyle name="着色 3" xfId="74"/>
    <cellStyle name="着色 4" xfId="75"/>
    <cellStyle name="着色 6" xfId="7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150;&#20844;\&#20154;&#36164;\&#33457;&#21517;&#20876;\&#21592;&#24037;&#33457;&#21517;&#20876;-8.17&#26356;&#26032;(3)(1)(4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在职汇总"/>
      <sheetName val="综合管理科"/>
      <sheetName val="高管"/>
      <sheetName val="财务科"/>
      <sheetName val="技术质量科"/>
      <sheetName val="生产管理科"/>
      <sheetName val="生产制造科-总装"/>
      <sheetName val="生产制造科-注塑"/>
      <sheetName val="设备管理科"/>
      <sheetName val="离职人员名单"/>
      <sheetName val="应聘登记表"/>
    </sheetNames>
    <sheetDataSet>
      <sheetData sheetId="0" refreshError="1">
        <row r="3">
          <cell r="E3" t="str">
            <v>孙振明</v>
          </cell>
          <cell r="F3" t="str">
            <v>男</v>
          </cell>
        </row>
        <row r="4">
          <cell r="E4" t="str">
            <v>李开富</v>
          </cell>
          <cell r="F4" t="str">
            <v>男</v>
          </cell>
          <cell r="G4" t="str">
            <v>370830198301205256</v>
          </cell>
        </row>
        <row r="5">
          <cell r="E5" t="str">
            <v>白成梅</v>
          </cell>
          <cell r="F5" t="str">
            <v>女</v>
          </cell>
          <cell r="G5" t="str">
            <v>510112198107270025</v>
          </cell>
        </row>
        <row r="6">
          <cell r="E6" t="str">
            <v>李 飞</v>
          </cell>
          <cell r="F6" t="str">
            <v>女</v>
          </cell>
          <cell r="G6" t="str">
            <v>511028199004058022</v>
          </cell>
        </row>
        <row r="7">
          <cell r="E7" t="str">
            <v>瞿小强</v>
          </cell>
          <cell r="F7" t="str">
            <v>男</v>
          </cell>
          <cell r="G7" t="str">
            <v>51112119780714329X</v>
          </cell>
        </row>
        <row r="8">
          <cell r="E8" t="str">
            <v>方 兰</v>
          </cell>
          <cell r="F8" t="str">
            <v>女</v>
          </cell>
          <cell r="G8" t="str">
            <v>510112198109290361</v>
          </cell>
        </row>
        <row r="9">
          <cell r="E9" t="str">
            <v>张菊香</v>
          </cell>
          <cell r="F9" t="str">
            <v>女</v>
          </cell>
          <cell r="G9" t="str">
            <v>510921198605014024</v>
          </cell>
        </row>
        <row r="10">
          <cell r="E10" t="str">
            <v>曾 超</v>
          </cell>
          <cell r="F10" t="str">
            <v>男</v>
          </cell>
          <cell r="G10" t="str">
            <v>511025198611141414</v>
          </cell>
        </row>
        <row r="11">
          <cell r="E11" t="str">
            <v>杨晓霞</v>
          </cell>
          <cell r="F11" t="str">
            <v>女</v>
          </cell>
          <cell r="G11" t="str">
            <v>420300197510101749</v>
          </cell>
        </row>
        <row r="12">
          <cell r="E12" t="str">
            <v>朱小军</v>
          </cell>
          <cell r="F12" t="str">
            <v>男</v>
          </cell>
          <cell r="G12" t="str">
            <v>510823199104081191</v>
          </cell>
        </row>
        <row r="13">
          <cell r="E13" t="str">
            <v>叶 红</v>
          </cell>
          <cell r="F13" t="str">
            <v>女</v>
          </cell>
          <cell r="G13" t="str">
            <v>510112198708142424</v>
          </cell>
        </row>
        <row r="14">
          <cell r="E14" t="str">
            <v>任威利</v>
          </cell>
          <cell r="F14" t="str">
            <v>女</v>
          </cell>
          <cell r="G14" t="str">
            <v>513022198903283548</v>
          </cell>
        </row>
        <row r="15">
          <cell r="E15" t="str">
            <v>钟家齐</v>
          </cell>
          <cell r="F15" t="str">
            <v>男</v>
          </cell>
          <cell r="G15" t="str">
            <v>51092219830108197X</v>
          </cell>
        </row>
        <row r="16">
          <cell r="E16" t="str">
            <v>蒋晓维</v>
          </cell>
          <cell r="F16" t="str">
            <v>男</v>
          </cell>
          <cell r="G16" t="str">
            <v>512924197703176197</v>
          </cell>
        </row>
        <row r="17">
          <cell r="E17" t="str">
            <v>肖全英</v>
          </cell>
          <cell r="F17" t="str">
            <v>女</v>
          </cell>
          <cell r="G17" t="str">
            <v>511011199001072825</v>
          </cell>
        </row>
        <row r="18">
          <cell r="E18" t="str">
            <v>李绍碧</v>
          </cell>
          <cell r="F18" t="str">
            <v>女</v>
          </cell>
          <cell r="G18" t="str">
            <v>512223197410152162</v>
          </cell>
        </row>
        <row r="19">
          <cell r="E19" t="str">
            <v>陈平丽</v>
          </cell>
          <cell r="F19" t="str">
            <v>女</v>
          </cell>
          <cell r="G19" t="str">
            <v>510112198006092426</v>
          </cell>
        </row>
        <row r="20">
          <cell r="E20" t="str">
            <v>易小利</v>
          </cell>
          <cell r="F20" t="str">
            <v>女</v>
          </cell>
          <cell r="G20" t="str">
            <v>522122198910025287</v>
          </cell>
        </row>
        <row r="21">
          <cell r="E21" t="str">
            <v>文 丽</v>
          </cell>
          <cell r="F21" t="str">
            <v>女</v>
          </cell>
          <cell r="G21" t="str">
            <v>510122198108266426</v>
          </cell>
        </row>
        <row r="22">
          <cell r="E22" t="str">
            <v>姚 飞</v>
          </cell>
          <cell r="F22" t="str">
            <v>男</v>
          </cell>
          <cell r="G22" t="str">
            <v>510322198905094314</v>
          </cell>
        </row>
        <row r="23">
          <cell r="E23" t="str">
            <v>谭文波</v>
          </cell>
          <cell r="F23" t="str">
            <v>男</v>
          </cell>
          <cell r="G23" t="str">
            <v>510622198204014517</v>
          </cell>
        </row>
        <row r="24">
          <cell r="E24" t="str">
            <v>郑友谊</v>
          </cell>
          <cell r="F24" t="str">
            <v>男</v>
          </cell>
          <cell r="G24" t="str">
            <v>513021197601286910</v>
          </cell>
        </row>
        <row r="25">
          <cell r="E25" t="str">
            <v>任小利</v>
          </cell>
          <cell r="F25" t="str">
            <v>女</v>
          </cell>
          <cell r="G25" t="str">
            <v>513021198902044223</v>
          </cell>
        </row>
        <row r="26">
          <cell r="E26" t="str">
            <v>陈义</v>
          </cell>
          <cell r="F26" t="str">
            <v>女</v>
          </cell>
          <cell r="G26" t="str">
            <v>510112198007100782</v>
          </cell>
        </row>
        <row r="27">
          <cell r="E27" t="str">
            <v>彭巧丽</v>
          </cell>
          <cell r="F27" t="str">
            <v>女</v>
          </cell>
          <cell r="G27" t="str">
            <v>652701197807214528</v>
          </cell>
        </row>
        <row r="28">
          <cell r="E28" t="str">
            <v>李娇龙</v>
          </cell>
          <cell r="F28" t="str">
            <v>女</v>
          </cell>
          <cell r="G28" t="str">
            <v>513902198609292180</v>
          </cell>
        </row>
        <row r="29">
          <cell r="E29" t="str">
            <v>曹海军</v>
          </cell>
          <cell r="F29" t="str">
            <v>男</v>
          </cell>
          <cell r="G29" t="str">
            <v>510823199109031337</v>
          </cell>
        </row>
        <row r="30">
          <cell r="E30" t="str">
            <v>汪胜</v>
          </cell>
          <cell r="F30" t="str">
            <v>男</v>
          </cell>
          <cell r="G30" t="str">
            <v>513901198801267130</v>
          </cell>
        </row>
        <row r="31">
          <cell r="E31" t="str">
            <v>刘芳</v>
          </cell>
          <cell r="F31" t="str">
            <v>女</v>
          </cell>
          <cell r="G31" t="str">
            <v>510321198707044889</v>
          </cell>
        </row>
        <row r="32">
          <cell r="E32" t="str">
            <v>秦文杰</v>
          </cell>
          <cell r="F32" t="str">
            <v>男</v>
          </cell>
          <cell r="G32" t="str">
            <v>510112199304011836</v>
          </cell>
        </row>
        <row r="33">
          <cell r="E33" t="str">
            <v>杨超</v>
          </cell>
          <cell r="F33" t="str">
            <v>女</v>
          </cell>
          <cell r="G33" t="str">
            <v>510112198712273945</v>
          </cell>
        </row>
        <row r="34">
          <cell r="E34" t="str">
            <v>彭燕</v>
          </cell>
          <cell r="F34" t="str">
            <v>女</v>
          </cell>
          <cell r="G34" t="str">
            <v>510113198505287427</v>
          </cell>
        </row>
        <row r="35">
          <cell r="E35" t="str">
            <v>袁美中</v>
          </cell>
          <cell r="F35" t="str">
            <v>男</v>
          </cell>
          <cell r="G35" t="str">
            <v>510211197311109057</v>
          </cell>
        </row>
        <row r="36">
          <cell r="E36" t="str">
            <v>邱月</v>
          </cell>
          <cell r="F36" t="str">
            <v>女</v>
          </cell>
          <cell r="G36" t="str">
            <v>51011219951017242X</v>
          </cell>
        </row>
        <row r="37">
          <cell r="E37" t="str">
            <v>廖运娣</v>
          </cell>
          <cell r="F37" t="str">
            <v>女</v>
          </cell>
          <cell r="G37" t="str">
            <v>360726198901238623</v>
          </cell>
        </row>
        <row r="38">
          <cell r="E38" t="str">
            <v>康燕</v>
          </cell>
          <cell r="F38" t="str">
            <v>女</v>
          </cell>
          <cell r="G38" t="str">
            <v>511023198203070466</v>
          </cell>
        </row>
        <row r="39">
          <cell r="E39" t="str">
            <v>邓春梅</v>
          </cell>
          <cell r="F39" t="str">
            <v>女</v>
          </cell>
          <cell r="G39" t="str">
            <v>510722198003221064</v>
          </cell>
        </row>
        <row r="40">
          <cell r="E40" t="str">
            <v>刘亮</v>
          </cell>
          <cell r="F40" t="str">
            <v>女</v>
          </cell>
          <cell r="G40" t="str">
            <v>510902199308112643</v>
          </cell>
        </row>
        <row r="41">
          <cell r="E41" t="str">
            <v>李强</v>
          </cell>
          <cell r="F41" t="str">
            <v>男</v>
          </cell>
          <cell r="G41" t="str">
            <v>510122197610076236</v>
          </cell>
        </row>
        <row r="42">
          <cell r="E42" t="str">
            <v>周春梅</v>
          </cell>
          <cell r="F42" t="str">
            <v>女</v>
          </cell>
          <cell r="G42" t="str">
            <v>510112197612194823</v>
          </cell>
        </row>
        <row r="43">
          <cell r="E43" t="str">
            <v>江盛强</v>
          </cell>
          <cell r="F43" t="str">
            <v>男</v>
          </cell>
          <cell r="G43" t="str">
            <v>510112199103125618</v>
          </cell>
        </row>
        <row r="44">
          <cell r="E44" t="str">
            <v>杨叔容</v>
          </cell>
          <cell r="F44" t="str">
            <v>女</v>
          </cell>
          <cell r="G44" t="str">
            <v>513621198210152701</v>
          </cell>
        </row>
        <row r="45">
          <cell r="E45" t="str">
            <v>曾莉</v>
          </cell>
          <cell r="F45" t="str">
            <v>女</v>
          </cell>
          <cell r="G45" t="str">
            <v>510112198910151228</v>
          </cell>
        </row>
        <row r="46">
          <cell r="E46" t="str">
            <v>王宇</v>
          </cell>
          <cell r="F46" t="str">
            <v>男</v>
          </cell>
          <cell r="G46" t="str">
            <v>511123199302131471</v>
          </cell>
        </row>
        <row r="47">
          <cell r="E47" t="str">
            <v>罗世凤</v>
          </cell>
          <cell r="F47" t="str">
            <v>女</v>
          </cell>
          <cell r="G47" t="str">
            <v>510112197906120723</v>
          </cell>
        </row>
        <row r="48">
          <cell r="E48" t="str">
            <v>赵曼莉</v>
          </cell>
          <cell r="F48" t="str">
            <v>女</v>
          </cell>
          <cell r="G48" t="str">
            <v>513024197804092568</v>
          </cell>
        </row>
        <row r="49">
          <cell r="E49" t="str">
            <v>赵平</v>
          </cell>
          <cell r="F49" t="str">
            <v>女</v>
          </cell>
          <cell r="G49" t="str">
            <v>510112197906205620</v>
          </cell>
        </row>
        <row r="50">
          <cell r="E50" t="str">
            <v>张昌玉</v>
          </cell>
          <cell r="F50" t="str">
            <v>女</v>
          </cell>
          <cell r="G50" t="str">
            <v>510112198410230923</v>
          </cell>
        </row>
        <row r="51">
          <cell r="E51" t="str">
            <v>林燕</v>
          </cell>
          <cell r="F51" t="str">
            <v>女</v>
          </cell>
          <cell r="G51" t="str">
            <v>510112199310215421</v>
          </cell>
        </row>
        <row r="52">
          <cell r="E52" t="str">
            <v>王高平</v>
          </cell>
          <cell r="F52" t="str">
            <v>男</v>
          </cell>
          <cell r="G52" t="str">
            <v>510683198705180313</v>
          </cell>
        </row>
        <row r="53">
          <cell r="E53" t="str">
            <v>吴稠</v>
          </cell>
          <cell r="F53" t="str">
            <v>女</v>
          </cell>
          <cell r="G53" t="str">
            <v>51060219940404682X</v>
          </cell>
        </row>
        <row r="54">
          <cell r="E54" t="str">
            <v>廖世金</v>
          </cell>
          <cell r="F54" t="str">
            <v>男</v>
          </cell>
          <cell r="G54" t="str">
            <v>512501197303147219</v>
          </cell>
        </row>
        <row r="55">
          <cell r="E55" t="str">
            <v>郑善均</v>
          </cell>
          <cell r="F55" t="str">
            <v>男</v>
          </cell>
          <cell r="G55" t="str">
            <v>510722197601241431</v>
          </cell>
        </row>
        <row r="56">
          <cell r="E56" t="str">
            <v>王芳</v>
          </cell>
          <cell r="F56" t="str">
            <v>女</v>
          </cell>
          <cell r="G56" t="str">
            <v>513122197903284824</v>
          </cell>
        </row>
        <row r="57">
          <cell r="E57" t="str">
            <v>江萍</v>
          </cell>
          <cell r="F57" t="str">
            <v>女</v>
          </cell>
          <cell r="G57" t="str">
            <v>533422198701071120</v>
          </cell>
        </row>
        <row r="58">
          <cell r="E58" t="str">
            <v>钟正权</v>
          </cell>
          <cell r="F58" t="str">
            <v>男</v>
          </cell>
          <cell r="G58" t="str">
            <v>511223198001183375</v>
          </cell>
        </row>
        <row r="59">
          <cell r="E59" t="str">
            <v>熊丽华</v>
          </cell>
          <cell r="F59" t="str">
            <v>女</v>
          </cell>
          <cell r="G59" t="str">
            <v>510112198111050025</v>
          </cell>
        </row>
        <row r="60">
          <cell r="E60" t="str">
            <v>邹思兰</v>
          </cell>
          <cell r="F60" t="str">
            <v>女</v>
          </cell>
          <cell r="G60" t="str">
            <v>510902198408144103</v>
          </cell>
        </row>
        <row r="61">
          <cell r="E61" t="str">
            <v>彭彦莉</v>
          </cell>
          <cell r="F61" t="str">
            <v>女</v>
          </cell>
          <cell r="G61" t="str">
            <v>510108198408261822</v>
          </cell>
        </row>
        <row r="62">
          <cell r="E62" t="str">
            <v>李兵</v>
          </cell>
          <cell r="F62" t="str">
            <v>男</v>
          </cell>
          <cell r="G62" t="str">
            <v>510821197812259112</v>
          </cell>
        </row>
        <row r="63">
          <cell r="E63" t="str">
            <v>李维虎</v>
          </cell>
          <cell r="F63" t="str">
            <v>男</v>
          </cell>
          <cell r="G63" t="str">
            <v>510112199012280719</v>
          </cell>
        </row>
        <row r="64">
          <cell r="E64" t="str">
            <v>叶美群</v>
          </cell>
          <cell r="F64" t="str">
            <v>女</v>
          </cell>
          <cell r="G64" t="str">
            <v>510122197903022362</v>
          </cell>
        </row>
        <row r="65">
          <cell r="E65" t="str">
            <v>邓小琴</v>
          </cell>
          <cell r="F65" t="str">
            <v>女</v>
          </cell>
          <cell r="G65" t="str">
            <v>513902198710277700</v>
          </cell>
        </row>
        <row r="66">
          <cell r="E66" t="str">
            <v>王敏</v>
          </cell>
          <cell r="F66" t="str">
            <v>女</v>
          </cell>
          <cell r="G66" t="str">
            <v>511011199311285885</v>
          </cell>
        </row>
        <row r="67">
          <cell r="E67" t="str">
            <v>段蓉华</v>
          </cell>
          <cell r="F67" t="str">
            <v>女</v>
          </cell>
          <cell r="G67" t="str">
            <v>512902197502263421</v>
          </cell>
        </row>
        <row r="68">
          <cell r="E68" t="str">
            <v>杨永红</v>
          </cell>
          <cell r="F68" t="str">
            <v>女</v>
          </cell>
          <cell r="G68" t="str">
            <v>52213119850712584X</v>
          </cell>
        </row>
        <row r="69">
          <cell r="E69" t="str">
            <v>郑拾军</v>
          </cell>
          <cell r="F69" t="str">
            <v>男</v>
          </cell>
          <cell r="G69" t="str">
            <v>410421197409010514</v>
          </cell>
        </row>
        <row r="70">
          <cell r="E70" t="str">
            <v>曹霞</v>
          </cell>
          <cell r="F70" t="str">
            <v>女</v>
          </cell>
          <cell r="G70" t="str">
            <v>511027197708240046</v>
          </cell>
        </row>
        <row r="71">
          <cell r="E71" t="str">
            <v>郑翠容</v>
          </cell>
          <cell r="F71" t="str">
            <v>女</v>
          </cell>
          <cell r="G71" t="str">
            <v>510725198402106820</v>
          </cell>
        </row>
        <row r="72">
          <cell r="E72" t="str">
            <v>林宏丽</v>
          </cell>
          <cell r="F72" t="str">
            <v>女</v>
          </cell>
          <cell r="G72" t="str">
            <v>510121198810118822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97"/>
  <sheetViews>
    <sheetView tabSelected="1" workbookViewId="0">
      <pane xSplit="7" ySplit="3" topLeftCell="H55" activePane="bottomRight" state="frozen"/>
      <selection/>
      <selection pane="topRight"/>
      <selection pane="bottomLeft"/>
      <selection pane="bottomRight" activeCell="S76" sqref="S76:U76"/>
    </sheetView>
  </sheetViews>
  <sheetFormatPr defaultColWidth="9" defaultRowHeight="13.5"/>
  <cols>
    <col min="1" max="1" width="4.75" customWidth="1"/>
    <col min="2" max="2" width="7.75" customWidth="1"/>
    <col min="3" max="3" width="6.125" customWidth="1"/>
    <col min="4" max="5" width="9.125" customWidth="1"/>
    <col min="6" max="6" width="6.5" customWidth="1"/>
    <col min="7" max="7" width="17" style="25" customWidth="1"/>
    <col min="8" max="8" width="19.375" style="25" customWidth="1"/>
    <col min="9" max="9" width="1.75" hidden="1" customWidth="1"/>
    <col min="10" max="10" width="7.125" customWidth="1"/>
    <col min="11" max="11" width="7.25" customWidth="1"/>
    <col min="12" max="12" width="7.625" customWidth="1"/>
    <col min="13" max="14" width="6.625" customWidth="1"/>
    <col min="15" max="15" width="6.125" customWidth="1"/>
    <col min="16" max="16" width="5.25" customWidth="1"/>
    <col min="17" max="17" width="5.75" customWidth="1"/>
    <col min="18" max="18" width="6.75" style="24" customWidth="1"/>
    <col min="19" max="19" width="6" style="24" customWidth="1"/>
    <col min="20" max="20" width="6.375" customWidth="1"/>
    <col min="21" max="21" width="7.875" style="24" customWidth="1"/>
    <col min="22" max="22" width="9.5" style="26" customWidth="1"/>
    <col min="23" max="29" width="9.5" style="26" hidden="1" customWidth="1"/>
    <col min="30" max="33" width="7.125" customWidth="1"/>
    <col min="34" max="34" width="8" customWidth="1"/>
    <col min="35" max="48" width="9.625" style="26" hidden="1" customWidth="1"/>
    <col min="49" max="49" width="6.625" style="26" hidden="1" customWidth="1"/>
    <col min="50" max="51" width="6.375" customWidth="1"/>
    <col min="52" max="52" width="11.125" style="26" customWidth="1"/>
    <col min="53" max="53" width="18.25" customWidth="1"/>
  </cols>
  <sheetData>
    <row r="1" s="2" customFormat="1" ht="41.1" customHeight="1" spans="1:53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55"/>
      <c r="S1" s="55"/>
      <c r="T1" s="27"/>
      <c r="U1" s="55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</row>
    <row r="2" s="3" customFormat="1" ht="22" customHeight="1" spans="1:53">
      <c r="A2" s="6" t="s">
        <v>1</v>
      </c>
      <c r="B2" s="7" t="s">
        <v>2</v>
      </c>
      <c r="C2" s="8" t="s">
        <v>3</v>
      </c>
      <c r="D2" s="8" t="s">
        <v>4</v>
      </c>
      <c r="E2" s="8"/>
      <c r="F2" s="8"/>
      <c r="G2" s="9" t="s">
        <v>5</v>
      </c>
      <c r="H2" s="9" t="s">
        <v>6</v>
      </c>
      <c r="I2" s="8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8" t="s">
        <v>12</v>
      </c>
      <c r="O2" s="8" t="s">
        <v>13</v>
      </c>
      <c r="P2" s="7" t="s">
        <v>14</v>
      </c>
      <c r="Q2" s="7" t="s">
        <v>15</v>
      </c>
      <c r="R2" s="56" t="s">
        <v>16</v>
      </c>
      <c r="S2" s="56" t="s">
        <v>17</v>
      </c>
      <c r="T2" s="8" t="s">
        <v>18</v>
      </c>
      <c r="U2" s="56" t="s">
        <v>19</v>
      </c>
      <c r="V2" s="7" t="s">
        <v>20</v>
      </c>
      <c r="W2" s="57" t="s">
        <v>21</v>
      </c>
      <c r="X2" s="58"/>
      <c r="Y2" s="58"/>
      <c r="Z2" s="58"/>
      <c r="AA2" s="58"/>
      <c r="AB2" s="58"/>
      <c r="AC2" s="66"/>
      <c r="AD2" s="7" t="s">
        <v>22</v>
      </c>
      <c r="AE2" s="7"/>
      <c r="AF2" s="7"/>
      <c r="AG2" s="7"/>
      <c r="AH2" s="7"/>
      <c r="AI2" s="68" t="s">
        <v>23</v>
      </c>
      <c r="AJ2" s="68" t="s">
        <v>24</v>
      </c>
      <c r="AK2" s="68" t="s">
        <v>25</v>
      </c>
      <c r="AL2" s="69" t="s">
        <v>26</v>
      </c>
      <c r="AM2" s="70"/>
      <c r="AN2" s="70"/>
      <c r="AO2" s="70"/>
      <c r="AP2" s="80"/>
      <c r="AQ2" s="81" t="s">
        <v>27</v>
      </c>
      <c r="AR2" s="81" t="s">
        <v>28</v>
      </c>
      <c r="AS2" s="81" t="s">
        <v>29</v>
      </c>
      <c r="AT2" s="81"/>
      <c r="AU2" s="81" t="s">
        <v>30</v>
      </c>
      <c r="AV2" s="68" t="s">
        <v>31</v>
      </c>
      <c r="AW2" s="68" t="s">
        <v>32</v>
      </c>
      <c r="AX2" s="68" t="s">
        <v>33</v>
      </c>
      <c r="AY2" s="7" t="s">
        <v>34</v>
      </c>
      <c r="AZ2" s="7" t="s">
        <v>35</v>
      </c>
      <c r="BA2" s="91" t="s">
        <v>36</v>
      </c>
    </row>
    <row r="3" s="3" customFormat="1" ht="30" customHeight="1" spans="1:53">
      <c r="A3" s="10"/>
      <c r="B3" s="11"/>
      <c r="C3" s="12"/>
      <c r="D3" s="12"/>
      <c r="E3" s="12" t="s">
        <v>37</v>
      </c>
      <c r="F3" s="12" t="s">
        <v>38</v>
      </c>
      <c r="G3" s="13"/>
      <c r="H3" s="13"/>
      <c r="I3" s="12"/>
      <c r="J3" s="11"/>
      <c r="K3" s="11"/>
      <c r="L3" s="11"/>
      <c r="M3" s="11"/>
      <c r="N3" s="12"/>
      <c r="O3" s="12"/>
      <c r="P3" s="11"/>
      <c r="Q3" s="11"/>
      <c r="R3" s="59"/>
      <c r="S3" s="59"/>
      <c r="T3" s="12"/>
      <c r="U3" s="59"/>
      <c r="V3" s="11"/>
      <c r="W3" s="11" t="s">
        <v>39</v>
      </c>
      <c r="X3" s="11" t="s">
        <v>40</v>
      </c>
      <c r="Y3" s="11" t="s">
        <v>41</v>
      </c>
      <c r="Z3" s="11" t="s">
        <v>42</v>
      </c>
      <c r="AA3" s="11" t="s">
        <v>43</v>
      </c>
      <c r="AB3" s="11" t="s">
        <v>44</v>
      </c>
      <c r="AC3" s="11" t="s">
        <v>45</v>
      </c>
      <c r="AD3" s="11" t="s">
        <v>39</v>
      </c>
      <c r="AE3" s="11" t="s">
        <v>41</v>
      </c>
      <c r="AF3" s="11" t="s">
        <v>40</v>
      </c>
      <c r="AG3" s="11" t="s">
        <v>45</v>
      </c>
      <c r="AH3" s="11" t="s">
        <v>46</v>
      </c>
      <c r="AI3" s="68"/>
      <c r="AJ3" s="68"/>
      <c r="AK3" s="68"/>
      <c r="AL3" s="68" t="s">
        <v>47</v>
      </c>
      <c r="AM3" s="68" t="s">
        <v>48</v>
      </c>
      <c r="AN3" s="68" t="s">
        <v>49</v>
      </c>
      <c r="AO3" s="68" t="s">
        <v>50</v>
      </c>
      <c r="AP3" s="68" t="s">
        <v>51</v>
      </c>
      <c r="AQ3" s="82"/>
      <c r="AR3" s="82"/>
      <c r="AS3" s="82"/>
      <c r="AT3" s="82" t="s">
        <v>52</v>
      </c>
      <c r="AU3" s="82"/>
      <c r="AV3" s="68"/>
      <c r="AW3" s="68"/>
      <c r="AX3" s="68"/>
      <c r="AY3" s="11"/>
      <c r="AZ3" s="11"/>
      <c r="BA3" s="92"/>
    </row>
    <row r="4" s="4" customFormat="1" ht="25" customHeight="1" spans="1:53">
      <c r="A4" s="14">
        <v>1</v>
      </c>
      <c r="B4" s="28" t="s">
        <v>53</v>
      </c>
      <c r="C4" s="29" t="s">
        <v>54</v>
      </c>
      <c r="D4" s="29" t="s">
        <v>55</v>
      </c>
      <c r="E4" s="29" t="s">
        <v>56</v>
      </c>
      <c r="F4" s="29" t="s">
        <v>57</v>
      </c>
      <c r="G4" s="30" t="s">
        <v>58</v>
      </c>
      <c r="H4" s="30" t="s">
        <v>59</v>
      </c>
      <c r="I4" s="28"/>
      <c r="J4" s="49">
        <v>1830</v>
      </c>
      <c r="K4" s="49">
        <v>5500</v>
      </c>
      <c r="L4" s="49">
        <f>3337*(0.9585+0.05)</f>
        <v>3365.36</v>
      </c>
      <c r="M4" s="49">
        <v>200</v>
      </c>
      <c r="N4" s="49">
        <v>100</v>
      </c>
      <c r="O4" s="50">
        <v>1000</v>
      </c>
      <c r="P4" s="28">
        <v>20</v>
      </c>
      <c r="Q4" s="29"/>
      <c r="R4" s="29"/>
      <c r="S4" s="29"/>
      <c r="T4" s="49"/>
      <c r="U4" s="11"/>
      <c r="V4" s="60">
        <f>SUM(J4:S4)-T4+U4</f>
        <v>12015.36</v>
      </c>
      <c r="W4" s="61">
        <v>462.08</v>
      </c>
      <c r="X4" s="61">
        <v>19.42</v>
      </c>
      <c r="Y4" s="61">
        <v>210.34</v>
      </c>
      <c r="Z4" s="61">
        <v>32.36</v>
      </c>
      <c r="AA4" s="61">
        <v>7.28</v>
      </c>
      <c r="AB4" s="61">
        <v>25.89</v>
      </c>
      <c r="AC4" s="61">
        <v>137</v>
      </c>
      <c r="AD4" s="29">
        <v>294</v>
      </c>
      <c r="AE4" s="29">
        <v>73.5</v>
      </c>
      <c r="AF4" s="29">
        <v>14.7</v>
      </c>
      <c r="AG4" s="49">
        <v>137</v>
      </c>
      <c r="AH4" s="49">
        <f>SUM(AD4:AG4)</f>
        <v>519.2</v>
      </c>
      <c r="AI4" s="71">
        <v>46534.75</v>
      </c>
      <c r="AJ4" s="72">
        <v>20000</v>
      </c>
      <c r="AK4" s="72">
        <v>1984.69</v>
      </c>
      <c r="AL4" s="60"/>
      <c r="AM4" s="60"/>
      <c r="AN4" s="60">
        <v>2000</v>
      </c>
      <c r="AO4" s="60"/>
      <c r="AP4" s="60"/>
      <c r="AQ4" s="71">
        <f>V4+AI4</f>
        <v>58550.11</v>
      </c>
      <c r="AR4" s="71">
        <f>AH4+AK4</f>
        <v>2503.89</v>
      </c>
      <c r="AS4" s="83">
        <f>AJ4+5000</f>
        <v>25000</v>
      </c>
      <c r="AT4" s="72">
        <f>AL4+AM4+AN4+AO4+AP4+500</f>
        <v>2500</v>
      </c>
      <c r="AU4" s="71">
        <f>AQ4-AR4-AS4-AT4</f>
        <v>28546.22</v>
      </c>
      <c r="AV4" s="84">
        <f>5*MAX(0,AU4*{0.6;2;4;5;6;7;9}%-{0;504;3384;6384;10584;17184;36384})</f>
        <v>856.39</v>
      </c>
      <c r="AW4" s="72">
        <v>676.5</v>
      </c>
      <c r="AX4" s="84">
        <f>IF(+AV4-AW4&gt;0,AV4-AW4,0)</f>
        <v>179.89</v>
      </c>
      <c r="AY4" s="60"/>
      <c r="AZ4" s="93">
        <f>V4-AH4-AX4</f>
        <v>11316.27</v>
      </c>
      <c r="BA4" s="94"/>
    </row>
    <row r="5" s="3" customFormat="1" ht="30" customHeight="1" spans="1:53">
      <c r="A5" s="10"/>
      <c r="B5" s="31" t="s">
        <v>60</v>
      </c>
      <c r="C5" s="32"/>
      <c r="D5" s="12"/>
      <c r="E5" s="12"/>
      <c r="F5" s="12"/>
      <c r="G5" s="13"/>
      <c r="H5" s="13"/>
      <c r="I5" s="12"/>
      <c r="J5" s="11">
        <f t="shared" ref="J5:O5" si="0">SUM(J4:J4)</f>
        <v>1830</v>
      </c>
      <c r="K5" s="11">
        <f t="shared" si="0"/>
        <v>5500</v>
      </c>
      <c r="L5" s="11">
        <f t="shared" si="0"/>
        <v>3365.36</v>
      </c>
      <c r="M5" s="11">
        <f t="shared" si="0"/>
        <v>200</v>
      </c>
      <c r="N5" s="11">
        <f t="shared" si="0"/>
        <v>100</v>
      </c>
      <c r="O5" s="11">
        <f t="shared" si="0"/>
        <v>1000</v>
      </c>
      <c r="P5" s="11">
        <f t="shared" ref="K5:AZ5" si="1">SUM(P4:P4)</f>
        <v>20</v>
      </c>
      <c r="Q5" s="11">
        <f t="shared" si="1"/>
        <v>0</v>
      </c>
      <c r="R5" s="11">
        <f t="shared" si="1"/>
        <v>0</v>
      </c>
      <c r="S5" s="11">
        <f t="shared" si="1"/>
        <v>0</v>
      </c>
      <c r="T5" s="11">
        <f t="shared" si="1"/>
        <v>0</v>
      </c>
      <c r="U5" s="11">
        <f t="shared" si="1"/>
        <v>0</v>
      </c>
      <c r="V5" s="11">
        <f t="shared" si="1"/>
        <v>12015.36</v>
      </c>
      <c r="W5" s="11">
        <f t="shared" si="1"/>
        <v>462.08</v>
      </c>
      <c r="X5" s="11">
        <f t="shared" si="1"/>
        <v>19.42</v>
      </c>
      <c r="Y5" s="11">
        <f t="shared" si="1"/>
        <v>210.34</v>
      </c>
      <c r="Z5" s="11">
        <f t="shared" si="1"/>
        <v>32.36</v>
      </c>
      <c r="AA5" s="11">
        <f t="shared" si="1"/>
        <v>7.28</v>
      </c>
      <c r="AB5" s="11">
        <f t="shared" si="1"/>
        <v>25.89</v>
      </c>
      <c r="AC5" s="11">
        <f t="shared" si="1"/>
        <v>137</v>
      </c>
      <c r="AD5" s="11">
        <f t="shared" si="1"/>
        <v>294</v>
      </c>
      <c r="AE5" s="11">
        <f t="shared" si="1"/>
        <v>73.5</v>
      </c>
      <c r="AF5" s="11">
        <f t="shared" si="1"/>
        <v>14.7</v>
      </c>
      <c r="AG5" s="11">
        <f t="shared" si="1"/>
        <v>137</v>
      </c>
      <c r="AH5" s="11">
        <f t="shared" si="1"/>
        <v>519.2</v>
      </c>
      <c r="AI5" s="11">
        <f t="shared" si="1"/>
        <v>46534.75</v>
      </c>
      <c r="AJ5" s="11">
        <f t="shared" si="1"/>
        <v>20000</v>
      </c>
      <c r="AK5" s="11">
        <f t="shared" si="1"/>
        <v>1984.69</v>
      </c>
      <c r="AL5" s="11">
        <f t="shared" si="1"/>
        <v>0</v>
      </c>
      <c r="AM5" s="11">
        <f t="shared" si="1"/>
        <v>0</v>
      </c>
      <c r="AN5" s="11">
        <f t="shared" si="1"/>
        <v>2000</v>
      </c>
      <c r="AO5" s="11">
        <f t="shared" si="1"/>
        <v>0</v>
      </c>
      <c r="AP5" s="11">
        <f t="shared" si="1"/>
        <v>0</v>
      </c>
      <c r="AQ5" s="11">
        <f t="shared" si="1"/>
        <v>58550.11</v>
      </c>
      <c r="AR5" s="11">
        <f t="shared" si="1"/>
        <v>2503.89</v>
      </c>
      <c r="AS5" s="11">
        <f t="shared" si="1"/>
        <v>25000</v>
      </c>
      <c r="AT5" s="11">
        <f t="shared" si="1"/>
        <v>2500</v>
      </c>
      <c r="AU5" s="11">
        <f t="shared" si="1"/>
        <v>28546.22</v>
      </c>
      <c r="AV5" s="11">
        <f t="shared" si="1"/>
        <v>856.39</v>
      </c>
      <c r="AW5" s="11">
        <f t="shared" si="1"/>
        <v>676.5</v>
      </c>
      <c r="AX5" s="11">
        <f t="shared" si="1"/>
        <v>179.89</v>
      </c>
      <c r="AY5" s="11">
        <f t="shared" si="1"/>
        <v>0</v>
      </c>
      <c r="AZ5" s="51">
        <f t="shared" si="1"/>
        <v>11316.27</v>
      </c>
      <c r="BA5" s="92"/>
    </row>
    <row r="6" s="4" customFormat="1" ht="25" customHeight="1" spans="1:53">
      <c r="A6" s="14">
        <v>2</v>
      </c>
      <c r="B6" s="28" t="s">
        <v>61</v>
      </c>
      <c r="C6" s="29" t="s">
        <v>62</v>
      </c>
      <c r="D6" s="29" t="s">
        <v>63</v>
      </c>
      <c r="E6" s="29" t="s">
        <v>56</v>
      </c>
      <c r="F6" s="29" t="s">
        <v>57</v>
      </c>
      <c r="G6" s="30" t="s">
        <v>64</v>
      </c>
      <c r="H6" s="30" t="s">
        <v>65</v>
      </c>
      <c r="I6" s="29"/>
      <c r="J6" s="49">
        <v>1830</v>
      </c>
      <c r="K6" s="49">
        <f>3500</f>
        <v>3500</v>
      </c>
      <c r="L6" s="49">
        <f>2670*(1.145+0.02+0.05)</f>
        <v>3244.05</v>
      </c>
      <c r="M6" s="49">
        <v>200</v>
      </c>
      <c r="N6" s="49">
        <v>100</v>
      </c>
      <c r="O6" s="49"/>
      <c r="P6" s="49">
        <v>20</v>
      </c>
      <c r="Q6" s="49"/>
      <c r="R6" s="49"/>
      <c r="S6" s="49"/>
      <c r="T6" s="49"/>
      <c r="U6" s="62"/>
      <c r="V6" s="60">
        <f>SUM(J6:S6)-T6+U6</f>
        <v>8894.05</v>
      </c>
      <c r="W6" s="61">
        <v>462.08</v>
      </c>
      <c r="X6" s="61">
        <v>19.42</v>
      </c>
      <c r="Y6" s="61">
        <v>210.34</v>
      </c>
      <c r="Z6" s="61">
        <v>32.36</v>
      </c>
      <c r="AA6" s="61">
        <v>7.28</v>
      </c>
      <c r="AB6" s="61">
        <v>25.89</v>
      </c>
      <c r="AC6" s="49">
        <f>107</f>
        <v>107</v>
      </c>
      <c r="AD6" s="29">
        <v>294</v>
      </c>
      <c r="AE6" s="29">
        <v>73.5</v>
      </c>
      <c r="AF6" s="29">
        <v>14.7</v>
      </c>
      <c r="AG6" s="49">
        <f>137</f>
        <v>137</v>
      </c>
      <c r="AH6" s="49">
        <f>SUM(AD6:AG6)</f>
        <v>519.2</v>
      </c>
      <c r="AI6" s="60">
        <v>33931.18</v>
      </c>
      <c r="AJ6" s="73">
        <v>20000</v>
      </c>
      <c r="AK6" s="49">
        <v>1926.62</v>
      </c>
      <c r="AL6" s="72"/>
      <c r="AM6" s="72"/>
      <c r="AN6" s="73">
        <v>4000</v>
      </c>
      <c r="AO6" s="73"/>
      <c r="AP6" s="72"/>
      <c r="AQ6" s="71">
        <f>V6+AI6</f>
        <v>42825.23</v>
      </c>
      <c r="AR6" s="71">
        <f>AH6+AK6</f>
        <v>2445.82</v>
      </c>
      <c r="AS6" s="83">
        <f>AJ6+5000</f>
        <v>25000</v>
      </c>
      <c r="AT6" s="83">
        <f>AN6+1000</f>
        <v>5000</v>
      </c>
      <c r="AU6" s="71">
        <f>AQ6-AR6-AS6-AT6</f>
        <v>10379.41</v>
      </c>
      <c r="AV6" s="84">
        <f>5*MAX(0,AU6*{0.6;2;4;5;6;7;9}%-{0;504;3384;6384;10584;17184;36384})</f>
        <v>311.38</v>
      </c>
      <c r="AW6" s="84">
        <v>240.14</v>
      </c>
      <c r="AX6" s="84">
        <f>IF(+AV6-AW6&gt;0,AV6-AW6,0)</f>
        <v>71.24</v>
      </c>
      <c r="AY6" s="59"/>
      <c r="AZ6" s="93">
        <f>V6-AH6-AX6</f>
        <v>8303.61</v>
      </c>
      <c r="BA6" s="95"/>
    </row>
    <row r="7" s="4" customFormat="1" ht="25" customHeight="1" spans="1:53">
      <c r="A7" s="14">
        <v>3</v>
      </c>
      <c r="B7" s="28" t="s">
        <v>66</v>
      </c>
      <c r="C7" s="29" t="s">
        <v>62</v>
      </c>
      <c r="D7" s="29" t="s">
        <v>67</v>
      </c>
      <c r="E7" s="29" t="s">
        <v>56</v>
      </c>
      <c r="F7" s="29" t="s">
        <v>68</v>
      </c>
      <c r="G7" s="30" t="s">
        <v>69</v>
      </c>
      <c r="H7" s="30" t="s">
        <v>70</v>
      </c>
      <c r="I7" s="2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62"/>
      <c r="V7" s="60">
        <v>1100</v>
      </c>
      <c r="W7" s="61"/>
      <c r="X7" s="61"/>
      <c r="Y7" s="61"/>
      <c r="Z7" s="61"/>
      <c r="AA7" s="61"/>
      <c r="AB7" s="61"/>
      <c r="AC7" s="49"/>
      <c r="AD7" s="67"/>
      <c r="AE7" s="61"/>
      <c r="AF7" s="61"/>
      <c r="AG7" s="49"/>
      <c r="AH7" s="49"/>
      <c r="AI7" s="71">
        <v>3300</v>
      </c>
      <c r="AJ7" s="74">
        <v>15000</v>
      </c>
      <c r="AK7" s="49">
        <v>0</v>
      </c>
      <c r="AL7" s="72"/>
      <c r="AM7" s="72"/>
      <c r="AN7" s="74"/>
      <c r="AO7" s="74"/>
      <c r="AP7" s="72"/>
      <c r="AQ7" s="71">
        <f>V7+AI7</f>
        <v>4400</v>
      </c>
      <c r="AR7" s="71">
        <f>AH7+AK7</f>
        <v>0</v>
      </c>
      <c r="AS7" s="83">
        <f>AJ7+5000</f>
        <v>20000</v>
      </c>
      <c r="AT7" s="83"/>
      <c r="AU7" s="71"/>
      <c r="AV7" s="85"/>
      <c r="AW7" s="85"/>
      <c r="AX7" s="85"/>
      <c r="AY7" s="96"/>
      <c r="AZ7" s="93">
        <f>V7-AH7-AX7</f>
        <v>1100</v>
      </c>
      <c r="BA7" s="95"/>
    </row>
    <row r="8" s="4" customFormat="1" ht="22" customHeight="1" spans="1:53">
      <c r="A8" s="33"/>
      <c r="B8" s="31" t="s">
        <v>71</v>
      </c>
      <c r="C8" s="32"/>
      <c r="D8" s="16"/>
      <c r="E8" s="16"/>
      <c r="F8" s="16"/>
      <c r="G8" s="34"/>
      <c r="H8" s="34"/>
      <c r="I8" s="16"/>
      <c r="J8" s="51"/>
      <c r="K8" s="51"/>
      <c r="L8" s="51"/>
      <c r="M8" s="51"/>
      <c r="N8" s="51"/>
      <c r="O8" s="51">
        <f t="shared" ref="J8:AZ8" si="2">SUM(O6:O7)</f>
        <v>0</v>
      </c>
      <c r="P8" s="51"/>
      <c r="Q8" s="51">
        <f t="shared" si="2"/>
        <v>0</v>
      </c>
      <c r="R8" s="51">
        <f t="shared" si="2"/>
        <v>0</v>
      </c>
      <c r="S8" s="51"/>
      <c r="T8" s="51">
        <f t="shared" si="2"/>
        <v>0</v>
      </c>
      <c r="U8" s="51">
        <f t="shared" si="2"/>
        <v>0</v>
      </c>
      <c r="V8" s="51">
        <f t="shared" si="2"/>
        <v>9994.05</v>
      </c>
      <c r="W8" s="51">
        <f t="shared" si="2"/>
        <v>462.08</v>
      </c>
      <c r="X8" s="51">
        <f t="shared" si="2"/>
        <v>19.42</v>
      </c>
      <c r="Y8" s="51">
        <f t="shared" si="2"/>
        <v>210.34</v>
      </c>
      <c r="Z8" s="51">
        <f t="shared" si="2"/>
        <v>32.36</v>
      </c>
      <c r="AA8" s="51">
        <f t="shared" si="2"/>
        <v>7.28</v>
      </c>
      <c r="AB8" s="51">
        <f t="shared" si="2"/>
        <v>25.89</v>
      </c>
      <c r="AC8" s="51">
        <f t="shared" si="2"/>
        <v>107</v>
      </c>
      <c r="AD8" s="51"/>
      <c r="AE8" s="51">
        <f>SUM(AE6:AE7)</f>
        <v>73.5</v>
      </c>
      <c r="AF8" s="51">
        <f>SUM(AF6:AF7)</f>
        <v>14.7</v>
      </c>
      <c r="AG8" s="51"/>
      <c r="AH8" s="51">
        <f>SUM(AH6:AH7)</f>
        <v>519.2</v>
      </c>
      <c r="AI8" s="51">
        <f t="shared" si="2"/>
        <v>37231.18</v>
      </c>
      <c r="AJ8" s="51">
        <f t="shared" si="2"/>
        <v>35000</v>
      </c>
      <c r="AK8" s="51">
        <f t="shared" si="2"/>
        <v>1926.62</v>
      </c>
      <c r="AL8" s="51">
        <f t="shared" si="2"/>
        <v>0</v>
      </c>
      <c r="AM8" s="51">
        <f t="shared" si="2"/>
        <v>0</v>
      </c>
      <c r="AN8" s="51">
        <f t="shared" si="2"/>
        <v>4000</v>
      </c>
      <c r="AO8" s="51">
        <f t="shared" si="2"/>
        <v>0</v>
      </c>
      <c r="AP8" s="51">
        <f t="shared" si="2"/>
        <v>0</v>
      </c>
      <c r="AQ8" s="51">
        <f t="shared" si="2"/>
        <v>47225.23</v>
      </c>
      <c r="AR8" s="51">
        <f t="shared" si="2"/>
        <v>2445.82</v>
      </c>
      <c r="AS8" s="51">
        <f t="shared" si="2"/>
        <v>45000</v>
      </c>
      <c r="AT8" s="51">
        <f t="shared" si="2"/>
        <v>5000</v>
      </c>
      <c r="AU8" s="51">
        <f t="shared" si="2"/>
        <v>10379.41</v>
      </c>
      <c r="AV8" s="51">
        <f t="shared" si="2"/>
        <v>311.38</v>
      </c>
      <c r="AW8" s="51">
        <f t="shared" si="2"/>
        <v>240.14</v>
      </c>
      <c r="AX8" s="51">
        <f t="shared" si="2"/>
        <v>71.24</v>
      </c>
      <c r="AY8" s="51">
        <f t="shared" si="2"/>
        <v>0</v>
      </c>
      <c r="AZ8" s="51">
        <f t="shared" si="2"/>
        <v>9403.61</v>
      </c>
      <c r="BA8" s="21"/>
    </row>
    <row r="9" s="4" customFormat="1" ht="25" customHeight="1" spans="1:53">
      <c r="A9" s="14">
        <v>4</v>
      </c>
      <c r="B9" s="35" t="s">
        <v>72</v>
      </c>
      <c r="C9" s="29" t="s">
        <v>73</v>
      </c>
      <c r="D9" s="29" t="s">
        <v>63</v>
      </c>
      <c r="E9" s="29" t="s">
        <v>56</v>
      </c>
      <c r="F9" s="29" t="s">
        <v>57</v>
      </c>
      <c r="G9" s="30" t="s">
        <v>74</v>
      </c>
      <c r="H9" s="30" t="s">
        <v>75</v>
      </c>
      <c r="I9" s="29"/>
      <c r="J9" s="49">
        <v>1830</v>
      </c>
      <c r="K9" s="49">
        <f>2800</f>
        <v>2800</v>
      </c>
      <c r="L9" s="52">
        <f>1870*(1.0075+0.05)</f>
        <v>1977.53</v>
      </c>
      <c r="M9" s="49">
        <v>200</v>
      </c>
      <c r="N9" s="49">
        <v>100</v>
      </c>
      <c r="O9" s="49"/>
      <c r="P9" s="49">
        <v>20</v>
      </c>
      <c r="Q9" s="49"/>
      <c r="R9" s="49"/>
      <c r="S9" s="49"/>
      <c r="T9" s="49"/>
      <c r="U9" s="49">
        <v>20</v>
      </c>
      <c r="V9" s="60">
        <f>SUM(J9:S9)-T9+U9</f>
        <v>6947.53</v>
      </c>
      <c r="W9" s="61"/>
      <c r="X9" s="61"/>
      <c r="Y9" s="61"/>
      <c r="Z9" s="61"/>
      <c r="AA9" s="61"/>
      <c r="AB9" s="61"/>
      <c r="AC9" s="49"/>
      <c r="AD9" s="29">
        <v>294</v>
      </c>
      <c r="AE9" s="29">
        <v>73.5</v>
      </c>
      <c r="AF9" s="29">
        <v>14.7</v>
      </c>
      <c r="AG9" s="50">
        <f>119</f>
        <v>119</v>
      </c>
      <c r="AH9" s="49">
        <f>SUM(AD9:AG9)</f>
        <v>501.2</v>
      </c>
      <c r="AI9" s="60">
        <v>24324.12</v>
      </c>
      <c r="AJ9" s="74">
        <v>20000</v>
      </c>
      <c r="AK9" s="49">
        <v>1902.62</v>
      </c>
      <c r="AL9" s="74"/>
      <c r="AM9" s="74">
        <v>4000</v>
      </c>
      <c r="AN9" s="74"/>
      <c r="AO9" s="74"/>
      <c r="AP9" s="74"/>
      <c r="AQ9" s="71">
        <f>V9+AI9</f>
        <v>31271.65</v>
      </c>
      <c r="AR9" s="71">
        <f>AH9+AK9</f>
        <v>2403.82</v>
      </c>
      <c r="AS9" s="83">
        <f>AJ9+5000</f>
        <v>25000</v>
      </c>
      <c r="AT9" s="83">
        <f>AM9+1000</f>
        <v>5000</v>
      </c>
      <c r="AU9" s="71">
        <f>AQ9-AR9-AS9-AT9</f>
        <v>-1132.17</v>
      </c>
      <c r="AV9" s="84">
        <f>5*MAX(0,AU9*{0.6;2;4;5;6;7;9}%-{0;504;3384;6384;10584;17184;36384})</f>
        <v>0</v>
      </c>
      <c r="AW9" s="86">
        <v>21.52</v>
      </c>
      <c r="AX9" s="84">
        <f>IF(+AV9-AW9&gt;0,AV9-AW9,0)</f>
        <v>0</v>
      </c>
      <c r="AY9" s="59"/>
      <c r="AZ9" s="93">
        <f>V9-AH9-AX9</f>
        <v>6446.33</v>
      </c>
      <c r="BA9" s="95"/>
    </row>
    <row r="10" s="4" customFormat="1" ht="25" customHeight="1" spans="1:53">
      <c r="A10" s="14">
        <v>5</v>
      </c>
      <c r="B10" s="35" t="s">
        <v>76</v>
      </c>
      <c r="C10" s="29" t="s">
        <v>73</v>
      </c>
      <c r="D10" s="29" t="s">
        <v>77</v>
      </c>
      <c r="E10" s="29" t="s">
        <v>56</v>
      </c>
      <c r="F10" s="29" t="s">
        <v>57</v>
      </c>
      <c r="G10" s="30" t="s">
        <v>78</v>
      </c>
      <c r="H10" s="30" t="s">
        <v>79</v>
      </c>
      <c r="I10" s="29"/>
      <c r="J10" s="49">
        <f>1830</f>
        <v>1830</v>
      </c>
      <c r="K10" s="49">
        <f>1800</f>
        <v>1800</v>
      </c>
      <c r="L10" s="49">
        <f>870*(1.02+0.05)</f>
        <v>930.9</v>
      </c>
      <c r="M10" s="49">
        <v>200</v>
      </c>
      <c r="N10" s="49">
        <v>100</v>
      </c>
      <c r="O10" s="49"/>
      <c r="P10" s="49">
        <v>20</v>
      </c>
      <c r="Q10" s="49"/>
      <c r="R10" s="49"/>
      <c r="S10" s="49"/>
      <c r="T10" s="49"/>
      <c r="U10" s="63"/>
      <c r="V10" s="60">
        <f>SUM(J10:S10)-T10+U10</f>
        <v>4880.9</v>
      </c>
      <c r="W10" s="61"/>
      <c r="X10" s="61"/>
      <c r="Y10" s="61"/>
      <c r="Z10" s="61"/>
      <c r="AA10" s="61"/>
      <c r="AB10" s="61"/>
      <c r="AC10" s="49"/>
      <c r="AD10" s="67">
        <v>270</v>
      </c>
      <c r="AE10" s="61">
        <v>69.26</v>
      </c>
      <c r="AF10" s="61">
        <v>13.85</v>
      </c>
      <c r="AG10" s="49">
        <f>107</f>
        <v>107</v>
      </c>
      <c r="AH10" s="49">
        <f>SUM(AD10:AG10)</f>
        <v>460.11</v>
      </c>
      <c r="AI10" s="60">
        <v>18517.26</v>
      </c>
      <c r="AJ10" s="75">
        <v>20000</v>
      </c>
      <c r="AK10" s="49">
        <v>1808.44</v>
      </c>
      <c r="AL10" s="75"/>
      <c r="AM10" s="75"/>
      <c r="AN10" s="75"/>
      <c r="AO10" s="75"/>
      <c r="AP10" s="75"/>
      <c r="AQ10" s="71">
        <f>V10+AI10</f>
        <v>23398.16</v>
      </c>
      <c r="AR10" s="71">
        <f>AH10+AK10</f>
        <v>2268.55</v>
      </c>
      <c r="AS10" s="83">
        <f>AJ10+5000</f>
        <v>25000</v>
      </c>
      <c r="AT10" s="83"/>
      <c r="AU10" s="71">
        <f>AQ10-AR10-AS10-AT10</f>
        <v>-3870.39</v>
      </c>
      <c r="AV10" s="84">
        <f>5*MAX(0,AU10*{0.6;2;4;5;6;7;9}%-{0;504;3384;6384;10584;17184;36384})</f>
        <v>0</v>
      </c>
      <c r="AW10" s="86">
        <v>0</v>
      </c>
      <c r="AX10" s="84">
        <f>IF(+AV10-AW10&gt;0,AV10-AW10,0)</f>
        <v>0</v>
      </c>
      <c r="AY10" s="59"/>
      <c r="AZ10" s="93">
        <f>V10-AH10-AX10</f>
        <v>4420.79</v>
      </c>
      <c r="BA10" s="95"/>
    </row>
    <row r="11" s="4" customFormat="1" ht="24" customHeight="1" spans="1:53">
      <c r="A11" s="33"/>
      <c r="B11" s="31" t="s">
        <v>80</v>
      </c>
      <c r="C11" s="32"/>
      <c r="D11" s="16"/>
      <c r="E11" s="16"/>
      <c r="F11" s="16"/>
      <c r="G11" s="30"/>
      <c r="H11" s="30"/>
      <c r="I11" s="16"/>
      <c r="J11" s="53">
        <f t="shared" ref="J11:AZ11" si="3">SUM(J9:J10)</f>
        <v>3660</v>
      </c>
      <c r="K11" s="53">
        <f t="shared" si="3"/>
        <v>4600</v>
      </c>
      <c r="L11" s="53">
        <f t="shared" si="3"/>
        <v>2908.43</v>
      </c>
      <c r="M11" s="53">
        <f t="shared" si="3"/>
        <v>400</v>
      </c>
      <c r="N11" s="53">
        <f t="shared" si="3"/>
        <v>200</v>
      </c>
      <c r="O11" s="53">
        <f t="shared" si="3"/>
        <v>0</v>
      </c>
      <c r="P11" s="53">
        <f t="shared" si="3"/>
        <v>40</v>
      </c>
      <c r="Q11" s="53">
        <f t="shared" si="3"/>
        <v>0</v>
      </c>
      <c r="R11" s="53">
        <f t="shared" si="3"/>
        <v>0</v>
      </c>
      <c r="S11" s="53">
        <f t="shared" si="3"/>
        <v>0</v>
      </c>
      <c r="T11" s="53">
        <f t="shared" si="3"/>
        <v>0</v>
      </c>
      <c r="U11" s="53">
        <f t="shared" si="3"/>
        <v>20</v>
      </c>
      <c r="V11" s="53">
        <f t="shared" si="3"/>
        <v>11828.43</v>
      </c>
      <c r="W11" s="53">
        <f t="shared" si="3"/>
        <v>0</v>
      </c>
      <c r="X11" s="53">
        <f t="shared" si="3"/>
        <v>0</v>
      </c>
      <c r="Y11" s="53">
        <f t="shared" si="3"/>
        <v>0</v>
      </c>
      <c r="Z11" s="53">
        <f t="shared" si="3"/>
        <v>0</v>
      </c>
      <c r="AA11" s="53">
        <f t="shared" si="3"/>
        <v>0</v>
      </c>
      <c r="AB11" s="53">
        <f t="shared" si="3"/>
        <v>0</v>
      </c>
      <c r="AC11" s="53">
        <f t="shared" si="3"/>
        <v>0</v>
      </c>
      <c r="AD11" s="53">
        <f t="shared" si="3"/>
        <v>564</v>
      </c>
      <c r="AE11" s="53">
        <f t="shared" si="3"/>
        <v>142.76</v>
      </c>
      <c r="AF11" s="53">
        <f t="shared" si="3"/>
        <v>28.55</v>
      </c>
      <c r="AG11" s="53">
        <f t="shared" si="3"/>
        <v>226</v>
      </c>
      <c r="AH11" s="53">
        <f t="shared" si="3"/>
        <v>961.31</v>
      </c>
      <c r="AI11" s="53">
        <f t="shared" si="3"/>
        <v>42841.38</v>
      </c>
      <c r="AJ11" s="53">
        <f t="shared" si="3"/>
        <v>40000</v>
      </c>
      <c r="AK11" s="53">
        <f t="shared" si="3"/>
        <v>3711.06</v>
      </c>
      <c r="AL11" s="53">
        <f t="shared" si="3"/>
        <v>0</v>
      </c>
      <c r="AM11" s="53">
        <f t="shared" si="3"/>
        <v>4000</v>
      </c>
      <c r="AN11" s="53">
        <f t="shared" si="3"/>
        <v>0</v>
      </c>
      <c r="AO11" s="53">
        <f t="shared" si="3"/>
        <v>0</v>
      </c>
      <c r="AP11" s="53">
        <f t="shared" si="3"/>
        <v>0</v>
      </c>
      <c r="AQ11" s="53">
        <f t="shared" si="3"/>
        <v>54669.81</v>
      </c>
      <c r="AR11" s="53">
        <f t="shared" si="3"/>
        <v>4672.37</v>
      </c>
      <c r="AS11" s="53">
        <f t="shared" si="3"/>
        <v>50000</v>
      </c>
      <c r="AT11" s="53">
        <f t="shared" si="3"/>
        <v>5000</v>
      </c>
      <c r="AU11" s="53">
        <f t="shared" si="3"/>
        <v>-5002.56</v>
      </c>
      <c r="AV11" s="53">
        <f t="shared" si="3"/>
        <v>0</v>
      </c>
      <c r="AW11" s="53">
        <f t="shared" si="3"/>
        <v>21.52</v>
      </c>
      <c r="AX11" s="53">
        <f t="shared" si="3"/>
        <v>0</v>
      </c>
      <c r="AY11" s="53">
        <f t="shared" si="3"/>
        <v>0</v>
      </c>
      <c r="AZ11" s="53">
        <f t="shared" si="3"/>
        <v>10867.12</v>
      </c>
      <c r="BA11" s="21"/>
    </row>
    <row r="12" s="4" customFormat="1" ht="25" customHeight="1" spans="1:53">
      <c r="A12" s="14">
        <v>6</v>
      </c>
      <c r="B12" s="35" t="s">
        <v>81</v>
      </c>
      <c r="C12" s="30" t="s">
        <v>82</v>
      </c>
      <c r="D12" s="36" t="s">
        <v>83</v>
      </c>
      <c r="E12" s="29" t="s">
        <v>56</v>
      </c>
      <c r="F12" s="29" t="s">
        <v>84</v>
      </c>
      <c r="G12" s="30" t="s">
        <v>85</v>
      </c>
      <c r="H12" s="30" t="s">
        <v>86</v>
      </c>
      <c r="I12" s="29"/>
      <c r="J12" s="49">
        <v>1830</v>
      </c>
      <c r="K12" s="49">
        <f>900</f>
        <v>900</v>
      </c>
      <c r="L12" s="49">
        <f>800*(1.0325+0.02)</f>
        <v>842</v>
      </c>
      <c r="M12" s="49">
        <v>200</v>
      </c>
      <c r="N12" s="49">
        <v>100</v>
      </c>
      <c r="O12" s="49">
        <f>800</f>
        <v>800</v>
      </c>
      <c r="P12" s="49">
        <v>20</v>
      </c>
      <c r="Q12" s="49">
        <v>870</v>
      </c>
      <c r="R12" s="49">
        <f>J12/21.75/8*188*1.5+J12/21.75/8*114*2</f>
        <v>5363.79</v>
      </c>
      <c r="S12" s="49"/>
      <c r="T12" s="49"/>
      <c r="U12" s="49"/>
      <c r="V12" s="60">
        <f>SUM(J12:S12)-T12+U12</f>
        <v>10925.79</v>
      </c>
      <c r="W12" s="61"/>
      <c r="X12" s="61"/>
      <c r="Y12" s="61"/>
      <c r="Z12" s="61"/>
      <c r="AA12" s="61"/>
      <c r="AB12" s="61"/>
      <c r="AC12" s="61"/>
      <c r="AD12" s="67">
        <v>254</v>
      </c>
      <c r="AE12" s="61">
        <v>69.26</v>
      </c>
      <c r="AF12" s="61">
        <v>13.85</v>
      </c>
      <c r="AG12" s="49">
        <f>107</f>
        <v>107</v>
      </c>
      <c r="AH12" s="49">
        <f>SUM(AD12:AG12)</f>
        <v>444.11</v>
      </c>
      <c r="AI12" s="76">
        <v>22362.2</v>
      </c>
      <c r="AJ12" s="76">
        <v>20000</v>
      </c>
      <c r="AK12" s="49">
        <v>1776.44</v>
      </c>
      <c r="AL12" s="72"/>
      <c r="AM12" s="72"/>
      <c r="AN12" s="72"/>
      <c r="AO12" s="72"/>
      <c r="AP12" s="72"/>
      <c r="AQ12" s="71">
        <f>V12+AI12</f>
        <v>33287.99</v>
      </c>
      <c r="AR12" s="71">
        <f>AH12+AK12</f>
        <v>2220.55</v>
      </c>
      <c r="AS12" s="83">
        <f>AJ12+5000</f>
        <v>25000</v>
      </c>
      <c r="AT12" s="83"/>
      <c r="AU12" s="71">
        <f>AQ12-AR12-AS12-AT12</f>
        <v>6067.44</v>
      </c>
      <c r="AV12" s="84">
        <f>5*MAX(0,AU12*{0.6;2;4;5;6;7;9}%-{0;504;3384;6384;10584;17184;36384})</f>
        <v>182.02</v>
      </c>
      <c r="AW12" s="86">
        <v>17.57</v>
      </c>
      <c r="AX12" s="84">
        <f>IF(+AV12-AW12&gt;0,AV12-AW12,0)</f>
        <v>164.45</v>
      </c>
      <c r="AY12" s="59"/>
      <c r="AZ12" s="93">
        <f>V12-AH12-AX12</f>
        <v>10317.23</v>
      </c>
      <c r="BA12" s="95"/>
    </row>
    <row r="13" s="4" customFormat="1" ht="25" customHeight="1" spans="1:53">
      <c r="A13" s="14">
        <v>7</v>
      </c>
      <c r="B13" s="35" t="s">
        <v>87</v>
      </c>
      <c r="C13" s="30" t="s">
        <v>82</v>
      </c>
      <c r="D13" s="36" t="s">
        <v>88</v>
      </c>
      <c r="E13" s="29" t="s">
        <v>89</v>
      </c>
      <c r="F13" s="29" t="s">
        <v>84</v>
      </c>
      <c r="G13" s="30" t="s">
        <v>90</v>
      </c>
      <c r="H13" s="30" t="s">
        <v>91</v>
      </c>
      <c r="I13" s="29"/>
      <c r="J13" s="49">
        <v>1830</v>
      </c>
      <c r="K13" s="49">
        <f>200</f>
        <v>200</v>
      </c>
      <c r="L13" s="49">
        <f>300</f>
        <v>300</v>
      </c>
      <c r="M13" s="49">
        <v>200</v>
      </c>
      <c r="N13" s="49">
        <v>100</v>
      </c>
      <c r="O13" s="49">
        <f>500</f>
        <v>500</v>
      </c>
      <c r="P13" s="49">
        <v>20</v>
      </c>
      <c r="Q13" s="49">
        <v>810</v>
      </c>
      <c r="R13" s="49">
        <f>J13/21.75/8*84*1.5+J13/21.75/8*72*2</f>
        <v>2839.66</v>
      </c>
      <c r="S13" s="49"/>
      <c r="T13" s="49"/>
      <c r="U13" s="49"/>
      <c r="V13" s="60">
        <f>SUM(J13:S13)-T13+U13</f>
        <v>6799.66</v>
      </c>
      <c r="W13" s="61">
        <v>431.52</v>
      </c>
      <c r="X13" s="61">
        <v>19.42</v>
      </c>
      <c r="Y13" s="61">
        <v>210.34</v>
      </c>
      <c r="Z13" s="61">
        <v>32.36</v>
      </c>
      <c r="AA13" s="61">
        <v>7.28</v>
      </c>
      <c r="AB13" s="61">
        <v>25.89</v>
      </c>
      <c r="AC13" s="61">
        <v>107</v>
      </c>
      <c r="AD13" s="67">
        <v>254</v>
      </c>
      <c r="AE13" s="61">
        <v>69.26</v>
      </c>
      <c r="AF13" s="61">
        <v>13.85</v>
      </c>
      <c r="AG13" s="49">
        <v>107</v>
      </c>
      <c r="AH13" s="49">
        <f>SUM(AD13:AG13)</f>
        <v>444.11</v>
      </c>
      <c r="AI13" s="76">
        <v>14680.54</v>
      </c>
      <c r="AJ13" s="76">
        <v>20000</v>
      </c>
      <c r="AK13" s="49">
        <v>1776.44</v>
      </c>
      <c r="AL13" s="72">
        <v>4000</v>
      </c>
      <c r="AM13" s="72"/>
      <c r="AN13" s="72"/>
      <c r="AO13" s="72"/>
      <c r="AP13" s="72"/>
      <c r="AQ13" s="71">
        <f>V13+AI13</f>
        <v>21480.2</v>
      </c>
      <c r="AR13" s="71">
        <f>AH13+AK13</f>
        <v>2220.55</v>
      </c>
      <c r="AS13" s="83">
        <f>AJ13+5000</f>
        <v>25000</v>
      </c>
      <c r="AT13" s="83">
        <f>AL13+1000</f>
        <v>5000</v>
      </c>
      <c r="AU13" s="71">
        <f>AQ13-AR13-AS13-AT13</f>
        <v>-10740.35</v>
      </c>
      <c r="AV13" s="84">
        <f>5*MAX(0,AU13*{0.6;2;4;5;6;7;9}%-{0;504;3384;6384;10584;17184;36384})</f>
        <v>0</v>
      </c>
      <c r="AW13" s="86">
        <v>0</v>
      </c>
      <c r="AX13" s="84">
        <f>IF(+AV13-AW13&gt;0,AV13-AW13,0)</f>
        <v>0</v>
      </c>
      <c r="AY13" s="59"/>
      <c r="AZ13" s="93">
        <f>V13-AH13-AX13</f>
        <v>6355.55</v>
      </c>
      <c r="BA13" s="97"/>
    </row>
    <row r="14" s="4" customFormat="1" ht="25" customHeight="1" spans="1:53">
      <c r="A14" s="14">
        <v>8</v>
      </c>
      <c r="B14" s="35" t="s">
        <v>92</v>
      </c>
      <c r="C14" s="30" t="s">
        <v>82</v>
      </c>
      <c r="D14" s="36" t="s">
        <v>88</v>
      </c>
      <c r="E14" s="29" t="s">
        <v>89</v>
      </c>
      <c r="F14" s="29" t="s">
        <v>84</v>
      </c>
      <c r="G14" s="30" t="s">
        <v>93</v>
      </c>
      <c r="H14" s="30" t="s">
        <v>94</v>
      </c>
      <c r="I14" s="29"/>
      <c r="J14" s="49">
        <v>1830</v>
      </c>
      <c r="K14" s="49">
        <f>200</f>
        <v>200</v>
      </c>
      <c r="L14" s="49">
        <f>300</f>
        <v>300</v>
      </c>
      <c r="M14" s="49">
        <v>200</v>
      </c>
      <c r="N14" s="49">
        <v>100</v>
      </c>
      <c r="O14" s="49">
        <f>500</f>
        <v>500</v>
      </c>
      <c r="P14" s="49">
        <v>20</v>
      </c>
      <c r="Q14" s="49">
        <v>810</v>
      </c>
      <c r="R14" s="49">
        <f>J14/21.75/8*84*1.5+J14/21.75/8*72*2</f>
        <v>2839.66</v>
      </c>
      <c r="S14" s="49"/>
      <c r="T14" s="49"/>
      <c r="U14" s="49"/>
      <c r="V14" s="60">
        <f>SUM(J14:S14)-T14+U14</f>
        <v>6799.66</v>
      </c>
      <c r="W14" s="61">
        <v>431.52</v>
      </c>
      <c r="X14" s="61">
        <v>19.42</v>
      </c>
      <c r="Y14" s="61">
        <v>210.34</v>
      </c>
      <c r="Z14" s="61">
        <v>32.36</v>
      </c>
      <c r="AA14" s="61">
        <v>7.28</v>
      </c>
      <c r="AB14" s="61">
        <v>25.89</v>
      </c>
      <c r="AC14" s="61">
        <v>107</v>
      </c>
      <c r="AD14" s="67">
        <v>254</v>
      </c>
      <c r="AE14" s="61">
        <v>69.26</v>
      </c>
      <c r="AF14" s="61">
        <v>13.85</v>
      </c>
      <c r="AG14" s="49">
        <v>107</v>
      </c>
      <c r="AH14" s="49">
        <f>SUM(AD14:AG14)</f>
        <v>444.11</v>
      </c>
      <c r="AI14" s="76">
        <v>14990.77</v>
      </c>
      <c r="AJ14" s="76">
        <v>20000</v>
      </c>
      <c r="AK14" s="49">
        <v>1776.44</v>
      </c>
      <c r="AL14" s="72"/>
      <c r="AM14" s="72"/>
      <c r="AN14" s="72"/>
      <c r="AO14" s="72"/>
      <c r="AP14" s="72"/>
      <c r="AQ14" s="71">
        <f>V14+AI14</f>
        <v>21790.43</v>
      </c>
      <c r="AR14" s="71">
        <f>AH14+AK14</f>
        <v>2220.55</v>
      </c>
      <c r="AS14" s="83">
        <f>AJ14+5000</f>
        <v>25000</v>
      </c>
      <c r="AT14" s="83"/>
      <c r="AU14" s="71">
        <f>AQ14-AR14-AS14-AT14</f>
        <v>-5430.12</v>
      </c>
      <c r="AV14" s="84">
        <f>5*MAX(0,AU14*{0.6;2;4;5;6;7;9}%-{0;504;3384;6384;10584;17184;36384})</f>
        <v>0</v>
      </c>
      <c r="AW14" s="86">
        <v>0</v>
      </c>
      <c r="AX14" s="84">
        <f>IF(+AV14-AW14&gt;0,AV14-AW14,0)</f>
        <v>0</v>
      </c>
      <c r="AY14" s="59"/>
      <c r="AZ14" s="93">
        <f>V14-AH14-AX14</f>
        <v>6355.55</v>
      </c>
      <c r="BA14" s="94"/>
    </row>
    <row r="15" s="4" customFormat="1" ht="25" customHeight="1" spans="1:53">
      <c r="A15" s="14">
        <v>9</v>
      </c>
      <c r="B15" s="35" t="s">
        <v>95</v>
      </c>
      <c r="C15" s="30" t="s">
        <v>82</v>
      </c>
      <c r="D15" s="36" t="s">
        <v>88</v>
      </c>
      <c r="E15" s="29" t="s">
        <v>89</v>
      </c>
      <c r="F15" s="29" t="s">
        <v>84</v>
      </c>
      <c r="G15" s="30" t="s">
        <v>96</v>
      </c>
      <c r="H15" s="118" t="s">
        <v>97</v>
      </c>
      <c r="I15" s="29"/>
      <c r="J15" s="49">
        <v>1830</v>
      </c>
      <c r="K15" s="49">
        <f>200</f>
        <v>200</v>
      </c>
      <c r="L15" s="49">
        <f>300</f>
        <v>300</v>
      </c>
      <c r="M15" s="49">
        <v>200</v>
      </c>
      <c r="N15" s="49">
        <v>100</v>
      </c>
      <c r="O15" s="49">
        <f>500</f>
        <v>500</v>
      </c>
      <c r="P15" s="49">
        <v>20</v>
      </c>
      <c r="Q15" s="49">
        <v>840</v>
      </c>
      <c r="R15" s="49">
        <f>J15/21.75/8*84*1.5+J15/21.75/8*84*2</f>
        <v>3092.07</v>
      </c>
      <c r="S15" s="49"/>
      <c r="T15" s="49"/>
      <c r="U15" s="49"/>
      <c r="V15" s="60">
        <f>SUM(J15:S15)-T15+U15</f>
        <v>7082.07</v>
      </c>
      <c r="W15" s="61">
        <v>431.52</v>
      </c>
      <c r="X15" s="61">
        <v>19.42</v>
      </c>
      <c r="Y15" s="61">
        <v>210.34</v>
      </c>
      <c r="Z15" s="61">
        <v>32.36</v>
      </c>
      <c r="AA15" s="61">
        <v>7.28</v>
      </c>
      <c r="AB15" s="61">
        <v>25.89</v>
      </c>
      <c r="AC15" s="61">
        <v>107</v>
      </c>
      <c r="AD15" s="67">
        <v>254</v>
      </c>
      <c r="AE15" s="61">
        <v>69.26</v>
      </c>
      <c r="AF15" s="61">
        <v>13.85</v>
      </c>
      <c r="AG15" s="49">
        <v>107</v>
      </c>
      <c r="AH15" s="49">
        <f>SUM(AD15:AG15)</f>
        <v>444.11</v>
      </c>
      <c r="AI15" s="72">
        <v>14890.76</v>
      </c>
      <c r="AJ15" s="76">
        <v>20000</v>
      </c>
      <c r="AK15" s="49">
        <v>1776.44</v>
      </c>
      <c r="AL15" s="72"/>
      <c r="AM15" s="72"/>
      <c r="AN15" s="72"/>
      <c r="AO15" s="72"/>
      <c r="AP15" s="72"/>
      <c r="AQ15" s="71">
        <f>V15+AI15</f>
        <v>21972.83</v>
      </c>
      <c r="AR15" s="71">
        <f>AH15+AK15</f>
        <v>2220.55</v>
      </c>
      <c r="AS15" s="83">
        <f>AJ15+5000</f>
        <v>25000</v>
      </c>
      <c r="AT15" s="83"/>
      <c r="AU15" s="71">
        <f>AQ15-AR15-AS15-AT15</f>
        <v>-5247.72</v>
      </c>
      <c r="AV15" s="84">
        <f>5*MAX(0,AU15*{0.6;2;4;5;6;7;9}%-{0;504;3384;6384;10584;17184;36384})</f>
        <v>0</v>
      </c>
      <c r="AW15" s="86">
        <v>0</v>
      </c>
      <c r="AX15" s="84">
        <f>IF(+AV15-AW15&gt;0,AV15-AW15,0)</f>
        <v>0</v>
      </c>
      <c r="AY15" s="59"/>
      <c r="AZ15" s="93">
        <f>V15-AH15-AX15</f>
        <v>6637.96</v>
      </c>
      <c r="BA15" s="94"/>
    </row>
    <row r="16" s="4" customFormat="1" ht="25" customHeight="1" spans="1:53">
      <c r="A16" s="14">
        <v>10</v>
      </c>
      <c r="B16" s="35" t="s">
        <v>98</v>
      </c>
      <c r="C16" s="30" t="s">
        <v>82</v>
      </c>
      <c r="D16" s="36" t="s">
        <v>88</v>
      </c>
      <c r="E16" s="29" t="s">
        <v>89</v>
      </c>
      <c r="F16" s="29" t="s">
        <v>84</v>
      </c>
      <c r="G16" s="30" t="s">
        <v>99</v>
      </c>
      <c r="H16" s="118" t="s">
        <v>100</v>
      </c>
      <c r="I16" s="29"/>
      <c r="J16" s="49">
        <v>1830</v>
      </c>
      <c r="K16" s="49">
        <f>200</f>
        <v>200</v>
      </c>
      <c r="L16" s="49">
        <f>300</f>
        <v>300</v>
      </c>
      <c r="M16" s="49">
        <v>200</v>
      </c>
      <c r="N16" s="49">
        <v>100</v>
      </c>
      <c r="O16" s="49">
        <f>500</f>
        <v>500</v>
      </c>
      <c r="P16" s="49">
        <v>20</v>
      </c>
      <c r="Q16" s="49">
        <v>840</v>
      </c>
      <c r="R16" s="49">
        <f>J16/21.75/8*88*1.5+J16/21.75/8*72*2</f>
        <v>2902.76</v>
      </c>
      <c r="S16" s="49"/>
      <c r="T16" s="49"/>
      <c r="U16" s="49"/>
      <c r="V16" s="60">
        <f>SUM(J16:S16)-T16+U16</f>
        <v>6892.76</v>
      </c>
      <c r="W16" s="61">
        <v>431.52</v>
      </c>
      <c r="X16" s="61">
        <v>19.42</v>
      </c>
      <c r="Y16" s="61">
        <v>210.34</v>
      </c>
      <c r="Z16" s="61">
        <v>32.36</v>
      </c>
      <c r="AA16" s="61">
        <v>7.28</v>
      </c>
      <c r="AB16" s="61">
        <v>25.89</v>
      </c>
      <c r="AC16" s="61">
        <v>107</v>
      </c>
      <c r="AD16" s="67">
        <v>254</v>
      </c>
      <c r="AE16" s="61">
        <v>69.26</v>
      </c>
      <c r="AF16" s="61">
        <v>13.85</v>
      </c>
      <c r="AG16" s="49">
        <v>107</v>
      </c>
      <c r="AH16" s="49">
        <f>SUM(AD16:AG16)</f>
        <v>444.11</v>
      </c>
      <c r="AI16" s="76">
        <v>14890.76</v>
      </c>
      <c r="AJ16" s="76">
        <v>20000</v>
      </c>
      <c r="AK16" s="49">
        <v>1776.44</v>
      </c>
      <c r="AL16" s="72"/>
      <c r="AM16" s="72"/>
      <c r="AN16" s="72"/>
      <c r="AO16" s="72"/>
      <c r="AP16" s="72"/>
      <c r="AQ16" s="71">
        <f>V16+AI16</f>
        <v>21783.52</v>
      </c>
      <c r="AR16" s="71">
        <f>AH16+AK16</f>
        <v>2220.55</v>
      </c>
      <c r="AS16" s="83">
        <f>AJ16+5000</f>
        <v>25000</v>
      </c>
      <c r="AT16" s="83"/>
      <c r="AU16" s="71">
        <f>AQ16-AR16-AS16-AT16</f>
        <v>-5437.03</v>
      </c>
      <c r="AV16" s="84">
        <f>5*MAX(0,AU16*{0.6;2;4;5;6;7;9}%-{0;504;3384;6384;10584;17184;36384})</f>
        <v>0</v>
      </c>
      <c r="AW16" s="86">
        <v>0</v>
      </c>
      <c r="AX16" s="84">
        <f>IF(+AV16-AW16&gt;0,AV16-AW16,0)</f>
        <v>0</v>
      </c>
      <c r="AY16" s="59"/>
      <c r="AZ16" s="93">
        <f>V16-AH16-AX16</f>
        <v>6448.65</v>
      </c>
      <c r="BA16" s="94"/>
    </row>
    <row r="17" s="4" customFormat="1" ht="20" customHeight="1" spans="1:53">
      <c r="A17" s="33"/>
      <c r="B17" s="31" t="s">
        <v>101</v>
      </c>
      <c r="C17" s="32"/>
      <c r="D17" s="16"/>
      <c r="E17" s="16"/>
      <c r="F17" s="16"/>
      <c r="G17" s="30"/>
      <c r="H17" s="34"/>
      <c r="I17" s="16"/>
      <c r="J17" s="53">
        <f t="shared" ref="J17:AZ17" si="4">SUM(J12:J16)</f>
        <v>9150</v>
      </c>
      <c r="K17" s="53">
        <f t="shared" si="4"/>
        <v>1700</v>
      </c>
      <c r="L17" s="53">
        <f t="shared" si="4"/>
        <v>2042</v>
      </c>
      <c r="M17" s="53">
        <f t="shared" si="4"/>
        <v>1000</v>
      </c>
      <c r="N17" s="53">
        <f t="shared" si="4"/>
        <v>500</v>
      </c>
      <c r="O17" s="53">
        <f t="shared" si="4"/>
        <v>2800</v>
      </c>
      <c r="P17" s="53">
        <f t="shared" si="4"/>
        <v>100</v>
      </c>
      <c r="Q17" s="53">
        <f t="shared" si="4"/>
        <v>4170</v>
      </c>
      <c r="R17" s="53">
        <f t="shared" si="4"/>
        <v>17037.94</v>
      </c>
      <c r="S17" s="53">
        <f t="shared" si="4"/>
        <v>0</v>
      </c>
      <c r="T17" s="53">
        <f t="shared" si="4"/>
        <v>0</v>
      </c>
      <c r="U17" s="53">
        <f t="shared" si="4"/>
        <v>0</v>
      </c>
      <c r="V17" s="53">
        <f t="shared" si="4"/>
        <v>38499.94</v>
      </c>
      <c r="W17" s="53">
        <f t="shared" si="4"/>
        <v>1726.08</v>
      </c>
      <c r="X17" s="53">
        <f t="shared" si="4"/>
        <v>77.68</v>
      </c>
      <c r="Y17" s="53">
        <f t="shared" si="4"/>
        <v>841.36</v>
      </c>
      <c r="Z17" s="53">
        <f t="shared" si="4"/>
        <v>129.44</v>
      </c>
      <c r="AA17" s="53">
        <f t="shared" si="4"/>
        <v>29.12</v>
      </c>
      <c r="AB17" s="53">
        <f t="shared" si="4"/>
        <v>103.56</v>
      </c>
      <c r="AC17" s="53">
        <f t="shared" si="4"/>
        <v>428</v>
      </c>
      <c r="AD17" s="53">
        <f t="shared" si="4"/>
        <v>1270</v>
      </c>
      <c r="AE17" s="53">
        <f t="shared" si="4"/>
        <v>346.3</v>
      </c>
      <c r="AF17" s="53">
        <f t="shared" si="4"/>
        <v>69.25</v>
      </c>
      <c r="AG17" s="53">
        <f t="shared" si="4"/>
        <v>535</v>
      </c>
      <c r="AH17" s="53">
        <f t="shared" si="4"/>
        <v>2220.55</v>
      </c>
      <c r="AI17" s="53">
        <f t="shared" si="4"/>
        <v>81815.03</v>
      </c>
      <c r="AJ17" s="53">
        <f t="shared" si="4"/>
        <v>100000</v>
      </c>
      <c r="AK17" s="53">
        <f t="shared" si="4"/>
        <v>8882.2</v>
      </c>
      <c r="AL17" s="53">
        <f t="shared" si="4"/>
        <v>4000</v>
      </c>
      <c r="AM17" s="53">
        <f t="shared" si="4"/>
        <v>0</v>
      </c>
      <c r="AN17" s="53">
        <f t="shared" si="4"/>
        <v>0</v>
      </c>
      <c r="AO17" s="53">
        <f t="shared" si="4"/>
        <v>0</v>
      </c>
      <c r="AP17" s="53">
        <f t="shared" si="4"/>
        <v>0</v>
      </c>
      <c r="AQ17" s="53">
        <f t="shared" si="4"/>
        <v>120314.97</v>
      </c>
      <c r="AR17" s="53">
        <f t="shared" si="4"/>
        <v>11102.75</v>
      </c>
      <c r="AS17" s="53">
        <f t="shared" si="4"/>
        <v>125000</v>
      </c>
      <c r="AT17" s="53">
        <f t="shared" si="4"/>
        <v>5000</v>
      </c>
      <c r="AU17" s="53">
        <f t="shared" si="4"/>
        <v>-20787.78</v>
      </c>
      <c r="AV17" s="53">
        <f t="shared" si="4"/>
        <v>182.02</v>
      </c>
      <c r="AW17" s="53">
        <f t="shared" si="4"/>
        <v>17.57</v>
      </c>
      <c r="AX17" s="53">
        <f t="shared" si="4"/>
        <v>164.45</v>
      </c>
      <c r="AY17" s="53">
        <f t="shared" si="4"/>
        <v>0</v>
      </c>
      <c r="AZ17" s="53">
        <f t="shared" si="4"/>
        <v>36114.94</v>
      </c>
      <c r="BA17" s="21"/>
    </row>
    <row r="18" s="4" customFormat="1" ht="25" customHeight="1" spans="1:53">
      <c r="A18" s="14">
        <v>11</v>
      </c>
      <c r="B18" s="28" t="s">
        <v>102</v>
      </c>
      <c r="C18" s="29" t="s">
        <v>82</v>
      </c>
      <c r="D18" s="29" t="s">
        <v>63</v>
      </c>
      <c r="E18" s="29" t="s">
        <v>56</v>
      </c>
      <c r="F18" s="29" t="s">
        <v>57</v>
      </c>
      <c r="G18" s="30" t="s">
        <v>103</v>
      </c>
      <c r="H18" s="30" t="s">
        <v>104</v>
      </c>
      <c r="I18" s="29"/>
      <c r="J18" s="49">
        <v>1830</v>
      </c>
      <c r="K18" s="49">
        <v>3000</v>
      </c>
      <c r="L18" s="49">
        <f>2170*(1.0535+0.05)</f>
        <v>2394.6</v>
      </c>
      <c r="M18" s="49">
        <v>200</v>
      </c>
      <c r="N18" s="49">
        <v>100</v>
      </c>
      <c r="O18" s="49"/>
      <c r="P18" s="49">
        <v>40</v>
      </c>
      <c r="Q18" s="49"/>
      <c r="R18" s="49"/>
      <c r="S18" s="49"/>
      <c r="T18" s="49"/>
      <c r="U18" s="49"/>
      <c r="V18" s="60">
        <f>SUM(J18:S18)-T18+U18</f>
        <v>7564.6</v>
      </c>
      <c r="W18" s="61">
        <v>431.52</v>
      </c>
      <c r="X18" s="61">
        <v>19.42</v>
      </c>
      <c r="Y18" s="61">
        <v>210.34</v>
      </c>
      <c r="Z18" s="61">
        <v>32.36</v>
      </c>
      <c r="AA18" s="61">
        <v>7.28</v>
      </c>
      <c r="AB18" s="61">
        <v>25.89</v>
      </c>
      <c r="AC18" s="49">
        <v>119</v>
      </c>
      <c r="AD18" s="29">
        <v>294</v>
      </c>
      <c r="AE18" s="29">
        <v>73.5</v>
      </c>
      <c r="AF18" s="29">
        <v>14.7</v>
      </c>
      <c r="AG18" s="49">
        <v>119</v>
      </c>
      <c r="AH18" s="49">
        <f>SUM(AD18:AG18)</f>
        <v>501.2</v>
      </c>
      <c r="AI18" s="71">
        <v>29630.54</v>
      </c>
      <c r="AJ18" s="76">
        <v>20000</v>
      </c>
      <c r="AK18" s="76">
        <v>1914.62</v>
      </c>
      <c r="AL18" s="76">
        <v>4000</v>
      </c>
      <c r="AM18" s="76">
        <v>4000</v>
      </c>
      <c r="AN18" s="76"/>
      <c r="AO18" s="76"/>
      <c r="AP18" s="76"/>
      <c r="AQ18" s="71">
        <f t="shared" ref="AQ18:AQ39" si="5">V18+AI18</f>
        <v>37195.14</v>
      </c>
      <c r="AR18" s="71">
        <f t="shared" ref="AR18:AR39" si="6">AH18+AK18</f>
        <v>2415.82</v>
      </c>
      <c r="AS18" s="83">
        <f t="shared" ref="AS18:AS39" si="7">AJ18+5000</f>
        <v>25000</v>
      </c>
      <c r="AT18" s="83">
        <f>AL18+AM18+2000</f>
        <v>10000</v>
      </c>
      <c r="AU18" s="71">
        <f t="shared" ref="AU18:AU39" si="8">AQ18-AR18-AS18-AT18</f>
        <v>-220.68</v>
      </c>
      <c r="AV18" s="84">
        <f>5*MAX(0,AU18*{0.6;2;4;5;6;7;9}%-{0;504;3384;6384;10584;17184;36384})</f>
        <v>0</v>
      </c>
      <c r="AW18" s="86"/>
      <c r="AX18" s="84">
        <f t="shared" ref="AX18:AX43" si="9">IF(+AV18-AW18&gt;0,AV18-AW18,0)</f>
        <v>0</v>
      </c>
      <c r="AY18" s="59"/>
      <c r="AZ18" s="93">
        <f>V18-AH18-AX18</f>
        <v>7063.4</v>
      </c>
      <c r="BA18" s="95"/>
    </row>
    <row r="19" s="4" customFormat="1" ht="25" customHeight="1" spans="1:53">
      <c r="A19" s="14">
        <v>12</v>
      </c>
      <c r="B19" s="35" t="s">
        <v>105</v>
      </c>
      <c r="C19" s="29" t="s">
        <v>82</v>
      </c>
      <c r="D19" s="29" t="s">
        <v>106</v>
      </c>
      <c r="E19" s="29" t="s">
        <v>89</v>
      </c>
      <c r="F19" s="29" t="s">
        <v>84</v>
      </c>
      <c r="G19" s="30" t="s">
        <v>107</v>
      </c>
      <c r="H19" s="30" t="s">
        <v>108</v>
      </c>
      <c r="I19" s="29"/>
      <c r="J19" s="49">
        <v>1830</v>
      </c>
      <c r="K19" s="49">
        <f>200</f>
        <v>200</v>
      </c>
      <c r="L19" s="49">
        <f>300</f>
        <v>300</v>
      </c>
      <c r="M19" s="49">
        <v>200</v>
      </c>
      <c r="N19" s="49">
        <v>100</v>
      </c>
      <c r="O19" s="49">
        <f t="shared" ref="O19:O24" si="10">100</f>
        <v>100</v>
      </c>
      <c r="P19" s="49">
        <v>40</v>
      </c>
      <c r="Q19" s="49"/>
      <c r="R19" s="49">
        <f>J19/21.75/8*29.5*1.5+J19/21.75/8*57.5*2</f>
        <v>1674.87</v>
      </c>
      <c r="S19" s="49"/>
      <c r="T19" s="49"/>
      <c r="U19" s="49">
        <v>20</v>
      </c>
      <c r="V19" s="60">
        <f>SUM(J19:S19)-T19+U19</f>
        <v>4464.87</v>
      </c>
      <c r="W19" s="61">
        <v>431.52</v>
      </c>
      <c r="X19" s="61">
        <v>19.42</v>
      </c>
      <c r="Y19" s="61">
        <v>210.34</v>
      </c>
      <c r="Z19" s="61">
        <v>32.36</v>
      </c>
      <c r="AA19" s="61">
        <v>7.28</v>
      </c>
      <c r="AB19" s="61">
        <v>25.89</v>
      </c>
      <c r="AC19" s="61">
        <v>107</v>
      </c>
      <c r="AD19" s="67">
        <v>254</v>
      </c>
      <c r="AE19" s="61">
        <v>69.26</v>
      </c>
      <c r="AF19" s="61">
        <v>13.85</v>
      </c>
      <c r="AG19" s="49">
        <v>107</v>
      </c>
      <c r="AH19" s="49">
        <f>SUM(AD19:AG19)</f>
        <v>444.11</v>
      </c>
      <c r="AI19" s="76">
        <v>10426.33</v>
      </c>
      <c r="AJ19" s="76">
        <v>20000</v>
      </c>
      <c r="AK19" s="76">
        <v>1776.44</v>
      </c>
      <c r="AL19" s="76"/>
      <c r="AM19" s="76"/>
      <c r="AN19" s="76"/>
      <c r="AO19" s="76"/>
      <c r="AP19" s="76"/>
      <c r="AQ19" s="71">
        <f t="shared" si="5"/>
        <v>14891.2</v>
      </c>
      <c r="AR19" s="71">
        <f t="shared" si="6"/>
        <v>2220.55</v>
      </c>
      <c r="AS19" s="83">
        <f t="shared" si="7"/>
        <v>25000</v>
      </c>
      <c r="AT19" s="83"/>
      <c r="AU19" s="71">
        <f t="shared" si="8"/>
        <v>-12329.35</v>
      </c>
      <c r="AV19" s="84">
        <f>5*MAX(0,AU19*{0.6;2;4;5;6;7;9}%-{0;504;3384;6384;10584;17184;36384})</f>
        <v>0</v>
      </c>
      <c r="AW19" s="86"/>
      <c r="AX19" s="84">
        <f t="shared" si="9"/>
        <v>0</v>
      </c>
      <c r="AY19" s="59"/>
      <c r="AZ19" s="93">
        <f>V19-AH19-AX19</f>
        <v>4020.76</v>
      </c>
      <c r="BA19" s="95"/>
    </row>
    <row r="20" s="4" customFormat="1" ht="25" customHeight="1" spans="1:53">
      <c r="A20" s="14">
        <v>13</v>
      </c>
      <c r="B20" s="37" t="s">
        <v>109</v>
      </c>
      <c r="C20" s="29" t="s">
        <v>82</v>
      </c>
      <c r="D20" s="29" t="s">
        <v>110</v>
      </c>
      <c r="E20" s="29" t="s">
        <v>56</v>
      </c>
      <c r="F20" s="29" t="s">
        <v>84</v>
      </c>
      <c r="G20" s="30" t="s">
        <v>111</v>
      </c>
      <c r="H20" s="30" t="s">
        <v>112</v>
      </c>
      <c r="I20" s="29"/>
      <c r="J20" s="49">
        <v>1830</v>
      </c>
      <c r="K20" s="49">
        <v>700</v>
      </c>
      <c r="L20" s="49">
        <f>500*1.05</f>
        <v>525</v>
      </c>
      <c r="M20" s="49">
        <v>200</v>
      </c>
      <c r="N20" s="49">
        <v>100</v>
      </c>
      <c r="O20" s="49">
        <v>0</v>
      </c>
      <c r="P20" s="49">
        <v>20</v>
      </c>
      <c r="Q20" s="49"/>
      <c r="R20" s="49">
        <f>J20/21.75/8*33.5*1.5+J20/21.75/8*57*2</f>
        <v>1727.46</v>
      </c>
      <c r="S20" s="49"/>
      <c r="T20" s="49"/>
      <c r="U20" s="49"/>
      <c r="V20" s="60">
        <f>SUM(J20:S20)-T20+U20</f>
        <v>5102.46</v>
      </c>
      <c r="W20" s="61">
        <v>431.52</v>
      </c>
      <c r="X20" s="61">
        <v>19.42</v>
      </c>
      <c r="Y20" s="61">
        <v>210.34</v>
      </c>
      <c r="Z20" s="61">
        <v>32.36</v>
      </c>
      <c r="AA20" s="61">
        <v>7.28</v>
      </c>
      <c r="AB20" s="61">
        <v>25.89</v>
      </c>
      <c r="AC20" s="61">
        <v>107</v>
      </c>
      <c r="AD20" s="67">
        <v>254</v>
      </c>
      <c r="AE20" s="61">
        <v>69.26</v>
      </c>
      <c r="AF20" s="61">
        <v>13.85</v>
      </c>
      <c r="AG20" s="49">
        <v>107</v>
      </c>
      <c r="AH20" s="49">
        <f t="shared" ref="AH20:AH39" si="11">SUM(AD20:AG20)</f>
        <v>444.11</v>
      </c>
      <c r="AI20" s="76">
        <v>8575.62</v>
      </c>
      <c r="AJ20" s="76">
        <v>20000</v>
      </c>
      <c r="AK20" s="76">
        <v>1776.44</v>
      </c>
      <c r="AL20" s="72"/>
      <c r="AM20" s="72"/>
      <c r="AN20" s="72"/>
      <c r="AO20" s="72"/>
      <c r="AP20" s="72"/>
      <c r="AQ20" s="71">
        <f t="shared" si="5"/>
        <v>13678.08</v>
      </c>
      <c r="AR20" s="71">
        <f t="shared" si="6"/>
        <v>2220.55</v>
      </c>
      <c r="AS20" s="83">
        <f t="shared" si="7"/>
        <v>25000</v>
      </c>
      <c r="AT20" s="83"/>
      <c r="AU20" s="71">
        <f t="shared" si="8"/>
        <v>-13542.47</v>
      </c>
      <c r="AV20" s="84">
        <f>5*MAX(0,AU20*{0.6;2;4;5;6;7;9}%-{0;504;3384;6384;10584;17184;36384})</f>
        <v>0</v>
      </c>
      <c r="AW20" s="86"/>
      <c r="AX20" s="84">
        <f t="shared" si="9"/>
        <v>0</v>
      </c>
      <c r="AY20" s="59"/>
      <c r="AZ20" s="93">
        <f t="shared" ref="AZ20:AZ39" si="12">V20-AH20-AX20</f>
        <v>4658.35</v>
      </c>
      <c r="BA20" s="95"/>
    </row>
    <row r="21" s="4" customFormat="1" ht="25" customHeight="1" spans="1:53">
      <c r="A21" s="14">
        <v>14</v>
      </c>
      <c r="B21" s="37" t="s">
        <v>113</v>
      </c>
      <c r="C21" s="29" t="s">
        <v>82</v>
      </c>
      <c r="D21" s="29" t="s">
        <v>106</v>
      </c>
      <c r="E21" s="29" t="s">
        <v>89</v>
      </c>
      <c r="F21" s="29" t="s">
        <v>84</v>
      </c>
      <c r="G21" s="30" t="s">
        <v>114</v>
      </c>
      <c r="H21" s="30" t="s">
        <v>115</v>
      </c>
      <c r="I21" s="29"/>
      <c r="J21" s="49">
        <v>1830</v>
      </c>
      <c r="K21" s="49">
        <f>200</f>
        <v>200</v>
      </c>
      <c r="L21" s="49">
        <f>300</f>
        <v>300</v>
      </c>
      <c r="M21" s="49">
        <v>200</v>
      </c>
      <c r="N21" s="49">
        <v>100</v>
      </c>
      <c r="O21" s="49">
        <f t="shared" si="10"/>
        <v>100</v>
      </c>
      <c r="P21" s="49">
        <v>20</v>
      </c>
      <c r="Q21" s="49"/>
      <c r="R21" s="49">
        <f>J21/21.75/8*33.5*1.5+J21/21.75/8*58.5*2</f>
        <v>1759.01</v>
      </c>
      <c r="S21" s="49"/>
      <c r="U21" s="64"/>
      <c r="V21" s="60">
        <f>SUM(J21:S21)-T22+U21</f>
        <v>4509.01</v>
      </c>
      <c r="W21" s="61">
        <v>431.52</v>
      </c>
      <c r="X21" s="61">
        <v>19.42</v>
      </c>
      <c r="Y21" s="61">
        <v>210.34</v>
      </c>
      <c r="Z21" s="61">
        <v>32.36</v>
      </c>
      <c r="AA21" s="61">
        <v>7.28</v>
      </c>
      <c r="AB21" s="61">
        <v>25.89</v>
      </c>
      <c r="AC21" s="61">
        <v>107</v>
      </c>
      <c r="AD21" s="67">
        <v>254</v>
      </c>
      <c r="AE21" s="61">
        <v>69.26</v>
      </c>
      <c r="AF21" s="61">
        <v>13.85</v>
      </c>
      <c r="AG21" s="77">
        <v>107</v>
      </c>
      <c r="AH21" s="49">
        <f t="shared" si="11"/>
        <v>444.11</v>
      </c>
      <c r="AI21" s="76">
        <v>10109.52</v>
      </c>
      <c r="AJ21" s="76">
        <v>20000</v>
      </c>
      <c r="AK21" s="76">
        <v>1776.44</v>
      </c>
      <c r="AL21" s="72"/>
      <c r="AM21" s="72"/>
      <c r="AN21" s="72"/>
      <c r="AO21" s="72"/>
      <c r="AP21" s="72"/>
      <c r="AQ21" s="71">
        <f t="shared" si="5"/>
        <v>14618.53</v>
      </c>
      <c r="AR21" s="71">
        <f t="shared" si="6"/>
        <v>2220.55</v>
      </c>
      <c r="AS21" s="83">
        <f t="shared" si="7"/>
        <v>25000</v>
      </c>
      <c r="AT21" s="83"/>
      <c r="AU21" s="71">
        <f t="shared" si="8"/>
        <v>-12602.02</v>
      </c>
      <c r="AV21" s="84">
        <f>5*MAX(0,AU21*{0.6;2;4;5;6;7;9}%-{0;504;3384;6384;10584;17184;36384})</f>
        <v>0</v>
      </c>
      <c r="AW21" s="86"/>
      <c r="AX21" s="84">
        <f t="shared" si="9"/>
        <v>0</v>
      </c>
      <c r="AY21" s="59"/>
      <c r="AZ21" s="93">
        <f t="shared" si="12"/>
        <v>4064.9</v>
      </c>
      <c r="BA21" s="95"/>
    </row>
    <row r="22" s="4" customFormat="1" ht="25" customHeight="1" spans="1:53">
      <c r="A22" s="14">
        <v>15</v>
      </c>
      <c r="B22" s="38" t="s">
        <v>116</v>
      </c>
      <c r="C22" s="29" t="s">
        <v>82</v>
      </c>
      <c r="D22" s="29" t="s">
        <v>117</v>
      </c>
      <c r="E22" s="29" t="s">
        <v>89</v>
      </c>
      <c r="F22" s="29" t="s">
        <v>84</v>
      </c>
      <c r="G22" s="30" t="s">
        <v>118</v>
      </c>
      <c r="H22" s="30" t="s">
        <v>119</v>
      </c>
      <c r="I22" s="29"/>
      <c r="J22" s="49">
        <v>1830</v>
      </c>
      <c r="K22" s="49">
        <f>200</f>
        <v>200</v>
      </c>
      <c r="L22" s="49">
        <f>300</f>
        <v>300</v>
      </c>
      <c r="M22" s="49">
        <v>200</v>
      </c>
      <c r="N22" s="49">
        <v>100</v>
      </c>
      <c r="O22" s="49">
        <f t="shared" si="10"/>
        <v>100</v>
      </c>
      <c r="P22" s="49">
        <v>20</v>
      </c>
      <c r="Q22" s="49"/>
      <c r="R22" s="49">
        <f>J22/21.75/8*33.5*1.5+J22/21.75/8*58*2</f>
        <v>1748.49</v>
      </c>
      <c r="S22" s="49">
        <v>400</v>
      </c>
      <c r="T22" s="49"/>
      <c r="U22" s="64"/>
      <c r="V22" s="60">
        <f>SUM(J22:S22)-T23+U22</f>
        <v>4898.49</v>
      </c>
      <c r="W22" s="61">
        <v>431.52</v>
      </c>
      <c r="X22" s="61">
        <v>19.42</v>
      </c>
      <c r="Y22" s="61">
        <v>210.34</v>
      </c>
      <c r="Z22" s="61">
        <v>32.36</v>
      </c>
      <c r="AA22" s="61">
        <v>7.28</v>
      </c>
      <c r="AB22" s="61">
        <v>25.89</v>
      </c>
      <c r="AC22" s="61">
        <v>107</v>
      </c>
      <c r="AD22" s="67">
        <v>254</v>
      </c>
      <c r="AE22" s="61">
        <v>69.26</v>
      </c>
      <c r="AF22" s="61">
        <v>13.85</v>
      </c>
      <c r="AG22" s="49">
        <v>107</v>
      </c>
      <c r="AH22" s="49">
        <f t="shared" si="11"/>
        <v>444.11</v>
      </c>
      <c r="AI22" s="76">
        <v>10937.41</v>
      </c>
      <c r="AJ22" s="76">
        <v>20000</v>
      </c>
      <c r="AK22" s="76">
        <v>1776.44</v>
      </c>
      <c r="AL22" s="72"/>
      <c r="AM22" s="72"/>
      <c r="AN22" s="72"/>
      <c r="AO22" s="72"/>
      <c r="AP22" s="72"/>
      <c r="AQ22" s="71">
        <f t="shared" si="5"/>
        <v>15835.9</v>
      </c>
      <c r="AR22" s="71">
        <f t="shared" si="6"/>
        <v>2220.55</v>
      </c>
      <c r="AS22" s="83">
        <f t="shared" si="7"/>
        <v>25000</v>
      </c>
      <c r="AT22" s="83"/>
      <c r="AU22" s="71">
        <f t="shared" si="8"/>
        <v>-11384.65</v>
      </c>
      <c r="AV22" s="84">
        <f>5*MAX(0,AU22*{0.6;2;4;5;6;7;9}%-{0;504;3384;6384;10584;17184;36384})</f>
        <v>0</v>
      </c>
      <c r="AW22" s="86"/>
      <c r="AX22" s="84">
        <f t="shared" si="9"/>
        <v>0</v>
      </c>
      <c r="AY22" s="59"/>
      <c r="AZ22" s="93">
        <f t="shared" si="12"/>
        <v>4454.38</v>
      </c>
      <c r="BA22" s="95"/>
    </row>
    <row r="23" s="4" customFormat="1" ht="25" customHeight="1" spans="1:53">
      <c r="A23" s="14">
        <v>16</v>
      </c>
      <c r="B23" s="38" t="s">
        <v>120</v>
      </c>
      <c r="C23" s="29" t="s">
        <v>82</v>
      </c>
      <c r="D23" s="29" t="s">
        <v>106</v>
      </c>
      <c r="E23" s="29" t="s">
        <v>89</v>
      </c>
      <c r="F23" s="29" t="s">
        <v>84</v>
      </c>
      <c r="G23" s="30" t="s">
        <v>121</v>
      </c>
      <c r="H23" s="30" t="s">
        <v>122</v>
      </c>
      <c r="I23" s="29"/>
      <c r="J23" s="49">
        <v>1830</v>
      </c>
      <c r="K23" s="49">
        <f>200</f>
        <v>200</v>
      </c>
      <c r="L23" s="49">
        <f>300</f>
        <v>300</v>
      </c>
      <c r="M23" s="49">
        <v>200</v>
      </c>
      <c r="N23" s="49">
        <v>100</v>
      </c>
      <c r="O23" s="49">
        <f t="shared" si="10"/>
        <v>100</v>
      </c>
      <c r="P23" s="49">
        <v>20</v>
      </c>
      <c r="Q23" s="49"/>
      <c r="R23" s="49">
        <f>J23/21.75/8*28*1.5+J23/21.75/8*57.5*2</f>
        <v>1651.21</v>
      </c>
      <c r="S23" s="49"/>
      <c r="T23" s="49"/>
      <c r="U23" s="64"/>
      <c r="V23" s="60">
        <f t="shared" ref="V19:V39" si="13">SUM(J23:S23)-T23+U23</f>
        <v>4401.21</v>
      </c>
      <c r="W23" s="61">
        <v>431.52</v>
      </c>
      <c r="X23" s="61">
        <v>19.42</v>
      </c>
      <c r="Y23" s="61">
        <v>210.34</v>
      </c>
      <c r="Z23" s="61">
        <v>32.36</v>
      </c>
      <c r="AA23" s="61">
        <v>7.28</v>
      </c>
      <c r="AB23" s="61">
        <v>25.89</v>
      </c>
      <c r="AC23" s="61">
        <v>107</v>
      </c>
      <c r="AD23" s="67">
        <v>254</v>
      </c>
      <c r="AE23" s="61">
        <v>69.26</v>
      </c>
      <c r="AF23" s="61">
        <v>13.85</v>
      </c>
      <c r="AG23" s="49">
        <v>107</v>
      </c>
      <c r="AH23" s="49">
        <f t="shared" si="11"/>
        <v>444.11</v>
      </c>
      <c r="AI23" s="76">
        <v>10111.38</v>
      </c>
      <c r="AJ23" s="76">
        <v>20000</v>
      </c>
      <c r="AK23" s="76">
        <v>1776.44</v>
      </c>
      <c r="AL23" s="72"/>
      <c r="AM23" s="72"/>
      <c r="AN23" s="72"/>
      <c r="AO23" s="72"/>
      <c r="AP23" s="72"/>
      <c r="AQ23" s="71">
        <f t="shared" si="5"/>
        <v>14512.59</v>
      </c>
      <c r="AR23" s="71">
        <f t="shared" si="6"/>
        <v>2220.55</v>
      </c>
      <c r="AS23" s="83">
        <f t="shared" si="7"/>
        <v>25000</v>
      </c>
      <c r="AT23" s="83"/>
      <c r="AU23" s="71">
        <f t="shared" si="8"/>
        <v>-12707.96</v>
      </c>
      <c r="AV23" s="84">
        <f>5*MAX(0,AU23*{0.6;2;4;5;6;7;9}%-{0;504;3384;6384;10584;17184;36384})</f>
        <v>0</v>
      </c>
      <c r="AW23" s="86"/>
      <c r="AX23" s="84">
        <f t="shared" si="9"/>
        <v>0</v>
      </c>
      <c r="AY23" s="59"/>
      <c r="AZ23" s="93">
        <f t="shared" si="12"/>
        <v>3957.1</v>
      </c>
      <c r="BA23" s="95"/>
    </row>
    <row r="24" s="4" customFormat="1" ht="25" customHeight="1" spans="1:53">
      <c r="A24" s="14">
        <v>17</v>
      </c>
      <c r="B24" s="38" t="s">
        <v>123</v>
      </c>
      <c r="C24" s="29" t="s">
        <v>82</v>
      </c>
      <c r="D24" s="29" t="s">
        <v>117</v>
      </c>
      <c r="E24" s="29" t="s">
        <v>89</v>
      </c>
      <c r="F24" s="29" t="s">
        <v>84</v>
      </c>
      <c r="G24" s="30" t="s">
        <v>124</v>
      </c>
      <c r="H24" s="30" t="s">
        <v>125</v>
      </c>
      <c r="I24" s="29"/>
      <c r="J24" s="49">
        <v>1830</v>
      </c>
      <c r="K24" s="49">
        <f>300</f>
        <v>300</v>
      </c>
      <c r="L24" s="49">
        <f>300</f>
        <v>300</v>
      </c>
      <c r="M24" s="49">
        <v>200</v>
      </c>
      <c r="N24" s="49">
        <v>100</v>
      </c>
      <c r="O24" s="49">
        <f t="shared" si="10"/>
        <v>100</v>
      </c>
      <c r="P24" s="49">
        <v>20</v>
      </c>
      <c r="Q24" s="49"/>
      <c r="R24" s="49">
        <f>J24/21.75/8*30*1.5+J24/21.75/8*58*2</f>
        <v>1693.28</v>
      </c>
      <c r="S24" s="49">
        <v>400</v>
      </c>
      <c r="T24" s="49"/>
      <c r="U24" s="64"/>
      <c r="V24" s="60">
        <f t="shared" si="13"/>
        <v>4943.28</v>
      </c>
      <c r="W24" s="61">
        <v>431.52</v>
      </c>
      <c r="X24" s="61">
        <v>19.42</v>
      </c>
      <c r="Y24" s="61">
        <v>210.34</v>
      </c>
      <c r="Z24" s="61">
        <v>32.36</v>
      </c>
      <c r="AA24" s="61">
        <v>7.28</v>
      </c>
      <c r="AB24" s="61">
        <v>25.89</v>
      </c>
      <c r="AC24" s="61">
        <v>107</v>
      </c>
      <c r="AD24" s="67">
        <v>254</v>
      </c>
      <c r="AE24" s="61">
        <v>69.26</v>
      </c>
      <c r="AF24" s="61">
        <v>13.85</v>
      </c>
      <c r="AG24" s="49">
        <v>107</v>
      </c>
      <c r="AH24" s="49">
        <f t="shared" si="11"/>
        <v>444.11</v>
      </c>
      <c r="AI24" s="76">
        <v>11294.4</v>
      </c>
      <c r="AJ24" s="76">
        <v>20000</v>
      </c>
      <c r="AK24" s="76">
        <v>1776.44</v>
      </c>
      <c r="AL24" s="72"/>
      <c r="AM24" s="72"/>
      <c r="AN24" s="72"/>
      <c r="AO24" s="72"/>
      <c r="AP24" s="72"/>
      <c r="AQ24" s="71">
        <f t="shared" si="5"/>
        <v>16237.68</v>
      </c>
      <c r="AR24" s="71">
        <f t="shared" si="6"/>
        <v>2220.55</v>
      </c>
      <c r="AS24" s="83">
        <f t="shared" si="7"/>
        <v>25000</v>
      </c>
      <c r="AT24" s="83"/>
      <c r="AU24" s="71">
        <f t="shared" si="8"/>
        <v>-10982.87</v>
      </c>
      <c r="AV24" s="84">
        <f>5*MAX(0,AU24*{0.6;2;4;5;6;7;9}%-{0;504;3384;6384;10584;17184;36384})</f>
        <v>0</v>
      </c>
      <c r="AW24" s="86"/>
      <c r="AX24" s="84">
        <f t="shared" si="9"/>
        <v>0</v>
      </c>
      <c r="AY24" s="59"/>
      <c r="AZ24" s="93">
        <f t="shared" si="12"/>
        <v>4499.17</v>
      </c>
      <c r="BA24" s="94"/>
    </row>
    <row r="25" s="4" customFormat="1" ht="25" customHeight="1" spans="1:53">
      <c r="A25" s="14">
        <v>18</v>
      </c>
      <c r="B25" s="39" t="s">
        <v>126</v>
      </c>
      <c r="C25" s="30" t="s">
        <v>82</v>
      </c>
      <c r="D25" s="30" t="s">
        <v>83</v>
      </c>
      <c r="E25" s="29" t="s">
        <v>56</v>
      </c>
      <c r="F25" s="29" t="s">
        <v>57</v>
      </c>
      <c r="G25" s="30" t="s">
        <v>127</v>
      </c>
      <c r="H25" s="30" t="s">
        <v>128</v>
      </c>
      <c r="I25" s="29"/>
      <c r="J25" s="49">
        <v>1830</v>
      </c>
      <c r="K25" s="49">
        <f>900</f>
        <v>900</v>
      </c>
      <c r="L25" s="49">
        <f>800*1.045</f>
        <v>836</v>
      </c>
      <c r="M25" s="49">
        <v>200</v>
      </c>
      <c r="N25" s="49">
        <v>100</v>
      </c>
      <c r="O25" s="49">
        <f>1470</f>
        <v>1470</v>
      </c>
      <c r="P25" s="49">
        <v>20</v>
      </c>
      <c r="Q25" s="49"/>
      <c r="R25" s="49"/>
      <c r="S25" s="49"/>
      <c r="T25" s="49"/>
      <c r="U25" s="64"/>
      <c r="V25" s="60">
        <f t="shared" si="13"/>
        <v>5356</v>
      </c>
      <c r="W25" s="61">
        <v>431.52</v>
      </c>
      <c r="X25" s="61">
        <v>19.42</v>
      </c>
      <c r="Y25" s="61">
        <v>210.34</v>
      </c>
      <c r="Z25" s="61">
        <v>32.36</v>
      </c>
      <c r="AA25" s="61">
        <v>7.28</v>
      </c>
      <c r="AB25" s="61">
        <v>25.89</v>
      </c>
      <c r="AC25" s="61">
        <v>107</v>
      </c>
      <c r="AD25" s="67">
        <v>254</v>
      </c>
      <c r="AE25" s="61">
        <v>69.26</v>
      </c>
      <c r="AF25" s="61">
        <v>13.85</v>
      </c>
      <c r="AG25" s="49">
        <v>107</v>
      </c>
      <c r="AH25" s="49">
        <f t="shared" si="11"/>
        <v>444.11</v>
      </c>
      <c r="AI25" s="76">
        <v>19738.69</v>
      </c>
      <c r="AJ25" s="76">
        <v>20000</v>
      </c>
      <c r="AK25" s="76">
        <v>1776.44</v>
      </c>
      <c r="AL25" s="72"/>
      <c r="AM25" s="72"/>
      <c r="AN25" s="72"/>
      <c r="AO25" s="72"/>
      <c r="AP25" s="72"/>
      <c r="AQ25" s="71">
        <f t="shared" si="5"/>
        <v>25094.69</v>
      </c>
      <c r="AR25" s="71">
        <f t="shared" si="6"/>
        <v>2220.55</v>
      </c>
      <c r="AS25" s="83">
        <f t="shared" si="7"/>
        <v>25000</v>
      </c>
      <c r="AT25" s="83"/>
      <c r="AU25" s="71">
        <f t="shared" si="8"/>
        <v>-2125.86</v>
      </c>
      <c r="AV25" s="84">
        <f>5*MAX(0,AU25*{0.6;2;4;5;6;7;9}%-{0;504;3384;6384;10584;17184;36384})</f>
        <v>0</v>
      </c>
      <c r="AW25" s="86"/>
      <c r="AX25" s="84">
        <f t="shared" si="9"/>
        <v>0</v>
      </c>
      <c r="AY25" s="59"/>
      <c r="AZ25" s="93">
        <f t="shared" si="12"/>
        <v>4911.89</v>
      </c>
      <c r="BA25" s="95"/>
    </row>
    <row r="26" s="4" customFormat="1" ht="25" customHeight="1" spans="1:53">
      <c r="A26" s="14">
        <v>19</v>
      </c>
      <c r="B26" s="39" t="s">
        <v>129</v>
      </c>
      <c r="C26" s="30" t="s">
        <v>82</v>
      </c>
      <c r="D26" s="36" t="s">
        <v>106</v>
      </c>
      <c r="E26" s="29" t="s">
        <v>89</v>
      </c>
      <c r="F26" s="29" t="s">
        <v>84</v>
      </c>
      <c r="G26" s="30" t="s">
        <v>130</v>
      </c>
      <c r="H26" s="30" t="s">
        <v>131</v>
      </c>
      <c r="I26" s="29"/>
      <c r="J26" s="49">
        <v>1830</v>
      </c>
      <c r="K26" s="49">
        <f>200</f>
        <v>200</v>
      </c>
      <c r="L26" s="49">
        <f>300</f>
        <v>300</v>
      </c>
      <c r="M26" s="49">
        <v>200</v>
      </c>
      <c r="N26" s="49">
        <v>100</v>
      </c>
      <c r="O26" s="49">
        <f t="shared" ref="O26:O30" si="14">100</f>
        <v>100</v>
      </c>
      <c r="P26" s="49">
        <v>20</v>
      </c>
      <c r="Q26" s="49"/>
      <c r="R26" s="49">
        <f>J26/21.75/8*29.5*1.5+J26/21.75/8*60*2</f>
        <v>1727.46</v>
      </c>
      <c r="S26" s="49"/>
      <c r="T26" s="49"/>
      <c r="U26" s="64"/>
      <c r="V26" s="60">
        <f t="shared" si="13"/>
        <v>4477.46</v>
      </c>
      <c r="W26" s="61">
        <v>431.52</v>
      </c>
      <c r="X26" s="61">
        <v>19.42</v>
      </c>
      <c r="Y26" s="61">
        <v>210.34</v>
      </c>
      <c r="Z26" s="61">
        <v>32.36</v>
      </c>
      <c r="AA26" s="61">
        <v>7.28</v>
      </c>
      <c r="AB26" s="61">
        <v>25.89</v>
      </c>
      <c r="AC26" s="61">
        <v>107</v>
      </c>
      <c r="AD26" s="67">
        <v>254</v>
      </c>
      <c r="AE26" s="61">
        <v>69.26</v>
      </c>
      <c r="AF26" s="61">
        <v>13.85</v>
      </c>
      <c r="AG26" s="49">
        <v>107</v>
      </c>
      <c r="AH26" s="49">
        <f t="shared" si="11"/>
        <v>444.11</v>
      </c>
      <c r="AI26" s="76">
        <v>10011.47</v>
      </c>
      <c r="AJ26" s="76">
        <v>20000</v>
      </c>
      <c r="AK26" s="76">
        <v>1776.44</v>
      </c>
      <c r="AL26" s="72"/>
      <c r="AM26" s="72"/>
      <c r="AN26" s="72"/>
      <c r="AO26" s="72"/>
      <c r="AP26" s="72"/>
      <c r="AQ26" s="71">
        <f t="shared" si="5"/>
        <v>14488.93</v>
      </c>
      <c r="AR26" s="71">
        <f t="shared" si="6"/>
        <v>2220.55</v>
      </c>
      <c r="AS26" s="83">
        <f t="shared" si="7"/>
        <v>25000</v>
      </c>
      <c r="AT26" s="83"/>
      <c r="AU26" s="71">
        <f t="shared" si="8"/>
        <v>-12731.62</v>
      </c>
      <c r="AV26" s="84">
        <f>5*MAX(0,AU26*{0.6;2;4;5;6;7;9}%-{0;504;3384;6384;10584;17184;36384})</f>
        <v>0</v>
      </c>
      <c r="AW26" s="86"/>
      <c r="AX26" s="84">
        <f t="shared" si="9"/>
        <v>0</v>
      </c>
      <c r="AY26" s="59"/>
      <c r="AZ26" s="93">
        <f t="shared" si="12"/>
        <v>4033.35</v>
      </c>
      <c r="BA26" s="97"/>
    </row>
    <row r="27" s="4" customFormat="1" ht="25" customHeight="1" spans="1:53">
      <c r="A27" s="14">
        <v>20</v>
      </c>
      <c r="B27" s="40" t="s">
        <v>132</v>
      </c>
      <c r="C27" s="30" t="s">
        <v>82</v>
      </c>
      <c r="D27" s="36" t="s">
        <v>117</v>
      </c>
      <c r="E27" s="29" t="s">
        <v>89</v>
      </c>
      <c r="F27" s="29" t="s">
        <v>84</v>
      </c>
      <c r="G27" s="30" t="s">
        <v>133</v>
      </c>
      <c r="H27" s="30" t="s">
        <v>134</v>
      </c>
      <c r="I27" s="29"/>
      <c r="J27" s="49">
        <v>1830</v>
      </c>
      <c r="K27" s="49">
        <f>300</f>
        <v>300</v>
      </c>
      <c r="L27" s="49">
        <f>300</f>
        <v>300</v>
      </c>
      <c r="M27" s="49">
        <v>200</v>
      </c>
      <c r="N27" s="49">
        <v>100</v>
      </c>
      <c r="O27" s="49">
        <f t="shared" si="14"/>
        <v>100</v>
      </c>
      <c r="P27" s="49">
        <v>20</v>
      </c>
      <c r="Q27" s="49"/>
      <c r="R27" s="49">
        <f>J27/21.75/8*29.5*1.5+J27/21.75/8*57.5*2</f>
        <v>1674.87</v>
      </c>
      <c r="S27" s="49">
        <v>300</v>
      </c>
      <c r="T27" s="49"/>
      <c r="U27" s="64"/>
      <c r="V27" s="60">
        <f t="shared" si="13"/>
        <v>4824.87</v>
      </c>
      <c r="W27" s="61">
        <v>431.52</v>
      </c>
      <c r="X27" s="61">
        <v>19.42</v>
      </c>
      <c r="Y27" s="61">
        <v>210.34</v>
      </c>
      <c r="Z27" s="61">
        <v>32.36</v>
      </c>
      <c r="AA27" s="61">
        <v>7.28</v>
      </c>
      <c r="AB27" s="61">
        <v>25.89</v>
      </c>
      <c r="AC27" s="61">
        <v>107</v>
      </c>
      <c r="AD27" s="67">
        <v>254</v>
      </c>
      <c r="AE27" s="61">
        <v>69.26</v>
      </c>
      <c r="AF27" s="61">
        <v>13.85</v>
      </c>
      <c r="AG27" s="49">
        <v>107</v>
      </c>
      <c r="AH27" s="49">
        <f t="shared" si="11"/>
        <v>444.11</v>
      </c>
      <c r="AI27" s="76">
        <v>11262.85</v>
      </c>
      <c r="AJ27" s="76">
        <v>20000</v>
      </c>
      <c r="AK27" s="76">
        <v>1776.44</v>
      </c>
      <c r="AL27" s="72"/>
      <c r="AM27" s="72"/>
      <c r="AN27" s="72"/>
      <c r="AO27" s="72"/>
      <c r="AP27" s="72"/>
      <c r="AQ27" s="71">
        <f t="shared" si="5"/>
        <v>16087.72</v>
      </c>
      <c r="AR27" s="71">
        <f t="shared" si="6"/>
        <v>2220.55</v>
      </c>
      <c r="AS27" s="83">
        <f t="shared" si="7"/>
        <v>25000</v>
      </c>
      <c r="AT27" s="83"/>
      <c r="AU27" s="71">
        <f t="shared" si="8"/>
        <v>-11132.83</v>
      </c>
      <c r="AV27" s="84">
        <f>5*MAX(0,AU27*{0.6;2;4;5;6;7;9}%-{0;504;3384;6384;10584;17184;36384})</f>
        <v>0</v>
      </c>
      <c r="AW27" s="86"/>
      <c r="AX27" s="84">
        <f t="shared" si="9"/>
        <v>0</v>
      </c>
      <c r="AY27" s="59"/>
      <c r="AZ27" s="93">
        <f t="shared" si="12"/>
        <v>4380.76</v>
      </c>
      <c r="BA27" s="94"/>
    </row>
    <row r="28" s="4" customFormat="1" ht="25" customHeight="1" spans="1:53">
      <c r="A28" s="14">
        <v>21</v>
      </c>
      <c r="B28" s="41" t="s">
        <v>135</v>
      </c>
      <c r="C28" s="30" t="s">
        <v>82</v>
      </c>
      <c r="D28" s="36" t="s">
        <v>106</v>
      </c>
      <c r="E28" s="29" t="s">
        <v>89</v>
      </c>
      <c r="F28" s="29" t="s">
        <v>84</v>
      </c>
      <c r="G28" s="30" t="str">
        <f>VLOOKUP(B28,[1]在职汇总!$E$3:$G$98,3,FALSE)</f>
        <v>510112197612194823</v>
      </c>
      <c r="H28" s="30" t="s">
        <v>136</v>
      </c>
      <c r="I28" s="29"/>
      <c r="J28" s="49">
        <v>1830</v>
      </c>
      <c r="K28" s="49">
        <f>200</f>
        <v>200</v>
      </c>
      <c r="L28" s="49">
        <f>300</f>
        <v>300</v>
      </c>
      <c r="M28" s="49">
        <v>200</v>
      </c>
      <c r="N28" s="49">
        <v>100</v>
      </c>
      <c r="O28" s="49">
        <f t="shared" si="14"/>
        <v>100</v>
      </c>
      <c r="P28" s="49">
        <v>20</v>
      </c>
      <c r="Q28" s="49"/>
      <c r="R28" s="49">
        <f>J28/21.75/8*37.5*1.5+J28/21.75/8*59*2</f>
        <v>1832.63</v>
      </c>
      <c r="S28" s="49"/>
      <c r="T28" s="49"/>
      <c r="U28" s="64"/>
      <c r="V28" s="60">
        <f t="shared" si="13"/>
        <v>4582.63</v>
      </c>
      <c r="W28" s="61">
        <v>431.52</v>
      </c>
      <c r="X28" s="61">
        <v>19.42</v>
      </c>
      <c r="Y28" s="61">
        <v>210.34</v>
      </c>
      <c r="Z28" s="61">
        <v>32.36</v>
      </c>
      <c r="AA28" s="61">
        <v>7.28</v>
      </c>
      <c r="AB28" s="61">
        <v>25.89</v>
      </c>
      <c r="AC28" s="61">
        <v>107</v>
      </c>
      <c r="AD28" s="67">
        <v>254</v>
      </c>
      <c r="AE28" s="61">
        <v>69.26</v>
      </c>
      <c r="AF28" s="61">
        <v>13.85</v>
      </c>
      <c r="AG28" s="49">
        <v>107</v>
      </c>
      <c r="AH28" s="49">
        <f t="shared" si="11"/>
        <v>444.11</v>
      </c>
      <c r="AI28" s="76">
        <v>10247.01</v>
      </c>
      <c r="AJ28" s="76">
        <v>20000</v>
      </c>
      <c r="AK28" s="76">
        <v>1776.44</v>
      </c>
      <c r="AL28" s="72"/>
      <c r="AM28" s="72"/>
      <c r="AN28" s="72"/>
      <c r="AO28" s="72"/>
      <c r="AP28" s="72"/>
      <c r="AQ28" s="71">
        <f t="shared" si="5"/>
        <v>14829.64</v>
      </c>
      <c r="AR28" s="71">
        <f t="shared" si="6"/>
        <v>2220.55</v>
      </c>
      <c r="AS28" s="83">
        <f t="shared" si="7"/>
        <v>25000</v>
      </c>
      <c r="AT28" s="83"/>
      <c r="AU28" s="71">
        <f t="shared" si="8"/>
        <v>-12390.91</v>
      </c>
      <c r="AV28" s="84">
        <f>5*MAX(0,AU28*{0.6;2;4;5;6;7;9}%-{0;504;3384;6384;10584;17184;36384})</f>
        <v>0</v>
      </c>
      <c r="AW28" s="86"/>
      <c r="AX28" s="84">
        <f t="shared" si="9"/>
        <v>0</v>
      </c>
      <c r="AY28" s="59"/>
      <c r="AZ28" s="93">
        <f t="shared" si="12"/>
        <v>4138.52</v>
      </c>
      <c r="BA28" s="94"/>
    </row>
    <row r="29" s="4" customFormat="1" ht="25" customHeight="1" spans="1:53">
      <c r="A29" s="14">
        <v>22</v>
      </c>
      <c r="B29" s="41" t="s">
        <v>137</v>
      </c>
      <c r="C29" s="30" t="s">
        <v>82</v>
      </c>
      <c r="D29" s="36" t="s">
        <v>106</v>
      </c>
      <c r="E29" s="29" t="s">
        <v>89</v>
      </c>
      <c r="F29" s="29" t="s">
        <v>84</v>
      </c>
      <c r="G29" s="30" t="str">
        <f>VLOOKUP(B29,[1]在职汇总!$E$3:$G$98,3,FALSE)</f>
        <v>510112197906120723</v>
      </c>
      <c r="H29" s="30" t="s">
        <v>138</v>
      </c>
      <c r="I29" s="29"/>
      <c r="J29" s="49">
        <v>1830</v>
      </c>
      <c r="K29" s="49">
        <f>200</f>
        <v>200</v>
      </c>
      <c r="L29" s="49">
        <f>300</f>
        <v>300</v>
      </c>
      <c r="M29" s="49">
        <v>200</v>
      </c>
      <c r="N29" s="49">
        <v>100</v>
      </c>
      <c r="O29" s="49">
        <f t="shared" si="14"/>
        <v>100</v>
      </c>
      <c r="P29" s="49">
        <v>20</v>
      </c>
      <c r="Q29" s="49"/>
      <c r="R29" s="49">
        <f>J29/21.75/8*29.5*1.5+J29/21.75/8*56*2</f>
        <v>1643.32</v>
      </c>
      <c r="S29" s="49"/>
      <c r="T29" s="49"/>
      <c r="U29" s="64"/>
      <c r="V29" s="60">
        <f t="shared" si="13"/>
        <v>4393.32</v>
      </c>
      <c r="W29" s="61">
        <v>431.52</v>
      </c>
      <c r="X29" s="61">
        <v>19.42</v>
      </c>
      <c r="Y29" s="61">
        <v>210.34</v>
      </c>
      <c r="Z29" s="61">
        <v>32.36</v>
      </c>
      <c r="AA29" s="61">
        <v>7.28</v>
      </c>
      <c r="AB29" s="61">
        <v>25.89</v>
      </c>
      <c r="AC29" s="61">
        <v>107</v>
      </c>
      <c r="AD29" s="67">
        <v>254</v>
      </c>
      <c r="AE29" s="61">
        <v>69.26</v>
      </c>
      <c r="AF29" s="61">
        <v>13.85</v>
      </c>
      <c r="AG29" s="49">
        <v>107</v>
      </c>
      <c r="AH29" s="49">
        <f t="shared" si="11"/>
        <v>444.11</v>
      </c>
      <c r="AI29" s="76">
        <v>10339.96</v>
      </c>
      <c r="AJ29" s="76">
        <v>20000</v>
      </c>
      <c r="AK29" s="76">
        <v>1776.44</v>
      </c>
      <c r="AL29" s="72"/>
      <c r="AM29" s="72"/>
      <c r="AN29" s="72"/>
      <c r="AO29" s="72"/>
      <c r="AP29" s="72"/>
      <c r="AQ29" s="71">
        <f t="shared" si="5"/>
        <v>14733.28</v>
      </c>
      <c r="AR29" s="71">
        <f t="shared" si="6"/>
        <v>2220.55</v>
      </c>
      <c r="AS29" s="83">
        <f t="shared" si="7"/>
        <v>25000</v>
      </c>
      <c r="AT29" s="83"/>
      <c r="AU29" s="71">
        <f t="shared" si="8"/>
        <v>-12487.27</v>
      </c>
      <c r="AV29" s="84">
        <f>5*MAX(0,AU29*{0.6;2;4;5;6;7;9}%-{0;504;3384;6384;10584;17184;36384})</f>
        <v>0</v>
      </c>
      <c r="AW29" s="86"/>
      <c r="AX29" s="84">
        <f t="shared" si="9"/>
        <v>0</v>
      </c>
      <c r="AY29" s="59"/>
      <c r="AZ29" s="93">
        <f t="shared" si="12"/>
        <v>3949.21</v>
      </c>
      <c r="BA29" s="94"/>
    </row>
    <row r="30" s="4" customFormat="1" ht="25" customHeight="1" spans="1:53">
      <c r="A30" s="14">
        <v>23</v>
      </c>
      <c r="B30" s="41" t="s">
        <v>139</v>
      </c>
      <c r="C30" s="30" t="s">
        <v>82</v>
      </c>
      <c r="D30" s="36" t="s">
        <v>106</v>
      </c>
      <c r="E30" s="29" t="s">
        <v>89</v>
      </c>
      <c r="F30" s="29" t="s">
        <v>84</v>
      </c>
      <c r="G30" s="30" t="str">
        <f>VLOOKUP(B30,[1]在职汇总!$E$3:$G$98,3,FALSE)</f>
        <v>510122197903022362</v>
      </c>
      <c r="H30" s="118" t="s">
        <v>140</v>
      </c>
      <c r="I30" s="29"/>
      <c r="J30" s="49">
        <v>1830</v>
      </c>
      <c r="K30" s="49">
        <f>400</f>
        <v>400</v>
      </c>
      <c r="L30" s="49">
        <f>300</f>
        <v>300</v>
      </c>
      <c r="M30" s="49">
        <v>200</v>
      </c>
      <c r="N30" s="49">
        <v>100</v>
      </c>
      <c r="O30" s="49">
        <f t="shared" si="14"/>
        <v>100</v>
      </c>
      <c r="P30" s="49">
        <v>20</v>
      </c>
      <c r="Q30" s="49"/>
      <c r="R30" s="49">
        <f>J30/21.75/8*29*1.5+J30/21.75/8*54*2</f>
        <v>1593.36</v>
      </c>
      <c r="S30" s="49"/>
      <c r="T30" s="49"/>
      <c r="U30" s="49"/>
      <c r="V30" s="60">
        <f t="shared" si="13"/>
        <v>4543.36</v>
      </c>
      <c r="W30" s="61">
        <v>431.52</v>
      </c>
      <c r="X30" s="61">
        <v>19.42</v>
      </c>
      <c r="Y30" s="61">
        <v>210.34</v>
      </c>
      <c r="Z30" s="61">
        <v>32.36</v>
      </c>
      <c r="AA30" s="61">
        <v>7.28</v>
      </c>
      <c r="AB30" s="61">
        <v>25.89</v>
      </c>
      <c r="AC30" s="61">
        <v>107</v>
      </c>
      <c r="AD30" s="67">
        <v>254</v>
      </c>
      <c r="AE30" s="61">
        <v>69.26</v>
      </c>
      <c r="AF30" s="61">
        <v>13.85</v>
      </c>
      <c r="AG30" s="49">
        <v>107</v>
      </c>
      <c r="AH30" s="49">
        <f t="shared" si="11"/>
        <v>444.11</v>
      </c>
      <c r="AI30" s="76">
        <v>10886.81</v>
      </c>
      <c r="AJ30" s="76">
        <v>20000</v>
      </c>
      <c r="AK30" s="76">
        <v>1776.44</v>
      </c>
      <c r="AL30" s="72"/>
      <c r="AM30" s="72"/>
      <c r="AN30" s="72"/>
      <c r="AO30" s="72"/>
      <c r="AP30" s="72"/>
      <c r="AQ30" s="71">
        <f t="shared" si="5"/>
        <v>15430.17</v>
      </c>
      <c r="AR30" s="71">
        <f t="shared" si="6"/>
        <v>2220.55</v>
      </c>
      <c r="AS30" s="83">
        <f t="shared" si="7"/>
        <v>25000</v>
      </c>
      <c r="AT30" s="83"/>
      <c r="AU30" s="71">
        <f t="shared" si="8"/>
        <v>-11790.38</v>
      </c>
      <c r="AV30" s="84">
        <f>5*MAX(0,AU30*{0.6;2;4;5;6;7;9}%-{0;504;3384;6384;10584;17184;36384})</f>
        <v>0</v>
      </c>
      <c r="AW30" s="86"/>
      <c r="AX30" s="84">
        <f t="shared" si="9"/>
        <v>0</v>
      </c>
      <c r="AY30" s="59"/>
      <c r="AZ30" s="93">
        <f t="shared" si="12"/>
        <v>4099.25</v>
      </c>
      <c r="BA30" s="94"/>
    </row>
    <row r="31" s="4" customFormat="1" ht="25" customHeight="1" spans="1:53">
      <c r="A31" s="14">
        <v>24</v>
      </c>
      <c r="B31" s="41" t="s">
        <v>141</v>
      </c>
      <c r="C31" s="30" t="s">
        <v>82</v>
      </c>
      <c r="D31" s="36" t="s">
        <v>106</v>
      </c>
      <c r="E31" s="29" t="s">
        <v>89</v>
      </c>
      <c r="F31" s="29" t="s">
        <v>84</v>
      </c>
      <c r="G31" s="30" t="s">
        <v>142</v>
      </c>
      <c r="H31" s="118" t="s">
        <v>143</v>
      </c>
      <c r="I31" s="29"/>
      <c r="J31" s="49">
        <v>1830</v>
      </c>
      <c r="K31" s="49">
        <f>600</f>
        <v>600</v>
      </c>
      <c r="L31" s="49">
        <f>400</f>
        <v>400</v>
      </c>
      <c r="M31" s="49">
        <v>200</v>
      </c>
      <c r="N31" s="49">
        <v>100</v>
      </c>
      <c r="O31" s="49"/>
      <c r="P31" s="49">
        <v>20</v>
      </c>
      <c r="Q31" s="49"/>
      <c r="R31" s="49">
        <f>J31/21.75/8*29.5*1.5+J31/21.75/8*57.5*2</f>
        <v>1674.87</v>
      </c>
      <c r="S31" s="49"/>
      <c r="T31" s="49"/>
      <c r="U31" s="49"/>
      <c r="V31" s="60">
        <f t="shared" si="13"/>
        <v>4824.87</v>
      </c>
      <c r="W31" s="61">
        <v>431.52</v>
      </c>
      <c r="X31" s="61">
        <v>19.42</v>
      </c>
      <c r="Y31" s="61">
        <v>210.34</v>
      </c>
      <c r="Z31" s="61">
        <v>32.36</v>
      </c>
      <c r="AA31" s="61">
        <v>7.28</v>
      </c>
      <c r="AB31" s="61">
        <v>25.89</v>
      </c>
      <c r="AC31" s="61">
        <v>107</v>
      </c>
      <c r="AD31" s="67">
        <v>254</v>
      </c>
      <c r="AE31" s="61">
        <v>69.26</v>
      </c>
      <c r="AF31" s="61">
        <v>13.85</v>
      </c>
      <c r="AG31" s="49">
        <v>107</v>
      </c>
      <c r="AH31" s="49">
        <f t="shared" si="11"/>
        <v>444.11</v>
      </c>
      <c r="AI31" s="76">
        <v>11499.4</v>
      </c>
      <c r="AJ31" s="76">
        <v>20000</v>
      </c>
      <c r="AK31" s="76">
        <v>1776.44</v>
      </c>
      <c r="AL31" s="72"/>
      <c r="AM31" s="72"/>
      <c r="AN31" s="72"/>
      <c r="AO31" s="72"/>
      <c r="AP31" s="72"/>
      <c r="AQ31" s="71">
        <f t="shared" si="5"/>
        <v>16324.27</v>
      </c>
      <c r="AR31" s="71">
        <f t="shared" si="6"/>
        <v>2220.55</v>
      </c>
      <c r="AS31" s="83">
        <f t="shared" si="7"/>
        <v>25000</v>
      </c>
      <c r="AT31" s="83"/>
      <c r="AU31" s="71">
        <f t="shared" si="8"/>
        <v>-10896.28</v>
      </c>
      <c r="AV31" s="84">
        <f>5*MAX(0,AU31*{0.6;2;4;5;6;7;9}%-{0;504;3384;6384;10584;17184;36384})</f>
        <v>0</v>
      </c>
      <c r="AW31" s="86"/>
      <c r="AX31" s="84">
        <f t="shared" si="9"/>
        <v>0</v>
      </c>
      <c r="AY31" s="59"/>
      <c r="AZ31" s="93">
        <f t="shared" si="12"/>
        <v>4380.76</v>
      </c>
      <c r="BA31" s="94"/>
    </row>
    <row r="32" s="4" customFormat="1" ht="25" customHeight="1" spans="1:53">
      <c r="A32" s="14">
        <v>25</v>
      </c>
      <c r="B32" s="41" t="s">
        <v>144</v>
      </c>
      <c r="C32" s="30" t="s">
        <v>82</v>
      </c>
      <c r="D32" s="36" t="s">
        <v>106</v>
      </c>
      <c r="E32" s="29" t="s">
        <v>89</v>
      </c>
      <c r="F32" s="29" t="s">
        <v>84</v>
      </c>
      <c r="G32" s="30" t="s">
        <v>145</v>
      </c>
      <c r="H32" s="118" t="s">
        <v>146</v>
      </c>
      <c r="I32" s="29"/>
      <c r="J32" s="49">
        <v>1830</v>
      </c>
      <c r="K32" s="49">
        <f>200</f>
        <v>200</v>
      </c>
      <c r="L32" s="49">
        <f>300</f>
        <v>300</v>
      </c>
      <c r="M32" s="49">
        <v>200</v>
      </c>
      <c r="N32" s="49">
        <v>100</v>
      </c>
      <c r="O32" s="49">
        <f t="shared" ref="O32:O38" si="15">100</f>
        <v>100</v>
      </c>
      <c r="P32" s="49">
        <v>20</v>
      </c>
      <c r="Q32" s="49"/>
      <c r="R32" s="49">
        <f>J32/21.75/8*28.5*1.5+J32/21.75/8*58*2</f>
        <v>1669.61</v>
      </c>
      <c r="S32" s="49"/>
      <c r="T32" s="49"/>
      <c r="U32" s="49"/>
      <c r="V32" s="60">
        <f t="shared" si="13"/>
        <v>4419.61</v>
      </c>
      <c r="W32" s="61">
        <v>431.52</v>
      </c>
      <c r="X32" s="61">
        <v>19.42</v>
      </c>
      <c r="Y32" s="61">
        <v>210.34</v>
      </c>
      <c r="Z32" s="61">
        <v>32.36</v>
      </c>
      <c r="AA32" s="61">
        <v>7.28</v>
      </c>
      <c r="AB32" s="61">
        <v>25.89</v>
      </c>
      <c r="AC32" s="61">
        <v>107</v>
      </c>
      <c r="AD32" s="67">
        <v>254</v>
      </c>
      <c r="AE32" s="61">
        <v>69.26</v>
      </c>
      <c r="AF32" s="61">
        <v>13.85</v>
      </c>
      <c r="AG32" s="49">
        <v>107</v>
      </c>
      <c r="AH32" s="49">
        <f t="shared" si="11"/>
        <v>444.11</v>
      </c>
      <c r="AI32" s="76">
        <v>10252.42</v>
      </c>
      <c r="AJ32" s="76">
        <v>20000</v>
      </c>
      <c r="AK32" s="76">
        <v>1776.44</v>
      </c>
      <c r="AL32" s="72"/>
      <c r="AM32" s="72"/>
      <c r="AN32" s="72"/>
      <c r="AO32" s="72"/>
      <c r="AP32" s="72"/>
      <c r="AQ32" s="71">
        <f t="shared" si="5"/>
        <v>14672.03</v>
      </c>
      <c r="AR32" s="71">
        <f t="shared" si="6"/>
        <v>2220.55</v>
      </c>
      <c r="AS32" s="83">
        <f t="shared" si="7"/>
        <v>25000</v>
      </c>
      <c r="AT32" s="83"/>
      <c r="AU32" s="71">
        <f t="shared" si="8"/>
        <v>-12548.52</v>
      </c>
      <c r="AV32" s="84">
        <f>5*MAX(0,AU32*{0.6;2;4;5;6;7;9}%-{0;504;3384;6384;10584;17184;36384})</f>
        <v>0</v>
      </c>
      <c r="AW32" s="86"/>
      <c r="AX32" s="84">
        <f t="shared" si="9"/>
        <v>0</v>
      </c>
      <c r="AY32" s="59"/>
      <c r="AZ32" s="93">
        <f t="shared" si="12"/>
        <v>3975.5</v>
      </c>
      <c r="BA32" s="94"/>
    </row>
    <row r="33" s="4" customFormat="1" ht="25" customHeight="1" spans="1:53">
      <c r="A33" s="14">
        <v>26</v>
      </c>
      <c r="B33" s="41" t="s">
        <v>147</v>
      </c>
      <c r="C33" s="30" t="s">
        <v>82</v>
      </c>
      <c r="D33" s="36" t="s">
        <v>106</v>
      </c>
      <c r="E33" s="29" t="s">
        <v>89</v>
      </c>
      <c r="F33" s="29" t="s">
        <v>84</v>
      </c>
      <c r="G33" s="30" t="s">
        <v>148</v>
      </c>
      <c r="H33" s="118" t="s">
        <v>149</v>
      </c>
      <c r="I33" s="29"/>
      <c r="J33" s="49">
        <v>1830</v>
      </c>
      <c r="K33" s="49">
        <f t="shared" ref="K33:K38" si="16">200</f>
        <v>200</v>
      </c>
      <c r="L33" s="49">
        <f t="shared" ref="L33:L38" si="17">300</f>
        <v>300</v>
      </c>
      <c r="M33" s="49">
        <v>200</v>
      </c>
      <c r="N33" s="49">
        <v>100</v>
      </c>
      <c r="O33" s="49">
        <f t="shared" si="15"/>
        <v>100</v>
      </c>
      <c r="P33" s="49">
        <v>20</v>
      </c>
      <c r="Q33" s="49"/>
      <c r="R33" s="49">
        <f>J33/21.75/8*28*1.5+J33/21.75/8*46*2</f>
        <v>1409.31</v>
      </c>
      <c r="S33" s="49"/>
      <c r="T33" s="49"/>
      <c r="U33" s="49"/>
      <c r="V33" s="60">
        <f t="shared" si="13"/>
        <v>4159.31</v>
      </c>
      <c r="W33" s="61">
        <v>431.52</v>
      </c>
      <c r="X33" s="61">
        <v>19.42</v>
      </c>
      <c r="Y33" s="61">
        <v>210.34</v>
      </c>
      <c r="Z33" s="61">
        <v>32.36</v>
      </c>
      <c r="AA33" s="61">
        <v>7.28</v>
      </c>
      <c r="AB33" s="61">
        <v>25.89</v>
      </c>
      <c r="AC33" s="61">
        <v>107</v>
      </c>
      <c r="AD33" s="67">
        <v>254</v>
      </c>
      <c r="AE33" s="61">
        <v>69.26</v>
      </c>
      <c r="AF33" s="61">
        <v>13.85</v>
      </c>
      <c r="AG33" s="49">
        <v>107</v>
      </c>
      <c r="AH33" s="49">
        <f t="shared" si="11"/>
        <v>444.11</v>
      </c>
      <c r="AI33" s="76">
        <v>9970.77</v>
      </c>
      <c r="AJ33" s="76">
        <v>20000</v>
      </c>
      <c r="AK33" s="76">
        <v>1776.44</v>
      </c>
      <c r="AL33" s="72"/>
      <c r="AM33" s="72"/>
      <c r="AN33" s="72"/>
      <c r="AO33" s="72"/>
      <c r="AP33" s="72"/>
      <c r="AQ33" s="71">
        <f t="shared" si="5"/>
        <v>14130.08</v>
      </c>
      <c r="AR33" s="71">
        <f t="shared" si="6"/>
        <v>2220.55</v>
      </c>
      <c r="AS33" s="83">
        <f t="shared" si="7"/>
        <v>25000</v>
      </c>
      <c r="AT33" s="83"/>
      <c r="AU33" s="71">
        <f t="shared" si="8"/>
        <v>-13090.47</v>
      </c>
      <c r="AV33" s="84">
        <f>5*MAX(0,AU33*{0.6;2;4;5;6;7;9}%-{0;504;3384;6384;10584;17184;36384})</f>
        <v>0</v>
      </c>
      <c r="AW33" s="86"/>
      <c r="AX33" s="84">
        <f t="shared" si="9"/>
        <v>0</v>
      </c>
      <c r="AY33" s="59"/>
      <c r="AZ33" s="93">
        <f t="shared" si="12"/>
        <v>3715.2</v>
      </c>
      <c r="BA33" s="94"/>
    </row>
    <row r="34" s="4" customFormat="1" ht="25" customHeight="1" spans="1:53">
      <c r="A34" s="14">
        <v>27</v>
      </c>
      <c r="B34" s="35" t="s">
        <v>150</v>
      </c>
      <c r="C34" s="30" t="s">
        <v>82</v>
      </c>
      <c r="D34" s="36" t="s">
        <v>106</v>
      </c>
      <c r="E34" s="29" t="s">
        <v>89</v>
      </c>
      <c r="F34" s="29" t="s">
        <v>84</v>
      </c>
      <c r="G34" s="118" t="s">
        <v>151</v>
      </c>
      <c r="H34" s="118" t="s">
        <v>152</v>
      </c>
      <c r="I34" s="29"/>
      <c r="J34" s="49">
        <v>1830</v>
      </c>
      <c r="K34" s="49">
        <f t="shared" si="16"/>
        <v>200</v>
      </c>
      <c r="L34" s="49">
        <f t="shared" si="17"/>
        <v>300</v>
      </c>
      <c r="M34" s="49">
        <v>200</v>
      </c>
      <c r="N34" s="49">
        <v>100</v>
      </c>
      <c r="O34" s="49">
        <f t="shared" si="15"/>
        <v>100</v>
      </c>
      <c r="P34" s="49">
        <v>20</v>
      </c>
      <c r="Q34" s="49"/>
      <c r="R34" s="49">
        <f>J34/21.75/8*26.5*1.5+J34/21.75/8*41.5*2</f>
        <v>1290.99</v>
      </c>
      <c r="S34" s="49"/>
      <c r="T34" s="49"/>
      <c r="U34" s="49"/>
      <c r="V34" s="60">
        <f t="shared" si="13"/>
        <v>4040.99</v>
      </c>
      <c r="W34" s="61">
        <v>431.52</v>
      </c>
      <c r="X34" s="61">
        <v>19.42</v>
      </c>
      <c r="Y34" s="61">
        <v>210.34</v>
      </c>
      <c r="Z34" s="61">
        <v>32.36</v>
      </c>
      <c r="AA34" s="61">
        <v>7.28</v>
      </c>
      <c r="AB34" s="61">
        <v>25.89</v>
      </c>
      <c r="AC34" s="61">
        <v>107</v>
      </c>
      <c r="AD34" s="67">
        <v>254</v>
      </c>
      <c r="AE34" s="61">
        <v>69.26</v>
      </c>
      <c r="AF34" s="61">
        <v>13.85</v>
      </c>
      <c r="AG34" s="49">
        <v>107</v>
      </c>
      <c r="AH34" s="49">
        <f t="shared" si="11"/>
        <v>444.11</v>
      </c>
      <c r="AI34" s="72">
        <v>10329.44</v>
      </c>
      <c r="AJ34" s="76">
        <v>20000</v>
      </c>
      <c r="AK34" s="72">
        <v>1776.44</v>
      </c>
      <c r="AL34" s="72"/>
      <c r="AM34" s="72"/>
      <c r="AN34" s="72"/>
      <c r="AO34" s="72"/>
      <c r="AP34" s="72"/>
      <c r="AQ34" s="71">
        <f t="shared" si="5"/>
        <v>14370.43</v>
      </c>
      <c r="AR34" s="71">
        <f t="shared" si="6"/>
        <v>2220.55</v>
      </c>
      <c r="AS34" s="83">
        <f t="shared" si="7"/>
        <v>25000</v>
      </c>
      <c r="AT34" s="83"/>
      <c r="AU34" s="71">
        <f t="shared" si="8"/>
        <v>-12850.12</v>
      </c>
      <c r="AV34" s="84">
        <f>5*MAX(0,AU34*{0.6;2;4;5;6;7;9}%-{0;504;3384;6384;10584;17184;36384})</f>
        <v>0</v>
      </c>
      <c r="AW34" s="86"/>
      <c r="AX34" s="84">
        <f t="shared" si="9"/>
        <v>0</v>
      </c>
      <c r="AY34" s="59"/>
      <c r="AZ34" s="93">
        <f t="shared" si="12"/>
        <v>3596.88</v>
      </c>
      <c r="BA34" s="94"/>
    </row>
    <row r="35" s="4" customFormat="1" ht="25" customHeight="1" spans="1:53">
      <c r="A35" s="14">
        <v>28</v>
      </c>
      <c r="B35" s="42" t="s">
        <v>153</v>
      </c>
      <c r="C35" s="30" t="s">
        <v>82</v>
      </c>
      <c r="D35" s="36" t="s">
        <v>106</v>
      </c>
      <c r="E35" s="29" t="s">
        <v>89</v>
      </c>
      <c r="F35" s="29" t="s">
        <v>84</v>
      </c>
      <c r="G35" s="30" t="s">
        <v>154</v>
      </c>
      <c r="H35" s="30" t="s">
        <v>155</v>
      </c>
      <c r="I35" s="29"/>
      <c r="J35" s="49">
        <v>1830</v>
      </c>
      <c r="K35" s="49">
        <f t="shared" si="16"/>
        <v>200</v>
      </c>
      <c r="L35" s="49">
        <f t="shared" si="17"/>
        <v>300</v>
      </c>
      <c r="M35" s="49">
        <v>200</v>
      </c>
      <c r="N35" s="49">
        <v>100</v>
      </c>
      <c r="O35" s="49">
        <f t="shared" si="15"/>
        <v>100</v>
      </c>
      <c r="P35" s="49">
        <v>20</v>
      </c>
      <c r="Q35" s="49"/>
      <c r="R35" s="49">
        <f>J35/21.75/8*28*1.5+J35/21.75/8*56*2</f>
        <v>1619.66</v>
      </c>
      <c r="S35" s="49"/>
      <c r="T35" s="49"/>
      <c r="U35" s="49">
        <v>20</v>
      </c>
      <c r="V35" s="60">
        <f t="shared" si="13"/>
        <v>4389.66</v>
      </c>
      <c r="W35" s="61"/>
      <c r="X35" s="61"/>
      <c r="Y35" s="61"/>
      <c r="Z35" s="61"/>
      <c r="AA35" s="61"/>
      <c r="AB35" s="61"/>
      <c r="AC35" s="61"/>
      <c r="AD35" s="67">
        <v>254</v>
      </c>
      <c r="AE35" s="61">
        <v>69.26</v>
      </c>
      <c r="AF35" s="61">
        <v>13.85</v>
      </c>
      <c r="AG35" s="49">
        <f t="shared" ref="AG35:AG38" si="18">107</f>
        <v>107</v>
      </c>
      <c r="AH35" s="49">
        <f t="shared" si="11"/>
        <v>444.11</v>
      </c>
      <c r="AI35" s="72">
        <v>10065.26</v>
      </c>
      <c r="AJ35" s="76">
        <v>20000</v>
      </c>
      <c r="AK35" s="72">
        <v>1776.44</v>
      </c>
      <c r="AL35" s="72"/>
      <c r="AM35" s="72"/>
      <c r="AN35" s="72"/>
      <c r="AO35" s="72"/>
      <c r="AP35" s="72"/>
      <c r="AQ35" s="71">
        <f t="shared" si="5"/>
        <v>14454.92</v>
      </c>
      <c r="AR35" s="71">
        <f t="shared" si="6"/>
        <v>2220.55</v>
      </c>
      <c r="AS35" s="83">
        <f t="shared" si="7"/>
        <v>25000</v>
      </c>
      <c r="AT35" s="83"/>
      <c r="AU35" s="71">
        <f t="shared" si="8"/>
        <v>-12765.63</v>
      </c>
      <c r="AV35" s="84">
        <f>5*MAX(0,AU35*{0.6;2;4;5;6;7;9}%-{0;504;3384;6384;10584;17184;36384})</f>
        <v>0</v>
      </c>
      <c r="AW35" s="86"/>
      <c r="AX35" s="84">
        <f t="shared" si="9"/>
        <v>0</v>
      </c>
      <c r="AY35" s="59"/>
      <c r="AZ35" s="93">
        <f t="shared" si="12"/>
        <v>3945.55</v>
      </c>
      <c r="BA35" s="94"/>
    </row>
    <row r="36" s="4" customFormat="1" ht="25" customHeight="1" spans="1:53">
      <c r="A36" s="14">
        <v>29</v>
      </c>
      <c r="B36" s="42" t="s">
        <v>156</v>
      </c>
      <c r="C36" s="30" t="s">
        <v>82</v>
      </c>
      <c r="D36" s="36" t="s">
        <v>106</v>
      </c>
      <c r="E36" s="29" t="s">
        <v>89</v>
      </c>
      <c r="F36" s="29" t="s">
        <v>84</v>
      </c>
      <c r="G36" s="30" t="s">
        <v>157</v>
      </c>
      <c r="H36" s="30" t="s">
        <v>158</v>
      </c>
      <c r="I36" s="29"/>
      <c r="J36" s="49">
        <v>1830</v>
      </c>
      <c r="K36" s="49">
        <f t="shared" si="16"/>
        <v>200</v>
      </c>
      <c r="L36" s="49">
        <f t="shared" si="17"/>
        <v>300</v>
      </c>
      <c r="M36" s="49">
        <v>200</v>
      </c>
      <c r="N36" s="49">
        <v>100</v>
      </c>
      <c r="O36" s="49">
        <f t="shared" si="15"/>
        <v>100</v>
      </c>
      <c r="P36" s="49">
        <v>20</v>
      </c>
      <c r="Q36" s="49"/>
      <c r="R36" s="49">
        <f>J36/21.75/8*29.5*1.5+J36/21.75/8*57.5*2</f>
        <v>1674.87</v>
      </c>
      <c r="S36" s="49"/>
      <c r="T36" s="49"/>
      <c r="U36" s="49">
        <v>20</v>
      </c>
      <c r="V36" s="60">
        <f t="shared" si="13"/>
        <v>4444.87</v>
      </c>
      <c r="W36" s="61"/>
      <c r="X36" s="61"/>
      <c r="Y36" s="61"/>
      <c r="Z36" s="61"/>
      <c r="AA36" s="61"/>
      <c r="AB36" s="61"/>
      <c r="AC36" s="61"/>
      <c r="AD36" s="67">
        <v>254</v>
      </c>
      <c r="AE36" s="61">
        <v>69.26</v>
      </c>
      <c r="AF36" s="61">
        <v>13.85</v>
      </c>
      <c r="AG36" s="49">
        <f t="shared" si="18"/>
        <v>107</v>
      </c>
      <c r="AH36" s="49">
        <f t="shared" si="11"/>
        <v>444.11</v>
      </c>
      <c r="AI36" s="72">
        <v>10036.33</v>
      </c>
      <c r="AJ36" s="76">
        <v>20000</v>
      </c>
      <c r="AK36" s="72">
        <v>1776.44</v>
      </c>
      <c r="AL36" s="72"/>
      <c r="AM36" s="72"/>
      <c r="AN36" s="72"/>
      <c r="AO36" s="72"/>
      <c r="AP36" s="72"/>
      <c r="AQ36" s="71">
        <f t="shared" si="5"/>
        <v>14481.2</v>
      </c>
      <c r="AR36" s="71">
        <f t="shared" si="6"/>
        <v>2220.55</v>
      </c>
      <c r="AS36" s="83">
        <f t="shared" si="7"/>
        <v>25000</v>
      </c>
      <c r="AT36" s="83"/>
      <c r="AU36" s="71">
        <f t="shared" si="8"/>
        <v>-12739.35</v>
      </c>
      <c r="AV36" s="84">
        <f>5*MAX(0,AU36*{0.6;2;4;5;6;7;9}%-{0;504;3384;6384;10584;17184;36384})</f>
        <v>0</v>
      </c>
      <c r="AW36" s="86"/>
      <c r="AX36" s="84">
        <f t="shared" si="9"/>
        <v>0</v>
      </c>
      <c r="AY36" s="59"/>
      <c r="AZ36" s="93">
        <f t="shared" si="12"/>
        <v>4000.76</v>
      </c>
      <c r="BA36" s="98"/>
    </row>
    <row r="37" s="4" customFormat="1" ht="25" customHeight="1" spans="1:53">
      <c r="A37" s="14">
        <v>30</v>
      </c>
      <c r="B37" s="43" t="s">
        <v>159</v>
      </c>
      <c r="C37" s="30" t="s">
        <v>82</v>
      </c>
      <c r="D37" s="36" t="s">
        <v>106</v>
      </c>
      <c r="E37" s="29" t="s">
        <v>89</v>
      </c>
      <c r="F37" s="29" t="s">
        <v>84</v>
      </c>
      <c r="G37" s="30" t="s">
        <v>160</v>
      </c>
      <c r="H37" s="30" t="s">
        <v>161</v>
      </c>
      <c r="I37" s="29"/>
      <c r="J37" s="49">
        <v>1830</v>
      </c>
      <c r="K37" s="49">
        <f t="shared" si="16"/>
        <v>200</v>
      </c>
      <c r="L37" s="49">
        <f t="shared" si="17"/>
        <v>300</v>
      </c>
      <c r="M37" s="49">
        <v>200</v>
      </c>
      <c r="N37" s="49">
        <v>100</v>
      </c>
      <c r="O37" s="49">
        <f t="shared" si="15"/>
        <v>100</v>
      </c>
      <c r="P37" s="49">
        <v>20</v>
      </c>
      <c r="Q37" s="49"/>
      <c r="R37" s="49">
        <f>J37/21.75/8*29.5*1.5+J37/21.75/8*57.5*2</f>
        <v>1674.87</v>
      </c>
      <c r="S37" s="49"/>
      <c r="T37" s="49"/>
      <c r="U37" s="49">
        <v>20</v>
      </c>
      <c r="V37" s="60">
        <f t="shared" si="13"/>
        <v>4444.87</v>
      </c>
      <c r="W37" s="61"/>
      <c r="X37" s="61"/>
      <c r="Y37" s="61"/>
      <c r="Z37" s="61"/>
      <c r="AA37" s="61"/>
      <c r="AB37" s="61"/>
      <c r="AC37" s="61"/>
      <c r="AD37" s="67">
        <v>254</v>
      </c>
      <c r="AE37" s="61">
        <v>69.26</v>
      </c>
      <c r="AF37" s="61">
        <v>13.85</v>
      </c>
      <c r="AG37" s="49">
        <f t="shared" si="18"/>
        <v>107</v>
      </c>
      <c r="AH37" s="49">
        <f t="shared" si="11"/>
        <v>444.11</v>
      </c>
      <c r="AI37" s="72">
        <v>10109.96</v>
      </c>
      <c r="AJ37" s="76">
        <v>20000</v>
      </c>
      <c r="AK37" s="72">
        <v>1776.44</v>
      </c>
      <c r="AL37" s="72"/>
      <c r="AM37" s="72"/>
      <c r="AN37" s="72"/>
      <c r="AO37" s="72"/>
      <c r="AP37" s="72"/>
      <c r="AQ37" s="71">
        <f t="shared" si="5"/>
        <v>14554.83</v>
      </c>
      <c r="AR37" s="71">
        <f t="shared" si="6"/>
        <v>2220.55</v>
      </c>
      <c r="AS37" s="83">
        <f t="shared" si="7"/>
        <v>25000</v>
      </c>
      <c r="AT37" s="83"/>
      <c r="AU37" s="71">
        <f t="shared" si="8"/>
        <v>-12665.72</v>
      </c>
      <c r="AV37" s="84">
        <f>5*MAX(0,AU37*{0.6;2;4;5;6;7;9}%-{0;504;3384;6384;10584;17184;36384})</f>
        <v>0</v>
      </c>
      <c r="AW37" s="86">
        <v>0</v>
      </c>
      <c r="AX37" s="84">
        <f t="shared" si="9"/>
        <v>0</v>
      </c>
      <c r="AY37" s="59"/>
      <c r="AZ37" s="93">
        <f t="shared" si="12"/>
        <v>4000.76</v>
      </c>
      <c r="BA37" s="95"/>
    </row>
    <row r="38" s="4" customFormat="1" ht="25" customHeight="1" spans="1:53">
      <c r="A38" s="14">
        <v>31</v>
      </c>
      <c r="B38" s="43" t="s">
        <v>162</v>
      </c>
      <c r="C38" s="30" t="s">
        <v>82</v>
      </c>
      <c r="D38" s="36" t="s">
        <v>106</v>
      </c>
      <c r="E38" s="29" t="s">
        <v>89</v>
      </c>
      <c r="F38" s="29"/>
      <c r="G38" s="30" t="s">
        <v>163</v>
      </c>
      <c r="H38" s="30"/>
      <c r="I38" s="29"/>
      <c r="J38" s="49">
        <f>1830*0.8</f>
        <v>1464</v>
      </c>
      <c r="K38" s="49">
        <f>200*0.8</f>
        <v>160</v>
      </c>
      <c r="L38" s="49">
        <f>300*0.8</f>
        <v>240</v>
      </c>
      <c r="M38" s="49"/>
      <c r="N38" s="49">
        <v>100</v>
      </c>
      <c r="O38" s="49">
        <f>100*0.8</f>
        <v>80</v>
      </c>
      <c r="P38" s="49"/>
      <c r="Q38" s="49"/>
      <c r="R38" s="49">
        <f>J38/21.75/8*4*1.5+J38/21.75/8*0*2</f>
        <v>50.48</v>
      </c>
      <c r="S38" s="49"/>
      <c r="T38" s="49">
        <f>(O38+N38+L38+K38+J38)/23*19</f>
        <v>1688.52</v>
      </c>
      <c r="U38" s="49"/>
      <c r="V38" s="60">
        <f t="shared" si="13"/>
        <v>405.96</v>
      </c>
      <c r="W38" s="61"/>
      <c r="X38" s="61"/>
      <c r="Y38" s="61"/>
      <c r="Z38" s="61"/>
      <c r="AA38" s="61"/>
      <c r="AB38" s="61"/>
      <c r="AC38" s="61"/>
      <c r="AD38" s="67"/>
      <c r="AE38" s="61"/>
      <c r="AF38" s="61"/>
      <c r="AG38" s="49"/>
      <c r="AH38" s="49"/>
      <c r="AI38" s="72"/>
      <c r="AJ38" s="76"/>
      <c r="AK38" s="72"/>
      <c r="AL38" s="72"/>
      <c r="AM38" s="72"/>
      <c r="AN38" s="72"/>
      <c r="AO38" s="72"/>
      <c r="AP38" s="72"/>
      <c r="AQ38" s="71"/>
      <c r="AR38" s="71"/>
      <c r="AS38" s="83"/>
      <c r="AT38" s="83"/>
      <c r="AU38" s="71"/>
      <c r="AV38" s="84"/>
      <c r="AW38" s="86"/>
      <c r="AX38" s="84">
        <f t="shared" si="9"/>
        <v>0</v>
      </c>
      <c r="AY38" s="59"/>
      <c r="AZ38" s="93">
        <f t="shared" si="12"/>
        <v>405.96</v>
      </c>
      <c r="BA38" s="95" t="s">
        <v>164</v>
      </c>
    </row>
    <row r="39" s="4" customFormat="1" ht="25" customHeight="1" spans="1:53">
      <c r="A39" s="14">
        <v>32</v>
      </c>
      <c r="B39" s="43" t="s">
        <v>165</v>
      </c>
      <c r="C39" s="30" t="s">
        <v>82</v>
      </c>
      <c r="D39" s="36" t="s">
        <v>166</v>
      </c>
      <c r="E39" s="29" t="s">
        <v>89</v>
      </c>
      <c r="F39" s="29" t="s">
        <v>84</v>
      </c>
      <c r="G39" s="30" t="s">
        <v>167</v>
      </c>
      <c r="H39" s="30" t="s">
        <v>168</v>
      </c>
      <c r="I39" s="2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60"/>
      <c r="W39" s="61"/>
      <c r="X39" s="61"/>
      <c r="Y39" s="61"/>
      <c r="Z39" s="61"/>
      <c r="AA39" s="61"/>
      <c r="AB39" s="61"/>
      <c r="AC39" s="61"/>
      <c r="AD39" s="67">
        <v>254</v>
      </c>
      <c r="AE39" s="61">
        <v>69.26</v>
      </c>
      <c r="AF39" s="61">
        <v>13.85</v>
      </c>
      <c r="AG39" s="49">
        <f>107</f>
        <v>107</v>
      </c>
      <c r="AH39" s="49">
        <f>-SUM(AD39:AG39)</f>
        <v>-444.11</v>
      </c>
      <c r="AI39" s="72">
        <v>10474.91</v>
      </c>
      <c r="AJ39" s="76">
        <v>20000</v>
      </c>
      <c r="AK39" s="72">
        <v>1776.44</v>
      </c>
      <c r="AL39" s="72"/>
      <c r="AM39" s="72"/>
      <c r="AN39" s="72"/>
      <c r="AO39" s="72"/>
      <c r="AP39" s="72"/>
      <c r="AQ39" s="71">
        <f>V39+AI39</f>
        <v>10474.91</v>
      </c>
      <c r="AR39" s="71">
        <f>AH39+AK39</f>
        <v>1332.33</v>
      </c>
      <c r="AS39" s="83">
        <f>AJ39+5000</f>
        <v>25000</v>
      </c>
      <c r="AT39" s="83"/>
      <c r="AU39" s="71">
        <f>AQ39-AR39-AS39-AT39</f>
        <v>-15857.42</v>
      </c>
      <c r="AV39" s="84">
        <f>5*MAX(0,AU39*{0.6;2;4;5;6;7;9}%-{0;504;3384;6384;10584;17184;36384})</f>
        <v>0</v>
      </c>
      <c r="AW39" s="86"/>
      <c r="AX39" s="84">
        <f t="shared" si="9"/>
        <v>0</v>
      </c>
      <c r="AY39" s="59"/>
      <c r="AZ39" s="93">
        <f t="shared" si="12"/>
        <v>444.11</v>
      </c>
      <c r="BA39" s="95" t="s">
        <v>169</v>
      </c>
    </row>
    <row r="40" s="4" customFormat="1" ht="24" customHeight="1" spans="1:53">
      <c r="A40" s="33"/>
      <c r="B40" s="31" t="s">
        <v>170</v>
      </c>
      <c r="C40" s="32"/>
      <c r="D40" s="16"/>
      <c r="E40" s="16"/>
      <c r="F40" s="16"/>
      <c r="G40" s="30"/>
      <c r="H40" s="30"/>
      <c r="I40" s="16"/>
      <c r="J40" s="53">
        <f t="shared" ref="J40:AZ40" si="19">SUM(J18:J39)</f>
        <v>38064</v>
      </c>
      <c r="K40" s="53">
        <f t="shared" si="19"/>
        <v>8960</v>
      </c>
      <c r="L40" s="53">
        <f t="shared" si="19"/>
        <v>9195.6</v>
      </c>
      <c r="M40" s="53">
        <f t="shared" si="19"/>
        <v>4000</v>
      </c>
      <c r="N40" s="53">
        <f t="shared" si="19"/>
        <v>2100</v>
      </c>
      <c r="O40" s="53">
        <f t="shared" si="19"/>
        <v>3150</v>
      </c>
      <c r="P40" s="53">
        <f t="shared" si="19"/>
        <v>440</v>
      </c>
      <c r="Q40" s="53">
        <f t="shared" si="19"/>
        <v>0</v>
      </c>
      <c r="R40" s="53">
        <f t="shared" si="19"/>
        <v>29790.62</v>
      </c>
      <c r="S40" s="53">
        <f t="shared" si="19"/>
        <v>1100</v>
      </c>
      <c r="T40" s="53">
        <f t="shared" si="19"/>
        <v>1688.52</v>
      </c>
      <c r="U40" s="53">
        <f t="shared" si="19"/>
        <v>80</v>
      </c>
      <c r="V40" s="53">
        <f t="shared" si="19"/>
        <v>95191.7</v>
      </c>
      <c r="W40" s="53">
        <f t="shared" si="19"/>
        <v>7335.84</v>
      </c>
      <c r="X40" s="53">
        <f t="shared" si="19"/>
        <v>330.14</v>
      </c>
      <c r="Y40" s="53">
        <f t="shared" si="19"/>
        <v>3575.78</v>
      </c>
      <c r="Z40" s="53">
        <f t="shared" si="19"/>
        <v>550.12</v>
      </c>
      <c r="AA40" s="53">
        <f t="shared" si="19"/>
        <v>123.76</v>
      </c>
      <c r="AB40" s="53">
        <f t="shared" si="19"/>
        <v>440.13</v>
      </c>
      <c r="AC40" s="53">
        <f t="shared" si="19"/>
        <v>1831</v>
      </c>
      <c r="AD40" s="53">
        <f t="shared" si="19"/>
        <v>5374</v>
      </c>
      <c r="AE40" s="53">
        <f t="shared" si="19"/>
        <v>1458.7</v>
      </c>
      <c r="AF40" s="53">
        <f t="shared" si="19"/>
        <v>291.7</v>
      </c>
      <c r="AG40" s="53">
        <f t="shared" si="19"/>
        <v>2259</v>
      </c>
      <c r="AH40" s="53">
        <f t="shared" si="19"/>
        <v>8495.18</v>
      </c>
      <c r="AI40" s="53">
        <f t="shared" si="19"/>
        <v>246310.48</v>
      </c>
      <c r="AJ40" s="53">
        <f t="shared" si="19"/>
        <v>420000</v>
      </c>
      <c r="AK40" s="53">
        <f t="shared" si="19"/>
        <v>37443.42</v>
      </c>
      <c r="AL40" s="53">
        <f t="shared" si="19"/>
        <v>4000</v>
      </c>
      <c r="AM40" s="53">
        <f t="shared" si="19"/>
        <v>4000</v>
      </c>
      <c r="AN40" s="53">
        <f t="shared" si="19"/>
        <v>0</v>
      </c>
      <c r="AO40" s="53">
        <f t="shared" si="19"/>
        <v>0</v>
      </c>
      <c r="AP40" s="53">
        <f t="shared" si="19"/>
        <v>0</v>
      </c>
      <c r="AQ40" s="53">
        <f t="shared" si="19"/>
        <v>341096.22</v>
      </c>
      <c r="AR40" s="53">
        <f t="shared" si="19"/>
        <v>45938.6</v>
      </c>
      <c r="AS40" s="53">
        <f t="shared" si="19"/>
        <v>525000</v>
      </c>
      <c r="AT40" s="53">
        <f t="shared" si="19"/>
        <v>10000</v>
      </c>
      <c r="AU40" s="53">
        <f t="shared" si="19"/>
        <v>-239842.38</v>
      </c>
      <c r="AV40" s="53">
        <f t="shared" si="19"/>
        <v>0</v>
      </c>
      <c r="AW40" s="53">
        <f t="shared" si="19"/>
        <v>0</v>
      </c>
      <c r="AX40" s="53">
        <f t="shared" si="19"/>
        <v>0</v>
      </c>
      <c r="AY40" s="53">
        <f t="shared" si="19"/>
        <v>0</v>
      </c>
      <c r="AZ40" s="53">
        <f t="shared" si="19"/>
        <v>86696.52</v>
      </c>
      <c r="BA40" s="21"/>
    </row>
    <row r="41" s="4" customFormat="1" ht="25" customHeight="1" spans="1:53">
      <c r="A41" s="14">
        <v>33</v>
      </c>
      <c r="B41" s="42" t="s">
        <v>171</v>
      </c>
      <c r="C41" s="29" t="s">
        <v>82</v>
      </c>
      <c r="D41" s="29" t="s">
        <v>172</v>
      </c>
      <c r="E41" s="29" t="s">
        <v>56</v>
      </c>
      <c r="F41" s="29" t="s">
        <v>57</v>
      </c>
      <c r="G41" s="30" t="s">
        <v>173</v>
      </c>
      <c r="H41" s="30" t="s">
        <v>174</v>
      </c>
      <c r="I41" s="2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60"/>
      <c r="W41" s="61">
        <v>431.52</v>
      </c>
      <c r="X41" s="61">
        <v>19.42</v>
      </c>
      <c r="Y41" s="61">
        <v>210.34</v>
      </c>
      <c r="Z41" s="61">
        <v>32.36</v>
      </c>
      <c r="AA41" s="61">
        <v>7.28</v>
      </c>
      <c r="AB41" s="61">
        <v>25.89</v>
      </c>
      <c r="AC41" s="61">
        <v>107</v>
      </c>
      <c r="AD41" s="67">
        <v>270</v>
      </c>
      <c r="AE41" s="61">
        <v>69.26</v>
      </c>
      <c r="AF41" s="61">
        <v>13.85</v>
      </c>
      <c r="AG41" s="49">
        <v>107</v>
      </c>
      <c r="AH41" s="49">
        <f>-SUM(AD41:AG41)</f>
        <v>-460.11</v>
      </c>
      <c r="AI41" s="76">
        <v>25745.58</v>
      </c>
      <c r="AJ41" s="76">
        <v>20000</v>
      </c>
      <c r="AK41" s="76">
        <v>1808.44</v>
      </c>
      <c r="AL41" s="72"/>
      <c r="AM41" s="72"/>
      <c r="AN41" s="72">
        <v>1500</v>
      </c>
      <c r="AO41" s="72"/>
      <c r="AP41" s="72"/>
      <c r="AQ41" s="71">
        <f>V41+AI41</f>
        <v>25745.58</v>
      </c>
      <c r="AR41" s="71">
        <f>AH41+AK41</f>
        <v>1348.33</v>
      </c>
      <c r="AS41" s="83">
        <f>AJ41+5000</f>
        <v>25000</v>
      </c>
      <c r="AT41" s="83">
        <f>AN41+AL41+500</f>
        <v>2000</v>
      </c>
      <c r="AU41" s="71">
        <f>AQ41-AR41-AS41-AT41</f>
        <v>-2602.75</v>
      </c>
      <c r="AV41" s="84">
        <f>5*MAX(0,AU41*{0.6;2;4;5;6;7;9}%-{0;504;3384;6384;10584;17184;36384})</f>
        <v>0</v>
      </c>
      <c r="AW41" s="86">
        <v>85.39</v>
      </c>
      <c r="AX41" s="84">
        <f>IF(+AV41-AW41&gt;0,AV41-AW41,0)</f>
        <v>0</v>
      </c>
      <c r="AY41" s="59"/>
      <c r="AZ41" s="93">
        <f>V41-AH41-AX41</f>
        <v>460.11</v>
      </c>
      <c r="BA41" s="95" t="s">
        <v>169</v>
      </c>
    </row>
    <row r="42" s="4" customFormat="1" ht="30" customHeight="1" spans="1:53">
      <c r="A42" s="14">
        <v>34</v>
      </c>
      <c r="B42" s="37" t="s">
        <v>175</v>
      </c>
      <c r="C42" s="29" t="s">
        <v>82</v>
      </c>
      <c r="D42" s="44" t="s">
        <v>176</v>
      </c>
      <c r="E42" s="29" t="s">
        <v>177</v>
      </c>
      <c r="F42" s="29" t="s">
        <v>68</v>
      </c>
      <c r="G42" s="30" t="s">
        <v>178</v>
      </c>
      <c r="H42" s="118" t="s">
        <v>179</v>
      </c>
      <c r="I42" s="29"/>
      <c r="J42" s="49">
        <f>1830</f>
        <v>1830</v>
      </c>
      <c r="K42" s="49">
        <f>1600</f>
        <v>1600</v>
      </c>
      <c r="L42" s="49">
        <f>1100</f>
        <v>1100</v>
      </c>
      <c r="M42" s="49">
        <v>200</v>
      </c>
      <c r="N42" s="49">
        <f>100</f>
        <v>100</v>
      </c>
      <c r="O42" s="49"/>
      <c r="P42" s="49"/>
      <c r="Q42" s="49"/>
      <c r="R42" s="49">
        <f>J42/21.75/8*2*1.5+J42/21.75/8*56*2</f>
        <v>1209.48</v>
      </c>
      <c r="S42" s="49"/>
      <c r="T42" s="49"/>
      <c r="U42" s="60"/>
      <c r="V42" s="60">
        <f>SUM(J42:S42)-T42+U42</f>
        <v>6039.48</v>
      </c>
      <c r="W42" s="61">
        <v>19.42</v>
      </c>
      <c r="X42" s="61">
        <v>210.34</v>
      </c>
      <c r="Y42" s="61">
        <v>32.36</v>
      </c>
      <c r="Z42" s="61">
        <v>7.28</v>
      </c>
      <c r="AA42" s="61">
        <v>25.89</v>
      </c>
      <c r="AB42" s="61">
        <v>107</v>
      </c>
      <c r="AC42" s="61">
        <v>215.76</v>
      </c>
      <c r="AD42" s="67">
        <v>254</v>
      </c>
      <c r="AE42" s="61">
        <v>69.26</v>
      </c>
      <c r="AF42" s="61">
        <v>13.85</v>
      </c>
      <c r="AG42" s="49">
        <f>107</f>
        <v>107</v>
      </c>
      <c r="AH42" s="49">
        <f>SUM(AD42:AG42)</f>
        <v>444.11</v>
      </c>
      <c r="AI42" s="72">
        <v>6690.3</v>
      </c>
      <c r="AJ42" s="72">
        <v>10000</v>
      </c>
      <c r="AK42" s="72">
        <v>888.22</v>
      </c>
      <c r="AL42" s="72"/>
      <c r="AM42" s="72"/>
      <c r="AN42" s="72"/>
      <c r="AO42" s="72"/>
      <c r="AP42" s="71"/>
      <c r="AQ42" s="71">
        <f>V42+AI42</f>
        <v>12729.78</v>
      </c>
      <c r="AR42" s="71">
        <f>AH42+AK42</f>
        <v>1332.33</v>
      </c>
      <c r="AS42" s="83">
        <f>AJ42+5000</f>
        <v>15000</v>
      </c>
      <c r="AT42" s="71">
        <f>AP42-AQ42-AR42-AS42</f>
        <v>-29062.11</v>
      </c>
      <c r="AU42" s="84">
        <f>AT42*0.03</f>
        <v>-871.86</v>
      </c>
      <c r="AV42" s="86"/>
      <c r="AW42" s="84">
        <v>0</v>
      </c>
      <c r="AX42" s="84">
        <f>IF(+AV42-AW42&gt;0,AV42-AW42,0)</f>
        <v>0</v>
      </c>
      <c r="AY42" s="59"/>
      <c r="AZ42" s="93">
        <f>V42-AH42-AX42</f>
        <v>5595.37</v>
      </c>
      <c r="BA42" s="95"/>
    </row>
    <row r="43" s="4" customFormat="1" ht="23" customHeight="1" spans="1:53">
      <c r="A43" s="33"/>
      <c r="B43" s="31" t="s">
        <v>180</v>
      </c>
      <c r="C43" s="32"/>
      <c r="D43" s="16"/>
      <c r="E43" s="16"/>
      <c r="F43" s="16"/>
      <c r="G43" s="30"/>
      <c r="H43" s="30"/>
      <c r="I43" s="16"/>
      <c r="J43" s="53">
        <f t="shared" ref="J43:AZ43" si="20">SUM(J41:J42)</f>
        <v>1830</v>
      </c>
      <c r="K43" s="53">
        <f t="shared" si="20"/>
        <v>1600</v>
      </c>
      <c r="L43" s="53">
        <f t="shared" si="20"/>
        <v>1100</v>
      </c>
      <c r="M43" s="53">
        <f t="shared" si="20"/>
        <v>200</v>
      </c>
      <c r="N43" s="53">
        <f t="shared" si="20"/>
        <v>100</v>
      </c>
      <c r="O43" s="53">
        <f t="shared" si="20"/>
        <v>0</v>
      </c>
      <c r="P43" s="53">
        <f t="shared" si="20"/>
        <v>0</v>
      </c>
      <c r="Q43" s="53">
        <f t="shared" si="20"/>
        <v>0</v>
      </c>
      <c r="R43" s="53">
        <f t="shared" si="20"/>
        <v>1209.48</v>
      </c>
      <c r="S43" s="53">
        <f t="shared" si="20"/>
        <v>0</v>
      </c>
      <c r="T43" s="53">
        <f t="shared" si="20"/>
        <v>0</v>
      </c>
      <c r="U43" s="53">
        <f t="shared" si="20"/>
        <v>0</v>
      </c>
      <c r="V43" s="53">
        <f t="shared" si="20"/>
        <v>6039.48</v>
      </c>
      <c r="W43" s="53">
        <f t="shared" si="20"/>
        <v>450.94</v>
      </c>
      <c r="X43" s="53">
        <f t="shared" si="20"/>
        <v>229.76</v>
      </c>
      <c r="Y43" s="53">
        <f t="shared" si="20"/>
        <v>242.7</v>
      </c>
      <c r="Z43" s="53">
        <f t="shared" si="20"/>
        <v>39.64</v>
      </c>
      <c r="AA43" s="53">
        <f t="shared" si="20"/>
        <v>33.17</v>
      </c>
      <c r="AB43" s="53">
        <f t="shared" si="20"/>
        <v>132.89</v>
      </c>
      <c r="AC43" s="53">
        <f t="shared" si="20"/>
        <v>322.76</v>
      </c>
      <c r="AD43" s="53">
        <f t="shared" si="20"/>
        <v>524</v>
      </c>
      <c r="AE43" s="53">
        <f t="shared" si="20"/>
        <v>138.52</v>
      </c>
      <c r="AF43" s="53">
        <f t="shared" si="20"/>
        <v>27.7</v>
      </c>
      <c r="AG43" s="53">
        <f t="shared" si="20"/>
        <v>214</v>
      </c>
      <c r="AH43" s="53">
        <f t="shared" si="20"/>
        <v>-16</v>
      </c>
      <c r="AI43" s="53">
        <f t="shared" si="20"/>
        <v>32435.88</v>
      </c>
      <c r="AJ43" s="53">
        <f t="shared" si="20"/>
        <v>30000</v>
      </c>
      <c r="AK43" s="53">
        <f t="shared" si="20"/>
        <v>2696.66</v>
      </c>
      <c r="AL43" s="53">
        <f t="shared" si="20"/>
        <v>0</v>
      </c>
      <c r="AM43" s="53">
        <f t="shared" si="20"/>
        <v>0</v>
      </c>
      <c r="AN43" s="53">
        <f t="shared" si="20"/>
        <v>1500</v>
      </c>
      <c r="AO43" s="53">
        <f t="shared" si="20"/>
        <v>0</v>
      </c>
      <c r="AP43" s="53">
        <f t="shared" si="20"/>
        <v>0</v>
      </c>
      <c r="AQ43" s="53">
        <f t="shared" si="20"/>
        <v>38475.36</v>
      </c>
      <c r="AR43" s="53">
        <f t="shared" si="20"/>
        <v>2680.66</v>
      </c>
      <c r="AS43" s="53">
        <f t="shared" si="20"/>
        <v>40000</v>
      </c>
      <c r="AT43" s="53">
        <f t="shared" si="20"/>
        <v>-27062.11</v>
      </c>
      <c r="AU43" s="53">
        <f t="shared" si="20"/>
        <v>-3474.61</v>
      </c>
      <c r="AV43" s="53">
        <f t="shared" si="20"/>
        <v>0</v>
      </c>
      <c r="AW43" s="53">
        <f t="shared" si="20"/>
        <v>85.39</v>
      </c>
      <c r="AX43" s="53">
        <f t="shared" si="20"/>
        <v>0</v>
      </c>
      <c r="AY43" s="53">
        <f t="shared" si="20"/>
        <v>0</v>
      </c>
      <c r="AZ43" s="53">
        <f t="shared" si="20"/>
        <v>6055.48</v>
      </c>
      <c r="BA43" s="21"/>
    </row>
    <row r="44" s="22" customFormat="1" ht="25" customHeight="1" spans="1:53">
      <c r="A44" s="14">
        <v>35</v>
      </c>
      <c r="B44" s="45" t="s">
        <v>181</v>
      </c>
      <c r="C44" s="29" t="s">
        <v>182</v>
      </c>
      <c r="D44" s="46" t="s">
        <v>183</v>
      </c>
      <c r="E44" s="29" t="s">
        <v>56</v>
      </c>
      <c r="F44" s="29" t="s">
        <v>57</v>
      </c>
      <c r="G44" s="30" t="s">
        <v>184</v>
      </c>
      <c r="H44" s="118" t="s">
        <v>185</v>
      </c>
      <c r="I44" s="29"/>
      <c r="J44" s="49">
        <v>1830</v>
      </c>
      <c r="K44" s="49">
        <v>2400</v>
      </c>
      <c r="L44" s="49">
        <f>1770*(1.055+0.05)</f>
        <v>1955.85</v>
      </c>
      <c r="M44" s="49">
        <v>200</v>
      </c>
      <c r="N44" s="49">
        <v>100</v>
      </c>
      <c r="O44" s="49"/>
      <c r="P44" s="49">
        <v>20</v>
      </c>
      <c r="Q44" s="49"/>
      <c r="R44" s="49"/>
      <c r="S44" s="49"/>
      <c r="T44" s="49"/>
      <c r="U44" s="49"/>
      <c r="V44" s="60">
        <f>SUM(J44:S44)-T44+U44</f>
        <v>6505.85</v>
      </c>
      <c r="W44" s="61">
        <v>431.52</v>
      </c>
      <c r="X44" s="61">
        <v>19.42</v>
      </c>
      <c r="Y44" s="61">
        <v>210.34</v>
      </c>
      <c r="Z44" s="61">
        <v>32.36</v>
      </c>
      <c r="AA44" s="61">
        <v>7.28</v>
      </c>
      <c r="AB44" s="61">
        <v>25.89</v>
      </c>
      <c r="AC44" s="61">
        <v>119</v>
      </c>
      <c r="AD44" s="67">
        <v>270</v>
      </c>
      <c r="AE44" s="61">
        <v>69.26</v>
      </c>
      <c r="AF44" s="61">
        <v>13.85</v>
      </c>
      <c r="AG44" s="49">
        <v>119</v>
      </c>
      <c r="AH44" s="49">
        <f>SUM(AD44:AG44)</f>
        <v>472.11</v>
      </c>
      <c r="AI44" s="72">
        <v>25356.93</v>
      </c>
      <c r="AJ44" s="76">
        <v>20000</v>
      </c>
      <c r="AK44" s="72">
        <v>1856.44</v>
      </c>
      <c r="AL44" s="72"/>
      <c r="AM44" s="72"/>
      <c r="AN44" s="72">
        <v>3000</v>
      </c>
      <c r="AO44" s="72"/>
      <c r="AP44" s="72"/>
      <c r="AQ44" s="71">
        <f>V44+AI44</f>
        <v>31862.78</v>
      </c>
      <c r="AR44" s="71">
        <f>AH44+AK44</f>
        <v>2328.55</v>
      </c>
      <c r="AS44" s="83">
        <f>AJ44+5000</f>
        <v>25000</v>
      </c>
      <c r="AT44" s="83">
        <f>AN44+1000</f>
        <v>4000</v>
      </c>
      <c r="AU44" s="71">
        <f>AQ44-AR44-AS44-AT44</f>
        <v>534.23</v>
      </c>
      <c r="AV44" s="84">
        <f>5*MAX(0,AU44*{0.6;2;4;5;6;7;9}%-{0;504;3384;6384;10584;17184;36384})</f>
        <v>16.03</v>
      </c>
      <c r="AW44" s="86">
        <v>0</v>
      </c>
      <c r="AX44" s="84">
        <f>IF(+AV44-AW44&gt;0,AV44-AW44,0)</f>
        <v>16.03</v>
      </c>
      <c r="AY44" s="59"/>
      <c r="AZ44" s="93">
        <f>V44-AH44-AX44</f>
        <v>6017.71</v>
      </c>
      <c r="BA44" s="95"/>
    </row>
    <row r="45" s="4" customFormat="1" ht="25" customHeight="1" spans="1:53">
      <c r="A45" s="14">
        <v>36</v>
      </c>
      <c r="B45" s="29" t="s">
        <v>186</v>
      </c>
      <c r="C45" s="29" t="s">
        <v>182</v>
      </c>
      <c r="D45" s="29" t="s">
        <v>63</v>
      </c>
      <c r="E45" s="29" t="s">
        <v>56</v>
      </c>
      <c r="F45" s="29" t="s">
        <v>57</v>
      </c>
      <c r="G45" s="30" t="s">
        <v>187</v>
      </c>
      <c r="H45" s="30" t="s">
        <v>188</v>
      </c>
      <c r="I45" s="54"/>
      <c r="J45" s="49">
        <v>1830</v>
      </c>
      <c r="K45" s="49">
        <v>2400</v>
      </c>
      <c r="L45" s="49">
        <f>1770*(1.045+0.05)</f>
        <v>1938.15</v>
      </c>
      <c r="M45" s="49">
        <v>200</v>
      </c>
      <c r="N45" s="49">
        <v>100</v>
      </c>
      <c r="O45" s="49"/>
      <c r="P45" s="49">
        <v>40</v>
      </c>
      <c r="Q45" s="49"/>
      <c r="R45" s="49"/>
      <c r="S45" s="49"/>
      <c r="T45" s="49"/>
      <c r="U45" s="49"/>
      <c r="V45" s="60">
        <f>SUM(V44:V44)</f>
        <v>6505.85</v>
      </c>
      <c r="W45" s="65">
        <v>431.52</v>
      </c>
      <c r="X45" s="65">
        <v>19.42</v>
      </c>
      <c r="Y45" s="65">
        <v>210.34</v>
      </c>
      <c r="Z45" s="65">
        <v>32.36</v>
      </c>
      <c r="AA45" s="65">
        <v>7.28</v>
      </c>
      <c r="AB45" s="65">
        <v>25.89</v>
      </c>
      <c r="AC45" s="65">
        <v>119</v>
      </c>
      <c r="AD45" s="29">
        <v>294</v>
      </c>
      <c r="AE45" s="29">
        <v>73.5</v>
      </c>
      <c r="AF45" s="29">
        <v>14.7</v>
      </c>
      <c r="AG45" s="49">
        <v>119</v>
      </c>
      <c r="AH45" s="49">
        <f>SUM(AD45:AG45)</f>
        <v>501.2</v>
      </c>
      <c r="AI45" s="78">
        <v>25241.46</v>
      </c>
      <c r="AJ45" s="78">
        <v>20000</v>
      </c>
      <c r="AK45" s="78">
        <v>1914.62</v>
      </c>
      <c r="AL45" s="79"/>
      <c r="AM45" s="79"/>
      <c r="AN45" s="79"/>
      <c r="AO45" s="79"/>
      <c r="AP45" s="79"/>
      <c r="AQ45" s="87">
        <f>V45+AI45</f>
        <v>31747.31</v>
      </c>
      <c r="AR45" s="87">
        <f>AH45+AK45</f>
        <v>2415.82</v>
      </c>
      <c r="AS45" s="88">
        <f>AJ45+5000</f>
        <v>25000</v>
      </c>
      <c r="AT45" s="88"/>
      <c r="AU45" s="87">
        <f>AQ45-AR45-AS45-AT45</f>
        <v>4331.49</v>
      </c>
      <c r="AV45" s="89">
        <f>5*MAX(0,AU45*{0.6;2;4;5;6;7;9}%-{0;504;3384;6384;10584;17184;36384})</f>
        <v>129.94</v>
      </c>
      <c r="AW45" s="99">
        <v>123.91</v>
      </c>
      <c r="AX45" s="84">
        <v>-123.91</v>
      </c>
      <c r="AY45" s="59"/>
      <c r="AZ45" s="93">
        <f>V45-AH45-AX45</f>
        <v>6128.56</v>
      </c>
      <c r="BA45" s="95"/>
    </row>
    <row r="46" s="4" customFormat="1" ht="25" customHeight="1" spans="1:53">
      <c r="A46" s="14">
        <v>37</v>
      </c>
      <c r="B46" s="29" t="s">
        <v>189</v>
      </c>
      <c r="C46" s="30" t="s">
        <v>182</v>
      </c>
      <c r="D46" s="36" t="s">
        <v>190</v>
      </c>
      <c r="E46" s="29" t="s">
        <v>89</v>
      </c>
      <c r="F46" s="29" t="s">
        <v>68</v>
      </c>
      <c r="G46" s="30" t="str">
        <f>VLOOKUP(B46,[1]在职汇总!$E$3:$G$98,3,FALSE)</f>
        <v>512501197303147219</v>
      </c>
      <c r="H46" s="30" t="s">
        <v>191</v>
      </c>
      <c r="I46" s="29"/>
      <c r="J46" s="49">
        <v>1830</v>
      </c>
      <c r="K46" s="49">
        <f>600</f>
        <v>600</v>
      </c>
      <c r="L46" s="49">
        <f>400</f>
        <v>400</v>
      </c>
      <c r="M46" s="49">
        <v>200</v>
      </c>
      <c r="N46" s="49">
        <v>100</v>
      </c>
      <c r="O46" s="49"/>
      <c r="P46" s="49">
        <v>20</v>
      </c>
      <c r="Q46" s="49"/>
      <c r="R46" s="49">
        <f>J46/21.75/8*75*1.5+J46/21.75/8*59.5*2</f>
        <v>2434.74</v>
      </c>
      <c r="S46" s="49"/>
      <c r="T46" s="49"/>
      <c r="U46" s="49">
        <v>12</v>
      </c>
      <c r="V46" s="60">
        <f t="shared" ref="V46:V52" si="21">SUM(J46:S46)-T46+U46</f>
        <v>5596.74</v>
      </c>
      <c r="W46" s="61">
        <v>431.52</v>
      </c>
      <c r="X46" s="61">
        <v>19.42</v>
      </c>
      <c r="Y46" s="61">
        <v>210.34</v>
      </c>
      <c r="Z46" s="61">
        <v>32.36</v>
      </c>
      <c r="AA46" s="61">
        <v>7.28</v>
      </c>
      <c r="AB46" s="61">
        <v>25.89</v>
      </c>
      <c r="AC46" s="61">
        <v>107</v>
      </c>
      <c r="AD46" s="67">
        <v>254</v>
      </c>
      <c r="AE46" s="61">
        <v>69.26</v>
      </c>
      <c r="AF46" s="61">
        <v>13.85</v>
      </c>
      <c r="AG46" s="49">
        <v>107</v>
      </c>
      <c r="AH46" s="49">
        <f t="shared" ref="AH46:AH52" si="22">SUM(AD46:AG46)</f>
        <v>444.11</v>
      </c>
      <c r="AI46" s="76">
        <v>11976.75</v>
      </c>
      <c r="AJ46" s="76">
        <v>20000</v>
      </c>
      <c r="AK46" s="76">
        <v>1776.44</v>
      </c>
      <c r="AL46" s="72"/>
      <c r="AM46" s="72"/>
      <c r="AN46" s="72"/>
      <c r="AO46" s="72"/>
      <c r="AP46" s="72"/>
      <c r="AQ46" s="71">
        <f t="shared" ref="AQ46:AQ52" si="23">V46+AI46</f>
        <v>17573.49</v>
      </c>
      <c r="AR46" s="71">
        <f t="shared" ref="AR46:AR52" si="24">AH46+AK46</f>
        <v>2220.55</v>
      </c>
      <c r="AS46" s="83">
        <f t="shared" ref="AS46:AS52" si="25">AJ46+5000</f>
        <v>25000</v>
      </c>
      <c r="AT46" s="83"/>
      <c r="AU46" s="71">
        <f t="shared" ref="AU46:AU51" si="26">AQ46-AR46-AS46-AT46</f>
        <v>-9647.06</v>
      </c>
      <c r="AV46" s="84">
        <f>5*MAX(0,AU46*{0.6;2;4;5;6;7;9}%-{0;504;3384;6384;10584;17184;36384})</f>
        <v>0</v>
      </c>
      <c r="AW46" s="86">
        <v>0</v>
      </c>
      <c r="AX46" s="84">
        <f t="shared" ref="AX46:AX53" si="27">IF(+AV46-AW46&gt;0,AV46-AW46,0)</f>
        <v>0</v>
      </c>
      <c r="AY46" s="59"/>
      <c r="AZ46" s="93">
        <f t="shared" ref="AZ46:AZ52" si="28">V46-AH46-AX46</f>
        <v>5152.63</v>
      </c>
      <c r="BA46" s="94"/>
    </row>
    <row r="47" s="4" customFormat="1" ht="25" customHeight="1" spans="1:53">
      <c r="A47" s="14">
        <v>38</v>
      </c>
      <c r="B47" s="29" t="s">
        <v>192</v>
      </c>
      <c r="C47" s="30" t="s">
        <v>182</v>
      </c>
      <c r="D47" s="36" t="s">
        <v>193</v>
      </c>
      <c r="E47" s="29" t="s">
        <v>56</v>
      </c>
      <c r="F47" s="29" t="s">
        <v>68</v>
      </c>
      <c r="G47" s="30" t="str">
        <f>VLOOKUP(B47,[1]在职汇总!$E$3:$G$98,3,FALSE)</f>
        <v>513024197804092568</v>
      </c>
      <c r="H47" s="118" t="s">
        <v>194</v>
      </c>
      <c r="I47" s="29"/>
      <c r="J47" s="49">
        <v>1830</v>
      </c>
      <c r="K47" s="49">
        <f>600</f>
        <v>600</v>
      </c>
      <c r="L47" s="49">
        <f>400</f>
        <v>400</v>
      </c>
      <c r="M47" s="49">
        <v>200</v>
      </c>
      <c r="N47" s="49">
        <v>100</v>
      </c>
      <c r="O47" s="49"/>
      <c r="P47" s="49">
        <v>20</v>
      </c>
      <c r="Q47" s="49"/>
      <c r="R47" s="49">
        <f>J47/21.75/8*69.5*1.5+J47/21.75/8*51.5*2</f>
        <v>2179.7</v>
      </c>
      <c r="S47" s="49"/>
      <c r="T47" s="49"/>
      <c r="U47" s="49">
        <v>12</v>
      </c>
      <c r="V47" s="60">
        <f t="shared" si="21"/>
        <v>5341.7</v>
      </c>
      <c r="W47" s="61">
        <v>431.52</v>
      </c>
      <c r="X47" s="61">
        <v>19.42</v>
      </c>
      <c r="Y47" s="61">
        <v>210.34</v>
      </c>
      <c r="Z47" s="61">
        <v>32.36</v>
      </c>
      <c r="AA47" s="61">
        <v>7.28</v>
      </c>
      <c r="AB47" s="61">
        <v>25.89</v>
      </c>
      <c r="AC47" s="61">
        <v>107</v>
      </c>
      <c r="AD47" s="67"/>
      <c r="AE47" s="61"/>
      <c r="AF47" s="61"/>
      <c r="AG47" s="49"/>
      <c r="AH47" s="49">
        <f t="shared" si="22"/>
        <v>0</v>
      </c>
      <c r="AI47" s="76">
        <v>11877.15</v>
      </c>
      <c r="AJ47" s="76">
        <v>20000</v>
      </c>
      <c r="AK47" s="76">
        <v>1776.44</v>
      </c>
      <c r="AL47" s="72"/>
      <c r="AM47" s="72"/>
      <c r="AN47" s="72"/>
      <c r="AO47" s="72"/>
      <c r="AP47" s="72"/>
      <c r="AQ47" s="71">
        <f t="shared" si="23"/>
        <v>17218.85</v>
      </c>
      <c r="AR47" s="71">
        <f t="shared" si="24"/>
        <v>1776.44</v>
      </c>
      <c r="AS47" s="83">
        <f t="shared" si="25"/>
        <v>25000</v>
      </c>
      <c r="AT47" s="83"/>
      <c r="AU47" s="71">
        <f t="shared" si="26"/>
        <v>-9557.59</v>
      </c>
      <c r="AV47" s="84">
        <f>5*MAX(0,AU47*{0.6;2;4;5;6;7;9}%-{0;504;3384;6384;10584;17184;36384})</f>
        <v>0</v>
      </c>
      <c r="AW47" s="86">
        <v>0</v>
      </c>
      <c r="AX47" s="84">
        <f t="shared" si="27"/>
        <v>0</v>
      </c>
      <c r="AY47" s="59"/>
      <c r="AZ47" s="93">
        <f t="shared" si="28"/>
        <v>5341.7</v>
      </c>
      <c r="BA47" s="94" t="s">
        <v>195</v>
      </c>
    </row>
    <row r="48" s="4" customFormat="1" ht="25" customHeight="1" spans="1:53">
      <c r="A48" s="14">
        <v>39</v>
      </c>
      <c r="B48" s="29" t="s">
        <v>196</v>
      </c>
      <c r="C48" s="29" t="s">
        <v>182</v>
      </c>
      <c r="D48" s="29" t="s">
        <v>190</v>
      </c>
      <c r="E48" s="47" t="s">
        <v>89</v>
      </c>
      <c r="F48" s="29" t="s">
        <v>68</v>
      </c>
      <c r="G48" s="30" t="s">
        <v>197</v>
      </c>
      <c r="H48" s="118" t="s">
        <v>198</v>
      </c>
      <c r="I48" s="29"/>
      <c r="J48" s="49">
        <v>1830</v>
      </c>
      <c r="K48" s="49">
        <f>600</f>
        <v>600</v>
      </c>
      <c r="L48" s="49">
        <f>400</f>
        <v>400</v>
      </c>
      <c r="M48" s="49">
        <v>200</v>
      </c>
      <c r="N48" s="49">
        <v>100</v>
      </c>
      <c r="O48" s="49"/>
      <c r="P48" s="49">
        <v>20</v>
      </c>
      <c r="Q48" s="49"/>
      <c r="R48" s="49">
        <f>J48/21.75/8*31*1.5+J48/21.75/8*43.5*2</f>
        <v>1404.05</v>
      </c>
      <c r="S48" s="49"/>
      <c r="T48" s="49"/>
      <c r="U48" s="49"/>
      <c r="V48" s="60">
        <f t="shared" si="21"/>
        <v>4554.05</v>
      </c>
      <c r="W48" s="61">
        <v>431.52</v>
      </c>
      <c r="X48" s="61">
        <v>19.42</v>
      </c>
      <c r="Y48" s="61">
        <v>210.34</v>
      </c>
      <c r="Z48" s="61">
        <v>32.36</v>
      </c>
      <c r="AA48" s="61">
        <v>7.28</v>
      </c>
      <c r="AB48" s="61">
        <v>25.89</v>
      </c>
      <c r="AC48" s="61">
        <v>107</v>
      </c>
      <c r="AD48" s="67">
        <v>254</v>
      </c>
      <c r="AE48" s="61">
        <v>69.26</v>
      </c>
      <c r="AF48" s="61">
        <v>13.85</v>
      </c>
      <c r="AG48" s="49">
        <v>107</v>
      </c>
      <c r="AH48" s="49">
        <f t="shared" si="22"/>
        <v>444.11</v>
      </c>
      <c r="AI48" s="72">
        <v>11726.54</v>
      </c>
      <c r="AJ48" s="76">
        <v>20000</v>
      </c>
      <c r="AK48" s="72">
        <v>1776.44</v>
      </c>
      <c r="AL48" s="72"/>
      <c r="AM48" s="72"/>
      <c r="AN48" s="72"/>
      <c r="AO48" s="72"/>
      <c r="AP48" s="72"/>
      <c r="AQ48" s="71">
        <f t="shared" si="23"/>
        <v>16280.59</v>
      </c>
      <c r="AR48" s="71">
        <f t="shared" si="24"/>
        <v>2220.55</v>
      </c>
      <c r="AS48" s="83">
        <f t="shared" si="25"/>
        <v>25000</v>
      </c>
      <c r="AT48" s="83"/>
      <c r="AU48" s="71">
        <f t="shared" si="26"/>
        <v>-10939.96</v>
      </c>
      <c r="AV48" s="84">
        <f>5*MAX(0,AU48*{0.6;2;4;5;6;7;9}%-{0;504;3384;6384;10584;17184;36384})</f>
        <v>0</v>
      </c>
      <c r="AW48" s="86">
        <v>0</v>
      </c>
      <c r="AX48" s="84">
        <f t="shared" si="27"/>
        <v>0</v>
      </c>
      <c r="AY48" s="59"/>
      <c r="AZ48" s="93">
        <f t="shared" si="28"/>
        <v>4109.94</v>
      </c>
      <c r="BA48" s="94"/>
    </row>
    <row r="49" s="4" customFormat="1" ht="25" customHeight="1" spans="1:53">
      <c r="A49" s="14">
        <v>40</v>
      </c>
      <c r="B49" s="29" t="s">
        <v>199</v>
      </c>
      <c r="C49" s="29" t="s">
        <v>182</v>
      </c>
      <c r="D49" s="29" t="s">
        <v>190</v>
      </c>
      <c r="E49" s="47" t="s">
        <v>89</v>
      </c>
      <c r="F49" s="29" t="s">
        <v>68</v>
      </c>
      <c r="G49" s="30" t="s">
        <v>200</v>
      </c>
      <c r="H49" s="118" t="s">
        <v>201</v>
      </c>
      <c r="I49" s="29"/>
      <c r="J49" s="49">
        <v>1830</v>
      </c>
      <c r="K49" s="49">
        <f>600</f>
        <v>600</v>
      </c>
      <c r="L49" s="49">
        <f>400</f>
        <v>400</v>
      </c>
      <c r="M49" s="49">
        <v>200</v>
      </c>
      <c r="N49" s="49">
        <v>100</v>
      </c>
      <c r="O49" s="49"/>
      <c r="P49" s="49">
        <v>20</v>
      </c>
      <c r="Q49" s="49"/>
      <c r="R49" s="49">
        <f>J49/21.75/8*34.5*1.5+J49/21.75/8*57*2</f>
        <v>1743.23</v>
      </c>
      <c r="S49" s="49"/>
      <c r="T49" s="49"/>
      <c r="U49" s="49"/>
      <c r="V49" s="60">
        <f t="shared" si="21"/>
        <v>4893.23</v>
      </c>
      <c r="W49" s="61">
        <v>431.52</v>
      </c>
      <c r="X49" s="61">
        <v>19.42</v>
      </c>
      <c r="Y49" s="61">
        <v>210.34</v>
      </c>
      <c r="Z49" s="61">
        <v>32.36</v>
      </c>
      <c r="AA49" s="61">
        <v>7.28</v>
      </c>
      <c r="AB49" s="61">
        <v>25.89</v>
      </c>
      <c r="AC49" s="61">
        <v>107</v>
      </c>
      <c r="AD49" s="67">
        <v>254</v>
      </c>
      <c r="AE49" s="61">
        <v>69.26</v>
      </c>
      <c r="AF49" s="61">
        <v>13.85</v>
      </c>
      <c r="AG49" s="49">
        <v>107</v>
      </c>
      <c r="AH49" s="49">
        <f t="shared" si="22"/>
        <v>444.11</v>
      </c>
      <c r="AI49" s="72">
        <v>11595.51</v>
      </c>
      <c r="AJ49" s="76">
        <v>20000</v>
      </c>
      <c r="AK49" s="72">
        <v>1776.44</v>
      </c>
      <c r="AL49" s="72"/>
      <c r="AM49" s="72"/>
      <c r="AN49" s="72"/>
      <c r="AO49" s="72"/>
      <c r="AP49" s="72"/>
      <c r="AQ49" s="71">
        <f t="shared" si="23"/>
        <v>16488.74</v>
      </c>
      <c r="AR49" s="71">
        <f t="shared" si="24"/>
        <v>2220.55</v>
      </c>
      <c r="AS49" s="83">
        <f t="shared" si="25"/>
        <v>25000</v>
      </c>
      <c r="AT49" s="83"/>
      <c r="AU49" s="71">
        <f t="shared" si="26"/>
        <v>-10731.81</v>
      </c>
      <c r="AV49" s="84">
        <f>5*MAX(0,AU49*{0.6;2;4;5;6;7;9}%-{0;504;3384;6384;10584;17184;36384})</f>
        <v>0</v>
      </c>
      <c r="AW49" s="86">
        <v>0</v>
      </c>
      <c r="AX49" s="84">
        <f t="shared" si="27"/>
        <v>0</v>
      </c>
      <c r="AY49" s="59"/>
      <c r="AZ49" s="93">
        <f t="shared" si="28"/>
        <v>4449.12</v>
      </c>
      <c r="BA49" s="94"/>
    </row>
    <row r="50" s="4" customFormat="1" ht="25" customHeight="1" spans="1:53">
      <c r="A50" s="14">
        <v>41</v>
      </c>
      <c r="B50" s="29" t="s">
        <v>202</v>
      </c>
      <c r="C50" s="29" t="s">
        <v>182</v>
      </c>
      <c r="D50" s="36" t="s">
        <v>203</v>
      </c>
      <c r="E50" s="47" t="s">
        <v>56</v>
      </c>
      <c r="F50" s="29" t="s">
        <v>57</v>
      </c>
      <c r="G50" s="30" t="s">
        <v>204</v>
      </c>
      <c r="H50" s="30" t="s">
        <v>205</v>
      </c>
      <c r="I50" s="29"/>
      <c r="J50" s="49">
        <v>1830</v>
      </c>
      <c r="K50" s="49">
        <f>1800</f>
        <v>1800</v>
      </c>
      <c r="L50" s="49">
        <f>870*(0.9845+0.05+0.02)</f>
        <v>917.42</v>
      </c>
      <c r="M50" s="49">
        <v>200</v>
      </c>
      <c r="N50" s="49">
        <v>100</v>
      </c>
      <c r="O50" s="49"/>
      <c r="P50" s="49">
        <v>20</v>
      </c>
      <c r="Q50" s="49"/>
      <c r="R50" s="49"/>
      <c r="S50" s="49"/>
      <c r="T50" s="49"/>
      <c r="U50" s="49">
        <v>20</v>
      </c>
      <c r="V50" s="60">
        <f t="shared" si="21"/>
        <v>4887.42</v>
      </c>
      <c r="W50" s="61"/>
      <c r="X50" s="61"/>
      <c r="Y50" s="61"/>
      <c r="Z50" s="61"/>
      <c r="AA50" s="61"/>
      <c r="AB50" s="61"/>
      <c r="AC50" s="61"/>
      <c r="AD50" s="67">
        <v>270</v>
      </c>
      <c r="AE50" s="61">
        <v>69.26</v>
      </c>
      <c r="AF50" s="61">
        <v>13.85</v>
      </c>
      <c r="AG50" s="50">
        <f>119</f>
        <v>119</v>
      </c>
      <c r="AH50" s="49">
        <f t="shared" si="22"/>
        <v>472.11</v>
      </c>
      <c r="AI50" s="72">
        <v>18417.27</v>
      </c>
      <c r="AJ50" s="76">
        <v>20000</v>
      </c>
      <c r="AK50" s="72">
        <v>1856.44</v>
      </c>
      <c r="AL50" s="72"/>
      <c r="AM50" s="72"/>
      <c r="AN50" s="72"/>
      <c r="AO50" s="72"/>
      <c r="AP50" s="72"/>
      <c r="AQ50" s="71">
        <f t="shared" si="23"/>
        <v>23304.69</v>
      </c>
      <c r="AR50" s="71">
        <f t="shared" si="24"/>
        <v>2328.55</v>
      </c>
      <c r="AS50" s="83">
        <f t="shared" si="25"/>
        <v>25000</v>
      </c>
      <c r="AT50" s="83"/>
      <c r="AU50" s="71">
        <f t="shared" si="26"/>
        <v>-4023.86</v>
      </c>
      <c r="AV50" s="84">
        <f>5*MAX(0,AU50*{0.6;2;4;5;6;7;9}%-{0;504;3384;6384;10584;17184;36384})</f>
        <v>0</v>
      </c>
      <c r="AW50" s="86">
        <v>0</v>
      </c>
      <c r="AX50" s="84">
        <f t="shared" si="27"/>
        <v>0</v>
      </c>
      <c r="AY50" s="59"/>
      <c r="AZ50" s="93">
        <f t="shared" si="28"/>
        <v>4415.31</v>
      </c>
      <c r="BA50" s="94"/>
    </row>
    <row r="51" s="4" customFormat="1" ht="25" customHeight="1" spans="1:53">
      <c r="A51" s="14">
        <v>42</v>
      </c>
      <c r="B51" s="29" t="s">
        <v>206</v>
      </c>
      <c r="C51" s="29" t="s">
        <v>182</v>
      </c>
      <c r="D51" s="36" t="s">
        <v>193</v>
      </c>
      <c r="E51" s="47" t="s">
        <v>56</v>
      </c>
      <c r="F51" s="29" t="s">
        <v>68</v>
      </c>
      <c r="G51" s="30" t="s">
        <v>207</v>
      </c>
      <c r="H51" s="30" t="s">
        <v>208</v>
      </c>
      <c r="I51" s="29"/>
      <c r="J51" s="49">
        <v>1830</v>
      </c>
      <c r="K51" s="49">
        <f>600</f>
        <v>600</v>
      </c>
      <c r="L51" s="49">
        <f>400*1.2</f>
        <v>480</v>
      </c>
      <c r="M51" s="49">
        <v>200</v>
      </c>
      <c r="N51" s="49">
        <v>100</v>
      </c>
      <c r="O51" s="49">
        <f>300</f>
        <v>300</v>
      </c>
      <c r="P51" s="49"/>
      <c r="Q51" s="49"/>
      <c r="R51" s="49">
        <f>J51/21.75/8*52*1.5+J51/21.75/8*56*2</f>
        <v>1998.28</v>
      </c>
      <c r="S51" s="49"/>
      <c r="T51" s="49"/>
      <c r="U51" s="49">
        <v>36</v>
      </c>
      <c r="V51" s="60">
        <f t="shared" si="21"/>
        <v>5544.28</v>
      </c>
      <c r="W51" s="61"/>
      <c r="X51" s="61"/>
      <c r="Y51" s="61"/>
      <c r="Z51" s="61"/>
      <c r="AA51" s="61"/>
      <c r="AB51" s="61"/>
      <c r="AC51" s="61"/>
      <c r="AD51" s="67">
        <v>254</v>
      </c>
      <c r="AE51" s="61">
        <v>69.26</v>
      </c>
      <c r="AF51" s="61">
        <v>13.85</v>
      </c>
      <c r="AG51" s="49">
        <v>107</v>
      </c>
      <c r="AH51" s="49">
        <f t="shared" si="22"/>
        <v>444.11</v>
      </c>
      <c r="AI51" s="71">
        <v>13548.32</v>
      </c>
      <c r="AJ51" s="76">
        <v>20000</v>
      </c>
      <c r="AK51" s="72">
        <v>1776.44</v>
      </c>
      <c r="AL51" s="72"/>
      <c r="AM51" s="72"/>
      <c r="AN51" s="72"/>
      <c r="AO51" s="72"/>
      <c r="AP51" s="72"/>
      <c r="AQ51" s="71">
        <f t="shared" si="23"/>
        <v>19092.6</v>
      </c>
      <c r="AR51" s="71">
        <f t="shared" si="24"/>
        <v>2220.55</v>
      </c>
      <c r="AS51" s="83">
        <f t="shared" si="25"/>
        <v>25000</v>
      </c>
      <c r="AT51" s="83"/>
      <c r="AU51" s="71">
        <f t="shared" si="26"/>
        <v>-8127.95</v>
      </c>
      <c r="AV51" s="84">
        <f>5*MAX(0,AU51*{0.6;2;4;5;6;7;9}%-{0;504;3384;6384;10584;17184;36384})</f>
        <v>0</v>
      </c>
      <c r="AW51" s="86">
        <v>0</v>
      </c>
      <c r="AX51" s="84">
        <f t="shared" si="27"/>
        <v>0</v>
      </c>
      <c r="AY51" s="59"/>
      <c r="AZ51" s="93">
        <f t="shared" si="28"/>
        <v>5100.17</v>
      </c>
      <c r="BA51" s="94"/>
    </row>
    <row r="52" s="4" customFormat="1" ht="25" customHeight="1" spans="1:53">
      <c r="A52" s="14">
        <v>43</v>
      </c>
      <c r="B52" s="28" t="s">
        <v>209</v>
      </c>
      <c r="C52" s="29" t="s">
        <v>182</v>
      </c>
      <c r="D52" s="36" t="s">
        <v>210</v>
      </c>
      <c r="E52" s="47" t="s">
        <v>56</v>
      </c>
      <c r="F52" s="29" t="s">
        <v>57</v>
      </c>
      <c r="G52" s="30" t="s">
        <v>211</v>
      </c>
      <c r="H52" s="30"/>
      <c r="I52" s="29"/>
      <c r="J52" s="49">
        <f>1830*0.8</f>
        <v>1464</v>
      </c>
      <c r="K52" s="49">
        <f>1300*0.8</f>
        <v>1040</v>
      </c>
      <c r="L52" s="49">
        <f>870*0.8</f>
        <v>696</v>
      </c>
      <c r="M52" s="49"/>
      <c r="N52" s="49">
        <v>100</v>
      </c>
      <c r="O52" s="49"/>
      <c r="P52" s="49"/>
      <c r="Q52" s="49"/>
      <c r="R52" s="49"/>
      <c r="S52" s="49"/>
      <c r="T52" s="49">
        <f>(J52+K52+L52+M52+N52)/21.75*18.75</f>
        <v>2844.83</v>
      </c>
      <c r="U52" s="49"/>
      <c r="V52" s="60">
        <f t="shared" si="21"/>
        <v>455.17</v>
      </c>
      <c r="W52" s="61"/>
      <c r="X52" s="61"/>
      <c r="Y52" s="61"/>
      <c r="Z52" s="61"/>
      <c r="AA52" s="61"/>
      <c r="AB52" s="61"/>
      <c r="AC52" s="61"/>
      <c r="AD52" s="67"/>
      <c r="AE52" s="61"/>
      <c r="AF52" s="61"/>
      <c r="AG52" s="49"/>
      <c r="AH52" s="49"/>
      <c r="AI52" s="71"/>
      <c r="AJ52" s="75"/>
      <c r="AK52" s="72"/>
      <c r="AL52" s="72"/>
      <c r="AM52" s="72"/>
      <c r="AN52" s="72"/>
      <c r="AO52" s="72"/>
      <c r="AP52" s="72"/>
      <c r="AQ52" s="71"/>
      <c r="AR52" s="71"/>
      <c r="AS52" s="83"/>
      <c r="AT52" s="83"/>
      <c r="AU52" s="71"/>
      <c r="AV52" s="90"/>
      <c r="AW52" s="86"/>
      <c r="AX52" s="90"/>
      <c r="AY52" s="59"/>
      <c r="AZ52" s="93">
        <f t="shared" si="28"/>
        <v>455.17</v>
      </c>
      <c r="BA52" s="94" t="s">
        <v>212</v>
      </c>
    </row>
    <row r="53" s="4" customFormat="1" ht="22" customHeight="1" spans="1:53">
      <c r="A53" s="33"/>
      <c r="B53" s="31" t="s">
        <v>213</v>
      </c>
      <c r="C53" s="32"/>
      <c r="D53" s="16"/>
      <c r="E53" s="16"/>
      <c r="F53" s="16"/>
      <c r="G53" s="30"/>
      <c r="H53" s="30"/>
      <c r="I53" s="16"/>
      <c r="J53" s="53">
        <f t="shared" ref="J53:AZ53" si="29">SUM(J44:J51)</f>
        <v>14640</v>
      </c>
      <c r="K53" s="53">
        <f t="shared" si="29"/>
        <v>9600</v>
      </c>
      <c r="L53" s="53">
        <f t="shared" si="29"/>
        <v>6891.42</v>
      </c>
      <c r="M53" s="53">
        <f t="shared" si="29"/>
        <v>1600</v>
      </c>
      <c r="N53" s="53">
        <f t="shared" si="29"/>
        <v>800</v>
      </c>
      <c r="O53" s="53">
        <f t="shared" si="29"/>
        <v>300</v>
      </c>
      <c r="P53" s="53">
        <f t="shared" si="29"/>
        <v>160</v>
      </c>
      <c r="Q53" s="53">
        <f t="shared" si="29"/>
        <v>0</v>
      </c>
      <c r="R53" s="53">
        <f>SUM(R46:R51)</f>
        <v>9760</v>
      </c>
      <c r="S53" s="53">
        <f t="shared" si="29"/>
        <v>0</v>
      </c>
      <c r="T53" s="53">
        <f t="shared" si="29"/>
        <v>0</v>
      </c>
      <c r="U53" s="53">
        <f t="shared" si="29"/>
        <v>80</v>
      </c>
      <c r="V53" s="53">
        <f>SUM(V46:V51)</f>
        <v>30817.42</v>
      </c>
      <c r="W53" s="53">
        <f t="shared" si="29"/>
        <v>2589.12</v>
      </c>
      <c r="X53" s="53">
        <f t="shared" si="29"/>
        <v>116.52</v>
      </c>
      <c r="Y53" s="53">
        <f t="shared" si="29"/>
        <v>1262.04</v>
      </c>
      <c r="Z53" s="53">
        <f t="shared" si="29"/>
        <v>194.16</v>
      </c>
      <c r="AA53" s="53">
        <f t="shared" si="29"/>
        <v>43.68</v>
      </c>
      <c r="AB53" s="53">
        <f t="shared" si="29"/>
        <v>155.34</v>
      </c>
      <c r="AC53" s="53">
        <f t="shared" si="29"/>
        <v>666</v>
      </c>
      <c r="AD53" s="53">
        <f t="shared" si="29"/>
        <v>1850</v>
      </c>
      <c r="AE53" s="53">
        <f t="shared" si="29"/>
        <v>489.06</v>
      </c>
      <c r="AF53" s="53">
        <f t="shared" si="29"/>
        <v>97.8</v>
      </c>
      <c r="AG53" s="53">
        <f t="shared" si="29"/>
        <v>785</v>
      </c>
      <c r="AH53" s="53">
        <f t="shared" si="29"/>
        <v>3221.86</v>
      </c>
      <c r="AI53" s="53">
        <f t="shared" si="29"/>
        <v>129739.93</v>
      </c>
      <c r="AJ53" s="53">
        <f t="shared" si="29"/>
        <v>160000</v>
      </c>
      <c r="AK53" s="53">
        <f t="shared" si="29"/>
        <v>14509.7</v>
      </c>
      <c r="AL53" s="53">
        <f t="shared" si="29"/>
        <v>0</v>
      </c>
      <c r="AM53" s="53">
        <f t="shared" si="29"/>
        <v>0</v>
      </c>
      <c r="AN53" s="53">
        <f t="shared" si="29"/>
        <v>3000</v>
      </c>
      <c r="AO53" s="53">
        <f t="shared" si="29"/>
        <v>0</v>
      </c>
      <c r="AP53" s="53">
        <f t="shared" si="29"/>
        <v>0</v>
      </c>
      <c r="AQ53" s="53">
        <f t="shared" si="29"/>
        <v>173569.05</v>
      </c>
      <c r="AR53" s="53">
        <f t="shared" si="29"/>
        <v>17731.56</v>
      </c>
      <c r="AS53" s="53">
        <f t="shared" si="29"/>
        <v>200000</v>
      </c>
      <c r="AT53" s="53">
        <f t="shared" si="29"/>
        <v>4000</v>
      </c>
      <c r="AU53" s="53">
        <f t="shared" si="29"/>
        <v>-48162.51</v>
      </c>
      <c r="AV53" s="53">
        <f t="shared" si="29"/>
        <v>145.97</v>
      </c>
      <c r="AW53" s="53">
        <f t="shared" si="29"/>
        <v>123.91</v>
      </c>
      <c r="AX53" s="53">
        <f t="shared" si="29"/>
        <v>-107.88</v>
      </c>
      <c r="AY53" s="53">
        <f t="shared" si="29"/>
        <v>0</v>
      </c>
      <c r="AZ53" s="53">
        <f>SUM(AZ44:AZ52)</f>
        <v>41170.31</v>
      </c>
      <c r="BA53" s="21"/>
    </row>
    <row r="54" s="4" customFormat="1" ht="25" customHeight="1" spans="1:53">
      <c r="A54" s="14">
        <v>44</v>
      </c>
      <c r="B54" s="28" t="s">
        <v>214</v>
      </c>
      <c r="C54" s="29" t="s">
        <v>54</v>
      </c>
      <c r="D54" s="29" t="s">
        <v>63</v>
      </c>
      <c r="E54" s="29" t="s">
        <v>56</v>
      </c>
      <c r="F54" s="29" t="s">
        <v>57</v>
      </c>
      <c r="G54" s="30" t="s">
        <v>215</v>
      </c>
      <c r="H54" s="30" t="s">
        <v>216</v>
      </c>
      <c r="I54" s="29"/>
      <c r="J54" s="49">
        <v>1830</v>
      </c>
      <c r="K54" s="49">
        <v>3500</v>
      </c>
      <c r="L54" s="49">
        <f>2670*(1.015+0.05)</f>
        <v>2843.55</v>
      </c>
      <c r="M54" s="49">
        <v>200</v>
      </c>
      <c r="N54" s="49">
        <v>100</v>
      </c>
      <c r="O54" s="49"/>
      <c r="P54" s="49">
        <v>20</v>
      </c>
      <c r="Q54" s="49"/>
      <c r="R54" s="49"/>
      <c r="S54" s="49"/>
      <c r="T54" s="49"/>
      <c r="U54" s="49"/>
      <c r="V54" s="60">
        <f>SUM(J54:S54)-T54+U54</f>
        <v>8493.55</v>
      </c>
      <c r="W54" s="61">
        <v>462.08</v>
      </c>
      <c r="X54" s="61">
        <v>19.42</v>
      </c>
      <c r="Y54" s="61">
        <v>210.34</v>
      </c>
      <c r="Z54" s="61">
        <v>32.36</v>
      </c>
      <c r="AA54" s="61">
        <v>7.28</v>
      </c>
      <c r="AB54" s="61">
        <v>25.89</v>
      </c>
      <c r="AC54" s="61">
        <v>137</v>
      </c>
      <c r="AD54" s="29">
        <v>294</v>
      </c>
      <c r="AE54" s="29">
        <v>73.5</v>
      </c>
      <c r="AF54" s="29">
        <v>14.7</v>
      </c>
      <c r="AG54" s="49">
        <v>137</v>
      </c>
      <c r="AH54" s="49">
        <f>SUM(AD54:AG54)</f>
        <v>519.2</v>
      </c>
      <c r="AI54" s="76">
        <v>33395.12</v>
      </c>
      <c r="AJ54" s="76">
        <v>20000</v>
      </c>
      <c r="AK54" s="76">
        <v>1986.62</v>
      </c>
      <c r="AL54" s="76">
        <v>4000</v>
      </c>
      <c r="AM54" s="76">
        <v>8000</v>
      </c>
      <c r="AN54" s="76">
        <v>0</v>
      </c>
      <c r="AO54" s="76">
        <v>0</v>
      </c>
      <c r="AP54" s="76">
        <v>0</v>
      </c>
      <c r="AQ54" s="71">
        <f>V54+AI54</f>
        <v>41888.67</v>
      </c>
      <c r="AR54" s="71">
        <f>AH54+AK54</f>
        <v>2505.82</v>
      </c>
      <c r="AS54" s="83">
        <f>AJ54+5000</f>
        <v>25000</v>
      </c>
      <c r="AT54" s="83">
        <f>AL54+AM54+3000</f>
        <v>15000</v>
      </c>
      <c r="AU54" s="71">
        <f>AQ54-AR54-AS54-AT54</f>
        <v>-617.15</v>
      </c>
      <c r="AV54" s="84">
        <f>5*MAX(0,AU54*{0.6;2;4;5;6;7;9}%-{0;504;3384;6384;10584;17184;36384})</f>
        <v>0</v>
      </c>
      <c r="AW54" s="86">
        <v>0</v>
      </c>
      <c r="AX54" s="84">
        <f>IF(+AV54-AW54&gt;0,AV54-AW54,0)</f>
        <v>0</v>
      </c>
      <c r="AY54" s="59"/>
      <c r="AZ54" s="93">
        <f>V54-AH54-AX54</f>
        <v>7974.35</v>
      </c>
      <c r="BA54" s="95"/>
    </row>
    <row r="55" s="4" customFormat="1" ht="25" customHeight="1" spans="1:53">
      <c r="A55" s="14">
        <v>45</v>
      </c>
      <c r="B55" s="28" t="s">
        <v>217</v>
      </c>
      <c r="C55" s="29" t="s">
        <v>54</v>
      </c>
      <c r="D55" s="29" t="s">
        <v>218</v>
      </c>
      <c r="E55" s="29" t="s">
        <v>56</v>
      </c>
      <c r="F55" s="29" t="s">
        <v>57</v>
      </c>
      <c r="G55" s="30" t="s">
        <v>219</v>
      </c>
      <c r="H55" s="30" t="s">
        <v>220</v>
      </c>
      <c r="I55" s="29"/>
      <c r="J55" s="49">
        <v>1830</v>
      </c>
      <c r="K55" s="49">
        <v>1800</v>
      </c>
      <c r="L55" s="52">
        <f>870*(1.0045+0.05)</f>
        <v>917.42</v>
      </c>
      <c r="M55" s="49">
        <v>200</v>
      </c>
      <c r="N55" s="49">
        <v>100</v>
      </c>
      <c r="O55" s="49"/>
      <c r="P55" s="49">
        <v>40</v>
      </c>
      <c r="Q55" s="49"/>
      <c r="R55" s="49"/>
      <c r="S55" s="49"/>
      <c r="T55" s="49"/>
      <c r="U55" s="49"/>
      <c r="V55" s="60">
        <f>SUM(J55:S55)-T55+U55</f>
        <v>4887.42</v>
      </c>
      <c r="W55" s="61">
        <v>431.52</v>
      </c>
      <c r="X55" s="61">
        <v>19.42</v>
      </c>
      <c r="Y55" s="61">
        <v>210.34</v>
      </c>
      <c r="Z55" s="61">
        <v>32.36</v>
      </c>
      <c r="AA55" s="61">
        <v>7.28</v>
      </c>
      <c r="AB55" s="61">
        <v>25.89</v>
      </c>
      <c r="AC55" s="61">
        <v>107</v>
      </c>
      <c r="AD55" s="67">
        <v>270</v>
      </c>
      <c r="AE55" s="61">
        <v>69.26</v>
      </c>
      <c r="AF55" s="61">
        <v>13.85</v>
      </c>
      <c r="AG55" s="49">
        <v>107</v>
      </c>
      <c r="AH55" s="49">
        <f>SUM(AD55:AG55)</f>
        <v>460.11</v>
      </c>
      <c r="AI55" s="76">
        <v>7464</v>
      </c>
      <c r="AJ55" s="76">
        <v>20000</v>
      </c>
      <c r="AK55" s="76">
        <v>1808.44</v>
      </c>
      <c r="AL55" s="72"/>
      <c r="AM55" s="72"/>
      <c r="AN55" s="72"/>
      <c r="AO55" s="72"/>
      <c r="AP55" s="72"/>
      <c r="AQ55" s="71">
        <f>V55+AI55</f>
        <v>12351.42</v>
      </c>
      <c r="AR55" s="71">
        <f>AH55+AK55</f>
        <v>2268.55</v>
      </c>
      <c r="AS55" s="83">
        <f>AJ55+5000</f>
        <v>25000</v>
      </c>
      <c r="AT55" s="83"/>
      <c r="AU55" s="71">
        <f>AQ55-AR55-AS55-AT55</f>
        <v>-14917.13</v>
      </c>
      <c r="AV55" s="84">
        <f>5*MAX(0,AU55*{0.6;2;4;5;6;7;9}%-{0;504;3384;6384;10584;17184;36384})</f>
        <v>0</v>
      </c>
      <c r="AW55" s="86">
        <v>0</v>
      </c>
      <c r="AX55" s="84">
        <f>IF(+AV55-AW55&gt;0,AV55-AW55,0)</f>
        <v>0</v>
      </c>
      <c r="AY55" s="59"/>
      <c r="AZ55" s="93">
        <f>V55-AH55-AX55</f>
        <v>4427.31</v>
      </c>
      <c r="BA55" s="95"/>
    </row>
    <row r="56" s="4" customFormat="1" ht="25" customHeight="1" spans="1:53">
      <c r="A56" s="14">
        <v>46</v>
      </c>
      <c r="B56" s="28" t="s">
        <v>221</v>
      </c>
      <c r="C56" s="29" t="s">
        <v>54</v>
      </c>
      <c r="D56" s="29" t="s">
        <v>222</v>
      </c>
      <c r="E56" s="29" t="s">
        <v>56</v>
      </c>
      <c r="F56" s="29" t="s">
        <v>57</v>
      </c>
      <c r="G56" s="30" t="s">
        <v>223</v>
      </c>
      <c r="H56" s="30" t="s">
        <v>224</v>
      </c>
      <c r="I56" s="2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60">
        <f>SUM(J56:S56)-T56+U56</f>
        <v>0</v>
      </c>
      <c r="W56" s="61">
        <v>431.52</v>
      </c>
      <c r="X56" s="61">
        <v>19.42</v>
      </c>
      <c r="Y56" s="61">
        <v>210.34</v>
      </c>
      <c r="Z56" s="61">
        <v>32.36</v>
      </c>
      <c r="AA56" s="61">
        <v>7.28</v>
      </c>
      <c r="AB56" s="61">
        <v>25.89</v>
      </c>
      <c r="AC56" s="61">
        <v>119</v>
      </c>
      <c r="AD56" s="67">
        <v>270</v>
      </c>
      <c r="AE56" s="61">
        <v>69.26</v>
      </c>
      <c r="AF56" s="61">
        <v>13.85</v>
      </c>
      <c r="AG56" s="49">
        <v>119</v>
      </c>
      <c r="AH56" s="49">
        <f>-SUM(AD56:AG56)</f>
        <v>-472.11</v>
      </c>
      <c r="AI56" s="76">
        <v>25450.2</v>
      </c>
      <c r="AJ56" s="76">
        <v>20000</v>
      </c>
      <c r="AK56" s="76">
        <v>1856.44</v>
      </c>
      <c r="AL56" s="72"/>
      <c r="AM56" s="72"/>
      <c r="AN56" s="72"/>
      <c r="AO56" s="72"/>
      <c r="AP56" s="72"/>
      <c r="AQ56" s="71">
        <f>V56+AI56</f>
        <v>25450.2</v>
      </c>
      <c r="AR56" s="71">
        <f>AH56+AK56</f>
        <v>1384.33</v>
      </c>
      <c r="AS56" s="83">
        <f>AJ56+5000</f>
        <v>25000</v>
      </c>
      <c r="AT56" s="83"/>
      <c r="AU56" s="71">
        <f>AQ56-AR56-AS56-AT56</f>
        <v>-934.13</v>
      </c>
      <c r="AV56" s="84">
        <f>5*MAX(0,AU56*{0.6;2;4;5;6;7;9}%-{0;504;3384;6384;10584;17184;36384})</f>
        <v>0</v>
      </c>
      <c r="AW56" s="86">
        <v>107.81</v>
      </c>
      <c r="AX56" s="84">
        <f>IF(+AV56-AW56&gt;0,AV56-AW56,0)</f>
        <v>0</v>
      </c>
      <c r="AY56" s="59"/>
      <c r="AZ56" s="93">
        <f>V56-AH56-AX56</f>
        <v>472.11</v>
      </c>
      <c r="BA56" s="95" t="s">
        <v>169</v>
      </c>
    </row>
    <row r="57" s="4" customFormat="1" ht="25" customHeight="1" spans="1:53">
      <c r="A57" s="14">
        <v>47</v>
      </c>
      <c r="B57" s="28" t="s">
        <v>225</v>
      </c>
      <c r="C57" s="29" t="s">
        <v>54</v>
      </c>
      <c r="D57" s="29" t="s">
        <v>222</v>
      </c>
      <c r="E57" s="29" t="s">
        <v>56</v>
      </c>
      <c r="F57" s="29" t="s">
        <v>57</v>
      </c>
      <c r="G57" s="30" t="s">
        <v>226</v>
      </c>
      <c r="H57" s="30" t="s">
        <v>227</v>
      </c>
      <c r="I57" s="29"/>
      <c r="J57" s="49">
        <f>1830*80%</f>
        <v>1464</v>
      </c>
      <c r="K57" s="49">
        <f>2400*80%</f>
        <v>1920</v>
      </c>
      <c r="L57" s="49">
        <f>(1770*80%)*(1.06+0.05)</f>
        <v>1571.76</v>
      </c>
      <c r="M57" s="49">
        <v>200</v>
      </c>
      <c r="N57" s="49">
        <v>100</v>
      </c>
      <c r="O57" s="49"/>
      <c r="P57" s="49"/>
      <c r="Q57" s="49"/>
      <c r="R57" s="49"/>
      <c r="S57" s="49"/>
      <c r="T57" s="49"/>
      <c r="U57" s="49"/>
      <c r="V57" s="60">
        <f>SUM(J57:S57)-T57+U57</f>
        <v>5255.76</v>
      </c>
      <c r="W57" s="61"/>
      <c r="X57" s="61"/>
      <c r="Y57" s="61"/>
      <c r="Z57" s="61"/>
      <c r="AA57" s="61"/>
      <c r="AB57" s="61"/>
      <c r="AC57" s="61"/>
      <c r="AD57" s="67">
        <f>270</f>
        <v>270</v>
      </c>
      <c r="AE57" s="61">
        <f>69.26</f>
        <v>69.26</v>
      </c>
      <c r="AF57" s="61">
        <f>13.85</f>
        <v>13.85</v>
      </c>
      <c r="AG57" s="49">
        <f>119</f>
        <v>119</v>
      </c>
      <c r="AH57" s="49">
        <f t="shared" ref="AH57:AH64" si="30">SUM(AD57:AG57)</f>
        <v>472.11</v>
      </c>
      <c r="AI57" s="76">
        <v>2343.48</v>
      </c>
      <c r="AJ57" s="76">
        <v>5000</v>
      </c>
      <c r="AK57" s="76">
        <v>944.22</v>
      </c>
      <c r="AL57" s="72"/>
      <c r="AM57" s="72"/>
      <c r="AN57" s="72"/>
      <c r="AO57" s="72"/>
      <c r="AP57" s="72"/>
      <c r="AQ57" s="71">
        <f>V57+AI57</f>
        <v>7599.24</v>
      </c>
      <c r="AR57" s="71">
        <f>AH57+AK57</f>
        <v>1416.33</v>
      </c>
      <c r="AS57" s="83">
        <f>AJ57+5000</f>
        <v>10000</v>
      </c>
      <c r="AT57" s="83"/>
      <c r="AU57" s="71"/>
      <c r="AV57" s="84"/>
      <c r="AW57" s="86"/>
      <c r="AX57" s="84">
        <f t="shared" ref="AX57:AX64" si="31">IF(+AV57-AW57&gt;0,AV57-AW57,0)</f>
        <v>0</v>
      </c>
      <c r="AY57" s="59"/>
      <c r="AZ57" s="93">
        <f>V57-AH57-AX57</f>
        <v>4783.65</v>
      </c>
      <c r="BA57" s="95" t="s">
        <v>228</v>
      </c>
    </row>
    <row r="58" s="4" customFormat="1" ht="25" customHeight="1" spans="1:53">
      <c r="A58" s="14">
        <v>48</v>
      </c>
      <c r="B58" s="48" t="s">
        <v>229</v>
      </c>
      <c r="C58" s="29" t="s">
        <v>54</v>
      </c>
      <c r="D58" s="29" t="s">
        <v>230</v>
      </c>
      <c r="E58" s="29" t="s">
        <v>89</v>
      </c>
      <c r="F58" s="29" t="s">
        <v>84</v>
      </c>
      <c r="G58" s="30" t="s">
        <v>231</v>
      </c>
      <c r="H58" s="30" t="s">
        <v>232</v>
      </c>
      <c r="I58" s="2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60">
        <v>2000</v>
      </c>
      <c r="W58" s="61"/>
      <c r="X58" s="61"/>
      <c r="Y58" s="61"/>
      <c r="Z58" s="61"/>
      <c r="AA58" s="61"/>
      <c r="AB58" s="61"/>
      <c r="AC58" s="61"/>
      <c r="AD58" s="67"/>
      <c r="AE58" s="61"/>
      <c r="AF58" s="61"/>
      <c r="AG58" s="49"/>
      <c r="AH58" s="49">
        <f t="shared" si="30"/>
        <v>0</v>
      </c>
      <c r="AI58" s="76">
        <v>2000</v>
      </c>
      <c r="AJ58" s="76">
        <v>5000</v>
      </c>
      <c r="AK58" s="76">
        <v>0</v>
      </c>
      <c r="AL58" s="72"/>
      <c r="AM58" s="72"/>
      <c r="AN58" s="72"/>
      <c r="AO58" s="72"/>
      <c r="AP58" s="72"/>
      <c r="AQ58" s="71">
        <f>V58+AI58</f>
        <v>4000</v>
      </c>
      <c r="AR58" s="71">
        <f>AH58+AK58</f>
        <v>0</v>
      </c>
      <c r="AS58" s="83">
        <f>AJ58+5000</f>
        <v>10000</v>
      </c>
      <c r="AT58" s="83"/>
      <c r="AU58" s="71"/>
      <c r="AV58" s="84"/>
      <c r="AW58" s="86"/>
      <c r="AX58" s="84">
        <f t="shared" si="31"/>
        <v>0</v>
      </c>
      <c r="AY58" s="59"/>
      <c r="AZ58" s="93">
        <f>V58-AH58-AX58</f>
        <v>2000</v>
      </c>
      <c r="BA58" s="95"/>
    </row>
    <row r="59" s="4" customFormat="1" ht="25" customHeight="1" spans="1:53">
      <c r="A59" s="14">
        <v>49</v>
      </c>
      <c r="B59" s="28" t="s">
        <v>233</v>
      </c>
      <c r="C59" s="29" t="s">
        <v>54</v>
      </c>
      <c r="D59" s="29" t="s">
        <v>234</v>
      </c>
      <c r="E59" s="29" t="s">
        <v>89</v>
      </c>
      <c r="F59" s="29" t="s">
        <v>68</v>
      </c>
      <c r="G59" s="30" t="s">
        <v>235</v>
      </c>
      <c r="H59" s="30" t="s">
        <v>236</v>
      </c>
      <c r="I59" s="29"/>
      <c r="J59" s="49">
        <v>1830</v>
      </c>
      <c r="K59" s="49">
        <f>400</f>
        <v>400</v>
      </c>
      <c r="L59" s="49">
        <f>300*1.05</f>
        <v>315</v>
      </c>
      <c r="M59" s="49">
        <v>200</v>
      </c>
      <c r="N59" s="49">
        <v>100</v>
      </c>
      <c r="O59" s="49"/>
      <c r="P59" s="49">
        <v>40</v>
      </c>
      <c r="Q59" s="49"/>
      <c r="R59" s="49">
        <f>J59/21.75/8*12*1.5+J59/21.75/8*55*2</f>
        <v>1346.21</v>
      </c>
      <c r="S59" s="49"/>
      <c r="T59" s="49"/>
      <c r="U59" s="49">
        <v>200</v>
      </c>
      <c r="V59" s="60">
        <f t="shared" ref="V59:V65" si="32">SUM(J59:S59)-T59+U59</f>
        <v>4431.21</v>
      </c>
      <c r="W59" s="61">
        <v>431.52</v>
      </c>
      <c r="X59" s="61">
        <v>19.42</v>
      </c>
      <c r="Y59" s="61">
        <v>210.34</v>
      </c>
      <c r="Z59" s="61">
        <v>32.36</v>
      </c>
      <c r="AA59" s="61">
        <v>7.28</v>
      </c>
      <c r="AB59" s="61">
        <v>25.89</v>
      </c>
      <c r="AC59" s="61">
        <v>107</v>
      </c>
      <c r="AD59" s="67">
        <v>254</v>
      </c>
      <c r="AE59" s="61">
        <v>69.26</v>
      </c>
      <c r="AF59" s="61">
        <v>13.85</v>
      </c>
      <c r="AG59" s="49">
        <v>107</v>
      </c>
      <c r="AH59" s="49">
        <f t="shared" si="30"/>
        <v>444.11</v>
      </c>
      <c r="AI59" s="76">
        <v>10227.75</v>
      </c>
      <c r="AJ59" s="76">
        <v>20000</v>
      </c>
      <c r="AK59" s="76">
        <v>1776.44</v>
      </c>
      <c r="AL59" s="72"/>
      <c r="AM59" s="72"/>
      <c r="AN59" s="72"/>
      <c r="AO59" s="72"/>
      <c r="AP59" s="72"/>
      <c r="AQ59" s="71">
        <f t="shared" ref="AQ59:AQ66" si="33">V59+AI59</f>
        <v>14658.96</v>
      </c>
      <c r="AR59" s="71">
        <f t="shared" ref="AR59:AR66" si="34">AH59+AK59</f>
        <v>2220.55</v>
      </c>
      <c r="AS59" s="83">
        <f t="shared" ref="AS59:AS67" si="35">AJ59+5000</f>
        <v>25000</v>
      </c>
      <c r="AT59" s="83"/>
      <c r="AU59" s="71">
        <f t="shared" ref="AU59:AU67" si="36">AQ59-AR59-AS59-AT59</f>
        <v>-12561.59</v>
      </c>
      <c r="AV59" s="84">
        <f>5*MAX(0,AU59*{0.6;2;4;5;6;7;9}%-{0;504;3384;6384;10584;17184;36384})</f>
        <v>0</v>
      </c>
      <c r="AW59" s="86">
        <v>0</v>
      </c>
      <c r="AX59" s="84">
        <f t="shared" si="31"/>
        <v>0</v>
      </c>
      <c r="AY59" s="59"/>
      <c r="AZ59" s="93">
        <f t="shared" ref="AZ59:AZ67" si="37">V59-AH59-AX59</f>
        <v>3987.1</v>
      </c>
      <c r="BA59" s="95"/>
    </row>
    <row r="60" s="4" customFormat="1" ht="25" customHeight="1" spans="1:53">
      <c r="A60" s="14">
        <v>50</v>
      </c>
      <c r="B60" s="28" t="s">
        <v>237</v>
      </c>
      <c r="C60" s="29" t="s">
        <v>54</v>
      </c>
      <c r="D60" s="29" t="s">
        <v>230</v>
      </c>
      <c r="E60" s="29" t="s">
        <v>89</v>
      </c>
      <c r="F60" s="29" t="s">
        <v>84</v>
      </c>
      <c r="G60" s="30" t="s">
        <v>238</v>
      </c>
      <c r="H60" s="30" t="s">
        <v>239</v>
      </c>
      <c r="I60" s="2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60">
        <v>2000</v>
      </c>
      <c r="W60" s="61"/>
      <c r="X60" s="61"/>
      <c r="Y60" s="61"/>
      <c r="Z60" s="61"/>
      <c r="AA60" s="61"/>
      <c r="AB60" s="61"/>
      <c r="AC60" s="61"/>
      <c r="AD60" s="61" t="s">
        <v>240</v>
      </c>
      <c r="AE60" s="61"/>
      <c r="AF60" s="61" t="s">
        <v>240</v>
      </c>
      <c r="AG60" s="49"/>
      <c r="AH60" s="49">
        <f t="shared" si="30"/>
        <v>0</v>
      </c>
      <c r="AI60" s="76">
        <v>4000</v>
      </c>
      <c r="AJ60" s="76">
        <v>20000</v>
      </c>
      <c r="AK60" s="72">
        <v>0</v>
      </c>
      <c r="AL60" s="72"/>
      <c r="AM60" s="72"/>
      <c r="AN60" s="72"/>
      <c r="AO60" s="72"/>
      <c r="AP60" s="72"/>
      <c r="AQ60" s="71">
        <f t="shared" si="33"/>
        <v>6000</v>
      </c>
      <c r="AR60" s="71">
        <f t="shared" si="34"/>
        <v>0</v>
      </c>
      <c r="AS60" s="83">
        <f t="shared" si="35"/>
        <v>25000</v>
      </c>
      <c r="AT60" s="83"/>
      <c r="AU60" s="71">
        <f t="shared" si="36"/>
        <v>-19000</v>
      </c>
      <c r="AV60" s="84">
        <f>5*MAX(0,AU60*{0.6;2;4;5;6;7;9}%-{0;504;3384;6384;10584;17184;36384})</f>
        <v>0</v>
      </c>
      <c r="AW60" s="86">
        <v>0</v>
      </c>
      <c r="AX60" s="84">
        <f t="shared" si="31"/>
        <v>0</v>
      </c>
      <c r="AY60" s="59"/>
      <c r="AZ60" s="93">
        <f t="shared" si="37"/>
        <v>2000</v>
      </c>
      <c r="BA60" s="95"/>
    </row>
    <row r="61" s="4" customFormat="1" ht="25" customHeight="1" spans="1:53">
      <c r="A61" s="14">
        <v>51</v>
      </c>
      <c r="B61" s="28" t="s">
        <v>241</v>
      </c>
      <c r="C61" s="29" t="s">
        <v>54</v>
      </c>
      <c r="D61" s="29" t="s">
        <v>230</v>
      </c>
      <c r="E61" s="29" t="s">
        <v>89</v>
      </c>
      <c r="F61" s="29" t="s">
        <v>84</v>
      </c>
      <c r="G61" s="30" t="s">
        <v>242</v>
      </c>
      <c r="H61" s="30" t="s">
        <v>243</v>
      </c>
      <c r="I61" s="2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60">
        <v>2000</v>
      </c>
      <c r="W61" s="61">
        <v>431.52</v>
      </c>
      <c r="X61" s="61">
        <v>19.42</v>
      </c>
      <c r="Y61" s="61">
        <v>210.34</v>
      </c>
      <c r="Z61" s="61">
        <v>32.36</v>
      </c>
      <c r="AA61" s="61">
        <v>7.28</v>
      </c>
      <c r="AB61" s="61">
        <v>25.89</v>
      </c>
      <c r="AC61" s="61">
        <v>107</v>
      </c>
      <c r="AD61" s="61"/>
      <c r="AE61" s="61"/>
      <c r="AF61" s="61"/>
      <c r="AG61" s="49"/>
      <c r="AH61" s="49">
        <f t="shared" si="30"/>
        <v>0</v>
      </c>
      <c r="AI61" s="76">
        <v>4000</v>
      </c>
      <c r="AJ61" s="76">
        <v>20000</v>
      </c>
      <c r="AK61" s="76">
        <v>0</v>
      </c>
      <c r="AL61" s="72"/>
      <c r="AM61" s="72"/>
      <c r="AN61" s="72"/>
      <c r="AO61" s="72"/>
      <c r="AP61" s="72"/>
      <c r="AQ61" s="71">
        <f t="shared" si="33"/>
        <v>6000</v>
      </c>
      <c r="AR61" s="71">
        <f t="shared" si="34"/>
        <v>0</v>
      </c>
      <c r="AS61" s="83">
        <f t="shared" si="35"/>
        <v>25000</v>
      </c>
      <c r="AT61" s="83"/>
      <c r="AU61" s="71">
        <f t="shared" si="36"/>
        <v>-19000</v>
      </c>
      <c r="AV61" s="84">
        <f>5*MAX(0,AU61*{0.6;2;4;5;6;7;9}%-{0;504;3384;6384;10584;17184;36384})</f>
        <v>0</v>
      </c>
      <c r="AW61" s="86">
        <v>0</v>
      </c>
      <c r="AX61" s="84">
        <f t="shared" si="31"/>
        <v>0</v>
      </c>
      <c r="AY61" s="59"/>
      <c r="AZ61" s="93">
        <f t="shared" si="37"/>
        <v>2000</v>
      </c>
      <c r="BA61" s="95"/>
    </row>
    <row r="62" s="4" customFormat="1" ht="25" customHeight="1" spans="1:53">
      <c r="A62" s="14">
        <v>52</v>
      </c>
      <c r="B62" s="28" t="s">
        <v>244</v>
      </c>
      <c r="C62" s="29" t="s">
        <v>54</v>
      </c>
      <c r="D62" s="29" t="s">
        <v>230</v>
      </c>
      <c r="E62" s="29" t="s">
        <v>89</v>
      </c>
      <c r="F62" s="29" t="s">
        <v>84</v>
      </c>
      <c r="G62" s="30" t="s">
        <v>245</v>
      </c>
      <c r="H62" s="30" t="s">
        <v>246</v>
      </c>
      <c r="I62" s="2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60">
        <v>2000</v>
      </c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49"/>
      <c r="AH62" s="49">
        <f t="shared" si="30"/>
        <v>0</v>
      </c>
      <c r="AI62" s="76">
        <v>4000</v>
      </c>
      <c r="AJ62" s="76">
        <v>20000</v>
      </c>
      <c r="AK62" s="72">
        <v>0</v>
      </c>
      <c r="AL62" s="72"/>
      <c r="AM62" s="72"/>
      <c r="AN62" s="72"/>
      <c r="AO62" s="72"/>
      <c r="AP62" s="72"/>
      <c r="AQ62" s="71">
        <f t="shared" si="33"/>
        <v>6000</v>
      </c>
      <c r="AR62" s="71">
        <f t="shared" si="34"/>
        <v>0</v>
      </c>
      <c r="AS62" s="83">
        <f t="shared" si="35"/>
        <v>25000</v>
      </c>
      <c r="AT62" s="83"/>
      <c r="AU62" s="71">
        <f t="shared" si="36"/>
        <v>-19000</v>
      </c>
      <c r="AV62" s="84">
        <f>5*MAX(0,AU62*{0.6;2;4;5;6;7;9}%-{0;504;3384;6384;10584;17184;36384})</f>
        <v>0</v>
      </c>
      <c r="AW62" s="86">
        <v>0</v>
      </c>
      <c r="AX62" s="84">
        <f t="shared" si="31"/>
        <v>0</v>
      </c>
      <c r="AY62" s="59"/>
      <c r="AZ62" s="93">
        <f t="shared" si="37"/>
        <v>2000</v>
      </c>
      <c r="BA62" s="95"/>
    </row>
    <row r="63" s="4" customFormat="1" ht="25" customHeight="1" spans="1:53">
      <c r="A63" s="14">
        <v>53</v>
      </c>
      <c r="B63" s="28" t="s">
        <v>247</v>
      </c>
      <c r="C63" s="29" t="s">
        <v>54</v>
      </c>
      <c r="D63" s="29" t="s">
        <v>234</v>
      </c>
      <c r="E63" s="29" t="s">
        <v>89</v>
      </c>
      <c r="F63" s="29" t="s">
        <v>68</v>
      </c>
      <c r="G63" s="30" t="s">
        <v>248</v>
      </c>
      <c r="H63" s="30" t="s">
        <v>249</v>
      </c>
      <c r="I63" s="29"/>
      <c r="J63" s="49">
        <v>1830</v>
      </c>
      <c r="K63" s="49">
        <f>400</f>
        <v>400</v>
      </c>
      <c r="L63" s="49">
        <f>300*1.05</f>
        <v>315</v>
      </c>
      <c r="M63" s="49">
        <v>200</v>
      </c>
      <c r="N63" s="49">
        <v>100</v>
      </c>
      <c r="O63" s="49"/>
      <c r="P63" s="49">
        <v>20</v>
      </c>
      <c r="Q63" s="49"/>
      <c r="R63" s="49">
        <f>1830/21.75/8*75*1.5+1830/21.75/8*59*2</f>
        <v>2424.22</v>
      </c>
      <c r="S63" s="49"/>
      <c r="T63" s="49"/>
      <c r="U63" s="49"/>
      <c r="V63" s="60">
        <f t="shared" si="32"/>
        <v>5289.22</v>
      </c>
      <c r="W63" s="61">
        <v>431.52</v>
      </c>
      <c r="X63" s="61">
        <v>19.42</v>
      </c>
      <c r="Y63" s="61">
        <v>210.34</v>
      </c>
      <c r="Z63" s="61">
        <v>32.36</v>
      </c>
      <c r="AA63" s="61">
        <v>7.28</v>
      </c>
      <c r="AB63" s="61">
        <v>25.89</v>
      </c>
      <c r="AC63" s="61">
        <v>107</v>
      </c>
      <c r="AD63" s="67">
        <v>254</v>
      </c>
      <c r="AE63" s="61">
        <v>69.26</v>
      </c>
      <c r="AF63" s="61">
        <v>13.85</v>
      </c>
      <c r="AG63" s="49">
        <v>107</v>
      </c>
      <c r="AH63" s="49">
        <f t="shared" si="30"/>
        <v>444.11</v>
      </c>
      <c r="AI63" s="72">
        <v>13056.57</v>
      </c>
      <c r="AJ63" s="76">
        <v>20000</v>
      </c>
      <c r="AK63" s="72">
        <v>1776.44</v>
      </c>
      <c r="AL63" s="72"/>
      <c r="AM63" s="72"/>
      <c r="AN63" s="72"/>
      <c r="AO63" s="72"/>
      <c r="AP63" s="72"/>
      <c r="AQ63" s="71">
        <f t="shared" si="33"/>
        <v>18345.79</v>
      </c>
      <c r="AR63" s="71">
        <f t="shared" si="34"/>
        <v>2220.55</v>
      </c>
      <c r="AS63" s="83">
        <f t="shared" si="35"/>
        <v>25000</v>
      </c>
      <c r="AT63" s="83"/>
      <c r="AU63" s="71">
        <f t="shared" si="36"/>
        <v>-8874.76</v>
      </c>
      <c r="AV63" s="84">
        <f>5*MAX(0,AU63*{0.6;2;4;5;6;7;9}%-{0;504;3384;6384;10584;17184;36384})</f>
        <v>0</v>
      </c>
      <c r="AW63" s="86">
        <v>0</v>
      </c>
      <c r="AX63" s="84">
        <f t="shared" si="31"/>
        <v>0</v>
      </c>
      <c r="AY63" s="59"/>
      <c r="AZ63" s="93">
        <f t="shared" si="37"/>
        <v>4845.11</v>
      </c>
      <c r="BA63" s="95"/>
    </row>
    <row r="64" s="4" customFormat="1" ht="25" customHeight="1" spans="1:53">
      <c r="A64" s="14">
        <v>54</v>
      </c>
      <c r="B64" s="28" t="s">
        <v>250</v>
      </c>
      <c r="C64" s="29" t="s">
        <v>54</v>
      </c>
      <c r="D64" s="36" t="s">
        <v>251</v>
      </c>
      <c r="E64" s="29" t="s">
        <v>89</v>
      </c>
      <c r="F64" s="29" t="s">
        <v>68</v>
      </c>
      <c r="G64" s="30" t="s">
        <v>252</v>
      </c>
      <c r="H64" s="30" t="s">
        <v>253</v>
      </c>
      <c r="I64" s="29"/>
      <c r="J64" s="49">
        <v>1830</v>
      </c>
      <c r="K64" s="49">
        <f>400</f>
        <v>400</v>
      </c>
      <c r="L64" s="49">
        <f>300</f>
        <v>300</v>
      </c>
      <c r="M64" s="49">
        <v>200</v>
      </c>
      <c r="N64" s="49">
        <v>100</v>
      </c>
      <c r="O64" s="49"/>
      <c r="P64" s="49">
        <v>20</v>
      </c>
      <c r="Q64" s="49"/>
      <c r="R64" s="49">
        <f>1830/21.75/8*12*1.5+1830/21.75/8*51*2</f>
        <v>1262.07</v>
      </c>
      <c r="S64" s="49">
        <v>20</v>
      </c>
      <c r="T64" s="49"/>
      <c r="U64" s="49">
        <v>508.82</v>
      </c>
      <c r="V64" s="60">
        <f t="shared" si="32"/>
        <v>4640.89</v>
      </c>
      <c r="W64" s="61">
        <v>431.52</v>
      </c>
      <c r="X64" s="61">
        <v>19.42</v>
      </c>
      <c r="Y64" s="61">
        <v>210.34</v>
      </c>
      <c r="Z64" s="61">
        <v>32.36</v>
      </c>
      <c r="AA64" s="61">
        <v>7.28</v>
      </c>
      <c r="AB64" s="61">
        <v>25.89</v>
      </c>
      <c r="AC64" s="61">
        <v>107</v>
      </c>
      <c r="AD64" s="67">
        <v>254</v>
      </c>
      <c r="AE64" s="61">
        <v>69.26</v>
      </c>
      <c r="AF64" s="61">
        <v>13.85</v>
      </c>
      <c r="AG64" s="49">
        <v>107</v>
      </c>
      <c r="AH64" s="49">
        <f t="shared" si="30"/>
        <v>444.11</v>
      </c>
      <c r="AI64" s="76">
        <v>9956.43</v>
      </c>
      <c r="AJ64" s="76">
        <v>20000</v>
      </c>
      <c r="AK64" s="76">
        <v>1776.44</v>
      </c>
      <c r="AL64" s="72"/>
      <c r="AM64" s="72"/>
      <c r="AN64" s="72"/>
      <c r="AO64" s="72"/>
      <c r="AP64" s="72"/>
      <c r="AQ64" s="71">
        <f t="shared" si="33"/>
        <v>14597.32</v>
      </c>
      <c r="AR64" s="71">
        <f t="shared" si="34"/>
        <v>2220.55</v>
      </c>
      <c r="AS64" s="83">
        <f t="shared" si="35"/>
        <v>25000</v>
      </c>
      <c r="AT64" s="83"/>
      <c r="AU64" s="71">
        <f t="shared" si="36"/>
        <v>-12623.23</v>
      </c>
      <c r="AV64" s="84">
        <f>5*MAX(0,AU64*{0.6;2;4;5;6;7;9}%-{0;504;3384;6384;10584;17184;36384})</f>
        <v>0</v>
      </c>
      <c r="AW64" s="86">
        <v>0</v>
      </c>
      <c r="AX64" s="84">
        <f t="shared" si="31"/>
        <v>0</v>
      </c>
      <c r="AY64" s="59"/>
      <c r="AZ64" s="93">
        <f t="shared" si="37"/>
        <v>4196.78</v>
      </c>
      <c r="BA64" s="94"/>
    </row>
    <row r="65" s="23" customFormat="1" ht="23" customHeight="1" spans="1:53">
      <c r="A65" s="33"/>
      <c r="B65" s="31" t="s">
        <v>254</v>
      </c>
      <c r="C65" s="32"/>
      <c r="D65" s="16"/>
      <c r="E65" s="16"/>
      <c r="F65" s="16"/>
      <c r="G65" s="30"/>
      <c r="H65" s="34"/>
      <c r="I65" s="16"/>
      <c r="J65" s="53">
        <f t="shared" ref="J65:AZ65" si="38">SUM(J54:J64)</f>
        <v>10614</v>
      </c>
      <c r="K65" s="53">
        <f t="shared" si="38"/>
        <v>8420</v>
      </c>
      <c r="L65" s="53">
        <f t="shared" si="38"/>
        <v>6262.73</v>
      </c>
      <c r="M65" s="53">
        <f t="shared" si="38"/>
        <v>1200</v>
      </c>
      <c r="N65" s="53">
        <f t="shared" si="38"/>
        <v>600</v>
      </c>
      <c r="O65" s="53">
        <f t="shared" si="38"/>
        <v>0</v>
      </c>
      <c r="P65" s="53">
        <f t="shared" si="38"/>
        <v>140</v>
      </c>
      <c r="Q65" s="53">
        <f t="shared" si="38"/>
        <v>0</v>
      </c>
      <c r="R65" s="53">
        <f t="shared" si="38"/>
        <v>5032.5</v>
      </c>
      <c r="S65" s="53">
        <f t="shared" si="38"/>
        <v>20</v>
      </c>
      <c r="T65" s="53">
        <f t="shared" si="38"/>
        <v>0</v>
      </c>
      <c r="U65" s="53">
        <f t="shared" si="38"/>
        <v>708.82</v>
      </c>
      <c r="V65" s="53">
        <f t="shared" si="38"/>
        <v>40998.05</v>
      </c>
      <c r="W65" s="53">
        <f t="shared" si="38"/>
        <v>3051.2</v>
      </c>
      <c r="X65" s="53">
        <f t="shared" si="38"/>
        <v>135.94</v>
      </c>
      <c r="Y65" s="53">
        <f t="shared" si="38"/>
        <v>1472.38</v>
      </c>
      <c r="Z65" s="53">
        <f t="shared" si="38"/>
        <v>226.52</v>
      </c>
      <c r="AA65" s="53">
        <f t="shared" si="38"/>
        <v>50.96</v>
      </c>
      <c r="AB65" s="53">
        <f t="shared" si="38"/>
        <v>181.23</v>
      </c>
      <c r="AC65" s="53">
        <f t="shared" si="38"/>
        <v>791</v>
      </c>
      <c r="AD65" s="53">
        <f t="shared" si="38"/>
        <v>1866</v>
      </c>
      <c r="AE65" s="53">
        <f t="shared" si="38"/>
        <v>489.06</v>
      </c>
      <c r="AF65" s="53">
        <f t="shared" si="38"/>
        <v>97.8</v>
      </c>
      <c r="AG65" s="53">
        <f t="shared" si="38"/>
        <v>803</v>
      </c>
      <c r="AH65" s="53">
        <f t="shared" si="38"/>
        <v>2311.64</v>
      </c>
      <c r="AI65" s="53">
        <f t="shared" si="38"/>
        <v>115893.55</v>
      </c>
      <c r="AJ65" s="53">
        <f t="shared" si="38"/>
        <v>190000</v>
      </c>
      <c r="AK65" s="53">
        <f t="shared" si="38"/>
        <v>11925.04</v>
      </c>
      <c r="AL65" s="53">
        <f t="shared" si="38"/>
        <v>4000</v>
      </c>
      <c r="AM65" s="53">
        <f t="shared" si="38"/>
        <v>8000</v>
      </c>
      <c r="AN65" s="53">
        <f t="shared" si="38"/>
        <v>0</v>
      </c>
      <c r="AO65" s="53">
        <f t="shared" si="38"/>
        <v>0</v>
      </c>
      <c r="AP65" s="53">
        <f t="shared" si="38"/>
        <v>0</v>
      </c>
      <c r="AQ65" s="53">
        <f t="shared" si="38"/>
        <v>156891.6</v>
      </c>
      <c r="AR65" s="53">
        <f t="shared" si="38"/>
        <v>14236.68</v>
      </c>
      <c r="AS65" s="53">
        <f t="shared" si="38"/>
        <v>245000</v>
      </c>
      <c r="AT65" s="53">
        <f t="shared" si="38"/>
        <v>15000</v>
      </c>
      <c r="AU65" s="53">
        <f t="shared" si="38"/>
        <v>-107527.99</v>
      </c>
      <c r="AV65" s="53">
        <f t="shared" si="38"/>
        <v>0</v>
      </c>
      <c r="AW65" s="53">
        <f t="shared" si="38"/>
        <v>107.81</v>
      </c>
      <c r="AX65" s="53">
        <f t="shared" si="38"/>
        <v>0</v>
      </c>
      <c r="AY65" s="53">
        <f t="shared" si="38"/>
        <v>0</v>
      </c>
      <c r="AZ65" s="53">
        <f t="shared" si="38"/>
        <v>38686.41</v>
      </c>
      <c r="BA65" s="21"/>
    </row>
    <row r="66" s="23" customFormat="1" ht="30" customHeight="1" spans="1:53">
      <c r="A66" s="100" t="s">
        <v>255</v>
      </c>
      <c r="B66" s="101"/>
      <c r="C66" s="102"/>
      <c r="D66" s="102"/>
      <c r="E66" s="102"/>
      <c r="F66" s="102"/>
      <c r="G66" s="103"/>
      <c r="H66" s="103"/>
      <c r="I66" s="106"/>
      <c r="J66" s="107">
        <f>J65+J53+J43+J40+J17+J11+J8</f>
        <v>77958</v>
      </c>
      <c r="K66" s="107">
        <f>K65+K53+K43+K40+K17+K11+K8</f>
        <v>34880</v>
      </c>
      <c r="L66" s="107">
        <f t="shared" ref="K66:U66" si="39">L65+L53+L43+L40+L17+L11+L8</f>
        <v>28400.18</v>
      </c>
      <c r="M66" s="107">
        <f t="shared" si="39"/>
        <v>8400</v>
      </c>
      <c r="N66" s="107">
        <f t="shared" si="39"/>
        <v>4300</v>
      </c>
      <c r="O66" s="107">
        <f t="shared" si="39"/>
        <v>6250</v>
      </c>
      <c r="P66" s="107">
        <f t="shared" si="39"/>
        <v>880</v>
      </c>
      <c r="Q66" s="107">
        <f t="shared" si="39"/>
        <v>4170</v>
      </c>
      <c r="R66" s="107">
        <f t="shared" si="39"/>
        <v>62830.54</v>
      </c>
      <c r="S66" s="107">
        <f t="shared" si="39"/>
        <v>1120</v>
      </c>
      <c r="T66" s="107">
        <f t="shared" si="39"/>
        <v>1688.52</v>
      </c>
      <c r="U66" s="107">
        <f t="shared" si="39"/>
        <v>888.82</v>
      </c>
      <c r="V66" s="107">
        <f>V8+V11+V17+V40+V43+V53+V65+V5</f>
        <v>245384.43</v>
      </c>
      <c r="W66" s="107">
        <f>W65+W53+W43+W40+W17+W11+W8</f>
        <v>15615.26</v>
      </c>
      <c r="X66" s="107">
        <f t="shared" ref="S66:AY66" si="40">X65+X53+X43+X40+X17+X11+X8</f>
        <v>909.46</v>
      </c>
      <c r="Y66" s="107">
        <f t="shared" si="40"/>
        <v>7604.6</v>
      </c>
      <c r="Z66" s="107">
        <f t="shared" si="40"/>
        <v>1172.24</v>
      </c>
      <c r="AA66" s="107">
        <f t="shared" si="40"/>
        <v>287.97</v>
      </c>
      <c r="AB66" s="107">
        <f t="shared" si="40"/>
        <v>1039.04</v>
      </c>
      <c r="AC66" s="107">
        <f t="shared" si="40"/>
        <v>4145.76</v>
      </c>
      <c r="AD66" s="107">
        <f t="shared" si="40"/>
        <v>11448</v>
      </c>
      <c r="AE66" s="107">
        <f t="shared" si="40"/>
        <v>3137.9</v>
      </c>
      <c r="AF66" s="107">
        <f t="shared" si="40"/>
        <v>627.5</v>
      </c>
      <c r="AG66" s="107">
        <f t="shared" si="40"/>
        <v>4822</v>
      </c>
      <c r="AH66" s="107">
        <f t="shared" si="40"/>
        <v>17713.74</v>
      </c>
      <c r="AI66" s="107">
        <f t="shared" si="40"/>
        <v>686267.43</v>
      </c>
      <c r="AJ66" s="107">
        <f t="shared" si="40"/>
        <v>975000</v>
      </c>
      <c r="AK66" s="107">
        <f t="shared" si="40"/>
        <v>81094.7</v>
      </c>
      <c r="AL66" s="107">
        <f t="shared" si="40"/>
        <v>12000</v>
      </c>
      <c r="AM66" s="107">
        <f t="shared" si="40"/>
        <v>16000</v>
      </c>
      <c r="AN66" s="107">
        <f t="shared" si="40"/>
        <v>8500</v>
      </c>
      <c r="AO66" s="107">
        <f t="shared" si="40"/>
        <v>0</v>
      </c>
      <c r="AP66" s="107">
        <f t="shared" si="40"/>
        <v>0</v>
      </c>
      <c r="AQ66" s="107">
        <f t="shared" si="40"/>
        <v>932242.24</v>
      </c>
      <c r="AR66" s="107">
        <f t="shared" si="40"/>
        <v>98808.44</v>
      </c>
      <c r="AS66" s="107">
        <f t="shared" si="40"/>
        <v>1230000</v>
      </c>
      <c r="AT66" s="107">
        <f t="shared" si="40"/>
        <v>16937.89</v>
      </c>
      <c r="AU66" s="107">
        <f t="shared" si="40"/>
        <v>-414418.42</v>
      </c>
      <c r="AV66" s="107">
        <f t="shared" si="40"/>
        <v>639.37</v>
      </c>
      <c r="AW66" s="107">
        <f t="shared" si="40"/>
        <v>596.34</v>
      </c>
      <c r="AX66" s="107">
        <f>AX8+AX11+AX17+AX40+AX43+AX53+AX65+AX5</f>
        <v>307.7</v>
      </c>
      <c r="AY66" s="107"/>
      <c r="AZ66" s="107">
        <f>AZ8+AZ11+AZ17+AZ40+AZ43+AZ53+AZ65+AZ5</f>
        <v>240310.66</v>
      </c>
      <c r="BA66" s="117"/>
    </row>
    <row r="67" s="24" customFormat="1" ht="29.1" customHeight="1" spans="1:53">
      <c r="A67" s="104" t="s">
        <v>256</v>
      </c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  <c r="AD67" s="104"/>
      <c r="AE67" s="104"/>
      <c r="AF67" s="104"/>
      <c r="AG67" s="104"/>
      <c r="AH67" s="104"/>
      <c r="AI67" s="104"/>
      <c r="AJ67" s="104"/>
      <c r="AK67" s="104"/>
      <c r="AL67" s="104"/>
      <c r="AM67" s="104"/>
      <c r="AN67" s="104"/>
      <c r="AO67" s="104"/>
      <c r="AP67" s="104"/>
      <c r="AQ67" s="104"/>
      <c r="AR67" s="104"/>
      <c r="AS67" s="104"/>
      <c r="AT67" s="104"/>
      <c r="AU67" s="104"/>
      <c r="AV67" s="104"/>
      <c r="AW67" s="104"/>
      <c r="AX67" s="104"/>
      <c r="AY67" s="104"/>
      <c r="AZ67" s="104"/>
      <c r="BA67" s="104"/>
    </row>
    <row r="68" s="24" customFormat="1" spans="7:52">
      <c r="G68" s="105"/>
      <c r="H68" s="105"/>
      <c r="V68" s="111"/>
      <c r="W68" s="111"/>
      <c r="X68" s="111"/>
      <c r="Y68" s="111"/>
      <c r="Z68" s="111"/>
      <c r="AA68" s="111"/>
      <c r="AB68" s="111"/>
      <c r="AC68" s="111"/>
      <c r="AI68" s="111"/>
      <c r="AJ68" s="111"/>
      <c r="AK68" s="111"/>
      <c r="AL68" s="111"/>
      <c r="AM68" s="111"/>
      <c r="AN68" s="111"/>
      <c r="AO68" s="111"/>
      <c r="AP68" s="111"/>
      <c r="AQ68" s="111"/>
      <c r="AR68" s="111"/>
      <c r="AS68" s="111"/>
      <c r="AT68" s="111"/>
      <c r="AU68" s="111"/>
      <c r="AV68" s="111"/>
      <c r="AW68" s="111"/>
      <c r="AZ68" s="111"/>
    </row>
    <row r="72" spans="10:20">
      <c r="J72" s="108"/>
      <c r="K72" s="108"/>
      <c r="L72" s="108"/>
      <c r="R72" s="108"/>
      <c r="T72" s="108"/>
    </row>
    <row r="73" spans="10:22">
      <c r="J73" s="108"/>
      <c r="K73" s="108"/>
      <c r="L73" s="108"/>
      <c r="P73" s="109"/>
      <c r="Q73" s="109"/>
      <c r="R73" s="112"/>
      <c r="S73" s="113"/>
      <c r="T73" s="112"/>
      <c r="U73" s="113"/>
      <c r="V73" s="114"/>
    </row>
    <row r="74" spans="16:22">
      <c r="P74" s="109"/>
      <c r="Q74" s="109"/>
      <c r="R74" s="113"/>
      <c r="S74" s="113"/>
      <c r="T74" s="109"/>
      <c r="U74" s="113"/>
      <c r="V74" s="114"/>
    </row>
    <row r="75" spans="16:22">
      <c r="P75" s="109"/>
      <c r="Q75" s="109"/>
      <c r="R75" s="113"/>
      <c r="S75" s="113"/>
      <c r="T75" s="109"/>
      <c r="U75" s="113"/>
      <c r="V75" s="115"/>
    </row>
    <row r="76" spans="16:22">
      <c r="P76" s="110"/>
      <c r="Q76" s="110"/>
      <c r="R76" s="110"/>
      <c r="S76" s="110"/>
      <c r="T76" s="110"/>
      <c r="U76" s="110"/>
      <c r="V76" s="114"/>
    </row>
    <row r="77" spans="16:22">
      <c r="P77" s="110"/>
      <c r="Q77" s="110"/>
      <c r="R77" s="116"/>
      <c r="S77" s="110"/>
      <c r="T77" s="110"/>
      <c r="U77" s="116"/>
      <c r="V77" s="114"/>
    </row>
    <row r="78" spans="16:22">
      <c r="P78" s="110"/>
      <c r="Q78" s="110"/>
      <c r="R78" s="116"/>
      <c r="S78" s="110"/>
      <c r="T78" s="110"/>
      <c r="U78" s="116"/>
      <c r="V78" s="114"/>
    </row>
    <row r="81" spans="16:19">
      <c r="P81" s="19"/>
      <c r="R81" s="104"/>
      <c r="S81" s="104"/>
    </row>
    <row r="82" spans="16:19">
      <c r="P82" s="19"/>
      <c r="R82" s="104"/>
      <c r="S82" s="104"/>
    </row>
    <row r="83" spans="16:19">
      <c r="P83" s="19"/>
      <c r="R83" s="104"/>
      <c r="S83" s="104"/>
    </row>
    <row r="84" spans="16:19">
      <c r="P84" s="19"/>
      <c r="R84" s="104"/>
      <c r="S84" s="104"/>
    </row>
    <row r="95" spans="18:20">
      <c r="R95" s="104"/>
      <c r="S95" s="104"/>
      <c r="T95" s="104"/>
    </row>
    <row r="96" spans="18:20">
      <c r="R96" s="104"/>
      <c r="S96" s="104"/>
      <c r="T96" s="19"/>
    </row>
    <row r="97" spans="18:20">
      <c r="R97" s="104"/>
      <c r="S97" s="104"/>
      <c r="T97" s="19"/>
    </row>
  </sheetData>
  <mergeCells count="50">
    <mergeCell ref="A1:BA1"/>
    <mergeCell ref="W2:AC2"/>
    <mergeCell ref="AD2:AH2"/>
    <mergeCell ref="AL2:AP2"/>
    <mergeCell ref="B5:C5"/>
    <mergeCell ref="B8:C8"/>
    <mergeCell ref="B11:C11"/>
    <mergeCell ref="B17:C17"/>
    <mergeCell ref="B40:C40"/>
    <mergeCell ref="B43:C43"/>
    <mergeCell ref="B53:C53"/>
    <mergeCell ref="B65:C65"/>
    <mergeCell ref="A66:C66"/>
    <mergeCell ref="A67:BA67"/>
    <mergeCell ref="P76:R76"/>
    <mergeCell ref="S76:U76"/>
    <mergeCell ref="R95:T95"/>
    <mergeCell ref="A2:A3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AI2:AI3"/>
    <mergeCell ref="AJ2:AJ3"/>
    <mergeCell ref="AK2:AK3"/>
    <mergeCell ref="AQ2:AQ3"/>
    <mergeCell ref="AR2:AR3"/>
    <mergeCell ref="AS2:AS3"/>
    <mergeCell ref="AU2:AU3"/>
    <mergeCell ref="AV2:AV3"/>
    <mergeCell ref="AW2:AW3"/>
    <mergeCell ref="AX2:AX3"/>
    <mergeCell ref="AY2:AY3"/>
    <mergeCell ref="AZ2:AZ3"/>
    <mergeCell ref="BA2:BA3"/>
  </mergeCells>
  <printOptions horizontalCentered="1"/>
  <pageMargins left="0.196527777777778" right="0.196527777777778" top="0.0784722222222222" bottom="0.118055555555556" header="0.156944444444444" footer="0.200694444444444"/>
  <pageSetup paperSize="9" scale="63" orientation="landscape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workbookViewId="0">
      <selection activeCell="X23" sqref="X23"/>
    </sheetView>
  </sheetViews>
  <sheetFormatPr defaultColWidth="9" defaultRowHeight="13.5"/>
  <cols>
    <col min="4" max="4" width="10" customWidth="1"/>
    <col min="5" max="5" width="11.375" customWidth="1"/>
    <col min="6" max="6" width="12.75" customWidth="1"/>
    <col min="8" max="17" width="9" hidden="1" customWidth="1"/>
    <col min="18" max="18" width="9.25"/>
    <col min="25" max="25" width="16.125" customWidth="1"/>
  </cols>
  <sheetData>
    <row r="1" s="2" customFormat="1" ht="28" customHeight="1" spans="1:25">
      <c r="A1" s="5" t="s">
        <v>257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="3" customFormat="1" ht="25" customHeight="1" spans="1:25">
      <c r="A2" s="6" t="s">
        <v>1</v>
      </c>
      <c r="B2" s="7" t="s">
        <v>2</v>
      </c>
      <c r="C2" s="8" t="s">
        <v>3</v>
      </c>
      <c r="D2" s="8" t="s">
        <v>4</v>
      </c>
      <c r="E2" s="9" t="s">
        <v>5</v>
      </c>
      <c r="F2" s="9" t="s">
        <v>5</v>
      </c>
      <c r="G2" s="8" t="s">
        <v>258</v>
      </c>
      <c r="H2" s="7" t="s">
        <v>8</v>
      </c>
      <c r="I2" s="7" t="s">
        <v>9</v>
      </c>
      <c r="J2" s="7" t="s">
        <v>10</v>
      </c>
      <c r="K2" s="8" t="s">
        <v>11</v>
      </c>
      <c r="L2" s="8" t="s">
        <v>259</v>
      </c>
      <c r="M2" s="7" t="s">
        <v>14</v>
      </c>
      <c r="N2" s="7" t="s">
        <v>15</v>
      </c>
      <c r="O2" s="7" t="s">
        <v>16</v>
      </c>
      <c r="P2" s="8" t="s">
        <v>17</v>
      </c>
      <c r="Q2" s="8" t="s">
        <v>18</v>
      </c>
      <c r="R2" s="7" t="s">
        <v>260</v>
      </c>
      <c r="S2" s="7" t="s">
        <v>22</v>
      </c>
      <c r="T2" s="7"/>
      <c r="U2" s="7"/>
      <c r="V2" s="7"/>
      <c r="W2" s="7"/>
      <c r="X2" s="7" t="s">
        <v>261</v>
      </c>
      <c r="Y2" s="7" t="s">
        <v>36</v>
      </c>
    </row>
    <row r="3" s="3" customFormat="1" ht="25" customHeight="1" spans="1:25">
      <c r="A3" s="10"/>
      <c r="B3" s="11"/>
      <c r="C3" s="12"/>
      <c r="D3" s="12"/>
      <c r="E3" s="13"/>
      <c r="F3" s="13"/>
      <c r="G3" s="12"/>
      <c r="H3" s="11"/>
      <c r="I3" s="11"/>
      <c r="J3" s="11"/>
      <c r="K3" s="12"/>
      <c r="L3" s="12"/>
      <c r="M3" s="11"/>
      <c r="N3" s="11"/>
      <c r="O3" s="11"/>
      <c r="P3" s="12"/>
      <c r="Q3" s="12"/>
      <c r="R3" s="11"/>
      <c r="S3" s="11" t="s">
        <v>39</v>
      </c>
      <c r="T3" s="11" t="s">
        <v>41</v>
      </c>
      <c r="U3" s="11" t="s">
        <v>40</v>
      </c>
      <c r="V3" s="11" t="s">
        <v>45</v>
      </c>
      <c r="W3" s="11" t="s">
        <v>262</v>
      </c>
      <c r="X3" s="11"/>
      <c r="Y3" s="11"/>
    </row>
    <row r="4" s="4" customFormat="1" ht="30" customHeight="1" spans="1:25">
      <c r="A4" s="14">
        <v>1</v>
      </c>
      <c r="B4" s="15" t="s">
        <v>263</v>
      </c>
      <c r="C4" s="15" t="s">
        <v>264</v>
      </c>
      <c r="D4" s="16" t="s">
        <v>265</v>
      </c>
      <c r="E4" s="17"/>
      <c r="F4" s="16"/>
      <c r="G4" s="15" t="s">
        <v>266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>
        <v>44551.8</v>
      </c>
      <c r="S4" s="15"/>
      <c r="T4" s="15"/>
      <c r="U4" s="15"/>
      <c r="V4" s="15"/>
      <c r="W4" s="15"/>
      <c r="X4" s="15">
        <f>R4</f>
        <v>44551.8</v>
      </c>
      <c r="Y4" s="21" t="s">
        <v>267</v>
      </c>
    </row>
    <row r="6" spans="4:18">
      <c r="D6" s="18" t="s">
        <v>268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spans="4:18"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</row>
    <row r="9" ht="30" customHeight="1" spans="3:7">
      <c r="C9" s="19"/>
      <c r="D9" s="19" t="s">
        <v>3</v>
      </c>
      <c r="E9" s="19" t="s">
        <v>269</v>
      </c>
      <c r="F9" s="19" t="s">
        <v>270</v>
      </c>
      <c r="G9" s="19" t="s">
        <v>36</v>
      </c>
    </row>
    <row r="10" ht="30" customHeight="1" spans="3:7">
      <c r="C10" s="19"/>
      <c r="D10" s="19" t="s">
        <v>264</v>
      </c>
      <c r="E10" s="19">
        <v>1080</v>
      </c>
      <c r="F10" s="19">
        <v>20606.4</v>
      </c>
      <c r="G10" s="19"/>
    </row>
    <row r="11" ht="30" customHeight="1" spans="3:7">
      <c r="C11" s="19"/>
      <c r="D11" s="19" t="s">
        <v>271</v>
      </c>
      <c r="E11" s="19">
        <v>1036</v>
      </c>
      <c r="F11" s="19">
        <v>19766.88</v>
      </c>
      <c r="G11" s="19"/>
    </row>
    <row r="12" ht="30" customHeight="1" spans="3:7">
      <c r="C12" s="19"/>
      <c r="D12" s="19" t="s">
        <v>272</v>
      </c>
      <c r="E12" s="19">
        <v>72</v>
      </c>
      <c r="F12" s="19">
        <v>1373.76</v>
      </c>
      <c r="G12" s="19"/>
    </row>
    <row r="13" ht="30" customHeight="1" spans="3:7">
      <c r="C13" s="19"/>
      <c r="D13" s="19" t="s">
        <v>273</v>
      </c>
      <c r="E13" s="19">
        <v>147</v>
      </c>
      <c r="F13" s="19">
        <v>2804.76</v>
      </c>
      <c r="G13" s="19"/>
    </row>
    <row r="14" ht="30" customHeight="1" spans="4:6">
      <c r="D14" s="19" t="s">
        <v>274</v>
      </c>
      <c r="E14" s="20">
        <f>SUM(E10:E13)</f>
        <v>2335</v>
      </c>
      <c r="F14" s="20">
        <f>SUM(F10:F13)</f>
        <v>44551.8</v>
      </c>
    </row>
    <row r="17" spans="2:21">
      <c r="B17" t="s">
        <v>275</v>
      </c>
      <c r="F17" t="s">
        <v>276</v>
      </c>
      <c r="U17" t="s">
        <v>277</v>
      </c>
    </row>
  </sheetData>
  <mergeCells count="23">
    <mergeCell ref="A1:Y1"/>
    <mergeCell ref="S2:W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X2:X3"/>
    <mergeCell ref="Y2:Y3"/>
    <mergeCell ref="D6:R7"/>
  </mergeCells>
  <pageMargins left="0.314583333333333" right="0.196527777777778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workbookViewId="0">
      <selection activeCell="A1" sqref="A1"/>
    </sheetView>
  </sheetViews>
  <sheetFormatPr defaultColWidth="9" defaultRowHeight="13.5" outlineLevelCol="7"/>
  <sheetData>
    <row r="1" spans="5:8">
      <c r="E1" t="s">
        <v>1</v>
      </c>
      <c r="F1" t="s">
        <v>278</v>
      </c>
      <c r="G1">
        <v>2</v>
      </c>
      <c r="H1">
        <v>0</v>
      </c>
    </row>
    <row r="2" spans="5:8">
      <c r="E2" t="s">
        <v>2</v>
      </c>
      <c r="F2" t="s">
        <v>279</v>
      </c>
      <c r="G2">
        <v>2</v>
      </c>
      <c r="H2">
        <v>0</v>
      </c>
    </row>
    <row r="3" spans="5:8">
      <c r="E3" t="s">
        <v>3</v>
      </c>
      <c r="F3" t="s">
        <v>280</v>
      </c>
      <c r="G3">
        <v>2</v>
      </c>
      <c r="H3">
        <v>0</v>
      </c>
    </row>
    <row r="4" spans="5:8">
      <c r="E4" t="s">
        <v>4</v>
      </c>
      <c r="F4" t="s">
        <v>281</v>
      </c>
      <c r="G4">
        <v>2</v>
      </c>
      <c r="H4">
        <v>0</v>
      </c>
    </row>
    <row r="5" spans="5:8">
      <c r="E5" t="s">
        <v>5</v>
      </c>
      <c r="F5" t="s">
        <v>282</v>
      </c>
      <c r="G5">
        <v>2</v>
      </c>
      <c r="H5">
        <v>0</v>
      </c>
    </row>
    <row r="6" spans="5:8">
      <c r="E6" t="s">
        <v>6</v>
      </c>
      <c r="F6" t="s">
        <v>283</v>
      </c>
      <c r="G6">
        <v>2</v>
      </c>
      <c r="H6">
        <v>0</v>
      </c>
    </row>
    <row r="7" spans="1:8">
      <c r="A7" t="s">
        <v>284</v>
      </c>
      <c r="B7" t="s">
        <v>285</v>
      </c>
      <c r="E7" t="s">
        <v>7</v>
      </c>
      <c r="F7" t="s">
        <v>286</v>
      </c>
      <c r="G7">
        <v>2</v>
      </c>
      <c r="H7">
        <v>0</v>
      </c>
    </row>
    <row r="8" ht="27" spans="1:8">
      <c r="A8" t="s">
        <v>287</v>
      </c>
      <c r="B8">
        <v>5</v>
      </c>
      <c r="E8" s="1" t="s">
        <v>8</v>
      </c>
      <c r="F8" t="s">
        <v>288</v>
      </c>
      <c r="G8">
        <v>2</v>
      </c>
      <c r="H8">
        <v>0</v>
      </c>
    </row>
    <row r="9" ht="27" spans="5:8">
      <c r="E9" s="1" t="s">
        <v>9</v>
      </c>
      <c r="F9" t="s">
        <v>289</v>
      </c>
      <c r="G9">
        <v>2</v>
      </c>
      <c r="H9">
        <v>0</v>
      </c>
    </row>
    <row r="10" ht="27" spans="5:8">
      <c r="E10" s="1" t="s">
        <v>10</v>
      </c>
      <c r="F10" t="s">
        <v>290</v>
      </c>
      <c r="G10">
        <v>2</v>
      </c>
      <c r="H10">
        <v>0</v>
      </c>
    </row>
    <row r="11" spans="5:8">
      <c r="E11" t="s">
        <v>291</v>
      </c>
      <c r="F11" t="s">
        <v>292</v>
      </c>
      <c r="G11">
        <v>2</v>
      </c>
      <c r="H11">
        <v>0</v>
      </c>
    </row>
    <row r="12" spans="5:8">
      <c r="E12" t="s">
        <v>259</v>
      </c>
      <c r="F12" t="s">
        <v>293</v>
      </c>
      <c r="G12">
        <v>2</v>
      </c>
      <c r="H12">
        <v>0</v>
      </c>
    </row>
    <row r="13" spans="1:8">
      <c r="A13" t="s">
        <v>294</v>
      </c>
      <c r="B13" t="s">
        <v>1</v>
      </c>
      <c r="E13" t="s">
        <v>14</v>
      </c>
      <c r="F13" t="s">
        <v>295</v>
      </c>
      <c r="G13">
        <v>2</v>
      </c>
      <c r="H13">
        <v>0</v>
      </c>
    </row>
    <row r="14" spans="1:8">
      <c r="A14" t="s">
        <v>296</v>
      </c>
      <c r="B14" t="s">
        <v>36</v>
      </c>
      <c r="E14" t="s">
        <v>15</v>
      </c>
      <c r="F14" t="s">
        <v>297</v>
      </c>
      <c r="G14">
        <v>2</v>
      </c>
      <c r="H14">
        <v>0</v>
      </c>
    </row>
    <row r="15" spans="5:8">
      <c r="E15" t="s">
        <v>298</v>
      </c>
      <c r="F15" t="s">
        <v>299</v>
      </c>
      <c r="G15">
        <v>2</v>
      </c>
      <c r="H15">
        <v>0</v>
      </c>
    </row>
    <row r="16" spans="5:8">
      <c r="E16" t="s">
        <v>18</v>
      </c>
      <c r="F16" t="s">
        <v>300</v>
      </c>
      <c r="G16">
        <v>2</v>
      </c>
      <c r="H16">
        <v>0</v>
      </c>
    </row>
    <row r="17" spans="1:8">
      <c r="A17" t="s">
        <v>301</v>
      </c>
      <c r="B17" t="s">
        <v>302</v>
      </c>
      <c r="E17" t="s">
        <v>19</v>
      </c>
      <c r="F17" t="s">
        <v>303</v>
      </c>
      <c r="G17">
        <v>2</v>
      </c>
      <c r="H17">
        <v>0</v>
      </c>
    </row>
    <row r="18" ht="27" spans="5:8">
      <c r="E18" s="1" t="s">
        <v>304</v>
      </c>
      <c r="F18" t="s">
        <v>305</v>
      </c>
      <c r="G18">
        <v>2</v>
      </c>
      <c r="H18">
        <v>0</v>
      </c>
    </row>
    <row r="19" spans="5:8">
      <c r="E19" t="s">
        <v>22</v>
      </c>
      <c r="F19" t="s">
        <v>306</v>
      </c>
      <c r="G19">
        <v>2</v>
      </c>
      <c r="H19">
        <v>5</v>
      </c>
    </row>
    <row r="20" spans="5:8">
      <c r="E20" t="s">
        <v>39</v>
      </c>
      <c r="F20" t="s">
        <v>307</v>
      </c>
      <c r="G20">
        <v>2</v>
      </c>
      <c r="H20">
        <v>0</v>
      </c>
    </row>
    <row r="21" spans="5:8">
      <c r="E21" t="s">
        <v>41</v>
      </c>
      <c r="F21" t="s">
        <v>308</v>
      </c>
      <c r="G21">
        <v>2</v>
      </c>
      <c r="H21">
        <v>0</v>
      </c>
    </row>
    <row r="22" spans="5:8">
      <c r="E22" t="s">
        <v>40</v>
      </c>
      <c r="F22" t="s">
        <v>309</v>
      </c>
      <c r="G22">
        <v>2</v>
      </c>
      <c r="H22">
        <v>0</v>
      </c>
    </row>
    <row r="23" spans="5:8">
      <c r="E23" t="s">
        <v>45</v>
      </c>
      <c r="F23" t="s">
        <v>310</v>
      </c>
      <c r="G23">
        <v>2</v>
      </c>
      <c r="H23">
        <v>0</v>
      </c>
    </row>
    <row r="24" ht="27" spans="5:8">
      <c r="E24" s="1" t="s">
        <v>311</v>
      </c>
      <c r="F24" t="s">
        <v>312</v>
      </c>
      <c r="G24">
        <v>2</v>
      </c>
      <c r="H24">
        <v>0</v>
      </c>
    </row>
    <row r="25" spans="5:8">
      <c r="E25" t="s">
        <v>313</v>
      </c>
      <c r="F25" t="s">
        <v>314</v>
      </c>
      <c r="G25">
        <v>2</v>
      </c>
      <c r="H25">
        <v>0</v>
      </c>
    </row>
    <row r="26" spans="5:8">
      <c r="E26" t="s">
        <v>315</v>
      </c>
      <c r="F26" t="s">
        <v>316</v>
      </c>
      <c r="G26">
        <v>2</v>
      </c>
      <c r="H26">
        <v>0</v>
      </c>
    </row>
    <row r="27" spans="5:8">
      <c r="E27" t="s">
        <v>317</v>
      </c>
      <c r="F27" t="s">
        <v>318</v>
      </c>
      <c r="G27">
        <v>2</v>
      </c>
      <c r="H27">
        <v>0</v>
      </c>
    </row>
    <row r="28" spans="5:8">
      <c r="E28" t="s">
        <v>319</v>
      </c>
      <c r="F28" t="s">
        <v>320</v>
      </c>
      <c r="G28">
        <v>2</v>
      </c>
      <c r="H28">
        <v>0</v>
      </c>
    </row>
    <row r="29" spans="5:8">
      <c r="E29" t="s">
        <v>321</v>
      </c>
      <c r="F29" t="s">
        <v>322</v>
      </c>
      <c r="G29">
        <v>2</v>
      </c>
      <c r="H29">
        <v>0</v>
      </c>
    </row>
    <row r="30" spans="5:8">
      <c r="E30" t="s">
        <v>323</v>
      </c>
      <c r="F30" t="s">
        <v>324</v>
      </c>
      <c r="G30">
        <v>2</v>
      </c>
      <c r="H30">
        <v>0</v>
      </c>
    </row>
    <row r="31" spans="5:8">
      <c r="E31" t="s">
        <v>325</v>
      </c>
      <c r="F31" t="s">
        <v>326</v>
      </c>
      <c r="G31">
        <v>2</v>
      </c>
      <c r="H31">
        <v>0</v>
      </c>
    </row>
    <row r="32" spans="5:8">
      <c r="E32" t="s">
        <v>327</v>
      </c>
      <c r="F32" t="s">
        <v>328</v>
      </c>
      <c r="G32">
        <v>2</v>
      </c>
      <c r="H32">
        <v>0</v>
      </c>
    </row>
    <row r="33" spans="5:8">
      <c r="E33" t="s">
        <v>329</v>
      </c>
      <c r="F33" t="s">
        <v>330</v>
      </c>
      <c r="G33">
        <v>2</v>
      </c>
      <c r="H33">
        <v>0</v>
      </c>
    </row>
    <row r="34" spans="5:8">
      <c r="E34" t="s">
        <v>331</v>
      </c>
      <c r="F34" t="s">
        <v>332</v>
      </c>
      <c r="G34">
        <v>2</v>
      </c>
      <c r="H34">
        <v>0</v>
      </c>
    </row>
    <row r="35" spans="5:8">
      <c r="E35" t="s">
        <v>333</v>
      </c>
      <c r="F35" t="s">
        <v>334</v>
      </c>
      <c r="G35">
        <v>2</v>
      </c>
      <c r="H35">
        <v>0</v>
      </c>
    </row>
    <row r="36" spans="5:8">
      <c r="E36" t="s">
        <v>335</v>
      </c>
      <c r="F36" t="s">
        <v>336</v>
      </c>
      <c r="G36">
        <v>2</v>
      </c>
      <c r="H36">
        <v>0</v>
      </c>
    </row>
    <row r="37" spans="5:8">
      <c r="E37" t="s">
        <v>337</v>
      </c>
      <c r="F37" t="s">
        <v>338</v>
      </c>
      <c r="G37">
        <v>2</v>
      </c>
      <c r="H37">
        <v>0</v>
      </c>
    </row>
    <row r="38" spans="5:8">
      <c r="E38" t="s">
        <v>339</v>
      </c>
      <c r="F38" t="s">
        <v>340</v>
      </c>
      <c r="G38">
        <v>2</v>
      </c>
      <c r="H38">
        <v>0</v>
      </c>
    </row>
    <row r="39" spans="5:8">
      <c r="E39" t="s">
        <v>341</v>
      </c>
      <c r="F39" t="s">
        <v>342</v>
      </c>
      <c r="G39">
        <v>2</v>
      </c>
      <c r="H39">
        <v>0</v>
      </c>
    </row>
    <row r="40" spans="5:8">
      <c r="E40" t="s">
        <v>343</v>
      </c>
      <c r="F40" t="s">
        <v>344</v>
      </c>
      <c r="G40">
        <v>2</v>
      </c>
      <c r="H40">
        <v>0</v>
      </c>
    </row>
    <row r="41" spans="5:8">
      <c r="E41" t="s">
        <v>345</v>
      </c>
      <c r="F41" t="s">
        <v>346</v>
      </c>
      <c r="G41">
        <v>2</v>
      </c>
      <c r="H41">
        <v>0</v>
      </c>
    </row>
    <row r="42" spans="5:8">
      <c r="E42" t="s">
        <v>347</v>
      </c>
      <c r="F42" t="s">
        <v>348</v>
      </c>
      <c r="G42">
        <v>2</v>
      </c>
      <c r="H42">
        <v>0</v>
      </c>
    </row>
    <row r="43" spans="5:8">
      <c r="E43" t="s">
        <v>349</v>
      </c>
      <c r="F43" t="s">
        <v>350</v>
      </c>
      <c r="G43">
        <v>2</v>
      </c>
      <c r="H43">
        <v>0</v>
      </c>
    </row>
    <row r="44" spans="5:8">
      <c r="E44" t="s">
        <v>351</v>
      </c>
      <c r="F44" t="s">
        <v>352</v>
      </c>
      <c r="G44">
        <v>2</v>
      </c>
      <c r="H44">
        <v>0</v>
      </c>
    </row>
    <row r="45" spans="5:8">
      <c r="E45" t="s">
        <v>353</v>
      </c>
      <c r="F45" t="s">
        <v>354</v>
      </c>
      <c r="G45">
        <v>2</v>
      </c>
      <c r="H45">
        <v>0</v>
      </c>
    </row>
    <row r="46" spans="5:8">
      <c r="E46" t="s">
        <v>355</v>
      </c>
      <c r="F46" t="s">
        <v>356</v>
      </c>
      <c r="G46">
        <v>2</v>
      </c>
      <c r="H46">
        <v>0</v>
      </c>
    </row>
    <row r="47" spans="5:8">
      <c r="E47" t="s">
        <v>357</v>
      </c>
      <c r="F47" t="s">
        <v>358</v>
      </c>
      <c r="G47">
        <v>2</v>
      </c>
      <c r="H47">
        <v>0</v>
      </c>
    </row>
    <row r="48" spans="5:8">
      <c r="E48" t="s">
        <v>359</v>
      </c>
      <c r="F48" t="s">
        <v>360</v>
      </c>
      <c r="G48">
        <v>2</v>
      </c>
      <c r="H48">
        <v>0</v>
      </c>
    </row>
    <row r="49" spans="5:8">
      <c r="E49" t="s">
        <v>361</v>
      </c>
      <c r="F49" t="s">
        <v>362</v>
      </c>
      <c r="G49">
        <v>2</v>
      </c>
      <c r="H49">
        <v>0</v>
      </c>
    </row>
    <row r="50" spans="5:8">
      <c r="E50" t="s">
        <v>363</v>
      </c>
      <c r="F50" t="s">
        <v>364</v>
      </c>
      <c r="G50">
        <v>2</v>
      </c>
      <c r="H50">
        <v>0</v>
      </c>
    </row>
    <row r="51" spans="5:8">
      <c r="E51" t="s">
        <v>365</v>
      </c>
      <c r="F51" t="s">
        <v>366</v>
      </c>
      <c r="G51">
        <v>2</v>
      </c>
      <c r="H51">
        <v>0</v>
      </c>
    </row>
    <row r="52" spans="5:8">
      <c r="E52" t="s">
        <v>367</v>
      </c>
      <c r="F52" t="s">
        <v>368</v>
      </c>
      <c r="G52">
        <v>2</v>
      </c>
      <c r="H52">
        <v>0</v>
      </c>
    </row>
    <row r="53" spans="5:8">
      <c r="E53" t="s">
        <v>369</v>
      </c>
      <c r="F53" t="s">
        <v>370</v>
      </c>
      <c r="G53">
        <v>2</v>
      </c>
      <c r="H53">
        <v>0</v>
      </c>
    </row>
    <row r="54" spans="5:8">
      <c r="E54" t="s">
        <v>371</v>
      </c>
      <c r="F54" t="s">
        <v>372</v>
      </c>
      <c r="G54">
        <v>2</v>
      </c>
      <c r="H54">
        <v>0</v>
      </c>
    </row>
    <row r="55" spans="5:8">
      <c r="E55" t="s">
        <v>373</v>
      </c>
      <c r="F55" t="s">
        <v>374</v>
      </c>
      <c r="G55">
        <v>2</v>
      </c>
      <c r="H55">
        <v>0</v>
      </c>
    </row>
    <row r="56" spans="5:8">
      <c r="E56" t="s">
        <v>375</v>
      </c>
      <c r="F56" t="s">
        <v>376</v>
      </c>
      <c r="G56">
        <v>2</v>
      </c>
      <c r="H56">
        <v>0</v>
      </c>
    </row>
    <row r="57" spans="5:8">
      <c r="E57" t="s">
        <v>377</v>
      </c>
      <c r="F57" t="s">
        <v>378</v>
      </c>
      <c r="G57">
        <v>2</v>
      </c>
      <c r="H57">
        <v>0</v>
      </c>
    </row>
    <row r="58" spans="5:8">
      <c r="E58" t="s">
        <v>379</v>
      </c>
      <c r="F58" t="s">
        <v>380</v>
      </c>
      <c r="G58">
        <v>2</v>
      </c>
      <c r="H58">
        <v>0</v>
      </c>
    </row>
    <row r="59" spans="5:8">
      <c r="E59" t="s">
        <v>381</v>
      </c>
      <c r="F59" t="s">
        <v>382</v>
      </c>
      <c r="G59">
        <v>2</v>
      </c>
      <c r="H59">
        <v>0</v>
      </c>
    </row>
    <row r="60" spans="5:8">
      <c r="E60" t="s">
        <v>383</v>
      </c>
      <c r="F60" t="s">
        <v>384</v>
      </c>
      <c r="G60">
        <v>2</v>
      </c>
      <c r="H60">
        <v>0</v>
      </c>
    </row>
    <row r="61" spans="5:8">
      <c r="E61" t="s">
        <v>385</v>
      </c>
      <c r="F61" t="s">
        <v>386</v>
      </c>
      <c r="G61">
        <v>2</v>
      </c>
      <c r="H61">
        <v>0</v>
      </c>
    </row>
    <row r="62" spans="5:8">
      <c r="E62" t="s">
        <v>387</v>
      </c>
      <c r="F62" t="s">
        <v>388</v>
      </c>
      <c r="G62">
        <v>2</v>
      </c>
      <c r="H62">
        <v>0</v>
      </c>
    </row>
    <row r="63" spans="5:8">
      <c r="E63" t="s">
        <v>389</v>
      </c>
      <c r="F63" t="s">
        <v>390</v>
      </c>
      <c r="G63">
        <v>2</v>
      </c>
      <c r="H63">
        <v>0</v>
      </c>
    </row>
    <row r="64" spans="5:8">
      <c r="E64" t="s">
        <v>29</v>
      </c>
      <c r="F64" t="s">
        <v>391</v>
      </c>
      <c r="G64">
        <v>2</v>
      </c>
      <c r="H64">
        <v>0</v>
      </c>
    </row>
    <row r="65" spans="5:8">
      <c r="E65" t="s">
        <v>339</v>
      </c>
      <c r="F65" t="s">
        <v>392</v>
      </c>
      <c r="G65">
        <v>2</v>
      </c>
      <c r="H65">
        <v>0</v>
      </c>
    </row>
    <row r="66" spans="5:8">
      <c r="E66" t="s">
        <v>393</v>
      </c>
      <c r="F66" t="s">
        <v>394</v>
      </c>
      <c r="G66">
        <v>2</v>
      </c>
      <c r="H66">
        <v>0</v>
      </c>
    </row>
    <row r="67" spans="5:8">
      <c r="E67" t="s">
        <v>395</v>
      </c>
      <c r="F67" t="s">
        <v>396</v>
      </c>
      <c r="G67">
        <v>2</v>
      </c>
      <c r="H67">
        <v>0</v>
      </c>
    </row>
    <row r="68" spans="5:8">
      <c r="E68" t="s">
        <v>397</v>
      </c>
      <c r="F68" t="s">
        <v>398</v>
      </c>
      <c r="G68">
        <v>2</v>
      </c>
      <c r="H68">
        <v>0</v>
      </c>
    </row>
    <row r="69" spans="5:8">
      <c r="E69" t="s">
        <v>399</v>
      </c>
      <c r="F69" t="s">
        <v>400</v>
      </c>
      <c r="G69">
        <v>2</v>
      </c>
      <c r="H69">
        <v>0</v>
      </c>
    </row>
    <row r="70" spans="5:8">
      <c r="E70" t="s">
        <v>401</v>
      </c>
      <c r="F70" t="s">
        <v>402</v>
      </c>
      <c r="G70">
        <v>2</v>
      </c>
      <c r="H70">
        <v>0</v>
      </c>
    </row>
    <row r="71" spans="5:8">
      <c r="E71" t="s">
        <v>403</v>
      </c>
      <c r="F71" t="s">
        <v>404</v>
      </c>
      <c r="G71">
        <v>2</v>
      </c>
      <c r="H71">
        <v>0</v>
      </c>
    </row>
    <row r="72" spans="5:8">
      <c r="E72" t="s">
        <v>405</v>
      </c>
      <c r="F72" t="s">
        <v>406</v>
      </c>
      <c r="G72">
        <v>2</v>
      </c>
      <c r="H72">
        <v>0</v>
      </c>
    </row>
    <row r="73" spans="5:8">
      <c r="E73" t="s">
        <v>407</v>
      </c>
      <c r="F73" t="s">
        <v>408</v>
      </c>
      <c r="G73">
        <v>2</v>
      </c>
      <c r="H73">
        <v>0</v>
      </c>
    </row>
    <row r="74" spans="5:8">
      <c r="E74" t="s">
        <v>409</v>
      </c>
      <c r="F74" t="s">
        <v>410</v>
      </c>
      <c r="G74">
        <v>2</v>
      </c>
      <c r="H74">
        <v>0</v>
      </c>
    </row>
    <row r="75" spans="5:8">
      <c r="E75" t="s">
        <v>411</v>
      </c>
      <c r="F75" t="s">
        <v>412</v>
      </c>
      <c r="G75">
        <v>2</v>
      </c>
      <c r="H75">
        <v>0</v>
      </c>
    </row>
    <row r="76" spans="5:8">
      <c r="E76" t="s">
        <v>413</v>
      </c>
      <c r="F76" t="s">
        <v>414</v>
      </c>
      <c r="G76">
        <v>2</v>
      </c>
      <c r="H76">
        <v>0</v>
      </c>
    </row>
    <row r="77" spans="5:8">
      <c r="E77" t="s">
        <v>415</v>
      </c>
      <c r="F77" t="s">
        <v>416</v>
      </c>
      <c r="G77">
        <v>2</v>
      </c>
      <c r="H77">
        <v>0</v>
      </c>
    </row>
    <row r="78" spans="5:8">
      <c r="E78" t="s">
        <v>417</v>
      </c>
      <c r="F78" t="s">
        <v>418</v>
      </c>
      <c r="G78">
        <v>2</v>
      </c>
      <c r="H78">
        <v>0</v>
      </c>
    </row>
    <row r="79" spans="5:8">
      <c r="E79" t="s">
        <v>419</v>
      </c>
      <c r="F79" t="s">
        <v>420</v>
      </c>
      <c r="G79">
        <v>2</v>
      </c>
      <c r="H79">
        <v>0</v>
      </c>
    </row>
    <row r="80" spans="5:8">
      <c r="E80" t="s">
        <v>421</v>
      </c>
      <c r="F80" t="s">
        <v>422</v>
      </c>
      <c r="G80">
        <v>2</v>
      </c>
      <c r="H80">
        <v>0</v>
      </c>
    </row>
    <row r="81" ht="27" spans="5:8">
      <c r="E81" s="1" t="s">
        <v>34</v>
      </c>
      <c r="F81" t="s">
        <v>423</v>
      </c>
      <c r="G81">
        <v>2</v>
      </c>
      <c r="H81">
        <v>0</v>
      </c>
    </row>
    <row r="82" ht="27" spans="5:8">
      <c r="E82" s="1" t="s">
        <v>424</v>
      </c>
      <c r="F82" t="s">
        <v>425</v>
      </c>
      <c r="G82">
        <v>2</v>
      </c>
      <c r="H82">
        <v>0</v>
      </c>
    </row>
    <row r="83" spans="5:8">
      <c r="E83" t="s">
        <v>36</v>
      </c>
      <c r="F83" t="s">
        <v>426</v>
      </c>
      <c r="G83">
        <v>2</v>
      </c>
      <c r="H83">
        <v>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发放</vt:lpstr>
      <vt:lpstr>临时工</vt:lpstr>
      <vt:lpstr>KSO_Salary_Config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周周</cp:lastModifiedBy>
  <dcterms:created xsi:type="dcterms:W3CDTF">2006-09-16T00:00:00Z</dcterms:created>
  <cp:lastPrinted>2018-07-18T07:48:00Z</cp:lastPrinted>
  <dcterms:modified xsi:type="dcterms:W3CDTF">2021-05-19T02:29:50Z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ubyTemplateID" linkTarget="0">
    <vt:lpwstr>1</vt:lpwstr>
  </property>
  <property fmtid="{D5CDD505-2E9C-101B-9397-08002B2CF9AE}" pid="4" name="ICV">
    <vt:lpwstr>0BA8828079EC4F1FA49846B08748EB9E</vt:lpwstr>
  </property>
</Properties>
</file>