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525" windowHeight="6540" tabRatio="810" activeTab="1"/>
  </bookViews>
  <sheets>
    <sheet name="假设条件" sheetId="34" r:id="rId1"/>
    <sheet name="损益表" sheetId="2" r:id="rId2"/>
    <sheet name="现金" sheetId="36" state="hidden" r:id="rId3"/>
    <sheet name="2021年" sheetId="43" r:id="rId4"/>
    <sheet name="2022年" sheetId="56" r:id="rId5"/>
    <sheet name="2023年" sheetId="57" r:id="rId6"/>
    <sheet name="2024年" sheetId="58" r:id="rId7"/>
    <sheet name="2025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'2021年'!$A$1:$D$48</definedName>
    <definedName name="_xlnm.Print_Area" localSheetId="4">'2022年'!$A$1:$D$48</definedName>
    <definedName name="_xlnm.Print_Area" localSheetId="5">'2023年'!$A$1:$D$48</definedName>
    <definedName name="_xlnm.Print_Area" localSheetId="6">'2024年'!$A$1:$D$48</definedName>
    <definedName name="_xlnm.Print_Area" localSheetId="7">'2025年'!$A$1:$D$48</definedName>
    <definedName name="_xlnm.Print_Area" localSheetId="1">损益表!$A$1:$H$61</definedName>
    <definedName name="_xlnm.Print_Area" localSheetId="8">项目投资!$A$1:$C$35</definedName>
  </definedNames>
  <calcPr calcId="145621"/>
</workbook>
</file>

<file path=xl/calcChain.xml><?xml version="1.0" encoding="utf-8"?>
<calcChain xmlns="http://schemas.openxmlformats.org/spreadsheetml/2006/main">
  <c r="C2" i="59" l="1"/>
  <c r="C2" i="58"/>
  <c r="C2" i="57"/>
  <c r="C2" i="56"/>
  <c r="C45" i="59"/>
  <c r="C45" i="58"/>
  <c r="C45" i="57"/>
  <c r="C45" i="56"/>
  <c r="C45" i="43"/>
  <c r="E20" i="53"/>
  <c r="D5" i="53" l="1"/>
  <c r="A7" i="53"/>
  <c r="A8" i="53"/>
  <c r="A9" i="53"/>
  <c r="A10" i="53"/>
  <c r="A11" i="53"/>
  <c r="A6" i="53"/>
  <c r="I10" i="50" l="1"/>
  <c r="I8" i="50"/>
  <c r="E4" i="50"/>
  <c r="D4" i="53"/>
  <c r="C33" i="43" l="1"/>
  <c r="F20" i="53"/>
  <c r="G20" i="53" s="1"/>
  <c r="C33" i="57" l="1"/>
  <c r="H20" i="53"/>
  <c r="C33" i="56"/>
  <c r="J7" i="50"/>
  <c r="H7" i="50"/>
  <c r="I20" i="53" l="1"/>
  <c r="C33" i="59" s="1"/>
  <c r="C33" i="58"/>
  <c r="C4" i="59" l="1"/>
  <c r="C3" i="59"/>
  <c r="C4" i="58"/>
  <c r="C3" i="58"/>
  <c r="C4" i="57"/>
  <c r="C3" i="57"/>
  <c r="C3" i="56"/>
  <c r="C4" i="56"/>
  <c r="C3" i="43"/>
  <c r="C4" i="43"/>
  <c r="B9" i="51"/>
  <c r="C36" i="56" l="1"/>
  <c r="C36" i="43"/>
  <c r="K7" i="55"/>
  <c r="K8" i="55" s="1"/>
  <c r="L8" i="55" l="1"/>
  <c r="K9" i="55"/>
  <c r="L7" i="55"/>
  <c r="E5" i="50"/>
  <c r="E6" i="50"/>
  <c r="E8" i="50"/>
  <c r="E9" i="50"/>
  <c r="E10" i="50"/>
  <c r="E11" i="50"/>
  <c r="C47" i="59" s="1"/>
  <c r="C36" i="58"/>
  <c r="C6" i="59"/>
  <c r="C10" i="59" s="1"/>
  <c r="C31" i="59"/>
  <c r="C6" i="58"/>
  <c r="C31" i="58"/>
  <c r="C6" i="57"/>
  <c r="C47" i="57"/>
  <c r="C31" i="57"/>
  <c r="C6" i="56"/>
  <c r="C31" i="56"/>
  <c r="D7" i="57" l="1"/>
  <c r="E4" i="2" s="1"/>
  <c r="C7" i="58"/>
  <c r="C10" i="58"/>
  <c r="C7" i="57"/>
  <c r="C8" i="57" s="1"/>
  <c r="C9" i="57" s="1"/>
  <c r="C32" i="57" s="1"/>
  <c r="C10" i="57"/>
  <c r="C7" i="56"/>
  <c r="C8" i="56" s="1"/>
  <c r="C10" i="56"/>
  <c r="C38" i="59"/>
  <c r="C13" i="59" s="1"/>
  <c r="C38" i="56"/>
  <c r="C13" i="56" s="1"/>
  <c r="C38" i="43"/>
  <c r="C44" i="59"/>
  <c r="C19" i="59" s="1"/>
  <c r="C44" i="56"/>
  <c r="C44" i="43"/>
  <c r="C37" i="59"/>
  <c r="C12" i="59" s="1"/>
  <c r="C37" i="56"/>
  <c r="C37" i="43"/>
  <c r="C43" i="57"/>
  <c r="C43" i="56"/>
  <c r="C43" i="43"/>
  <c r="C38" i="57"/>
  <c r="C38" i="58"/>
  <c r="C43" i="58"/>
  <c r="C44" i="57"/>
  <c r="C43" i="59"/>
  <c r="C36" i="57"/>
  <c r="L9" i="55"/>
  <c r="K10" i="55"/>
  <c r="L10" i="55" s="1"/>
  <c r="C36" i="59"/>
  <c r="C47" i="56"/>
  <c r="C47" i="58"/>
  <c r="D6" i="58"/>
  <c r="C37" i="57"/>
  <c r="C44" i="58"/>
  <c r="C37" i="58"/>
  <c r="C22" i="59"/>
  <c r="C7" i="59"/>
  <c r="D6" i="59"/>
  <c r="G3" i="2" s="1"/>
  <c r="C11" i="58"/>
  <c r="C22" i="57"/>
  <c r="D6" i="57"/>
  <c r="E3" i="2" s="1"/>
  <c r="D6" i="56"/>
  <c r="D3" i="2" s="1"/>
  <c r="C11" i="56"/>
  <c r="C13" i="57" l="1"/>
  <c r="D13" i="57" s="1"/>
  <c r="E10" i="2" s="1"/>
  <c r="E36" i="2" s="1"/>
  <c r="C8" i="58"/>
  <c r="C9" i="58" s="1"/>
  <c r="C32" i="58" s="1"/>
  <c r="D8" i="56"/>
  <c r="D5" i="2" s="1"/>
  <c r="D8" i="57"/>
  <c r="E5" i="2" s="1"/>
  <c r="C22" i="58"/>
  <c r="C11" i="57"/>
  <c r="D11" i="57" s="1"/>
  <c r="E8" i="2" s="1"/>
  <c r="D11" i="56"/>
  <c r="D8" i="2" s="1"/>
  <c r="C19" i="58"/>
  <c r="C19" i="57"/>
  <c r="C13" i="58"/>
  <c r="C11" i="59"/>
  <c r="C14" i="59" s="1"/>
  <c r="C19" i="56"/>
  <c r="C22" i="56"/>
  <c r="C12" i="57"/>
  <c r="C20" i="57"/>
  <c r="C20" i="58"/>
  <c r="C12" i="58"/>
  <c r="C8" i="59"/>
  <c r="D8" i="59" s="1"/>
  <c r="G5" i="2" s="1"/>
  <c r="F3" i="2"/>
  <c r="C12" i="56"/>
  <c r="C14" i="56" s="1"/>
  <c r="D12" i="59"/>
  <c r="G9" i="2" s="1"/>
  <c r="G35" i="2" s="1"/>
  <c r="D19" i="59"/>
  <c r="G16" i="2" s="1"/>
  <c r="G42" i="2" s="1"/>
  <c r="D13" i="59"/>
  <c r="G10" i="2" s="1"/>
  <c r="D7" i="59"/>
  <c r="G4" i="2" s="1"/>
  <c r="D7" i="58"/>
  <c r="F4" i="2" s="1"/>
  <c r="D7" i="56"/>
  <c r="D4" i="2" s="1"/>
  <c r="C9" i="56"/>
  <c r="C32" i="56" s="1"/>
  <c r="D22" i="59" l="1"/>
  <c r="G19" i="2" s="1"/>
  <c r="D22" i="58"/>
  <c r="D22" i="57"/>
  <c r="E19" i="2" s="1"/>
  <c r="C14" i="57"/>
  <c r="C14" i="58"/>
  <c r="D19" i="57"/>
  <c r="E16" i="2" s="1"/>
  <c r="E42" i="2" s="1"/>
  <c r="D9" i="58"/>
  <c r="F6" i="2" s="1"/>
  <c r="F29" i="2" s="1"/>
  <c r="D8" i="58"/>
  <c r="F5" i="2" s="1"/>
  <c r="D11" i="59"/>
  <c r="G8" i="2" s="1"/>
  <c r="G34" i="2" s="1"/>
  <c r="D13" i="58"/>
  <c r="F10" i="2" s="1"/>
  <c r="F36" i="2" s="1"/>
  <c r="D13" i="56"/>
  <c r="D10" i="2" s="1"/>
  <c r="D36" i="2" s="1"/>
  <c r="D19" i="56"/>
  <c r="D16" i="2" s="1"/>
  <c r="D42" i="2" s="1"/>
  <c r="D20" i="57"/>
  <c r="E17" i="2" s="1"/>
  <c r="E43" i="2" s="1"/>
  <c r="D20" i="58"/>
  <c r="F17" i="2" s="1"/>
  <c r="C20" i="56"/>
  <c r="C9" i="59"/>
  <c r="D9" i="57"/>
  <c r="E6" i="2" s="1"/>
  <c r="E29" i="2" s="1"/>
  <c r="G36" i="2"/>
  <c r="D11" i="58"/>
  <c r="F8" i="2" s="1"/>
  <c r="F34" i="2" s="1"/>
  <c r="D14" i="59"/>
  <c r="G11" i="2" s="1"/>
  <c r="D34" i="2"/>
  <c r="E34" i="2"/>
  <c r="D9" i="56"/>
  <c r="D6" i="2" s="1"/>
  <c r="F49" i="2" l="1"/>
  <c r="F43" i="2"/>
  <c r="E51" i="2"/>
  <c r="C32" i="59"/>
  <c r="D9" i="59"/>
  <c r="G6" i="2" s="1"/>
  <c r="E47" i="2"/>
  <c r="E49" i="2"/>
  <c r="D29" i="2"/>
  <c r="D47" i="2"/>
  <c r="F19" i="2"/>
  <c r="F51" i="2" s="1"/>
  <c r="D22" i="56" l="1"/>
  <c r="D19" i="2" s="1"/>
  <c r="D51" i="2" s="1"/>
  <c r="D12" i="58"/>
  <c r="F9" i="2" s="1"/>
  <c r="F35" i="2" s="1"/>
  <c r="C20" i="59"/>
  <c r="D14" i="58"/>
  <c r="F11" i="2" s="1"/>
  <c r="G51" i="2"/>
  <c r="G29" i="2"/>
  <c r="G47" i="2"/>
  <c r="D14" i="56"/>
  <c r="D11" i="2" s="1"/>
  <c r="D19" i="58"/>
  <c r="D12" i="56"/>
  <c r="D9" i="2" s="1"/>
  <c r="D35" i="2" s="1"/>
  <c r="D14" i="57" l="1"/>
  <c r="E11" i="2" s="1"/>
  <c r="D12" i="57"/>
  <c r="E9" i="2" s="1"/>
  <c r="E35" i="2" s="1"/>
  <c r="F16" i="2"/>
  <c r="D20" i="56" l="1"/>
  <c r="D17" i="2" s="1"/>
  <c r="D43" i="2" s="1"/>
  <c r="F42" i="2"/>
  <c r="F47" i="2"/>
  <c r="D49" i="2" l="1"/>
  <c r="D20" i="59"/>
  <c r="G17" i="2" s="1"/>
  <c r="B5" i="51"/>
  <c r="G43" i="2" l="1"/>
  <c r="G49" i="2"/>
  <c r="H8" i="50"/>
  <c r="I7" i="50"/>
  <c r="E7" i="50" s="1"/>
  <c r="H12" i="53" l="1"/>
  <c r="G12" i="53"/>
  <c r="F12" i="53"/>
  <c r="E12" i="53"/>
  <c r="D12" i="53"/>
  <c r="H14" i="55"/>
  <c r="G14" i="55"/>
  <c r="F14" i="55"/>
  <c r="E14" i="55"/>
  <c r="D14" i="55"/>
  <c r="C14" i="55"/>
  <c r="I13" i="55"/>
  <c r="I12" i="55"/>
  <c r="I11" i="55"/>
  <c r="I10" i="55"/>
  <c r="I9" i="55"/>
  <c r="G22" i="51"/>
  <c r="B27" i="51"/>
  <c r="C56" i="2" s="1"/>
  <c r="B8" i="51"/>
  <c r="B7" i="51"/>
  <c r="C47" i="43"/>
  <c r="C31" i="43"/>
  <c r="C32" i="43" s="1"/>
  <c r="D8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K10" i="36" s="1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 s="1"/>
  <c r="K5" i="36"/>
  <c r="J5" i="36"/>
  <c r="I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C5" i="2"/>
  <c r="H5" i="2" s="1"/>
  <c r="C7" i="43" l="1"/>
  <c r="C9" i="43" s="1"/>
  <c r="C10" i="43"/>
  <c r="B26" i="51"/>
  <c r="D26" i="51" s="1"/>
  <c r="G5" i="36"/>
  <c r="M6" i="36"/>
  <c r="J17" i="36"/>
  <c r="J19" i="36" s="1"/>
  <c r="G10" i="36"/>
  <c r="J10" i="36"/>
  <c r="C10" i="36"/>
  <c r="M15" i="36"/>
  <c r="C34" i="43"/>
  <c r="C40" i="43" s="1"/>
  <c r="C34" i="57"/>
  <c r="C40" i="57" s="1"/>
  <c r="C34" i="59"/>
  <c r="C40" i="59" s="1"/>
  <c r="C34" i="58"/>
  <c r="C40" i="58" s="1"/>
  <c r="C34" i="56"/>
  <c r="C40" i="56" s="1"/>
  <c r="H5" i="36"/>
  <c r="B10" i="51"/>
  <c r="C57" i="2"/>
  <c r="C55" i="2" s="1"/>
  <c r="I14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6" i="43"/>
  <c r="C3" i="2" s="1"/>
  <c r="H3" i="2" s="1"/>
  <c r="D27" i="51"/>
  <c r="M13" i="36"/>
  <c r="E17" i="36"/>
  <c r="E19" i="36" s="1"/>
  <c r="K17" i="36"/>
  <c r="K19" i="36" s="1"/>
  <c r="M14" i="36"/>
  <c r="C11" i="43"/>
  <c r="C12" i="43"/>
  <c r="C13" i="43"/>
  <c r="C19" i="43"/>
  <c r="C20" i="43"/>
  <c r="C22" i="43"/>
  <c r="D9" i="43" l="1"/>
  <c r="G17" i="36"/>
  <c r="G19" i="36" s="1"/>
  <c r="D7" i="43"/>
  <c r="C4" i="2" s="1"/>
  <c r="H4" i="2" s="1"/>
  <c r="L6" i="36" s="1"/>
  <c r="L5" i="36" s="1"/>
  <c r="L17" i="36" s="1"/>
  <c r="L19" i="36" s="1"/>
  <c r="D18" i="56"/>
  <c r="D18" i="59"/>
  <c r="D18" i="57"/>
  <c r="C18" i="57" s="1"/>
  <c r="C17" i="57" s="1"/>
  <c r="E26" i="51"/>
  <c r="F26" i="51" s="1"/>
  <c r="D18" i="58"/>
  <c r="D18" i="43"/>
  <c r="C18" i="43" s="1"/>
  <c r="C17" i="43" s="1"/>
  <c r="J26" i="51"/>
  <c r="E23" i="36"/>
  <c r="C18" i="36"/>
  <c r="D18" i="36" s="1"/>
  <c r="E18" i="36" s="1"/>
  <c r="C19" i="36"/>
  <c r="I23" i="36" s="1"/>
  <c r="M10" i="36"/>
  <c r="D19" i="36"/>
  <c r="E22" i="36"/>
  <c r="H17" i="36"/>
  <c r="H19" i="36" s="1"/>
  <c r="D21" i="59"/>
  <c r="D21" i="56"/>
  <c r="D21" i="57"/>
  <c r="D21" i="58"/>
  <c r="D10" i="57"/>
  <c r="E7" i="2" s="1"/>
  <c r="E30" i="2" s="1"/>
  <c r="E31" i="2" s="1"/>
  <c r="E32" i="2" s="1"/>
  <c r="C15" i="57"/>
  <c r="D10" i="56"/>
  <c r="D7" i="2" s="1"/>
  <c r="D30" i="2" s="1"/>
  <c r="D31" i="2" s="1"/>
  <c r="D32" i="2" s="1"/>
  <c r="C15" i="56"/>
  <c r="D10" i="58"/>
  <c r="F7" i="2" s="1"/>
  <c r="F30" i="2" s="1"/>
  <c r="F31" i="2" s="1"/>
  <c r="F32" i="2" s="1"/>
  <c r="C15" i="58"/>
  <c r="D10" i="59"/>
  <c r="G7" i="2" s="1"/>
  <c r="G30" i="2" s="1"/>
  <c r="G31" i="2" s="1"/>
  <c r="G32" i="2" s="1"/>
  <c r="C15" i="59"/>
  <c r="G60" i="2"/>
  <c r="E60" i="2"/>
  <c r="D10" i="43"/>
  <c r="C7" i="2" s="1"/>
  <c r="C30" i="2" s="1"/>
  <c r="D20" i="43"/>
  <c r="C17" i="2" s="1"/>
  <c r="C43" i="2" s="1"/>
  <c r="D12" i="43"/>
  <c r="C9" i="2" s="1"/>
  <c r="C35" i="2" s="1"/>
  <c r="D21" i="43"/>
  <c r="E27" i="51"/>
  <c r="F27" i="51" s="1"/>
  <c r="G27" i="51" s="1"/>
  <c r="H27" i="51" s="1"/>
  <c r="D28" i="51"/>
  <c r="M17" i="36"/>
  <c r="D22" i="43"/>
  <c r="C14" i="43"/>
  <c r="C6" i="2"/>
  <c r="I22" i="36"/>
  <c r="M19" i="36"/>
  <c r="F6" i="36" l="1"/>
  <c r="F5" i="36" s="1"/>
  <c r="F17" i="36" s="1"/>
  <c r="F19" i="36" s="1"/>
  <c r="C18" i="59"/>
  <c r="C17" i="59" s="1"/>
  <c r="C18" i="56"/>
  <c r="C17" i="56" s="1"/>
  <c r="D60" i="2"/>
  <c r="F60" i="2"/>
  <c r="C18" i="58"/>
  <c r="C17" i="58" s="1"/>
  <c r="C60" i="2"/>
  <c r="C20" i="36"/>
  <c r="D20" i="36" s="1"/>
  <c r="E20" i="36" s="1"/>
  <c r="D19" i="43"/>
  <c r="C16" i="2" s="1"/>
  <c r="H16" i="2" s="1"/>
  <c r="H42" i="2" s="1"/>
  <c r="H17" i="2"/>
  <c r="H43" i="2" s="1"/>
  <c r="F18" i="2"/>
  <c r="F50" i="2" s="1"/>
  <c r="C21" i="58"/>
  <c r="C46" i="58" s="1"/>
  <c r="C48" i="58" s="1"/>
  <c r="D18" i="2"/>
  <c r="D50" i="2" s="1"/>
  <c r="C21" i="56"/>
  <c r="C46" i="56" s="1"/>
  <c r="C48" i="56" s="1"/>
  <c r="E18" i="2"/>
  <c r="E50" i="2" s="1"/>
  <c r="C21" i="57"/>
  <c r="C46" i="57" s="1"/>
  <c r="C48" i="57" s="1"/>
  <c r="G18" i="2"/>
  <c r="G50" i="2" s="1"/>
  <c r="C21" i="59"/>
  <c r="C46" i="59" s="1"/>
  <c r="C48" i="59" s="1"/>
  <c r="D11" i="43"/>
  <c r="C8" i="2" s="1"/>
  <c r="C34" i="2" s="1"/>
  <c r="C16" i="58"/>
  <c r="D15" i="58"/>
  <c r="C16" i="59"/>
  <c r="D15" i="59"/>
  <c r="D15" i="57"/>
  <c r="C16" i="57"/>
  <c r="C16" i="56"/>
  <c r="D15" i="56"/>
  <c r="D17" i="57"/>
  <c r="H7" i="2"/>
  <c r="H30" i="2" s="1"/>
  <c r="H9" i="2"/>
  <c r="H35" i="2" s="1"/>
  <c r="D13" i="43"/>
  <c r="C10" i="2" s="1"/>
  <c r="H10" i="2" s="1"/>
  <c r="H36" i="2" s="1"/>
  <c r="F20" i="36"/>
  <c r="G20" i="36" s="1"/>
  <c r="H20" i="36" s="1"/>
  <c r="I24" i="36" s="1"/>
  <c r="C15" i="43"/>
  <c r="C16" i="43" s="1"/>
  <c r="F18" i="36"/>
  <c r="G18" i="36" s="1"/>
  <c r="H18" i="36" s="1"/>
  <c r="E28" i="51"/>
  <c r="I27" i="51"/>
  <c r="C29" i="2"/>
  <c r="C31" i="2" s="1"/>
  <c r="C32" i="2" s="1"/>
  <c r="H6" i="2"/>
  <c r="C19" i="2"/>
  <c r="F28" i="51"/>
  <c r="G26" i="51"/>
  <c r="C21" i="43"/>
  <c r="C18" i="2"/>
  <c r="C49" i="2"/>
  <c r="D17" i="43" l="1"/>
  <c r="C14" i="2" s="1"/>
  <c r="C41" i="2" s="1"/>
  <c r="D17" i="56"/>
  <c r="D14" i="2" s="1"/>
  <c r="D17" i="58"/>
  <c r="F14" i="2" s="1"/>
  <c r="C23" i="59"/>
  <c r="C24" i="59" s="1"/>
  <c r="C25" i="59" s="1"/>
  <c r="C26" i="59" s="1"/>
  <c r="C27" i="59" s="1"/>
  <c r="C23" i="58"/>
  <c r="C24" i="58" s="1"/>
  <c r="C25" i="58" s="1"/>
  <c r="C26" i="58" s="1"/>
  <c r="C27" i="58" s="1"/>
  <c r="D17" i="59"/>
  <c r="D23" i="59" s="1"/>
  <c r="C42" i="2"/>
  <c r="H8" i="2"/>
  <c r="H34" i="2" s="1"/>
  <c r="C23" i="57"/>
  <c r="C24" i="57" s="1"/>
  <c r="C25" i="57" s="1"/>
  <c r="C26" i="57" s="1"/>
  <c r="C27" i="57" s="1"/>
  <c r="C23" i="56"/>
  <c r="C24" i="56" s="1"/>
  <c r="C25" i="56" s="1"/>
  <c r="C26" i="56" s="1"/>
  <c r="C27" i="56" s="1"/>
  <c r="D12" i="2"/>
  <c r="D38" i="2" s="1"/>
  <c r="D16" i="56"/>
  <c r="D13" i="2" s="1"/>
  <c r="E12" i="2"/>
  <c r="E38" i="2" s="1"/>
  <c r="D16" i="57"/>
  <c r="E13" i="2" s="1"/>
  <c r="F12" i="2"/>
  <c r="F38" i="2" s="1"/>
  <c r="D16" i="58"/>
  <c r="F13" i="2" s="1"/>
  <c r="G12" i="2"/>
  <c r="G38" i="2" s="1"/>
  <c r="D16" i="59"/>
  <c r="G13" i="2" s="1"/>
  <c r="D23" i="58"/>
  <c r="E14" i="2"/>
  <c r="D23" i="57"/>
  <c r="H47" i="2"/>
  <c r="C47" i="2"/>
  <c r="D14" i="43"/>
  <c r="C11" i="2" s="1"/>
  <c r="H11" i="2" s="1"/>
  <c r="H12" i="2" s="1"/>
  <c r="D15" i="43"/>
  <c r="D16" i="43" s="1"/>
  <c r="C36" i="2"/>
  <c r="I20" i="36"/>
  <c r="J20" i="36" s="1"/>
  <c r="K20" i="36" s="1"/>
  <c r="L20" i="36" s="1"/>
  <c r="C51" i="2"/>
  <c r="H19" i="2"/>
  <c r="H51" i="2" s="1"/>
  <c r="C46" i="43"/>
  <c r="C48" i="43" s="1"/>
  <c r="C23" i="43"/>
  <c r="C24" i="43" s="1"/>
  <c r="H18" i="2"/>
  <c r="H50" i="2" s="1"/>
  <c r="C50" i="2"/>
  <c r="H26" i="51"/>
  <c r="G28" i="51"/>
  <c r="H29" i="2"/>
  <c r="H31" i="2" s="1"/>
  <c r="H32" i="2" s="1"/>
  <c r="H49" i="2"/>
  <c r="E24" i="36"/>
  <c r="I18" i="36"/>
  <c r="J18" i="36" s="1"/>
  <c r="K18" i="36" s="1"/>
  <c r="L18" i="36" s="1"/>
  <c r="C20" i="2" l="1"/>
  <c r="D23" i="43"/>
  <c r="C48" i="2"/>
  <c r="D23" i="56"/>
  <c r="D20" i="2" s="1"/>
  <c r="D39" i="2" s="1"/>
  <c r="G14" i="2"/>
  <c r="G41" i="2" s="1"/>
  <c r="D26" i="56"/>
  <c r="D27" i="56" s="1"/>
  <c r="D24" i="2" s="1"/>
  <c r="D26" i="59"/>
  <c r="G23" i="2" s="1"/>
  <c r="D26" i="57"/>
  <c r="D27" i="57" s="1"/>
  <c r="E24" i="2" s="1"/>
  <c r="D26" i="58"/>
  <c r="D27" i="58" s="1"/>
  <c r="F24" i="2" s="1"/>
  <c r="D24" i="43"/>
  <c r="D25" i="43" s="1"/>
  <c r="H14" i="2"/>
  <c r="H41" i="2" s="1"/>
  <c r="F41" i="2"/>
  <c r="F48" i="2"/>
  <c r="D48" i="2"/>
  <c r="D41" i="2"/>
  <c r="E20" i="2"/>
  <c r="E39" i="2" s="1"/>
  <c r="D24" i="57"/>
  <c r="D23" i="2"/>
  <c r="E41" i="2"/>
  <c r="E48" i="2"/>
  <c r="F20" i="2"/>
  <c r="F39" i="2" s="1"/>
  <c r="D24" i="58"/>
  <c r="G20" i="2"/>
  <c r="G39" i="2" s="1"/>
  <c r="D24" i="59"/>
  <c r="C12" i="2"/>
  <c r="C38" i="2" s="1"/>
  <c r="C25" i="43"/>
  <c r="C26" i="43" s="1"/>
  <c r="H38" i="2"/>
  <c r="H13" i="2"/>
  <c r="H28" i="51"/>
  <c r="I26" i="51"/>
  <c r="H60" i="2" s="1"/>
  <c r="G48" i="2" l="1"/>
  <c r="C39" i="2"/>
  <c r="D24" i="56"/>
  <c r="D25" i="56" s="1"/>
  <c r="D22" i="2" s="1"/>
  <c r="E23" i="2"/>
  <c r="E59" i="2" s="1"/>
  <c r="E58" i="2" s="1"/>
  <c r="D27" i="59"/>
  <c r="G24" i="2" s="1"/>
  <c r="F23" i="2"/>
  <c r="F59" i="2" s="1"/>
  <c r="F58" i="2" s="1"/>
  <c r="H48" i="2"/>
  <c r="H20" i="2"/>
  <c r="H21" i="2" s="1"/>
  <c r="D25" i="59"/>
  <c r="G22" i="2" s="1"/>
  <c r="G21" i="2"/>
  <c r="G53" i="2" s="1"/>
  <c r="G59" i="2"/>
  <c r="G58" i="2" s="1"/>
  <c r="G52" i="2"/>
  <c r="D59" i="2"/>
  <c r="D58" i="2" s="1"/>
  <c r="D52" i="2"/>
  <c r="D25" i="58"/>
  <c r="F22" i="2" s="1"/>
  <c r="F21" i="2"/>
  <c r="F53" i="2" s="1"/>
  <c r="D25" i="57"/>
  <c r="E22" i="2" s="1"/>
  <c r="E21" i="2"/>
  <c r="E53" i="2" s="1"/>
  <c r="C21" i="2"/>
  <c r="C22" i="2" s="1"/>
  <c r="C23" i="2" s="1"/>
  <c r="C13" i="2"/>
  <c r="D26" i="43"/>
  <c r="D27" i="43" s="1"/>
  <c r="C27" i="43"/>
  <c r="D21" i="2" l="1"/>
  <c r="D53" i="2" s="1"/>
  <c r="E52" i="2"/>
  <c r="F52" i="2"/>
  <c r="H39" i="2"/>
  <c r="C53" i="2"/>
  <c r="C59" i="2"/>
  <c r="C58" i="2" s="1"/>
  <c r="C52" i="2"/>
  <c r="C24" i="2"/>
  <c r="H53" i="2"/>
  <c r="H22" i="2"/>
  <c r="H23" i="2" s="1"/>
  <c r="H59" i="2" l="1"/>
  <c r="H58" i="2" s="1"/>
  <c r="H52" i="2"/>
  <c r="H24" i="2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<sst xmlns="http://schemas.openxmlformats.org/spreadsheetml/2006/main" count="1321" uniqueCount="271">
  <si>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</si>
  <si>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</si>
  <si>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</si>
  <si>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</si>
  <si>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</si>
  <si>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</si>
  <si>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</si>
  <si>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</si>
  <si>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</si>
  <si>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</si>
  <si>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</si>
  <si>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</si>
  <si>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</si>
  <si>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</si>
  <si>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</si>
  <si>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</si>
  <si>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</si>
  <si>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</si>
  <si>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</si>
  <si>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</si>
  <si>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</si>
  <si>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</si>
  <si>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</si>
  <si>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</si>
  <si>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</si>
  <si>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</si>
  <si>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</si>
  <si>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</si>
  <si>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</si>
  <si>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</si>
  <si>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</si>
  <si>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</si>
  <si>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</si>
  <si>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</si>
  <si>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</si>
  <si>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</si>
  <si>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</si>
  <si>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</si>
  <si>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</si>
  <si>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</si>
  <si>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</si>
  <si>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</si>
  <si>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</si>
  <si>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</si>
  <si>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</si>
  <si>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</si>
  <si>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</si>
  <si>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</si>
  <si>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</si>
  <si>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</si>
  <si>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</si>
  <si>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</si>
  <si>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</si>
  <si>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</si>
  <si>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</si>
  <si>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</si>
  <si>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</si>
  <si>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</si>
  <si>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</si>
  <si>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</si>
  <si>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</si>
  <si>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</si>
  <si>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</si>
  <si>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</si>
  <si>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</si>
  <si>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</si>
  <si>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</si>
  <si>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</si>
  <si>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</si>
  <si>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</si>
  <si>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</si>
  <si>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</si>
  <si>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</si>
  <si>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</si>
  <si>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</si>
  <si>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</si>
  <si>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</si>
  <si>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</si>
  <si>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</si>
  <si>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</si>
  <si>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</si>
  <si>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</si>
  <si>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</si>
  <si>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</si>
  <si>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</si>
  <si>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</si>
  <si>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</si>
  <si>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</si>
  <si>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</si>
  <si>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</si>
  <si>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</si>
  <si>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</si>
  <si>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</si>
  <si>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</si>
  <si>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</si>
  <si>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</si>
  <si>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</si>
  <si>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</si>
  <si>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</si>
  <si>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</si>
  <si>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</si>
  <si>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</si>
  <si>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</si>
  <si>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</si>
  <si>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</si>
  <si>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</si>
  <si>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</si>
  <si>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</si>
  <si>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</si>
  <si>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</si>
  <si>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</si>
  <si>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</si>
  <si>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</si>
  <si>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</si>
  <si>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</si>
  <si>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</si>
  <si>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</si>
  <si>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</si>
  <si>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</si>
  <si>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</si>
  <si>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</si>
  <si>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</si>
  <si>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</si>
  <si>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</si>
  <si>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</si>
  <si>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</si>
  <si>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</si>
  <si>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</si>
  <si>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</si>
  <si>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</si>
  <si>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</si>
  <si>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</si>
  <si>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</si>
  <si>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</si>
  <si>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</si>
  <si>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</si>
  <si>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</si>
  <si>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</si>
  <si>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</si>
  <si>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</si>
  <si>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</si>
  <si>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</si>
  <si>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</si>
  <si>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</si>
  <si>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</si>
  <si>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</si>
  <si>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</si>
  <si>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</si>
  <si>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</si>
  <si>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</si>
  <si>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</si>
  <si>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</si>
  <si>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2021年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</si>
  <si>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</si>
  <si>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</si>
  <si>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</si>
  <si>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</si>
  <si>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</si>
  <si>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</si>
  <si>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</si>
  <si>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</si>
  <si>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</si>
  <si>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</si>
  <si>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</si>
  <si>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</si>
  <si>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</si>
  <si>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</si>
  <si>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</si>
  <si>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</si>
  <si>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</si>
  <si>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</si>
  <si>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</si>
  <si>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</si>
  <si>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</si>
  <si>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</si>
  <si>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</si>
  <si>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</si>
  <si>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</si>
  <si>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</si>
  <si>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</si>
  <si>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</si>
  <si>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</si>
  <si>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</si>
  <si>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</si>
  <si>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</si>
  <si>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</si>
  <si>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</si>
  <si>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</si>
  <si>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</si>
  <si>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</si>
  <si>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</si>
  <si>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</si>
  <si>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</si>
  <si>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</si>
  <si>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</si>
  <si>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</si>
  <si>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</si>
  <si>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</si>
  <si>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</si>
  <si>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</si>
  <si>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</si>
  <si>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</si>
  <si>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</si>
  <si>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</si>
  <si>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</si>
  <si>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</si>
  <si>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</si>
  <si>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</si>
  <si>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</si>
  <si>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</si>
  <si>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</si>
  <si>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</si>
  <si>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</si>
  <si>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</si>
  <si>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</si>
  <si>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</si>
  <si>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</si>
  <si>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</si>
  <si>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</si>
  <si>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</si>
  <si>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</si>
  <si>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</si>
  <si>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</si>
  <si>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</si>
  <si>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</si>
  <si>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</si>
  <si>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</si>
  <si>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</si>
  <si>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</si>
  <si>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</si>
  <si>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</si>
  <si>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</si>
  <si>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</si>
  <si>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</si>
  <si>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</si>
  <si>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</si>
  <si>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</si>
  <si>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</si>
  <si>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</si>
  <si>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</si>
  <si>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</si>
  <si>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</si>
  <si>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</si>
  <si>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</si>
  <si>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</si>
  <si>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 xml:space="preserve">    年</t>
    <phoneticPr fontId="39" type="noConversion"/>
  </si>
  <si>
    <t>供应商年降：     5  年3%</t>
    <phoneticPr fontId="39" type="noConversion"/>
  </si>
  <si>
    <t>产品名称</t>
    <phoneticPr fontId="39" type="noConversion"/>
  </si>
  <si>
    <t>材料成本</t>
    <phoneticPr fontId="39" type="noConversion"/>
  </si>
  <si>
    <t>2022年</t>
    <phoneticPr fontId="39" type="noConversion"/>
  </si>
  <si>
    <t xml:space="preserve">2022年  </t>
    <phoneticPr fontId="39" type="noConversion"/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</si>
  <si>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</si>
  <si>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</si>
  <si>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</si>
  <si>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驾驶员座椅</t>
  </si>
  <si>
    <t>6向调节、集成三点式安全带、定阻尼、速降、机械腰托</t>
  </si>
  <si>
    <t>河北光华荣昌</t>
  </si>
  <si>
    <t>怀柔</t>
  </si>
  <si>
    <t>送货地点</t>
  </si>
  <si>
    <t>现汇或承兑的比例</t>
  </si>
  <si>
    <t>供货额0.4%</t>
  </si>
  <si>
    <t>包含所有的主、辅料</t>
  </si>
  <si>
    <t>H468100000213</t>
    <phoneticPr fontId="39" type="noConversion"/>
  </si>
  <si>
    <t>H468100000007</t>
    <phoneticPr fontId="39" type="noConversion"/>
  </si>
  <si>
    <t>材料成本年降汇总表3%</t>
    <phoneticPr fontId="39" type="noConversion"/>
  </si>
  <si>
    <t>驾驶员座椅总成（H468100000213）</t>
    <phoneticPr fontId="39" type="noConversion"/>
  </si>
  <si>
    <t>单扶手</t>
    <phoneticPr fontId="39" type="noConversion"/>
  </si>
  <si>
    <r>
      <t xml:space="preserve">GTL车型增加右侧扶手项目可行性分析            </t>
    </r>
    <r>
      <rPr>
        <sz val="10"/>
        <color theme="1"/>
        <rFont val="微软雅黑"/>
        <family val="2"/>
        <charset val="134"/>
      </rPr>
      <t>单位：万元</t>
    </r>
    <phoneticPr fontId="39" type="noConversion"/>
  </si>
  <si>
    <t xml:space="preserve">GTL车型增加右侧扶手项目研发费用预算表 </t>
    <phoneticPr fontId="39" type="noConversion"/>
  </si>
  <si>
    <t>GTL车型增加右侧扶手</t>
    <phoneticPr fontId="39" type="noConversion"/>
  </si>
  <si>
    <t>北汽福田戴姆勒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</si>
</sst>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  <xf numFmtId="0" fontId="30" fillId="0" borderId="0"/>
    <xf numFmtId="0" fontId="41" fillId="0" borderId="1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5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4" sqref="C14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4" customFormat="1" ht="35.25" customHeight="1">
      <c r="A2" s="145" t="s">
        <v>0</v>
      </c>
      <c r="B2" s="145" t="s">
        <v>1</v>
      </c>
      <c r="C2" s="145" t="s">
        <v>2</v>
      </c>
      <c r="D2" s="146"/>
    </row>
    <row r="3" spans="1:4" s="144" customFormat="1" ht="33.75" customHeight="1">
      <c r="A3" s="147">
        <v>1</v>
      </c>
      <c r="B3" s="147" t="s">
        <v>3</v>
      </c>
      <c r="C3" s="148" t="s">
        <v>4</v>
      </c>
      <c r="D3" s="146"/>
    </row>
    <row r="4" spans="1:4" s="144" customFormat="1" ht="33.75" customHeight="1">
      <c r="A4" s="147">
        <v>2</v>
      </c>
      <c r="B4" s="147" t="s">
        <v>5</v>
      </c>
      <c r="C4" s="148" t="s">
        <v>6</v>
      </c>
    </row>
    <row r="5" spans="1:4" s="144" customFormat="1" ht="33.75" customHeight="1">
      <c r="A5" s="147">
        <v>3</v>
      </c>
      <c r="B5" s="182" t="s">
        <v>7</v>
      </c>
      <c r="C5" s="149" t="s">
        <v>8</v>
      </c>
    </row>
    <row r="6" spans="1:4" s="144" customFormat="1" ht="33.75" customHeight="1">
      <c r="A6" s="147">
        <v>4</v>
      </c>
      <c r="B6" s="183"/>
      <c r="C6" s="148" t="s">
        <v>9</v>
      </c>
    </row>
    <row r="7" spans="1:4" s="144" customFormat="1" ht="33.75" customHeight="1">
      <c r="A7" s="147">
        <v>5</v>
      </c>
      <c r="B7" s="150" t="s">
        <v>10</v>
      </c>
      <c r="C7" s="148" t="s">
        <v>11</v>
      </c>
    </row>
    <row r="8" spans="1:4" s="144" customFormat="1" ht="33.75" customHeight="1">
      <c r="A8" s="147">
        <v>6</v>
      </c>
      <c r="B8" s="182" t="s">
        <v>12</v>
      </c>
      <c r="C8" s="148" t="s">
        <v>13</v>
      </c>
    </row>
    <row r="9" spans="1:4" s="144" customFormat="1" ht="33.75" customHeight="1">
      <c r="A9" s="147">
        <v>7</v>
      </c>
      <c r="B9" s="183"/>
      <c r="C9" s="148" t="s">
        <v>14</v>
      </c>
    </row>
    <row r="10" spans="1:4" s="144" customFormat="1" ht="33.75" customHeight="1">
      <c r="A10" s="147">
        <v>8</v>
      </c>
      <c r="B10" s="183"/>
      <c r="C10" s="149" t="s">
        <v>15</v>
      </c>
    </row>
    <row r="11" spans="1:4" s="144" customFormat="1" ht="33.75" customHeight="1">
      <c r="A11" s="147">
        <v>9</v>
      </c>
      <c r="B11" s="183"/>
      <c r="C11" s="148" t="s">
        <v>16</v>
      </c>
    </row>
    <row r="12" spans="1:4" s="144" customFormat="1" ht="33.75" customHeight="1">
      <c r="A12" s="147">
        <v>10</v>
      </c>
      <c r="B12" s="150" t="s">
        <v>17</v>
      </c>
      <c r="C12" s="148" t="s">
        <v>18</v>
      </c>
    </row>
    <row r="13" spans="1:4" ht="33.75" customHeight="1"/>
    <row r="14" spans="1:4" ht="33.75" customHeight="1"/>
    <row r="15" spans="1:4" ht="33.75" customHeight="1">
      <c r="C15" s="151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0" zoomScaleNormal="80" workbookViewId="0">
      <selection activeCell="E19" sqref="E19"/>
    </sheetView>
  </sheetViews>
  <sheetFormatPr defaultColWidth="9" defaultRowHeight="16.5"/>
  <cols>
    <col min="1" max="1" width="14" style="6" customWidth="1"/>
    <col min="2" max="2" width="14.125" style="6" customWidth="1"/>
    <col min="3" max="3" width="21.625" style="6" bestFit="1" customWidth="1"/>
    <col min="4" max="4" width="23.25" style="6" customWidth="1"/>
    <col min="5" max="5" width="22.5" style="6" customWidth="1"/>
    <col min="6" max="6" width="16.25" style="6" customWidth="1"/>
    <col min="7" max="7" width="11.125" style="6" customWidth="1"/>
    <col min="8" max="8" width="12.1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202</v>
      </c>
      <c r="E1" s="17"/>
      <c r="F1" s="17"/>
      <c r="G1" s="17"/>
      <c r="H1" s="17"/>
      <c r="I1" s="17"/>
    </row>
    <row r="2" spans="1:12" ht="24" customHeight="1">
      <c r="A2" s="18" t="s">
        <v>203</v>
      </c>
      <c r="E2" s="17"/>
      <c r="F2" s="17"/>
      <c r="G2" s="17"/>
      <c r="H2" s="17"/>
      <c r="I2" s="17"/>
    </row>
    <row r="3" spans="1:12">
      <c r="C3" s="6" t="s">
        <v>204</v>
      </c>
      <c r="D3" s="9" t="s">
        <v>245</v>
      </c>
      <c r="E3" s="172">
        <v>0.05</v>
      </c>
    </row>
    <row r="5" spans="1:12" ht="45" customHeight="1">
      <c r="A5" s="210" t="s">
        <v>205</v>
      </c>
      <c r="B5" s="8" t="s">
        <v>154</v>
      </c>
      <c r="C5" s="166" t="s">
        <v>254</v>
      </c>
      <c r="D5" s="166"/>
      <c r="E5" s="166"/>
      <c r="F5" s="166"/>
      <c r="G5" s="166"/>
      <c r="H5" s="21"/>
      <c r="I5" s="209" t="s">
        <v>25</v>
      </c>
    </row>
    <row r="6" spans="1:12" ht="31.5" customHeight="1">
      <c r="A6" s="210"/>
      <c r="B6" s="8" t="s">
        <v>155</v>
      </c>
      <c r="C6" s="20" t="s">
        <v>262</v>
      </c>
      <c r="D6" s="20"/>
      <c r="E6" s="20"/>
      <c r="F6" s="20"/>
      <c r="G6" s="20"/>
      <c r="H6" s="21"/>
      <c r="I6" s="209"/>
      <c r="K6" s="6">
        <v>100</v>
      </c>
    </row>
    <row r="7" spans="1:12" ht="16.5" customHeight="1">
      <c r="A7" s="210"/>
      <c r="B7" s="22" t="s">
        <v>206</v>
      </c>
      <c r="C7" s="20" t="s">
        <v>255</v>
      </c>
      <c r="D7" s="20"/>
      <c r="E7" s="20"/>
      <c r="F7" s="20"/>
      <c r="G7" s="20"/>
      <c r="H7" s="21"/>
      <c r="I7" s="209"/>
      <c r="K7" s="6">
        <f>K6*(1-$E$3)</f>
        <v>95</v>
      </c>
      <c r="L7" s="6">
        <f>K7/$K$6</f>
        <v>0.95</v>
      </c>
    </row>
    <row r="8" spans="1:12" ht="33">
      <c r="A8" s="210"/>
      <c r="B8" s="22" t="s">
        <v>207</v>
      </c>
      <c r="C8" s="20">
        <v>1670</v>
      </c>
      <c r="D8" s="20"/>
      <c r="E8" s="20"/>
      <c r="F8" s="20"/>
      <c r="G8" s="20"/>
      <c r="H8" s="23"/>
      <c r="I8" s="209"/>
      <c r="K8" s="6">
        <f t="shared" ref="K8:K10" si="0">K7*(1-$E$3)</f>
        <v>90.25</v>
      </c>
      <c r="L8" s="6">
        <f t="shared" ref="L8:L10" si="1">K8/$K$6</f>
        <v>0.90249999999999997</v>
      </c>
    </row>
    <row r="9" spans="1:12" ht="18.75">
      <c r="A9" s="210" t="s">
        <v>208</v>
      </c>
      <c r="B9" s="24" t="s">
        <v>20</v>
      </c>
      <c r="C9" s="25">
        <v>1000</v>
      </c>
      <c r="D9" s="25"/>
      <c r="E9" s="25"/>
      <c r="F9" s="25"/>
      <c r="G9" s="25"/>
      <c r="H9" s="26"/>
      <c r="I9" s="29">
        <f>SUM(C9:H9)</f>
        <v>1000</v>
      </c>
      <c r="K9" s="6">
        <f t="shared" si="0"/>
        <v>85.737499999999997</v>
      </c>
      <c r="L9" s="6">
        <f t="shared" si="1"/>
        <v>0.857375</v>
      </c>
    </row>
    <row r="10" spans="1:12" ht="18.75">
      <c r="A10" s="210"/>
      <c r="B10" s="19" t="s">
        <v>21</v>
      </c>
      <c r="C10" s="25">
        <v>10000</v>
      </c>
      <c r="D10" s="25"/>
      <c r="E10" s="25"/>
      <c r="F10" s="25"/>
      <c r="G10" s="25"/>
      <c r="H10" s="26"/>
      <c r="I10" s="29">
        <f>SUM(C10:H10)</f>
        <v>10000</v>
      </c>
      <c r="K10" s="6">
        <f t="shared" si="0"/>
        <v>81.450624999999988</v>
      </c>
      <c r="L10" s="6">
        <f t="shared" si="1"/>
        <v>0.81450624999999988</v>
      </c>
    </row>
    <row r="11" spans="1:12" ht="18.75">
      <c r="A11" s="210"/>
      <c r="B11" s="19" t="s">
        <v>197</v>
      </c>
      <c r="C11" s="25">
        <v>10000</v>
      </c>
      <c r="D11" s="25"/>
      <c r="E11" s="25"/>
      <c r="F11" s="25"/>
      <c r="G11" s="25"/>
      <c r="H11" s="26"/>
      <c r="I11" s="29">
        <f>SUM(C11:H11)</f>
        <v>10000</v>
      </c>
    </row>
    <row r="12" spans="1:12" ht="18.75">
      <c r="A12" s="210"/>
      <c r="B12" s="19" t="s">
        <v>198</v>
      </c>
      <c r="C12" s="25">
        <v>10000</v>
      </c>
      <c r="D12" s="25"/>
      <c r="E12" s="25"/>
      <c r="F12" s="25"/>
      <c r="G12" s="25"/>
      <c r="H12" s="26"/>
      <c r="I12" s="29">
        <f>SUM(C12:H12)</f>
        <v>10000</v>
      </c>
    </row>
    <row r="13" spans="1:12" ht="18.75">
      <c r="A13" s="210"/>
      <c r="B13" s="19" t="s">
        <v>199</v>
      </c>
      <c r="C13" s="25">
        <v>10000</v>
      </c>
      <c r="D13" s="25"/>
      <c r="E13" s="25"/>
      <c r="F13" s="25"/>
      <c r="G13" s="25"/>
      <c r="H13" s="26"/>
      <c r="I13" s="29">
        <f>SUM(C13:H13)</f>
        <v>10000</v>
      </c>
    </row>
    <row r="14" spans="1:12" ht="17.25">
      <c r="A14" s="209" t="s">
        <v>25</v>
      </c>
      <c r="B14" s="209"/>
      <c r="C14" s="27">
        <f t="shared" ref="C14:I14" si="2">SUM(C9:C13)</f>
        <v>41000</v>
      </c>
      <c r="D14" s="27">
        <f t="shared" si="2"/>
        <v>0</v>
      </c>
      <c r="E14" s="27">
        <f t="shared" si="2"/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41000</v>
      </c>
    </row>
    <row r="15" spans="1:12">
      <c r="A15" s="28"/>
      <c r="B15" s="28"/>
      <c r="C15" s="28"/>
    </row>
  </sheetData>
  <mergeCells count="4">
    <mergeCell ref="A14:B14"/>
    <mergeCell ref="A5:A8"/>
    <mergeCell ref="A9:A13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workbookViewId="0">
      <pane xSplit="3" ySplit="5" topLeftCell="D6" activePane="bottomRight" state="frozen"/>
      <selection pane="topRight"/>
      <selection pane="bottomLeft"/>
      <selection pane="bottomRight" activeCell="D3" sqref="D3:E3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8" width="14.375" style="6" customWidth="1"/>
    <col min="9" max="9" width="17.375" style="6" customWidth="1"/>
    <col min="10" max="10" width="16" style="6" customWidth="1"/>
    <col min="11" max="16384" width="9" style="6"/>
  </cols>
  <sheetData>
    <row r="1" spans="1:10" s="5" customFormat="1" ht="28.5" customHeight="1">
      <c r="A1" s="216" t="s">
        <v>7</v>
      </c>
      <c r="B1" s="216"/>
      <c r="C1" s="7"/>
      <c r="J1" s="14"/>
    </row>
    <row r="2" spans="1:10">
      <c r="A2" s="217" t="s">
        <v>209</v>
      </c>
      <c r="B2" s="217"/>
      <c r="C2" s="218"/>
      <c r="D2" s="218"/>
      <c r="E2" s="219" t="s">
        <v>246</v>
      </c>
      <c r="F2" s="220"/>
      <c r="G2" s="220"/>
      <c r="H2" s="220"/>
      <c r="I2" s="221"/>
    </row>
    <row r="3" spans="1:10">
      <c r="A3" s="233" t="s">
        <v>19</v>
      </c>
      <c r="B3" s="233" t="s">
        <v>210</v>
      </c>
      <c r="C3" s="8" t="s">
        <v>211</v>
      </c>
      <c r="D3" s="222" t="s">
        <v>269</v>
      </c>
      <c r="E3" s="222"/>
      <c r="F3" s="8" t="s">
        <v>212</v>
      </c>
      <c r="G3" s="223"/>
      <c r="H3" s="224"/>
      <c r="I3" s="225" t="s">
        <v>165</v>
      </c>
    </row>
    <row r="4" spans="1:10">
      <c r="A4" s="233"/>
      <c r="B4" s="233"/>
      <c r="C4" s="8" t="s">
        <v>154</v>
      </c>
      <c r="D4" s="166" t="str">
        <f>销量!C5</f>
        <v>驾驶员座椅</v>
      </c>
      <c r="E4" s="166"/>
      <c r="F4" s="166"/>
      <c r="G4" s="166"/>
      <c r="H4" s="10"/>
      <c r="I4" s="226"/>
    </row>
    <row r="5" spans="1:10">
      <c r="A5" s="233"/>
      <c r="B5" s="233"/>
      <c r="C5" s="8" t="s">
        <v>155</v>
      </c>
      <c r="D5" s="166" t="str">
        <f>销量!C6</f>
        <v>H468100000213</v>
      </c>
      <c r="E5" s="166"/>
      <c r="F5" s="166"/>
      <c r="G5" s="166"/>
      <c r="H5" s="10"/>
      <c r="I5" s="227"/>
    </row>
    <row r="6" spans="1:10">
      <c r="A6" s="11">
        <f>ROW()-5</f>
        <v>1</v>
      </c>
      <c r="B6" s="228" t="s">
        <v>263</v>
      </c>
      <c r="C6" s="229"/>
      <c r="D6" s="12">
        <v>950.90000000000009</v>
      </c>
      <c r="E6" s="10"/>
      <c r="F6" s="12"/>
      <c r="G6" s="10"/>
      <c r="H6" s="10"/>
      <c r="I6" s="15"/>
    </row>
    <row r="7" spans="1:10">
      <c r="A7" s="11">
        <f t="shared" ref="A7:A11" si="0">ROW()-5</f>
        <v>2</v>
      </c>
      <c r="B7" s="228" t="s">
        <v>266</v>
      </c>
      <c r="C7" s="229"/>
      <c r="D7" s="12">
        <v>71.05</v>
      </c>
      <c r="E7" s="10"/>
      <c r="F7" s="12"/>
      <c r="G7" s="10"/>
      <c r="H7" s="10"/>
      <c r="I7" s="15"/>
    </row>
    <row r="8" spans="1:10">
      <c r="A8" s="11">
        <f t="shared" si="0"/>
        <v>3</v>
      </c>
      <c r="B8" s="228"/>
      <c r="C8" s="229"/>
      <c r="D8" s="12"/>
      <c r="E8" s="10"/>
      <c r="F8" s="12"/>
      <c r="G8" s="10"/>
      <c r="H8" s="10"/>
      <c r="I8" s="15"/>
    </row>
    <row r="9" spans="1:10">
      <c r="A9" s="11">
        <f t="shared" si="0"/>
        <v>4</v>
      </c>
      <c r="B9" s="228"/>
      <c r="C9" s="229"/>
      <c r="D9" s="12"/>
      <c r="E9" s="10"/>
      <c r="F9" s="12"/>
      <c r="G9" s="10"/>
      <c r="H9" s="10"/>
      <c r="I9" s="15"/>
    </row>
    <row r="10" spans="1:10">
      <c r="A10" s="11">
        <f t="shared" si="0"/>
        <v>5</v>
      </c>
      <c r="B10" s="228"/>
      <c r="C10" s="229"/>
      <c r="D10" s="12"/>
      <c r="E10" s="10"/>
      <c r="F10" s="12"/>
      <c r="G10" s="10"/>
      <c r="H10" s="10"/>
      <c r="I10" s="15"/>
    </row>
    <row r="11" spans="1:10">
      <c r="A11" s="11">
        <f t="shared" si="0"/>
        <v>6</v>
      </c>
      <c r="B11" s="228"/>
      <c r="C11" s="229"/>
      <c r="D11" s="12"/>
      <c r="E11" s="10"/>
      <c r="F11" s="12"/>
      <c r="G11" s="10"/>
      <c r="H11" s="10"/>
      <c r="I11" s="15"/>
    </row>
    <row r="12" spans="1:10" ht="31.5" customHeight="1">
      <c r="A12" s="230" t="s">
        <v>213</v>
      </c>
      <c r="B12" s="231"/>
      <c r="C12" s="232"/>
      <c r="D12" s="13">
        <f>SUM(D6:D11)</f>
        <v>1021.95</v>
      </c>
      <c r="E12" s="13">
        <f>SUM(E6:E11)</f>
        <v>0</v>
      </c>
      <c r="F12" s="13">
        <f>SUM(F6:F11)</f>
        <v>0</v>
      </c>
      <c r="G12" s="13">
        <f>SUM(G6:G11)</f>
        <v>0</v>
      </c>
      <c r="H12" s="13">
        <f>SUM(H6:H11)</f>
        <v>0</v>
      </c>
      <c r="I12" s="15"/>
    </row>
    <row r="13" spans="1:10">
      <c r="D13" s="173"/>
      <c r="E13" s="173"/>
    </row>
    <row r="15" spans="1:10">
      <c r="E15" s="173"/>
    </row>
    <row r="17" spans="4:9" ht="27.75" customHeight="1">
      <c r="D17" s="210" t="s">
        <v>264</v>
      </c>
      <c r="E17" s="210"/>
      <c r="F17" s="210"/>
      <c r="G17" s="210"/>
      <c r="H17" s="210"/>
      <c r="I17" s="210"/>
    </row>
    <row r="18" spans="4:9">
      <c r="D18" s="211" t="s">
        <v>247</v>
      </c>
      <c r="E18" s="213" t="s">
        <v>248</v>
      </c>
      <c r="F18" s="214"/>
      <c r="G18" s="214"/>
      <c r="H18" s="214"/>
      <c r="I18" s="215"/>
    </row>
    <row r="19" spans="4:9">
      <c r="D19" s="212"/>
      <c r="E19" s="176" t="s">
        <v>20</v>
      </c>
      <c r="F19" s="176" t="s">
        <v>249</v>
      </c>
      <c r="G19" s="176" t="s">
        <v>197</v>
      </c>
      <c r="H19" s="176" t="s">
        <v>198</v>
      </c>
      <c r="I19" s="176" t="s">
        <v>199</v>
      </c>
    </row>
    <row r="20" spans="4:9" ht="28.5">
      <c r="D20" s="166" t="s">
        <v>265</v>
      </c>
      <c r="E20" s="181">
        <f>D12</f>
        <v>1021.95</v>
      </c>
      <c r="F20" s="181">
        <f>E20*(1-0.03)</f>
        <v>991.29150000000004</v>
      </c>
      <c r="G20" s="181">
        <f>F20*(1-0.03)</f>
        <v>961.55275500000005</v>
      </c>
      <c r="H20" s="181">
        <f t="shared" ref="H20:I20" si="1">G20*(1-0.03)</f>
        <v>932.70617234999997</v>
      </c>
      <c r="I20" s="181">
        <f t="shared" si="1"/>
        <v>904.72498717949998</v>
      </c>
    </row>
    <row r="21" spans="4:9">
      <c r="E21" s="173"/>
    </row>
  </sheetData>
  <mergeCells count="18">
    <mergeCell ref="A12:C12"/>
    <mergeCell ref="A3:A5"/>
    <mergeCell ref="B3:B5"/>
    <mergeCell ref="B10:C10"/>
    <mergeCell ref="B11:C11"/>
    <mergeCell ref="B8:C8"/>
    <mergeCell ref="B9:C9"/>
    <mergeCell ref="D17:I17"/>
    <mergeCell ref="D18:D19"/>
    <mergeCell ref="E18:I18"/>
    <mergeCell ref="A1:B1"/>
    <mergeCell ref="A2:D2"/>
    <mergeCell ref="E2:I2"/>
    <mergeCell ref="D3:E3"/>
    <mergeCell ref="G3:H3"/>
    <mergeCell ref="I3:I5"/>
    <mergeCell ref="B6:C6"/>
    <mergeCell ref="B7:C7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H11" sqref="H11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214</v>
      </c>
      <c r="C1" s="1" t="s">
        <v>215</v>
      </c>
      <c r="D1" s="1" t="s">
        <v>216</v>
      </c>
      <c r="E1" s="1" t="s">
        <v>217</v>
      </c>
    </row>
    <row r="2" spans="1:6" ht="19.5" customHeight="1">
      <c r="A2" s="1">
        <v>1</v>
      </c>
      <c r="B2" s="1" t="s">
        <v>218</v>
      </c>
      <c r="C2" s="169" t="s">
        <v>256</v>
      </c>
      <c r="D2" s="1"/>
      <c r="E2" s="1"/>
    </row>
    <row r="3" spans="1:6" ht="19.5" customHeight="1">
      <c r="A3" s="1">
        <v>2</v>
      </c>
      <c r="B3" s="1" t="s">
        <v>219</v>
      </c>
      <c r="C3" s="169" t="s">
        <v>257</v>
      </c>
      <c r="D3" s="1"/>
      <c r="E3" s="1" t="s">
        <v>258</v>
      </c>
    </row>
    <row r="4" spans="1:6" ht="19.5" customHeight="1">
      <c r="A4" s="1">
        <v>3</v>
      </c>
      <c r="B4" s="1" t="s">
        <v>220</v>
      </c>
      <c r="C4" s="169"/>
      <c r="D4" s="1"/>
      <c r="E4" s="1" t="s">
        <v>259</v>
      </c>
    </row>
    <row r="5" spans="1:6" ht="19.5" customHeight="1">
      <c r="A5" s="1">
        <v>4</v>
      </c>
      <c r="B5" s="1" t="s">
        <v>221</v>
      </c>
      <c r="C5" s="169"/>
      <c r="D5" s="1"/>
      <c r="E5" s="1"/>
    </row>
    <row r="6" spans="1:6" ht="35.25" customHeight="1">
      <c r="A6" s="1">
        <v>5</v>
      </c>
      <c r="B6" s="1" t="s">
        <v>222</v>
      </c>
      <c r="C6" s="169"/>
      <c r="D6" s="1"/>
      <c r="E6" s="1"/>
    </row>
    <row r="7" spans="1:6" ht="37.5" customHeight="1">
      <c r="A7" s="1">
        <v>6</v>
      </c>
      <c r="B7" s="1" t="s">
        <v>223</v>
      </c>
      <c r="C7" s="169"/>
      <c r="D7" s="1"/>
      <c r="E7" s="1"/>
    </row>
    <row r="8" spans="1:6" ht="42.75" customHeight="1">
      <c r="A8" s="1">
        <v>7</v>
      </c>
      <c r="B8" s="1" t="s">
        <v>224</v>
      </c>
      <c r="C8" s="169"/>
      <c r="D8" s="1"/>
      <c r="E8" s="1"/>
    </row>
    <row r="9" spans="1:6" ht="39" customHeight="1">
      <c r="A9" s="1">
        <v>8</v>
      </c>
      <c r="B9" s="1" t="s">
        <v>225</v>
      </c>
      <c r="C9" s="170" t="s">
        <v>260</v>
      </c>
      <c r="D9" s="1"/>
      <c r="E9" s="1"/>
    </row>
    <row r="10" spans="1:6" ht="36" customHeight="1">
      <c r="A10" s="1">
        <v>9</v>
      </c>
      <c r="B10" s="1" t="s">
        <v>226</v>
      </c>
      <c r="C10" s="169"/>
      <c r="D10" s="1"/>
      <c r="E10" s="1"/>
    </row>
    <row r="11" spans="1:6" ht="35.25" customHeight="1">
      <c r="A11" s="1">
        <v>10</v>
      </c>
      <c r="B11" s="1" t="s">
        <v>227</v>
      </c>
      <c r="C11" s="169"/>
      <c r="D11" s="1"/>
      <c r="E11" s="1" t="s">
        <v>261</v>
      </c>
      <c r="F11" s="171"/>
    </row>
    <row r="12" spans="1:6" ht="19.5" customHeight="1">
      <c r="A12" s="1">
        <v>11</v>
      </c>
      <c r="B12" s="1" t="s">
        <v>228</v>
      </c>
      <c r="C12" s="169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"/>
  <sheetViews>
    <sheetView workbookViewId="0">
      <selection activeCell="E14" sqref="E14"/>
    </sheetView>
  </sheetViews>
  <sheetFormatPr defaultColWidth="9" defaultRowHeight="13.5"/>
  <cols>
    <col min="1" max="2" width="9" style="72"/>
    <col min="3" max="5" width="15.75" style="72" customWidth="1"/>
    <col min="6" max="8" width="11.125" style="72" customWidth="1"/>
    <col min="9" max="9" width="12.875" style="155" customWidth="1"/>
    <col min="10" max="16384" width="9" style="72"/>
  </cols>
  <sheetData>
    <row r="1" spans="1:10" s="152" customFormat="1" ht="18.75" customHeight="1">
      <c r="G1" s="238" t="s">
        <v>229</v>
      </c>
      <c r="H1" s="238"/>
      <c r="I1" s="153"/>
    </row>
    <row r="2" spans="1:10" ht="39" customHeight="1">
      <c r="A2" s="241" t="s">
        <v>230</v>
      </c>
      <c r="B2" s="241"/>
      <c r="C2" s="234" t="s">
        <v>231</v>
      </c>
      <c r="D2" s="239"/>
      <c r="E2" s="239"/>
      <c r="F2" s="239"/>
      <c r="G2" s="239"/>
      <c r="H2" s="235"/>
      <c r="I2" s="154" t="s">
        <v>238</v>
      </c>
    </row>
    <row r="3" spans="1:10" ht="34.5" customHeight="1">
      <c r="A3" s="241"/>
      <c r="B3" s="241"/>
      <c r="C3" s="163" t="s">
        <v>240</v>
      </c>
      <c r="D3" s="163" t="s">
        <v>241</v>
      </c>
      <c r="E3" s="163" t="s">
        <v>239</v>
      </c>
      <c r="F3" s="164" t="s">
        <v>244</v>
      </c>
      <c r="G3" s="164" t="s">
        <v>243</v>
      </c>
      <c r="H3" s="164" t="s">
        <v>242</v>
      </c>
      <c r="I3" s="168">
        <v>1670</v>
      </c>
    </row>
    <row r="4" spans="1:10" ht="24" customHeight="1">
      <c r="A4" s="240" t="s">
        <v>232</v>
      </c>
      <c r="B4" s="240"/>
      <c r="C4" s="3"/>
      <c r="D4" s="156"/>
      <c r="E4" s="157">
        <f>$I$3*I4</f>
        <v>71.977000000000004</v>
      </c>
      <c r="F4" s="157"/>
      <c r="G4" s="157"/>
      <c r="H4" s="158">
        <v>4.48E-2</v>
      </c>
      <c r="I4" s="155">
        <v>4.3099999999999999E-2</v>
      </c>
      <c r="J4" s="174">
        <v>0.04</v>
      </c>
    </row>
    <row r="5" spans="1:10" ht="24" customHeight="1">
      <c r="A5" s="240" t="s">
        <v>233</v>
      </c>
      <c r="B5" s="159" t="s">
        <v>234</v>
      </c>
      <c r="C5" s="3"/>
      <c r="D5" s="156"/>
      <c r="E5" s="157">
        <f t="shared" ref="E5:E11" si="0">$I$3*I5</f>
        <v>67.468000000000004</v>
      </c>
      <c r="F5" s="157"/>
      <c r="G5" s="157"/>
      <c r="H5" s="158">
        <v>4.0399999999999998E-2</v>
      </c>
      <c r="I5" s="158">
        <v>4.0399999999999998E-2</v>
      </c>
      <c r="J5" s="175">
        <v>8.0000000000000002E-3</v>
      </c>
    </row>
    <row r="6" spans="1:10" ht="24" customHeight="1">
      <c r="A6" s="240"/>
      <c r="B6" s="159" t="s">
        <v>235</v>
      </c>
      <c r="C6" s="3"/>
      <c r="D6" s="156"/>
      <c r="E6" s="157">
        <f t="shared" si="0"/>
        <v>36.239000000000004</v>
      </c>
      <c r="F6" s="157"/>
      <c r="G6" s="157"/>
      <c r="H6" s="158">
        <v>1.66E-2</v>
      </c>
      <c r="I6" s="155">
        <v>2.1700000000000001E-2</v>
      </c>
      <c r="J6" s="174">
        <v>0.02</v>
      </c>
    </row>
    <row r="7" spans="1:10" ht="24" customHeight="1">
      <c r="A7" s="234" t="s">
        <v>236</v>
      </c>
      <c r="B7" s="235"/>
      <c r="C7" s="160"/>
      <c r="D7" s="161"/>
      <c r="E7" s="157">
        <f t="shared" si="0"/>
        <v>175.68399999999997</v>
      </c>
      <c r="F7" s="157"/>
      <c r="G7" s="157"/>
      <c r="H7" s="162">
        <f>SUM(H4:H6)</f>
        <v>0.1018</v>
      </c>
      <c r="I7" s="155">
        <f>SUM(I4:I6)</f>
        <v>0.10519999999999999</v>
      </c>
      <c r="J7" s="174">
        <f>SUM(J4:J6)</f>
        <v>6.8000000000000005E-2</v>
      </c>
    </row>
    <row r="8" spans="1:10" ht="24" customHeight="1">
      <c r="A8" s="240" t="s">
        <v>55</v>
      </c>
      <c r="B8" s="240"/>
      <c r="C8" s="3"/>
      <c r="D8" s="156"/>
      <c r="E8" s="157">
        <f t="shared" si="0"/>
        <v>45.423999999999999</v>
      </c>
      <c r="F8" s="157"/>
      <c r="G8" s="157"/>
      <c r="H8" s="158">
        <f>1.97%+0.75%</f>
        <v>2.7199999999999998E-2</v>
      </c>
      <c r="I8" s="158">
        <f>1.97%+0.75%</f>
        <v>2.7199999999999998E-2</v>
      </c>
      <c r="J8" s="175">
        <v>1.67E-2</v>
      </c>
    </row>
    <row r="9" spans="1:10" ht="24" customHeight="1">
      <c r="A9" s="236" t="s">
        <v>237</v>
      </c>
      <c r="B9" s="159" t="s">
        <v>234</v>
      </c>
      <c r="C9" s="3"/>
      <c r="D9" s="156"/>
      <c r="E9" s="157">
        <f t="shared" si="0"/>
        <v>8.8510000000000009</v>
      </c>
      <c r="F9" s="157"/>
      <c r="G9" s="157"/>
      <c r="H9" s="158">
        <v>5.3E-3</v>
      </c>
      <c r="I9" s="158">
        <v>5.3E-3</v>
      </c>
      <c r="J9" s="155">
        <v>5.0000000000000001E-3</v>
      </c>
    </row>
    <row r="10" spans="1:10" ht="24" customHeight="1">
      <c r="A10" s="237"/>
      <c r="B10" s="159" t="s">
        <v>235</v>
      </c>
      <c r="C10" s="3"/>
      <c r="D10" s="156"/>
      <c r="E10" s="157">
        <f t="shared" si="0"/>
        <v>53.44</v>
      </c>
      <c r="F10" s="157"/>
      <c r="G10" s="157"/>
      <c r="H10" s="158">
        <v>3.4099999999999998E-2</v>
      </c>
      <c r="I10" s="155">
        <f>2.8%+0.4%</f>
        <v>3.2000000000000001E-2</v>
      </c>
      <c r="J10" s="155">
        <v>0.03</v>
      </c>
    </row>
    <row r="11" spans="1:10" ht="24" customHeight="1">
      <c r="A11" s="240" t="s">
        <v>58</v>
      </c>
      <c r="B11" s="240"/>
      <c r="C11" s="3"/>
      <c r="D11" s="156"/>
      <c r="E11" s="157">
        <f t="shared" si="0"/>
        <v>50.1</v>
      </c>
      <c r="F11" s="157"/>
      <c r="G11" s="157"/>
      <c r="H11" s="158">
        <v>1.0999999999999999E-2</v>
      </c>
      <c r="I11" s="155">
        <v>0.03</v>
      </c>
      <c r="J11" s="155">
        <v>0.03</v>
      </c>
    </row>
  </sheetData>
  <mergeCells count="9"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B10" sqref="B10"/>
    </sheetView>
  </sheetViews>
  <sheetFormatPr defaultColWidth="9" defaultRowHeight="16.5"/>
  <cols>
    <col min="1" max="1" width="5.125" style="115" customWidth="1"/>
    <col min="2" max="2" width="35.75" style="115" customWidth="1"/>
    <col min="3" max="3" width="14.5" style="116" customWidth="1"/>
    <col min="4" max="7" width="13" style="116" customWidth="1"/>
    <col min="8" max="8" width="16.5" style="116" customWidth="1"/>
    <col min="9" max="9" width="15.5" style="115" customWidth="1"/>
    <col min="10" max="35" width="9" style="115"/>
    <col min="36" max="36" width="4.375" style="115" customWidth="1"/>
    <col min="37" max="37" width="13.875" style="115" customWidth="1"/>
    <col min="38" max="16384" width="9" style="115"/>
  </cols>
  <sheetData>
    <row r="1" spans="1:38" ht="27" customHeight="1">
      <c r="A1" s="184" t="s">
        <v>267</v>
      </c>
      <c r="B1" s="184"/>
      <c r="C1" s="184"/>
      <c r="D1" s="184"/>
      <c r="E1" s="184"/>
      <c r="F1" s="184"/>
      <c r="G1" s="184"/>
      <c r="H1" s="184"/>
    </row>
    <row r="2" spans="1:38" ht="15.75" customHeight="1">
      <c r="A2" s="185" t="s">
        <v>19</v>
      </c>
      <c r="B2" s="117" t="s">
        <v>1</v>
      </c>
      <c r="C2" s="117" t="s">
        <v>20</v>
      </c>
      <c r="D2" s="117" t="s">
        <v>21</v>
      </c>
      <c r="E2" s="117" t="s">
        <v>22</v>
      </c>
      <c r="F2" s="117" t="s">
        <v>23</v>
      </c>
      <c r="G2" s="117" t="s">
        <v>24</v>
      </c>
      <c r="H2" s="56" t="s">
        <v>25</v>
      </c>
      <c r="AL2" s="115" t="s">
        <v>26</v>
      </c>
    </row>
    <row r="3" spans="1:38" s="53" customFormat="1" ht="15.75" customHeight="1">
      <c r="A3" s="186"/>
      <c r="B3" s="58" t="s">
        <v>3</v>
      </c>
      <c r="C3" s="118">
        <f>'2021年'!D6</f>
        <v>1000</v>
      </c>
      <c r="D3" s="118">
        <f>'2022年'!D6</f>
        <v>10000</v>
      </c>
      <c r="E3" s="118">
        <f>'2023年'!D6</f>
        <v>10000</v>
      </c>
      <c r="F3" s="118">
        <f>'2024年'!D6</f>
        <v>10000</v>
      </c>
      <c r="G3" s="118">
        <f>'2025年'!D6</f>
        <v>10000</v>
      </c>
      <c r="H3" s="118">
        <f>SUM(C3:E3)</f>
        <v>21000</v>
      </c>
      <c r="I3" s="74"/>
      <c r="AJ3" s="57" t="s">
        <v>19</v>
      </c>
      <c r="AK3" s="58" t="s">
        <v>3</v>
      </c>
      <c r="AL3" s="53" t="s">
        <v>27</v>
      </c>
    </row>
    <row r="4" spans="1:38" s="53" customFormat="1" ht="15.75" customHeight="1">
      <c r="A4" s="67">
        <v>1</v>
      </c>
      <c r="B4" s="58" t="s">
        <v>28</v>
      </c>
      <c r="C4" s="118">
        <f>'2021年'!D7</f>
        <v>1670000</v>
      </c>
      <c r="D4" s="118">
        <f>'2022年'!D7</f>
        <v>16700000</v>
      </c>
      <c r="E4" s="118">
        <f>'2023年'!D7</f>
        <v>16700000</v>
      </c>
      <c r="F4" s="118">
        <f>'2024年'!D7</f>
        <v>16700000</v>
      </c>
      <c r="G4" s="118">
        <f>'2025年'!D7</f>
        <v>16700000</v>
      </c>
      <c r="H4" s="118">
        <f t="shared" ref="H4:H11" si="0">SUM(C4:E4)</f>
        <v>35070000</v>
      </c>
      <c r="I4" s="74"/>
      <c r="AJ4" s="57" t="s">
        <v>29</v>
      </c>
      <c r="AK4" s="58" t="s">
        <v>28</v>
      </c>
      <c r="AL4" s="53" t="s">
        <v>27</v>
      </c>
    </row>
    <row r="5" spans="1:38" s="53" customFormat="1" ht="15.75" customHeight="1">
      <c r="A5" s="67">
        <v>2</v>
      </c>
      <c r="B5" s="55" t="s">
        <v>30</v>
      </c>
      <c r="C5" s="118">
        <f>'2021年'!D8</f>
        <v>0</v>
      </c>
      <c r="D5" s="118">
        <f>'2022年'!D8</f>
        <v>835000.0000000007</v>
      </c>
      <c r="E5" s="118">
        <f>'2023年'!D8</f>
        <v>1628250.0000000005</v>
      </c>
      <c r="F5" s="118">
        <f>'2024年'!D8</f>
        <v>2381837.5</v>
      </c>
      <c r="G5" s="118">
        <f>'2025年'!D8</f>
        <v>3097745.6250000019</v>
      </c>
      <c r="H5" s="118">
        <f t="shared" si="0"/>
        <v>2463250.0000000009</v>
      </c>
      <c r="I5" s="74"/>
      <c r="AJ5" s="57" t="s">
        <v>31</v>
      </c>
      <c r="AK5" s="55" t="s">
        <v>32</v>
      </c>
      <c r="AL5" s="53" t="s">
        <v>27</v>
      </c>
    </row>
    <row r="6" spans="1:38" s="53" customFormat="1" ht="15.75" customHeight="1">
      <c r="A6" s="67">
        <v>3</v>
      </c>
      <c r="B6" s="58" t="s">
        <v>33</v>
      </c>
      <c r="C6" s="119">
        <f>+C4-C5</f>
        <v>1670000</v>
      </c>
      <c r="D6" s="119">
        <f>'2022年'!D9</f>
        <v>15865000</v>
      </c>
      <c r="E6" s="119">
        <f>'2023年'!D9</f>
        <v>15071750</v>
      </c>
      <c r="F6" s="119">
        <f>'2024年'!D9</f>
        <v>14318162.5</v>
      </c>
      <c r="G6" s="119">
        <f>'2025年'!D9</f>
        <v>13602254.374999998</v>
      </c>
      <c r="H6" s="118">
        <f t="shared" si="0"/>
        <v>32606750</v>
      </c>
      <c r="I6" s="74"/>
      <c r="AJ6" s="57" t="s">
        <v>34</v>
      </c>
      <c r="AK6" s="58" t="s">
        <v>33</v>
      </c>
      <c r="AL6" s="53" t="s">
        <v>35</v>
      </c>
    </row>
    <row r="7" spans="1:38" s="53" customFormat="1" ht="15.75" customHeight="1">
      <c r="A7" s="67">
        <v>4</v>
      </c>
      <c r="B7" s="57" t="s">
        <v>36</v>
      </c>
      <c r="C7" s="118">
        <f>'2021年'!D10</f>
        <v>1021950</v>
      </c>
      <c r="D7" s="118">
        <f>'2022年'!D10</f>
        <v>9912915</v>
      </c>
      <c r="E7" s="118">
        <f>'2023年'!D10</f>
        <v>9615527.5500000007</v>
      </c>
      <c r="F7" s="118">
        <f>'2024年'!D10</f>
        <v>9327061.7235000003</v>
      </c>
      <c r="G7" s="118">
        <f>'2025年'!D10</f>
        <v>9047249.8717950005</v>
      </c>
      <c r="H7" s="118">
        <f t="shared" si="0"/>
        <v>20550392.550000001</v>
      </c>
      <c r="I7" s="74"/>
      <c r="AJ7" s="57" t="s">
        <v>37</v>
      </c>
      <c r="AK7" s="57" t="s">
        <v>36</v>
      </c>
      <c r="AL7" s="53" t="s">
        <v>38</v>
      </c>
    </row>
    <row r="8" spans="1:38" s="53" customFormat="1" ht="15.75" customHeight="1">
      <c r="A8" s="67">
        <v>5</v>
      </c>
      <c r="B8" s="57" t="s">
        <v>39</v>
      </c>
      <c r="C8" s="118">
        <f>'2021年'!D11</f>
        <v>71977</v>
      </c>
      <c r="D8" s="118">
        <f>'2022年'!D11</f>
        <v>719770</v>
      </c>
      <c r="E8" s="118">
        <f>'2023年'!D11</f>
        <v>719770</v>
      </c>
      <c r="F8" s="118">
        <f>'2024年'!D11</f>
        <v>719770</v>
      </c>
      <c r="G8" s="118">
        <f>'2025年'!D11</f>
        <v>719770</v>
      </c>
      <c r="H8" s="118">
        <f t="shared" si="0"/>
        <v>1511517</v>
      </c>
      <c r="I8" s="74"/>
      <c r="AJ8" s="57" t="s">
        <v>40</v>
      </c>
      <c r="AK8" s="57" t="s">
        <v>39</v>
      </c>
    </row>
    <row r="9" spans="1:38" s="53" customFormat="1" ht="15.75" customHeight="1">
      <c r="A9" s="67">
        <v>6</v>
      </c>
      <c r="B9" s="57" t="s">
        <v>41</v>
      </c>
      <c r="C9" s="118">
        <f>'2021年'!D12</f>
        <v>36239.000000000007</v>
      </c>
      <c r="D9" s="118">
        <f>'2022年'!D12</f>
        <v>362390.00000000006</v>
      </c>
      <c r="E9" s="118">
        <f>'2023年'!D12</f>
        <v>362390.00000000006</v>
      </c>
      <c r="F9" s="118">
        <f>'2024年'!D12</f>
        <v>362390.00000000006</v>
      </c>
      <c r="G9" s="118">
        <f>'2025年'!D12</f>
        <v>362390.00000000006</v>
      </c>
      <c r="H9" s="118">
        <f t="shared" si="0"/>
        <v>761019.00000000012</v>
      </c>
      <c r="I9" s="74"/>
      <c r="AJ9" s="57" t="s">
        <v>42</v>
      </c>
      <c r="AK9" s="57" t="s">
        <v>41</v>
      </c>
    </row>
    <row r="10" spans="1:38" s="53" customFormat="1" ht="15.75" customHeight="1">
      <c r="A10" s="67">
        <v>7</v>
      </c>
      <c r="B10" s="120" t="s">
        <v>43</v>
      </c>
      <c r="C10" s="118">
        <f>'2021年'!D13</f>
        <v>53440</v>
      </c>
      <c r="D10" s="118">
        <f>'2022年'!D13</f>
        <v>534400</v>
      </c>
      <c r="E10" s="118">
        <f>'2023年'!D13</f>
        <v>534400</v>
      </c>
      <c r="F10" s="118">
        <f>'2024年'!D13</f>
        <v>534400</v>
      </c>
      <c r="G10" s="118">
        <f>'2025年'!D13</f>
        <v>534400</v>
      </c>
      <c r="H10" s="118">
        <f t="shared" si="0"/>
        <v>1122240</v>
      </c>
      <c r="I10" s="74"/>
      <c r="AJ10" s="57" t="s">
        <v>44</v>
      </c>
      <c r="AK10" s="57" t="s">
        <v>43</v>
      </c>
      <c r="AL10" s="53" t="s">
        <v>27</v>
      </c>
    </row>
    <row r="11" spans="1:38" s="53" customFormat="1" ht="15.75" customHeight="1">
      <c r="A11" s="67">
        <v>8</v>
      </c>
      <c r="B11" s="121" t="s">
        <v>45</v>
      </c>
      <c r="C11" s="122">
        <f>'2021年'!D14</f>
        <v>161656</v>
      </c>
      <c r="D11" s="122">
        <f>'2022年'!D14</f>
        <v>1616560</v>
      </c>
      <c r="E11" s="122">
        <f>'2023年'!D14</f>
        <v>1616560</v>
      </c>
      <c r="F11" s="122">
        <f>'2024年'!D14</f>
        <v>1616560</v>
      </c>
      <c r="G11" s="122">
        <f>'2025年'!D14</f>
        <v>1616560</v>
      </c>
      <c r="H11" s="122">
        <f t="shared" si="0"/>
        <v>3394776</v>
      </c>
      <c r="I11" s="74"/>
      <c r="AJ11" s="57" t="s">
        <v>46</v>
      </c>
      <c r="AK11" s="60" t="s">
        <v>45</v>
      </c>
    </row>
    <row r="12" spans="1:38" s="53" customFormat="1" ht="15.75" customHeight="1">
      <c r="A12" s="67">
        <v>9</v>
      </c>
      <c r="B12" s="123" t="s">
        <v>47</v>
      </c>
      <c r="C12" s="118">
        <f>'2021年'!D15</f>
        <v>486394</v>
      </c>
      <c r="D12" s="118">
        <f>'2022年'!D15</f>
        <v>4335525</v>
      </c>
      <c r="E12" s="118">
        <f>'2023年'!D15</f>
        <v>3839662.4499999993</v>
      </c>
      <c r="F12" s="118">
        <f>'2024年'!D15</f>
        <v>3374540.7764999997</v>
      </c>
      <c r="G12" s="118">
        <f>'2025年'!D15</f>
        <v>2938444.5032049976</v>
      </c>
      <c r="H12" s="118">
        <f>H6-H7-H11</f>
        <v>8661581.4499999993</v>
      </c>
      <c r="I12" s="74"/>
      <c r="K12" s="115"/>
      <c r="L12" s="115"/>
      <c r="M12" s="115"/>
      <c r="N12" s="115"/>
      <c r="O12" s="115"/>
      <c r="P12" s="115"/>
      <c r="AJ12" s="57" t="s">
        <v>48</v>
      </c>
      <c r="AK12" s="60" t="s">
        <v>47</v>
      </c>
    </row>
    <row r="13" spans="1:38" ht="15.75" customHeight="1">
      <c r="A13" s="67">
        <v>10</v>
      </c>
      <c r="B13" s="124" t="s">
        <v>49</v>
      </c>
      <c r="C13" s="125">
        <f>+C12/C6</f>
        <v>0.29125389221556885</v>
      </c>
      <c r="D13" s="125">
        <f>'2022年'!D16</f>
        <v>0.27327607942010718</v>
      </c>
      <c r="E13" s="125">
        <f>'2023年'!D16</f>
        <v>0.25475889992867445</v>
      </c>
      <c r="F13" s="125">
        <f>'2024年'!D16</f>
        <v>0.2356825309462719</v>
      </c>
      <c r="G13" s="125">
        <f>'2025年'!D16</f>
        <v>0.2160262866871285</v>
      </c>
      <c r="H13" s="125">
        <f>+H12/H6</f>
        <v>0.26563768084829059</v>
      </c>
      <c r="I13" s="74"/>
      <c r="AJ13" s="124" t="s">
        <v>50</v>
      </c>
      <c r="AK13" s="124" t="s">
        <v>49</v>
      </c>
    </row>
    <row r="14" spans="1:38" ht="15.75" customHeight="1">
      <c r="A14" s="67">
        <v>11</v>
      </c>
      <c r="B14" s="124" t="s">
        <v>51</v>
      </c>
      <c r="C14" s="118">
        <f>'2021年'!D17</f>
        <v>71838</v>
      </c>
      <c r="D14" s="118">
        <f>'2022年'!D17</f>
        <v>679050</v>
      </c>
      <c r="E14" s="118">
        <f>'2023年'!D17</f>
        <v>679050</v>
      </c>
      <c r="F14" s="118">
        <f>'2024年'!D17</f>
        <v>679050</v>
      </c>
      <c r="G14" s="118">
        <f>'2025年'!D17</f>
        <v>679050</v>
      </c>
      <c r="H14" s="118">
        <f t="shared" ref="H14:H20" si="1">SUM(C14:E14)</f>
        <v>1429938</v>
      </c>
      <c r="I14" s="74"/>
      <c r="AJ14" s="124" t="s">
        <v>52</v>
      </c>
      <c r="AK14" s="124" t="s">
        <v>51</v>
      </c>
    </row>
    <row r="15" spans="1:38" ht="15.75" hidden="1" customHeight="1">
      <c r="A15" s="165"/>
      <c r="B15" s="124"/>
      <c r="C15" s="118"/>
      <c r="D15" s="118"/>
      <c r="E15" s="118"/>
      <c r="F15" s="118"/>
      <c r="G15" s="118"/>
      <c r="H15" s="118"/>
      <c r="I15" s="74"/>
      <c r="AJ15" s="124"/>
      <c r="AK15" s="124"/>
    </row>
    <row r="16" spans="1:38" ht="15.75" customHeight="1">
      <c r="A16" s="67">
        <v>12</v>
      </c>
      <c r="B16" s="124" t="s">
        <v>53</v>
      </c>
      <c r="C16" s="126">
        <f>'2021年'!D19</f>
        <v>8851</v>
      </c>
      <c r="D16" s="126">
        <f>'2022年'!D19</f>
        <v>88510.000000000015</v>
      </c>
      <c r="E16" s="126">
        <f>'2023年'!D19</f>
        <v>88510.000000000015</v>
      </c>
      <c r="F16" s="126">
        <f>'2024年'!D19</f>
        <v>88510.000000000015</v>
      </c>
      <c r="G16" s="126">
        <f>'2025年'!D19</f>
        <v>88510.000000000015</v>
      </c>
      <c r="H16" s="118">
        <f t="shared" si="1"/>
        <v>185871.00000000003</v>
      </c>
      <c r="I16" s="74"/>
      <c r="Q16" s="74"/>
      <c r="AJ16" s="124" t="s">
        <v>54</v>
      </c>
      <c r="AK16" s="124" t="s">
        <v>53</v>
      </c>
      <c r="AL16" s="115" t="s">
        <v>27</v>
      </c>
    </row>
    <row r="17" spans="1:38" ht="15.75" customHeight="1">
      <c r="A17" s="67">
        <v>13</v>
      </c>
      <c r="B17" s="124" t="s">
        <v>55</v>
      </c>
      <c r="C17" s="126">
        <f>'2021年'!D20</f>
        <v>45424</v>
      </c>
      <c r="D17" s="126">
        <f>'2022年'!D20</f>
        <v>431528</v>
      </c>
      <c r="E17" s="126">
        <f>'2023年'!D20</f>
        <v>409951.6</v>
      </c>
      <c r="F17" s="126">
        <f>'2024年'!D20</f>
        <v>389454.02</v>
      </c>
      <c r="G17" s="126">
        <f>'2025年'!D20</f>
        <v>369981.3189999999</v>
      </c>
      <c r="H17" s="118">
        <f t="shared" si="1"/>
        <v>886903.6</v>
      </c>
      <c r="I17" s="74"/>
      <c r="AJ17" s="124" t="s">
        <v>56</v>
      </c>
      <c r="AK17" s="124" t="s">
        <v>55</v>
      </c>
    </row>
    <row r="18" spans="1:38" s="52" customFormat="1" ht="15.75" customHeight="1">
      <c r="A18" s="67">
        <v>14</v>
      </c>
      <c r="B18" s="65" t="s">
        <v>57</v>
      </c>
      <c r="C18" s="127">
        <f>'2021年'!D21</f>
        <v>20200</v>
      </c>
      <c r="D18" s="127">
        <f>'2022年'!D21</f>
        <v>20200</v>
      </c>
      <c r="E18" s="127">
        <f>'2023年'!D21</f>
        <v>20200</v>
      </c>
      <c r="F18" s="127">
        <f>'2024年'!D21</f>
        <v>20200</v>
      </c>
      <c r="G18" s="127">
        <f>'2025年'!D21</f>
        <v>20200</v>
      </c>
      <c r="H18" s="118">
        <f t="shared" si="1"/>
        <v>60600</v>
      </c>
      <c r="I18" s="74"/>
      <c r="AJ18" s="65"/>
      <c r="AK18" s="65"/>
    </row>
    <row r="19" spans="1:38" s="53" customFormat="1" ht="15.75" customHeight="1">
      <c r="A19" s="67">
        <v>15</v>
      </c>
      <c r="B19" s="57" t="s">
        <v>58</v>
      </c>
      <c r="C19" s="126">
        <f>'2021年'!D22</f>
        <v>50100</v>
      </c>
      <c r="D19" s="126">
        <f>'2022年'!D22</f>
        <v>501000</v>
      </c>
      <c r="E19" s="126">
        <f>'2023年'!D22</f>
        <v>501000</v>
      </c>
      <c r="F19" s="126">
        <f>'2024年'!D22</f>
        <v>501000</v>
      </c>
      <c r="G19" s="126">
        <f>'2025年'!D22</f>
        <v>501000</v>
      </c>
      <c r="H19" s="118">
        <f t="shared" si="1"/>
        <v>1052100</v>
      </c>
      <c r="I19" s="74"/>
      <c r="AJ19" s="57" t="s">
        <v>59</v>
      </c>
      <c r="AK19" s="57" t="s">
        <v>58</v>
      </c>
    </row>
    <row r="20" spans="1:38" s="113" customFormat="1" ht="15.75" customHeight="1">
      <c r="A20" s="67">
        <v>16</v>
      </c>
      <c r="B20" s="128" t="s">
        <v>60</v>
      </c>
      <c r="C20" s="122">
        <f t="shared" ref="C20" si="2">+C19+C18+C17+C16+C14</f>
        <v>196413</v>
      </c>
      <c r="D20" s="122">
        <f>'2022年'!D23</f>
        <v>1720288</v>
      </c>
      <c r="E20" s="122">
        <f>'2023年'!D23</f>
        <v>1698711.6</v>
      </c>
      <c r="F20" s="122">
        <f>'2024年'!D23</f>
        <v>1678214.02</v>
      </c>
      <c r="G20" s="122">
        <f>'2025年'!D23</f>
        <v>1658741.3189999999</v>
      </c>
      <c r="H20" s="122">
        <f t="shared" si="1"/>
        <v>3615412.6</v>
      </c>
      <c r="I20" s="74"/>
      <c r="AJ20" s="141" t="s">
        <v>61</v>
      </c>
      <c r="AK20" s="142" t="s">
        <v>60</v>
      </c>
    </row>
    <row r="21" spans="1:38" ht="15.75" customHeight="1">
      <c r="A21" s="67">
        <v>17</v>
      </c>
      <c r="B21" s="124" t="s">
        <v>62</v>
      </c>
      <c r="C21" s="129">
        <f>+C12-C20</f>
        <v>289981</v>
      </c>
      <c r="D21" s="129">
        <f>'2022年'!D24</f>
        <v>2615237</v>
      </c>
      <c r="E21" s="129">
        <f>'2023年'!D24</f>
        <v>2140950.8499999992</v>
      </c>
      <c r="F21" s="129">
        <f>'2024年'!D24</f>
        <v>1696326.7564999997</v>
      </c>
      <c r="G21" s="129">
        <f>'2025年'!D24</f>
        <v>1279703.1842049977</v>
      </c>
      <c r="H21" s="129">
        <f>+H12-H20</f>
        <v>5046168.8499999996</v>
      </c>
      <c r="I21" s="74"/>
      <c r="AJ21" s="124" t="s">
        <v>63</v>
      </c>
      <c r="AK21" s="124" t="s">
        <v>62</v>
      </c>
    </row>
    <row r="22" spans="1:38" ht="15.75" customHeight="1">
      <c r="A22" s="67">
        <v>18</v>
      </c>
      <c r="B22" s="124" t="s">
        <v>64</v>
      </c>
      <c r="C22" s="129">
        <f>IF(C21&lt;0,0,C21*0.25)</f>
        <v>72495.25</v>
      </c>
      <c r="D22" s="129">
        <f>'2022年'!D25</f>
        <v>653809.25</v>
      </c>
      <c r="E22" s="129">
        <f>'2023年'!D25</f>
        <v>535237.71249999979</v>
      </c>
      <c r="F22" s="129">
        <f>'2024年'!D25</f>
        <v>424081.68912499992</v>
      </c>
      <c r="G22" s="129">
        <f>'2025年'!D25</f>
        <v>319925.79605124943</v>
      </c>
      <c r="H22" s="129">
        <f>IF(H21&lt;0,0,H21*0.25)</f>
        <v>1261542.2124999999</v>
      </c>
      <c r="I22" s="74"/>
      <c r="AJ22" s="124" t="s">
        <v>65</v>
      </c>
      <c r="AK22" s="124" t="s">
        <v>64</v>
      </c>
    </row>
    <row r="23" spans="1:38" ht="15.75" customHeight="1">
      <c r="A23" s="67">
        <v>19</v>
      </c>
      <c r="B23" s="124" t="s">
        <v>66</v>
      </c>
      <c r="C23" s="129">
        <f>C21-C22</f>
        <v>217485.75</v>
      </c>
      <c r="D23" s="129">
        <f>'2022年'!D26</f>
        <v>1961427.75</v>
      </c>
      <c r="E23" s="129">
        <f>'2023年'!D26</f>
        <v>1605713.1374999993</v>
      </c>
      <c r="F23" s="129">
        <f>'2024年'!D26</f>
        <v>1272245.0673749996</v>
      </c>
      <c r="G23" s="129">
        <f>'2025年'!D26</f>
        <v>959777.38815374835</v>
      </c>
      <c r="H23" s="129">
        <f>H21-H22</f>
        <v>3784626.6374999997</v>
      </c>
      <c r="I23" s="74"/>
      <c r="AJ23" s="124" t="s">
        <v>67</v>
      </c>
      <c r="AK23" s="124" t="s">
        <v>66</v>
      </c>
    </row>
    <row r="24" spans="1:38" ht="15.75" customHeight="1">
      <c r="A24" s="67">
        <v>20</v>
      </c>
      <c r="B24" s="124" t="s">
        <v>68</v>
      </c>
      <c r="C24" s="130">
        <f>(C23/C4)*100%</f>
        <v>0.13023098802395208</v>
      </c>
      <c r="D24" s="130">
        <f>'2022年'!D27</f>
        <v>0.11745076347305389</v>
      </c>
      <c r="E24" s="130">
        <f>'2023年'!D27</f>
        <v>9.6150487275449059E-2</v>
      </c>
      <c r="F24" s="130">
        <f>'2024年'!D27</f>
        <v>7.6182339363772431E-2</v>
      </c>
      <c r="G24" s="130">
        <f>'2025年'!D27</f>
        <v>5.7471699889446011E-2</v>
      </c>
      <c r="H24" s="130">
        <f>(H23/H4)*100%</f>
        <v>0.10791635692899913</v>
      </c>
      <c r="I24" s="74"/>
      <c r="AJ24" s="143" t="s">
        <v>69</v>
      </c>
      <c r="AK24" s="143" t="s">
        <v>70</v>
      </c>
    </row>
    <row r="25" spans="1:38" s="114" customFormat="1" ht="15.75" customHeight="1">
      <c r="C25" s="131"/>
      <c r="D25" s="131"/>
      <c r="E25" s="131"/>
      <c r="F25" s="131"/>
      <c r="G25" s="131"/>
      <c r="H25" s="131"/>
      <c r="I25" s="140"/>
    </row>
    <row r="26" spans="1:38" s="114" customFormat="1" ht="15.75" customHeight="1">
      <c r="A26" s="114" t="s">
        <v>71</v>
      </c>
      <c r="C26" s="132"/>
      <c r="D26" s="132"/>
      <c r="E26" s="132"/>
      <c r="F26" s="132"/>
      <c r="G26" s="132"/>
      <c r="H26" s="132"/>
      <c r="I26" s="140"/>
      <c r="AJ26" s="114" t="s">
        <v>71</v>
      </c>
    </row>
    <row r="27" spans="1:38" ht="15.75" customHeight="1">
      <c r="A27" s="124" t="s">
        <v>19</v>
      </c>
      <c r="B27" s="133" t="s">
        <v>1</v>
      </c>
      <c r="C27" s="117" t="s">
        <v>72</v>
      </c>
      <c r="D27" s="117" t="s">
        <v>21</v>
      </c>
      <c r="E27" s="117" t="s">
        <v>73</v>
      </c>
      <c r="F27" s="117" t="s">
        <v>74</v>
      </c>
      <c r="G27" s="117" t="s">
        <v>75</v>
      </c>
      <c r="H27" s="56" t="s">
        <v>25</v>
      </c>
      <c r="AL27" s="115" t="s">
        <v>26</v>
      </c>
    </row>
    <row r="28" spans="1:38" s="53" customFormat="1" ht="15.75" customHeight="1">
      <c r="A28" s="57" t="s">
        <v>76</v>
      </c>
      <c r="B28" s="60" t="s">
        <v>77</v>
      </c>
      <c r="C28" s="64"/>
      <c r="D28" s="64"/>
      <c r="E28" s="64"/>
      <c r="F28" s="64"/>
      <c r="G28" s="64"/>
      <c r="H28" s="64"/>
      <c r="I28" s="74"/>
      <c r="AJ28" s="57" t="s">
        <v>78</v>
      </c>
      <c r="AK28" s="60" t="s">
        <v>77</v>
      </c>
    </row>
    <row r="29" spans="1:38" s="53" customFormat="1" ht="15.75" customHeight="1">
      <c r="A29" s="57" t="s">
        <v>29</v>
      </c>
      <c r="B29" s="57" t="s">
        <v>79</v>
      </c>
      <c r="C29" s="59">
        <f>+C6/C3</f>
        <v>1670</v>
      </c>
      <c r="D29" s="59">
        <f t="shared" ref="D29:G29" si="3">+D6/D3</f>
        <v>1586.5</v>
      </c>
      <c r="E29" s="59">
        <f t="shared" si="3"/>
        <v>1507.175</v>
      </c>
      <c r="F29" s="59">
        <f t="shared" si="3"/>
        <v>1431.8162500000001</v>
      </c>
      <c r="G29" s="59">
        <f t="shared" si="3"/>
        <v>1360.2254374999998</v>
      </c>
      <c r="H29" s="59">
        <f>+H6/H3</f>
        <v>1552.702380952381</v>
      </c>
      <c r="I29" s="74"/>
      <c r="AJ29" s="57" t="s">
        <v>29</v>
      </c>
      <c r="AK29" s="57" t="s">
        <v>79</v>
      </c>
    </row>
    <row r="30" spans="1:38" s="53" customFormat="1" ht="15.75" customHeight="1">
      <c r="A30" s="57" t="s">
        <v>31</v>
      </c>
      <c r="B30" s="57" t="s">
        <v>80</v>
      </c>
      <c r="C30" s="59">
        <f>+C7/C3</f>
        <v>1021.95</v>
      </c>
      <c r="D30" s="59">
        <f t="shared" ref="D30:G30" si="4">+D7/D3</f>
        <v>991.29150000000004</v>
      </c>
      <c r="E30" s="59">
        <f t="shared" si="4"/>
        <v>961.55275500000005</v>
      </c>
      <c r="F30" s="59">
        <f t="shared" si="4"/>
        <v>932.70617235000009</v>
      </c>
      <c r="G30" s="59">
        <f t="shared" si="4"/>
        <v>904.72498717950009</v>
      </c>
      <c r="H30" s="59">
        <f>+H7/H3</f>
        <v>978.59012142857148</v>
      </c>
      <c r="I30" s="74"/>
      <c r="AJ30" s="57" t="s">
        <v>31</v>
      </c>
      <c r="AK30" s="57" t="s">
        <v>80</v>
      </c>
    </row>
    <row r="31" spans="1:38" s="53" customFormat="1" ht="15.75" customHeight="1">
      <c r="A31" s="57" t="s">
        <v>81</v>
      </c>
      <c r="B31" s="57" t="s">
        <v>82</v>
      </c>
      <c r="C31" s="64">
        <f t="shared" ref="C31:G31" si="5">C29-C30</f>
        <v>648.04999999999995</v>
      </c>
      <c r="D31" s="64">
        <f t="shared" si="5"/>
        <v>595.20849999999996</v>
      </c>
      <c r="E31" s="64">
        <f t="shared" si="5"/>
        <v>545.62224499999991</v>
      </c>
      <c r="F31" s="64">
        <f t="shared" si="5"/>
        <v>499.11007764999999</v>
      </c>
      <c r="G31" s="64">
        <f t="shared" si="5"/>
        <v>455.50045032049968</v>
      </c>
      <c r="H31" s="64">
        <f t="shared" ref="H31" si="6">H29-H30</f>
        <v>574.11225952380948</v>
      </c>
      <c r="I31" s="74"/>
      <c r="AJ31" s="57" t="s">
        <v>81</v>
      </c>
      <c r="AK31" s="57" t="s">
        <v>82</v>
      </c>
    </row>
    <row r="32" spans="1:38" s="53" customFormat="1" ht="15.75" customHeight="1">
      <c r="A32" s="57">
        <v>3.1</v>
      </c>
      <c r="B32" s="57" t="s">
        <v>83</v>
      </c>
      <c r="C32" s="134">
        <f t="shared" ref="C32:G32" si="7">C31/C29</f>
        <v>0.38805389221556885</v>
      </c>
      <c r="D32" s="134">
        <f t="shared" si="7"/>
        <v>0.37517081626221238</v>
      </c>
      <c r="E32" s="134">
        <f t="shared" si="7"/>
        <v>0.36201651765720633</v>
      </c>
      <c r="F32" s="134">
        <f t="shared" si="7"/>
        <v>0.34858528644998965</v>
      </c>
      <c r="G32" s="134">
        <f t="shared" si="7"/>
        <v>0.33487129248051556</v>
      </c>
      <c r="H32" s="134">
        <f t="shared" ref="H32" si="8">H31/H29</f>
        <v>0.3697503569046286</v>
      </c>
      <c r="I32" s="74"/>
      <c r="AJ32" s="57"/>
      <c r="AK32" s="57"/>
    </row>
    <row r="33" spans="1:37" s="53" customFormat="1" ht="15.75" customHeight="1">
      <c r="A33" s="57" t="s">
        <v>78</v>
      </c>
      <c r="B33" s="60" t="s">
        <v>10</v>
      </c>
      <c r="C33" s="64"/>
      <c r="D33" s="64"/>
      <c r="E33" s="64"/>
      <c r="F33" s="64"/>
      <c r="G33" s="64"/>
      <c r="H33" s="64"/>
      <c r="I33" s="74"/>
      <c r="AJ33" s="57" t="s">
        <v>84</v>
      </c>
      <c r="AK33" s="60" t="s">
        <v>10</v>
      </c>
    </row>
    <row r="34" spans="1:37" s="53" customFormat="1" ht="15.75" customHeight="1">
      <c r="A34" s="57" t="s">
        <v>29</v>
      </c>
      <c r="B34" s="65" t="s">
        <v>85</v>
      </c>
      <c r="C34" s="59">
        <f>+C8/C3</f>
        <v>71.977000000000004</v>
      </c>
      <c r="D34" s="59">
        <f t="shared" ref="D34:G34" si="9">+D8/D3</f>
        <v>71.977000000000004</v>
      </c>
      <c r="E34" s="59">
        <f t="shared" si="9"/>
        <v>71.977000000000004</v>
      </c>
      <c r="F34" s="59">
        <f t="shared" si="9"/>
        <v>71.977000000000004</v>
      </c>
      <c r="G34" s="59">
        <f t="shared" si="9"/>
        <v>71.977000000000004</v>
      </c>
      <c r="H34" s="59">
        <f>+H8/H3</f>
        <v>71.977000000000004</v>
      </c>
      <c r="I34" s="74"/>
      <c r="AJ34" s="57" t="s">
        <v>81</v>
      </c>
      <c r="AK34" s="57" t="s">
        <v>85</v>
      </c>
    </row>
    <row r="35" spans="1:37" s="53" customFormat="1" ht="15.75" customHeight="1">
      <c r="A35" s="57" t="s">
        <v>31</v>
      </c>
      <c r="B35" s="65" t="s">
        <v>86</v>
      </c>
      <c r="C35" s="59">
        <f>+C9/C3</f>
        <v>36.239000000000004</v>
      </c>
      <c r="D35" s="59">
        <f t="shared" ref="D35:G35" si="10">+D9/D3</f>
        <v>36.239000000000004</v>
      </c>
      <c r="E35" s="59">
        <f t="shared" si="10"/>
        <v>36.239000000000004</v>
      </c>
      <c r="F35" s="59">
        <f t="shared" si="10"/>
        <v>36.239000000000004</v>
      </c>
      <c r="G35" s="59">
        <f t="shared" si="10"/>
        <v>36.239000000000004</v>
      </c>
      <c r="H35" s="59">
        <f>+H9/H3</f>
        <v>36.239000000000004</v>
      </c>
      <c r="I35" s="74"/>
      <c r="AJ35" s="57" t="s">
        <v>34</v>
      </c>
      <c r="AK35" s="57" t="s">
        <v>86</v>
      </c>
    </row>
    <row r="36" spans="1:37" s="53" customFormat="1" ht="15.75" customHeight="1">
      <c r="A36" s="57" t="s">
        <v>81</v>
      </c>
      <c r="B36" s="65" t="s">
        <v>87</v>
      </c>
      <c r="C36" s="59">
        <f>+C10/C3</f>
        <v>53.44</v>
      </c>
      <c r="D36" s="59">
        <f t="shared" ref="D36:G36" si="11">+D10/D3</f>
        <v>53.44</v>
      </c>
      <c r="E36" s="59">
        <f t="shared" si="11"/>
        <v>53.44</v>
      </c>
      <c r="F36" s="59">
        <f t="shared" si="11"/>
        <v>53.44</v>
      </c>
      <c r="G36" s="59">
        <f t="shared" si="11"/>
        <v>53.44</v>
      </c>
      <c r="H36" s="59">
        <f>+H10/H3</f>
        <v>53.44</v>
      </c>
      <c r="I36" s="74"/>
      <c r="AJ36" s="57" t="s">
        <v>40</v>
      </c>
      <c r="AK36" s="57" t="s">
        <v>87</v>
      </c>
    </row>
    <row r="37" spans="1:37" s="53" customFormat="1" ht="15.75" customHeight="1">
      <c r="A37" s="57" t="s">
        <v>88</v>
      </c>
      <c r="B37" s="123" t="s">
        <v>89</v>
      </c>
      <c r="C37" s="59"/>
      <c r="D37" s="59"/>
      <c r="E37" s="59"/>
      <c r="F37" s="59"/>
      <c r="G37" s="59"/>
      <c r="H37" s="59"/>
      <c r="I37" s="74"/>
      <c r="AJ37" s="57" t="s">
        <v>88</v>
      </c>
      <c r="AK37" s="60" t="s">
        <v>89</v>
      </c>
    </row>
    <row r="38" spans="1:37" s="53" customFormat="1" ht="15.75" customHeight="1">
      <c r="A38" s="57" t="s">
        <v>29</v>
      </c>
      <c r="B38" s="65" t="s">
        <v>90</v>
      </c>
      <c r="C38" s="59">
        <f>+C12/C3</f>
        <v>486.39400000000001</v>
      </c>
      <c r="D38" s="59">
        <f t="shared" ref="D38:G38" si="12">+D12/D3</f>
        <v>433.55250000000001</v>
      </c>
      <c r="E38" s="59">
        <f t="shared" si="12"/>
        <v>383.9662449999999</v>
      </c>
      <c r="F38" s="59">
        <f t="shared" si="12"/>
        <v>337.45407764999999</v>
      </c>
      <c r="G38" s="59">
        <f t="shared" si="12"/>
        <v>293.84445032049979</v>
      </c>
      <c r="H38" s="59">
        <f>+H12/H3</f>
        <v>412.45625952380948</v>
      </c>
      <c r="I38" s="74"/>
      <c r="AJ38" s="57" t="s">
        <v>29</v>
      </c>
      <c r="AK38" s="57" t="s">
        <v>91</v>
      </c>
    </row>
    <row r="39" spans="1:37" s="53" customFormat="1" ht="15.75" customHeight="1">
      <c r="A39" s="57" t="s">
        <v>31</v>
      </c>
      <c r="B39" s="65" t="s">
        <v>92</v>
      </c>
      <c r="C39" s="118">
        <f t="shared" ref="C39:G39" si="13">+C20/C38</f>
        <v>403.81460297618804</v>
      </c>
      <c r="D39" s="118">
        <f t="shared" si="13"/>
        <v>3967.8885486763425</v>
      </c>
      <c r="E39" s="118">
        <f t="shared" si="13"/>
        <v>4424.1170210157416</v>
      </c>
      <c r="F39" s="118">
        <f t="shared" si="13"/>
        <v>4973.1626646414597</v>
      </c>
      <c r="G39" s="118">
        <f t="shared" si="13"/>
        <v>5644.9639160814168</v>
      </c>
      <c r="H39" s="118">
        <f t="shared" ref="H39" si="14">+H20/H38</f>
        <v>8765.5660849324468</v>
      </c>
      <c r="I39" s="74"/>
      <c r="AJ39" s="57" t="s">
        <v>31</v>
      </c>
      <c r="AK39" s="57" t="s">
        <v>92</v>
      </c>
    </row>
    <row r="40" spans="1:37" s="53" customFormat="1" ht="15.75" customHeight="1">
      <c r="A40" s="57" t="s">
        <v>93</v>
      </c>
      <c r="B40" s="60" t="s">
        <v>94</v>
      </c>
      <c r="C40" s="64"/>
      <c r="D40" s="64"/>
      <c r="E40" s="64"/>
      <c r="F40" s="64"/>
      <c r="G40" s="64"/>
      <c r="H40" s="64"/>
      <c r="I40" s="74"/>
      <c r="AJ40" s="57" t="s">
        <v>93</v>
      </c>
      <c r="AK40" s="60" t="s">
        <v>94</v>
      </c>
    </row>
    <row r="41" spans="1:37" s="53" customFormat="1" ht="15.75" customHeight="1">
      <c r="A41" s="57" t="s">
        <v>29</v>
      </c>
      <c r="B41" s="57" t="s">
        <v>95</v>
      </c>
      <c r="C41" s="64">
        <f>+C14/C3</f>
        <v>71.837999999999994</v>
      </c>
      <c r="D41" s="64">
        <f t="shared" ref="D41:G41" si="15">+D14/D3</f>
        <v>67.905000000000001</v>
      </c>
      <c r="E41" s="64">
        <f t="shared" si="15"/>
        <v>67.905000000000001</v>
      </c>
      <c r="F41" s="64">
        <f t="shared" si="15"/>
        <v>67.905000000000001</v>
      </c>
      <c r="G41" s="64">
        <f t="shared" si="15"/>
        <v>67.905000000000001</v>
      </c>
      <c r="H41" s="64">
        <f>+H14/H3</f>
        <v>68.092285714285708</v>
      </c>
      <c r="I41" s="74"/>
      <c r="AJ41" s="57" t="s">
        <v>29</v>
      </c>
      <c r="AK41" s="57" t="s">
        <v>95</v>
      </c>
    </row>
    <row r="42" spans="1:37" s="53" customFormat="1" ht="15.75" customHeight="1">
      <c r="A42" s="57" t="s">
        <v>31</v>
      </c>
      <c r="B42" s="57" t="s">
        <v>96</v>
      </c>
      <c r="C42" s="64">
        <f>+C16/C3</f>
        <v>8.8510000000000009</v>
      </c>
      <c r="D42" s="64">
        <f t="shared" ref="D42:G42" si="16">+D16/D3</f>
        <v>8.8510000000000009</v>
      </c>
      <c r="E42" s="64">
        <f t="shared" si="16"/>
        <v>8.8510000000000009</v>
      </c>
      <c r="F42" s="64">
        <f t="shared" si="16"/>
        <v>8.8510000000000009</v>
      </c>
      <c r="G42" s="64">
        <f t="shared" si="16"/>
        <v>8.8510000000000009</v>
      </c>
      <c r="H42" s="64">
        <f>+H16/H3</f>
        <v>8.8510000000000009</v>
      </c>
      <c r="I42" s="74"/>
      <c r="AJ42" s="57" t="s">
        <v>31</v>
      </c>
      <c r="AK42" s="57" t="s">
        <v>96</v>
      </c>
    </row>
    <row r="43" spans="1:37" s="53" customFormat="1" ht="15.75" customHeight="1">
      <c r="A43" s="57" t="s">
        <v>81</v>
      </c>
      <c r="B43" s="57" t="s">
        <v>97</v>
      </c>
      <c r="C43" s="64">
        <f>+C17/C3</f>
        <v>45.423999999999999</v>
      </c>
      <c r="D43" s="64">
        <f t="shared" ref="D43:G43" si="17">+D17/D3</f>
        <v>43.152799999999999</v>
      </c>
      <c r="E43" s="64">
        <f t="shared" si="17"/>
        <v>40.995159999999998</v>
      </c>
      <c r="F43" s="64">
        <f t="shared" si="17"/>
        <v>38.945402000000001</v>
      </c>
      <c r="G43" s="64">
        <f t="shared" si="17"/>
        <v>36.99813189999999</v>
      </c>
      <c r="H43" s="64">
        <f>+H17/H3</f>
        <v>42.233504761904761</v>
      </c>
      <c r="I43" s="74"/>
      <c r="AJ43" s="57" t="s">
        <v>81</v>
      </c>
      <c r="AK43" s="57" t="s">
        <v>97</v>
      </c>
    </row>
    <row r="44" spans="1:37" s="53" customFormat="1" ht="15.75" customHeight="1">
      <c r="A44" s="57" t="s">
        <v>34</v>
      </c>
      <c r="B44" s="57" t="s">
        <v>98</v>
      </c>
      <c r="C44" s="64"/>
      <c r="D44" s="64"/>
      <c r="E44" s="64"/>
      <c r="F44" s="64"/>
      <c r="G44" s="64"/>
      <c r="H44" s="64"/>
      <c r="I44" s="74"/>
      <c r="AJ44" s="57" t="s">
        <v>34</v>
      </c>
      <c r="AK44" s="57" t="s">
        <v>99</v>
      </c>
    </row>
    <row r="45" spans="1:37" s="53" customFormat="1" ht="15.75" customHeight="1">
      <c r="A45" s="57" t="s">
        <v>37</v>
      </c>
      <c r="B45" s="57" t="s">
        <v>100</v>
      </c>
      <c r="C45" s="64"/>
      <c r="D45" s="64"/>
      <c r="E45" s="64"/>
      <c r="F45" s="64"/>
      <c r="G45" s="64"/>
      <c r="H45" s="64"/>
      <c r="I45" s="74"/>
      <c r="AJ45" s="57" t="s">
        <v>37</v>
      </c>
      <c r="AK45" s="57" t="s">
        <v>100</v>
      </c>
    </row>
    <row r="46" spans="1:37" s="53" customFormat="1" ht="15.75" customHeight="1">
      <c r="A46" s="57" t="s">
        <v>101</v>
      </c>
      <c r="B46" s="60" t="s">
        <v>102</v>
      </c>
      <c r="C46" s="64"/>
      <c r="D46" s="64"/>
      <c r="E46" s="64"/>
      <c r="F46" s="64"/>
      <c r="G46" s="64"/>
      <c r="H46" s="64"/>
      <c r="I46" s="74"/>
      <c r="AJ46" s="57" t="s">
        <v>101</v>
      </c>
      <c r="AK46" s="60" t="s">
        <v>102</v>
      </c>
    </row>
    <row r="47" spans="1:37" s="53" customFormat="1" ht="15.75" customHeight="1">
      <c r="A47" s="57" t="s">
        <v>29</v>
      </c>
      <c r="B47" s="57" t="s">
        <v>103</v>
      </c>
      <c r="C47" s="135">
        <f>+(C10+C16)/C6</f>
        <v>3.73E-2</v>
      </c>
      <c r="D47" s="135">
        <f t="shared" ref="D47:G47" si="18">+(D10+D16)/D6</f>
        <v>3.926315789473684E-2</v>
      </c>
      <c r="E47" s="135">
        <f t="shared" si="18"/>
        <v>4.1329639889196676E-2</v>
      </c>
      <c r="F47" s="135">
        <f t="shared" si="18"/>
        <v>4.3504884093891236E-2</v>
      </c>
      <c r="G47" s="135">
        <f t="shared" si="18"/>
        <v>4.5794614835674992E-2</v>
      </c>
      <c r="H47" s="135">
        <f>+(H10+H16)/H6</f>
        <v>4.0117797695262483E-2</v>
      </c>
      <c r="I47" s="74"/>
      <c r="AJ47" s="57" t="s">
        <v>29</v>
      </c>
      <c r="AK47" s="57" t="s">
        <v>103</v>
      </c>
    </row>
    <row r="48" spans="1:37" s="53" customFormat="1" ht="15.75" customHeight="1">
      <c r="A48" s="57" t="s">
        <v>31</v>
      </c>
      <c r="B48" s="57" t="s">
        <v>104</v>
      </c>
      <c r="C48" s="135">
        <f>+(C8+C9+C14)/C6</f>
        <v>0.10781676646706587</v>
      </c>
      <c r="D48" s="135">
        <f t="shared" ref="D48:G48" si="19">+(D8+D9+D14)/D6</f>
        <v>0.11101229120705956</v>
      </c>
      <c r="E48" s="135">
        <f t="shared" si="19"/>
        <v>0.11685504337585217</v>
      </c>
      <c r="F48" s="135">
        <f t="shared" si="19"/>
        <v>0.1230053088166865</v>
      </c>
      <c r="G48" s="135">
        <f t="shared" si="19"/>
        <v>0.12947927243861737</v>
      </c>
      <c r="H48" s="135">
        <f>+(H8+H9+H14)/H6</f>
        <v>0.11354931110889617</v>
      </c>
      <c r="I48" s="74"/>
      <c r="AJ48" s="57" t="s">
        <v>31</v>
      </c>
      <c r="AK48" s="57" t="s">
        <v>104</v>
      </c>
    </row>
    <row r="49" spans="1:37" s="53" customFormat="1" ht="15.75" customHeight="1">
      <c r="A49" s="57" t="s">
        <v>81</v>
      </c>
      <c r="B49" s="57" t="s">
        <v>105</v>
      </c>
      <c r="C49" s="135">
        <f>+C17/C6</f>
        <v>2.7199999999999998E-2</v>
      </c>
      <c r="D49" s="135">
        <f t="shared" ref="D49:G49" si="20">+D17/D6</f>
        <v>2.7199999999999998E-2</v>
      </c>
      <c r="E49" s="135">
        <f t="shared" si="20"/>
        <v>2.7199999999999998E-2</v>
      </c>
      <c r="F49" s="135">
        <f t="shared" si="20"/>
        <v>2.7200000000000002E-2</v>
      </c>
      <c r="G49" s="135">
        <f t="shared" si="20"/>
        <v>2.7199999999999995E-2</v>
      </c>
      <c r="H49" s="135">
        <f>+H17/H6</f>
        <v>2.7199999999999998E-2</v>
      </c>
      <c r="I49" s="74"/>
      <c r="AJ49" s="57" t="s">
        <v>81</v>
      </c>
      <c r="AK49" s="57" t="s">
        <v>105</v>
      </c>
    </row>
    <row r="50" spans="1:37" s="53" customFormat="1" ht="15.75" customHeight="1">
      <c r="A50" s="57" t="s">
        <v>34</v>
      </c>
      <c r="B50" s="57" t="s">
        <v>106</v>
      </c>
      <c r="C50" s="135">
        <f>+C18/C6</f>
        <v>1.2095808383233533E-2</v>
      </c>
      <c r="D50" s="135">
        <f t="shared" ref="D50:G50" si="21">+D18/D6</f>
        <v>1.273242987708793E-3</v>
      </c>
      <c r="E50" s="135">
        <f t="shared" si="21"/>
        <v>1.3402557765355716E-3</v>
      </c>
      <c r="F50" s="135">
        <f t="shared" si="21"/>
        <v>1.4107955542479701E-3</v>
      </c>
      <c r="G50" s="135">
        <f t="shared" si="21"/>
        <v>1.4850479518399686E-3</v>
      </c>
      <c r="H50" s="135">
        <f>+H18/H6</f>
        <v>1.8585108911498387E-3</v>
      </c>
      <c r="I50" s="74"/>
      <c r="AJ50" s="57" t="s">
        <v>34</v>
      </c>
      <c r="AK50" s="57" t="s">
        <v>106</v>
      </c>
    </row>
    <row r="51" spans="1:37" s="53" customFormat="1" ht="15.75" customHeight="1">
      <c r="A51" s="57" t="s">
        <v>37</v>
      </c>
      <c r="B51" s="57" t="s">
        <v>107</v>
      </c>
      <c r="C51" s="135">
        <f>+C19/C6</f>
        <v>0.03</v>
      </c>
      <c r="D51" s="135">
        <f t="shared" ref="D51:G51" si="22">+D19/D6</f>
        <v>3.1578947368421054E-2</v>
      </c>
      <c r="E51" s="135">
        <f t="shared" si="22"/>
        <v>3.3240997229916899E-2</v>
      </c>
      <c r="F51" s="135">
        <f t="shared" si="22"/>
        <v>3.4990523399912522E-2</v>
      </c>
      <c r="G51" s="135">
        <f t="shared" si="22"/>
        <v>3.6832129894644766E-2</v>
      </c>
      <c r="H51" s="135">
        <f>+H19/H6</f>
        <v>3.2266325224071704E-2</v>
      </c>
      <c r="I51" s="74"/>
      <c r="AJ51" s="57" t="s">
        <v>37</v>
      </c>
      <c r="AK51" s="57" t="s">
        <v>107</v>
      </c>
    </row>
    <row r="52" spans="1:37" s="53" customFormat="1" ht="15.75" customHeight="1">
      <c r="A52" s="57" t="s">
        <v>40</v>
      </c>
      <c r="B52" s="57" t="s">
        <v>108</v>
      </c>
      <c r="C52" s="135">
        <f>+C23/C6</f>
        <v>0.13023098802395208</v>
      </c>
      <c r="D52" s="135">
        <f t="shared" ref="D52:G52" si="23">+D23/D6</f>
        <v>0.12363238260321463</v>
      </c>
      <c r="E52" s="135">
        <f t="shared" si="23"/>
        <v>0.10653793603927873</v>
      </c>
      <c r="F52" s="135">
        <f t="shared" si="23"/>
        <v>8.8855330938938548E-2</v>
      </c>
      <c r="G52" s="135">
        <f t="shared" si="23"/>
        <v>7.0560170519803886E-2</v>
      </c>
      <c r="H52" s="135">
        <f>+H23/H6</f>
        <v>0.11606880898893633</v>
      </c>
      <c r="I52" s="74"/>
      <c r="AJ52" s="57" t="s">
        <v>40</v>
      </c>
      <c r="AK52" s="57" t="s">
        <v>109</v>
      </c>
    </row>
    <row r="53" spans="1:37" s="53" customFormat="1" ht="15.75" customHeight="1">
      <c r="A53" s="57" t="s">
        <v>110</v>
      </c>
      <c r="B53" s="60" t="s">
        <v>111</v>
      </c>
      <c r="C53" s="64">
        <f>+C21/C3</f>
        <v>289.98099999999999</v>
      </c>
      <c r="D53" s="64">
        <f t="shared" ref="D53:G53" si="24">+D21/D3</f>
        <v>261.52370000000002</v>
      </c>
      <c r="E53" s="64">
        <f t="shared" si="24"/>
        <v>214.09508499999993</v>
      </c>
      <c r="F53" s="64">
        <f t="shared" si="24"/>
        <v>169.63267564999995</v>
      </c>
      <c r="G53" s="64">
        <f t="shared" si="24"/>
        <v>127.97031842049978</v>
      </c>
      <c r="H53" s="64">
        <f>+H21/H3</f>
        <v>240.29375476190475</v>
      </c>
      <c r="I53" s="74"/>
      <c r="AJ53" s="57" t="s">
        <v>110</v>
      </c>
      <c r="AK53" s="60" t="s">
        <v>111</v>
      </c>
    </row>
    <row r="54" spans="1:37" s="53" customFormat="1" ht="15.75" customHeight="1">
      <c r="A54" s="57" t="s">
        <v>112</v>
      </c>
      <c r="B54" s="136" t="s">
        <v>113</v>
      </c>
      <c r="C54" s="64"/>
      <c r="D54" s="64"/>
      <c r="E54" s="64"/>
      <c r="F54" s="64"/>
      <c r="G54" s="64"/>
      <c r="H54" s="64"/>
      <c r="I54" s="74"/>
      <c r="AJ54" s="57"/>
      <c r="AK54" s="60"/>
    </row>
    <row r="55" spans="1:37" s="53" customFormat="1" ht="15.75" customHeight="1">
      <c r="A55" s="57" t="s">
        <v>29</v>
      </c>
      <c r="B55" s="57" t="s">
        <v>114</v>
      </c>
      <c r="C55" s="64">
        <f>C56+C57</f>
        <v>124000</v>
      </c>
      <c r="D55" s="64"/>
      <c r="E55" s="64"/>
      <c r="F55" s="64"/>
      <c r="G55" s="64"/>
      <c r="H55" s="64"/>
      <c r="I55" s="74"/>
    </row>
    <row r="56" spans="1:37" s="53" customFormat="1" ht="15.75" customHeight="1">
      <c r="A56" s="57">
        <v>1.1000000000000001</v>
      </c>
      <c r="B56" s="137" t="s">
        <v>115</v>
      </c>
      <c r="C56" s="64">
        <f>项目投资!B27</f>
        <v>101000</v>
      </c>
      <c r="D56" s="64"/>
      <c r="E56" s="64"/>
      <c r="F56" s="64"/>
      <c r="G56" s="64"/>
      <c r="H56" s="64"/>
      <c r="I56" s="74"/>
    </row>
    <row r="57" spans="1:37" s="53" customFormat="1" ht="15.75" customHeight="1">
      <c r="A57" s="57">
        <v>1.2</v>
      </c>
      <c r="B57" s="57" t="s">
        <v>116</v>
      </c>
      <c r="C57" s="64">
        <f>项目投资!B26</f>
        <v>23000</v>
      </c>
      <c r="D57" s="64"/>
      <c r="E57" s="64"/>
      <c r="F57" s="64"/>
      <c r="G57" s="64"/>
      <c r="H57" s="64"/>
      <c r="I57" s="74"/>
    </row>
    <row r="58" spans="1:37" ht="15.75" customHeight="1">
      <c r="A58" s="124" t="s">
        <v>31</v>
      </c>
      <c r="B58" s="124" t="s">
        <v>117</v>
      </c>
      <c r="C58" s="138">
        <f t="shared" ref="C58:G58" si="25">C59+C60</f>
        <v>221855.75</v>
      </c>
      <c r="D58" s="138">
        <f t="shared" si="25"/>
        <v>1965797.75</v>
      </c>
      <c r="E58" s="138">
        <f t="shared" si="25"/>
        <v>1610083.1374999993</v>
      </c>
      <c r="F58" s="138">
        <f t="shared" si="25"/>
        <v>1276615.0673749996</v>
      </c>
      <c r="G58" s="138">
        <f t="shared" si="25"/>
        <v>964147.38815374835</v>
      </c>
      <c r="H58" s="138">
        <f t="shared" ref="H58" si="26">H59+H60</f>
        <v>3806476.6374999997</v>
      </c>
      <c r="I58" s="74"/>
    </row>
    <row r="59" spans="1:37" ht="15.75" customHeight="1">
      <c r="A59" s="124" t="s">
        <v>81</v>
      </c>
      <c r="B59" s="124" t="s">
        <v>118</v>
      </c>
      <c r="C59" s="138">
        <f t="shared" ref="C59:G59" si="27">C23</f>
        <v>217485.75</v>
      </c>
      <c r="D59" s="138">
        <f t="shared" si="27"/>
        <v>1961427.75</v>
      </c>
      <c r="E59" s="138">
        <f t="shared" si="27"/>
        <v>1605713.1374999993</v>
      </c>
      <c r="F59" s="138">
        <f t="shared" si="27"/>
        <v>1272245.0673749996</v>
      </c>
      <c r="G59" s="138">
        <f t="shared" si="27"/>
        <v>959777.38815374835</v>
      </c>
      <c r="H59" s="138">
        <f t="shared" ref="H59" si="28">H23</f>
        <v>3784626.6374999997</v>
      </c>
      <c r="I59" s="74"/>
    </row>
    <row r="60" spans="1:37" ht="15.75" customHeight="1">
      <c r="A60" s="124" t="s">
        <v>34</v>
      </c>
      <c r="B60" s="124" t="s">
        <v>119</v>
      </c>
      <c r="C60" s="138">
        <f>'2021年'!D18</f>
        <v>4370</v>
      </c>
      <c r="D60" s="138">
        <f>'2022年'!D18</f>
        <v>4370</v>
      </c>
      <c r="E60" s="138">
        <f>'2023年'!D18</f>
        <v>4370</v>
      </c>
      <c r="F60" s="138">
        <f>'2024年'!D18</f>
        <v>4370</v>
      </c>
      <c r="G60" s="138">
        <f>'2025年'!D18</f>
        <v>4370</v>
      </c>
      <c r="H60" s="138">
        <f>项目投资!I26</f>
        <v>21850</v>
      </c>
      <c r="I60" s="74"/>
    </row>
    <row r="61" spans="1:37" ht="15.75" customHeight="1">
      <c r="A61" s="124" t="s">
        <v>37</v>
      </c>
      <c r="B61" s="124" t="s">
        <v>120</v>
      </c>
      <c r="C61" s="139"/>
      <c r="D61" s="139"/>
      <c r="E61" s="139"/>
      <c r="F61" s="139"/>
      <c r="G61" s="139"/>
      <c r="H61" s="138"/>
      <c r="I61" s="74"/>
    </row>
  </sheetData>
  <mergeCells count="2">
    <mergeCell ref="A1:H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8" customWidth="1"/>
    <col min="2" max="2" width="28.5" style="78" customWidth="1"/>
    <col min="3" max="4" width="9.125" style="78"/>
    <col min="5" max="5" width="13.875" style="78" customWidth="1"/>
    <col min="6" max="12" width="16.125" style="78" customWidth="1"/>
    <col min="13" max="13" width="10.625" style="78" customWidth="1"/>
    <col min="14" max="254" width="9.125" style="78"/>
    <col min="255" max="255" width="8" style="78" customWidth="1"/>
    <col min="256" max="256" width="28.5" style="78" customWidth="1"/>
    <col min="257" max="268" width="9.125" style="78"/>
    <col min="269" max="269" width="10.625" style="78" customWidth="1"/>
    <col min="270" max="510" width="9.125" style="78"/>
    <col min="511" max="511" width="8" style="78" customWidth="1"/>
    <col min="512" max="512" width="28.5" style="78" customWidth="1"/>
    <col min="513" max="524" width="9.125" style="78"/>
    <col min="525" max="525" width="10.625" style="78" customWidth="1"/>
    <col min="526" max="766" width="9.125" style="78"/>
    <col min="767" max="767" width="8" style="78" customWidth="1"/>
    <col min="768" max="768" width="28.5" style="78" customWidth="1"/>
    <col min="769" max="780" width="9.125" style="78"/>
    <col min="781" max="781" width="10.625" style="78" customWidth="1"/>
    <col min="782" max="1022" width="9.125" style="78"/>
    <col min="1023" max="1023" width="8" style="78" customWidth="1"/>
    <col min="1024" max="1024" width="28.5" style="78" customWidth="1"/>
    <col min="1025" max="1036" width="9.125" style="78"/>
    <col min="1037" max="1037" width="10.625" style="78" customWidth="1"/>
    <col min="1038" max="1278" width="9.125" style="78"/>
    <col min="1279" max="1279" width="8" style="78" customWidth="1"/>
    <col min="1280" max="1280" width="28.5" style="78" customWidth="1"/>
    <col min="1281" max="1292" width="9.125" style="78"/>
    <col min="1293" max="1293" width="10.625" style="78" customWidth="1"/>
    <col min="1294" max="1534" width="9.125" style="78"/>
    <col min="1535" max="1535" width="8" style="78" customWidth="1"/>
    <col min="1536" max="1536" width="28.5" style="78" customWidth="1"/>
    <col min="1537" max="1548" width="9.125" style="78"/>
    <col min="1549" max="1549" width="10.625" style="78" customWidth="1"/>
    <col min="1550" max="1790" width="9.125" style="78"/>
    <col min="1791" max="1791" width="8" style="78" customWidth="1"/>
    <col min="1792" max="1792" width="28.5" style="78" customWidth="1"/>
    <col min="1793" max="1804" width="9.125" style="78"/>
    <col min="1805" max="1805" width="10.625" style="78" customWidth="1"/>
    <col min="1806" max="2046" width="9.125" style="78"/>
    <col min="2047" max="2047" width="8" style="78" customWidth="1"/>
    <col min="2048" max="2048" width="28.5" style="78" customWidth="1"/>
    <col min="2049" max="2060" width="9.125" style="78"/>
    <col min="2061" max="2061" width="10.625" style="78" customWidth="1"/>
    <col min="2062" max="2302" width="9.125" style="78"/>
    <col min="2303" max="2303" width="8" style="78" customWidth="1"/>
    <col min="2304" max="2304" width="28.5" style="78" customWidth="1"/>
    <col min="2305" max="2316" width="9.125" style="78"/>
    <col min="2317" max="2317" width="10.625" style="78" customWidth="1"/>
    <col min="2318" max="2558" width="9.125" style="78"/>
    <col min="2559" max="2559" width="8" style="78" customWidth="1"/>
    <col min="2560" max="2560" width="28.5" style="78" customWidth="1"/>
    <col min="2561" max="2572" width="9.125" style="78"/>
    <col min="2573" max="2573" width="10.625" style="78" customWidth="1"/>
    <col min="2574" max="2814" width="9.125" style="78"/>
    <col min="2815" max="2815" width="8" style="78" customWidth="1"/>
    <col min="2816" max="2816" width="28.5" style="78" customWidth="1"/>
    <col min="2817" max="2828" width="9.125" style="78"/>
    <col min="2829" max="2829" width="10.625" style="78" customWidth="1"/>
    <col min="2830" max="3070" width="9.125" style="78"/>
    <col min="3071" max="3071" width="8" style="78" customWidth="1"/>
    <col min="3072" max="3072" width="28.5" style="78" customWidth="1"/>
    <col min="3073" max="3084" width="9.125" style="78"/>
    <col min="3085" max="3085" width="10.625" style="78" customWidth="1"/>
    <col min="3086" max="3326" width="9.125" style="78"/>
    <col min="3327" max="3327" width="8" style="78" customWidth="1"/>
    <col min="3328" max="3328" width="28.5" style="78" customWidth="1"/>
    <col min="3329" max="3340" width="9.125" style="78"/>
    <col min="3341" max="3341" width="10.625" style="78" customWidth="1"/>
    <col min="3342" max="3582" width="9.125" style="78"/>
    <col min="3583" max="3583" width="8" style="78" customWidth="1"/>
    <col min="3584" max="3584" width="28.5" style="78" customWidth="1"/>
    <col min="3585" max="3596" width="9.125" style="78"/>
    <col min="3597" max="3597" width="10.625" style="78" customWidth="1"/>
    <col min="3598" max="3838" width="9.125" style="78"/>
    <col min="3839" max="3839" width="8" style="78" customWidth="1"/>
    <col min="3840" max="3840" width="28.5" style="78" customWidth="1"/>
    <col min="3841" max="3852" width="9.125" style="78"/>
    <col min="3853" max="3853" width="10.625" style="78" customWidth="1"/>
    <col min="3854" max="4094" width="9.125" style="78"/>
    <col min="4095" max="4095" width="8" style="78" customWidth="1"/>
    <col min="4096" max="4096" width="28.5" style="78" customWidth="1"/>
    <col min="4097" max="4108" width="9.125" style="78"/>
    <col min="4109" max="4109" width="10.625" style="78" customWidth="1"/>
    <col min="4110" max="4350" width="9.125" style="78"/>
    <col min="4351" max="4351" width="8" style="78" customWidth="1"/>
    <col min="4352" max="4352" width="28.5" style="78" customWidth="1"/>
    <col min="4353" max="4364" width="9.125" style="78"/>
    <col min="4365" max="4365" width="10.625" style="78" customWidth="1"/>
    <col min="4366" max="4606" width="9.125" style="78"/>
    <col min="4607" max="4607" width="8" style="78" customWidth="1"/>
    <col min="4608" max="4608" width="28.5" style="78" customWidth="1"/>
    <col min="4609" max="4620" width="9.125" style="78"/>
    <col min="4621" max="4621" width="10.625" style="78" customWidth="1"/>
    <col min="4622" max="4862" width="9.125" style="78"/>
    <col min="4863" max="4863" width="8" style="78" customWidth="1"/>
    <col min="4864" max="4864" width="28.5" style="78" customWidth="1"/>
    <col min="4865" max="4876" width="9.125" style="78"/>
    <col min="4877" max="4877" width="10.625" style="78" customWidth="1"/>
    <col min="4878" max="5118" width="9.125" style="78"/>
    <col min="5119" max="5119" width="8" style="78" customWidth="1"/>
    <col min="5120" max="5120" width="28.5" style="78" customWidth="1"/>
    <col min="5121" max="5132" width="9.125" style="78"/>
    <col min="5133" max="5133" width="10.625" style="78" customWidth="1"/>
    <col min="5134" max="5374" width="9.125" style="78"/>
    <col min="5375" max="5375" width="8" style="78" customWidth="1"/>
    <col min="5376" max="5376" width="28.5" style="78" customWidth="1"/>
    <col min="5377" max="5388" width="9.125" style="78"/>
    <col min="5389" max="5389" width="10.625" style="78" customWidth="1"/>
    <col min="5390" max="5630" width="9.125" style="78"/>
    <col min="5631" max="5631" width="8" style="78" customWidth="1"/>
    <col min="5632" max="5632" width="28.5" style="78" customWidth="1"/>
    <col min="5633" max="5644" width="9.125" style="78"/>
    <col min="5645" max="5645" width="10.625" style="78" customWidth="1"/>
    <col min="5646" max="5886" width="9.125" style="78"/>
    <col min="5887" max="5887" width="8" style="78" customWidth="1"/>
    <col min="5888" max="5888" width="28.5" style="78" customWidth="1"/>
    <col min="5889" max="5900" width="9.125" style="78"/>
    <col min="5901" max="5901" width="10.625" style="78" customWidth="1"/>
    <col min="5902" max="6142" width="9.125" style="78"/>
    <col min="6143" max="6143" width="8" style="78" customWidth="1"/>
    <col min="6144" max="6144" width="28.5" style="78" customWidth="1"/>
    <col min="6145" max="6156" width="9.125" style="78"/>
    <col min="6157" max="6157" width="10.625" style="78" customWidth="1"/>
    <col min="6158" max="6398" width="9.125" style="78"/>
    <col min="6399" max="6399" width="8" style="78" customWidth="1"/>
    <col min="6400" max="6400" width="28.5" style="78" customWidth="1"/>
    <col min="6401" max="6412" width="9.125" style="78"/>
    <col min="6413" max="6413" width="10.625" style="78" customWidth="1"/>
    <col min="6414" max="6654" width="9.125" style="78"/>
    <col min="6655" max="6655" width="8" style="78" customWidth="1"/>
    <col min="6656" max="6656" width="28.5" style="78" customWidth="1"/>
    <col min="6657" max="6668" width="9.125" style="78"/>
    <col min="6669" max="6669" width="10.625" style="78" customWidth="1"/>
    <col min="6670" max="6910" width="9.125" style="78"/>
    <col min="6911" max="6911" width="8" style="78" customWidth="1"/>
    <col min="6912" max="6912" width="28.5" style="78" customWidth="1"/>
    <col min="6913" max="6924" width="9.125" style="78"/>
    <col min="6925" max="6925" width="10.625" style="78" customWidth="1"/>
    <col min="6926" max="7166" width="9.125" style="78"/>
    <col min="7167" max="7167" width="8" style="78" customWidth="1"/>
    <col min="7168" max="7168" width="28.5" style="78" customWidth="1"/>
    <col min="7169" max="7180" width="9.125" style="78"/>
    <col min="7181" max="7181" width="10.625" style="78" customWidth="1"/>
    <col min="7182" max="7422" width="9.125" style="78"/>
    <col min="7423" max="7423" width="8" style="78" customWidth="1"/>
    <col min="7424" max="7424" width="28.5" style="78" customWidth="1"/>
    <col min="7425" max="7436" width="9.125" style="78"/>
    <col min="7437" max="7437" width="10.625" style="78" customWidth="1"/>
    <col min="7438" max="7678" width="9.125" style="78"/>
    <col min="7679" max="7679" width="8" style="78" customWidth="1"/>
    <col min="7680" max="7680" width="28.5" style="78" customWidth="1"/>
    <col min="7681" max="7692" width="9.125" style="78"/>
    <col min="7693" max="7693" width="10.625" style="78" customWidth="1"/>
    <col min="7694" max="7934" width="9.125" style="78"/>
    <col min="7935" max="7935" width="8" style="78" customWidth="1"/>
    <col min="7936" max="7936" width="28.5" style="78" customWidth="1"/>
    <col min="7937" max="7948" width="9.125" style="78"/>
    <col min="7949" max="7949" width="10.625" style="78" customWidth="1"/>
    <col min="7950" max="8190" width="9.125" style="78"/>
    <col min="8191" max="8191" width="8" style="78" customWidth="1"/>
    <col min="8192" max="8192" width="28.5" style="78" customWidth="1"/>
    <col min="8193" max="8204" width="9.125" style="78"/>
    <col min="8205" max="8205" width="10.625" style="78" customWidth="1"/>
    <col min="8206" max="8446" width="9.125" style="78"/>
    <col min="8447" max="8447" width="8" style="78" customWidth="1"/>
    <col min="8448" max="8448" width="28.5" style="78" customWidth="1"/>
    <col min="8449" max="8460" width="9.125" style="78"/>
    <col min="8461" max="8461" width="10.625" style="78" customWidth="1"/>
    <col min="8462" max="8702" width="9.125" style="78"/>
    <col min="8703" max="8703" width="8" style="78" customWidth="1"/>
    <col min="8704" max="8704" width="28.5" style="78" customWidth="1"/>
    <col min="8705" max="8716" width="9.125" style="78"/>
    <col min="8717" max="8717" width="10.625" style="78" customWidth="1"/>
    <col min="8718" max="8958" width="9.125" style="78"/>
    <col min="8959" max="8959" width="8" style="78" customWidth="1"/>
    <col min="8960" max="8960" width="28.5" style="78" customWidth="1"/>
    <col min="8961" max="8972" width="9.125" style="78"/>
    <col min="8973" max="8973" width="10.625" style="78" customWidth="1"/>
    <col min="8974" max="9214" width="9.125" style="78"/>
    <col min="9215" max="9215" width="8" style="78" customWidth="1"/>
    <col min="9216" max="9216" width="28.5" style="78" customWidth="1"/>
    <col min="9217" max="9228" width="9.125" style="78"/>
    <col min="9229" max="9229" width="10.625" style="78" customWidth="1"/>
    <col min="9230" max="9470" width="9.125" style="78"/>
    <col min="9471" max="9471" width="8" style="78" customWidth="1"/>
    <col min="9472" max="9472" width="28.5" style="78" customWidth="1"/>
    <col min="9473" max="9484" width="9.125" style="78"/>
    <col min="9485" max="9485" width="10.625" style="78" customWidth="1"/>
    <col min="9486" max="9726" width="9.125" style="78"/>
    <col min="9727" max="9727" width="8" style="78" customWidth="1"/>
    <col min="9728" max="9728" width="28.5" style="78" customWidth="1"/>
    <col min="9729" max="9740" width="9.125" style="78"/>
    <col min="9741" max="9741" width="10.625" style="78" customWidth="1"/>
    <col min="9742" max="9982" width="9.125" style="78"/>
    <col min="9983" max="9983" width="8" style="78" customWidth="1"/>
    <col min="9984" max="9984" width="28.5" style="78" customWidth="1"/>
    <col min="9985" max="9996" width="9.125" style="78"/>
    <col min="9997" max="9997" width="10.625" style="78" customWidth="1"/>
    <col min="9998" max="10238" width="9.125" style="78"/>
    <col min="10239" max="10239" width="8" style="78" customWidth="1"/>
    <col min="10240" max="10240" width="28.5" style="78" customWidth="1"/>
    <col min="10241" max="10252" width="9.125" style="78"/>
    <col min="10253" max="10253" width="10.625" style="78" customWidth="1"/>
    <col min="10254" max="10494" width="9.125" style="78"/>
    <col min="10495" max="10495" width="8" style="78" customWidth="1"/>
    <col min="10496" max="10496" width="28.5" style="78" customWidth="1"/>
    <col min="10497" max="10508" width="9.125" style="78"/>
    <col min="10509" max="10509" width="10.625" style="78" customWidth="1"/>
    <col min="10510" max="10750" width="9.125" style="78"/>
    <col min="10751" max="10751" width="8" style="78" customWidth="1"/>
    <col min="10752" max="10752" width="28.5" style="78" customWidth="1"/>
    <col min="10753" max="10764" width="9.125" style="78"/>
    <col min="10765" max="10765" width="10.625" style="78" customWidth="1"/>
    <col min="10766" max="11006" width="9.125" style="78"/>
    <col min="11007" max="11007" width="8" style="78" customWidth="1"/>
    <col min="11008" max="11008" width="28.5" style="78" customWidth="1"/>
    <col min="11009" max="11020" width="9.125" style="78"/>
    <col min="11021" max="11021" width="10.625" style="78" customWidth="1"/>
    <col min="11022" max="11262" width="9.125" style="78"/>
    <col min="11263" max="11263" width="8" style="78" customWidth="1"/>
    <col min="11264" max="11264" width="28.5" style="78" customWidth="1"/>
    <col min="11265" max="11276" width="9.125" style="78"/>
    <col min="11277" max="11277" width="10.625" style="78" customWidth="1"/>
    <col min="11278" max="11518" width="9.125" style="78"/>
    <col min="11519" max="11519" width="8" style="78" customWidth="1"/>
    <col min="11520" max="11520" width="28.5" style="78" customWidth="1"/>
    <col min="11521" max="11532" width="9.125" style="78"/>
    <col min="11533" max="11533" width="10.625" style="78" customWidth="1"/>
    <col min="11534" max="11774" width="9.125" style="78"/>
    <col min="11775" max="11775" width="8" style="78" customWidth="1"/>
    <col min="11776" max="11776" width="28.5" style="78" customWidth="1"/>
    <col min="11777" max="11788" width="9.125" style="78"/>
    <col min="11789" max="11789" width="10.625" style="78" customWidth="1"/>
    <col min="11790" max="12030" width="9.125" style="78"/>
    <col min="12031" max="12031" width="8" style="78" customWidth="1"/>
    <col min="12032" max="12032" width="28.5" style="78" customWidth="1"/>
    <col min="12033" max="12044" width="9.125" style="78"/>
    <col min="12045" max="12045" width="10.625" style="78" customWidth="1"/>
    <col min="12046" max="12286" width="9.125" style="78"/>
    <col min="12287" max="12287" width="8" style="78" customWidth="1"/>
    <col min="12288" max="12288" width="28.5" style="78" customWidth="1"/>
    <col min="12289" max="12300" width="9.125" style="78"/>
    <col min="12301" max="12301" width="10.625" style="78" customWidth="1"/>
    <col min="12302" max="12542" width="9.125" style="78"/>
    <col min="12543" max="12543" width="8" style="78" customWidth="1"/>
    <col min="12544" max="12544" width="28.5" style="78" customWidth="1"/>
    <col min="12545" max="12556" width="9.125" style="78"/>
    <col min="12557" max="12557" width="10.625" style="78" customWidth="1"/>
    <col min="12558" max="12798" width="9.125" style="78"/>
    <col min="12799" max="12799" width="8" style="78" customWidth="1"/>
    <col min="12800" max="12800" width="28.5" style="78" customWidth="1"/>
    <col min="12801" max="12812" width="9.125" style="78"/>
    <col min="12813" max="12813" width="10.625" style="78" customWidth="1"/>
    <col min="12814" max="13054" width="9.125" style="78"/>
    <col min="13055" max="13055" width="8" style="78" customWidth="1"/>
    <col min="13056" max="13056" width="28.5" style="78" customWidth="1"/>
    <col min="13057" max="13068" width="9.125" style="78"/>
    <col min="13069" max="13069" width="10.625" style="78" customWidth="1"/>
    <col min="13070" max="13310" width="9.125" style="78"/>
    <col min="13311" max="13311" width="8" style="78" customWidth="1"/>
    <col min="13312" max="13312" width="28.5" style="78" customWidth="1"/>
    <col min="13313" max="13324" width="9.125" style="78"/>
    <col min="13325" max="13325" width="10.625" style="78" customWidth="1"/>
    <col min="13326" max="13566" width="9.125" style="78"/>
    <col min="13567" max="13567" width="8" style="78" customWidth="1"/>
    <col min="13568" max="13568" width="28.5" style="78" customWidth="1"/>
    <col min="13569" max="13580" width="9.125" style="78"/>
    <col min="13581" max="13581" width="10.625" style="78" customWidth="1"/>
    <col min="13582" max="13822" width="9.125" style="78"/>
    <col min="13823" max="13823" width="8" style="78" customWidth="1"/>
    <col min="13824" max="13824" width="28.5" style="78" customWidth="1"/>
    <col min="13825" max="13836" width="9.125" style="78"/>
    <col min="13837" max="13837" width="10.625" style="78" customWidth="1"/>
    <col min="13838" max="14078" width="9.125" style="78"/>
    <col min="14079" max="14079" width="8" style="78" customWidth="1"/>
    <col min="14080" max="14080" width="28.5" style="78" customWidth="1"/>
    <col min="14081" max="14092" width="9.125" style="78"/>
    <col min="14093" max="14093" width="10.625" style="78" customWidth="1"/>
    <col min="14094" max="14334" width="9.125" style="78"/>
    <col min="14335" max="14335" width="8" style="78" customWidth="1"/>
    <col min="14336" max="14336" width="28.5" style="78" customWidth="1"/>
    <col min="14337" max="14348" width="9.125" style="78"/>
    <col min="14349" max="14349" width="10.625" style="78" customWidth="1"/>
    <col min="14350" max="14590" width="9.125" style="78"/>
    <col min="14591" max="14591" width="8" style="78" customWidth="1"/>
    <col min="14592" max="14592" width="28.5" style="78" customWidth="1"/>
    <col min="14593" max="14604" width="9.125" style="78"/>
    <col min="14605" max="14605" width="10.625" style="78" customWidth="1"/>
    <col min="14606" max="14846" width="9.125" style="78"/>
    <col min="14847" max="14847" width="8" style="78" customWidth="1"/>
    <col min="14848" max="14848" width="28.5" style="78" customWidth="1"/>
    <col min="14849" max="14860" width="9.125" style="78"/>
    <col min="14861" max="14861" width="10.625" style="78" customWidth="1"/>
    <col min="14862" max="15102" width="9.125" style="78"/>
    <col min="15103" max="15103" width="8" style="78" customWidth="1"/>
    <col min="15104" max="15104" width="28.5" style="78" customWidth="1"/>
    <col min="15105" max="15116" width="9.125" style="78"/>
    <col min="15117" max="15117" width="10.625" style="78" customWidth="1"/>
    <col min="15118" max="15358" width="9.125" style="78"/>
    <col min="15359" max="15359" width="8" style="78" customWidth="1"/>
    <col min="15360" max="15360" width="28.5" style="78" customWidth="1"/>
    <col min="15361" max="15372" width="9.125" style="78"/>
    <col min="15373" max="15373" width="10.625" style="78" customWidth="1"/>
    <col min="15374" max="15614" width="9.125" style="78"/>
    <col min="15615" max="15615" width="8" style="78" customWidth="1"/>
    <col min="15616" max="15616" width="28.5" style="78" customWidth="1"/>
    <col min="15617" max="15628" width="9.125" style="78"/>
    <col min="15629" max="15629" width="10.625" style="78" customWidth="1"/>
    <col min="15630" max="15870" width="9.125" style="78"/>
    <col min="15871" max="15871" width="8" style="78" customWidth="1"/>
    <col min="15872" max="15872" width="28.5" style="78" customWidth="1"/>
    <col min="15873" max="15884" width="9.125" style="78"/>
    <col min="15885" max="15885" width="10.625" style="78" customWidth="1"/>
    <col min="15886" max="16126" width="9.125" style="78"/>
    <col min="16127" max="16127" width="8" style="78" customWidth="1"/>
    <col min="16128" max="16128" width="28.5" style="78" customWidth="1"/>
    <col min="16129" max="16140" width="9.125" style="78"/>
    <col min="16141" max="16141" width="10.625" style="78" customWidth="1"/>
    <col min="16142" max="16384" width="9.125" style="78"/>
  </cols>
  <sheetData>
    <row r="1" spans="1:13" ht="18.75">
      <c r="A1" s="79" t="s">
        <v>121</v>
      </c>
      <c r="B1" s="80"/>
      <c r="C1" s="81"/>
      <c r="D1" s="81"/>
      <c r="E1" s="80"/>
      <c r="F1" s="81"/>
      <c r="G1" s="81"/>
      <c r="H1" s="80"/>
      <c r="I1" s="81"/>
      <c r="J1" s="81"/>
      <c r="K1" s="81"/>
      <c r="L1" s="81"/>
      <c r="M1" s="81"/>
    </row>
    <row r="2" spans="1:13" ht="12">
      <c r="A2" s="78" t="s">
        <v>122</v>
      </c>
      <c r="B2" s="82"/>
    </row>
    <row r="3" spans="1:13" ht="16.899999999999999" customHeight="1">
      <c r="A3" s="83" t="s">
        <v>19</v>
      </c>
      <c r="B3" s="83" t="s">
        <v>123</v>
      </c>
      <c r="C3" s="187" t="s">
        <v>124</v>
      </c>
      <c r="D3" s="187"/>
      <c r="E3" s="187"/>
      <c r="F3" s="85"/>
      <c r="G3" s="86"/>
      <c r="H3" s="87"/>
      <c r="I3" s="87"/>
      <c r="J3" s="87" t="s">
        <v>125</v>
      </c>
      <c r="K3" s="87"/>
      <c r="L3" s="87"/>
      <c r="M3" s="108"/>
    </row>
    <row r="4" spans="1:13" ht="16.149999999999999" customHeight="1">
      <c r="A4" s="88"/>
      <c r="B4" s="88" t="s">
        <v>126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127</v>
      </c>
    </row>
    <row r="5" spans="1:13" ht="15.6" customHeight="1">
      <c r="A5" s="90">
        <v>1</v>
      </c>
      <c r="B5" s="91" t="s">
        <v>128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>
        <f t="shared" si="1"/>
        <v>1670000</v>
      </c>
      <c r="G5" s="92">
        <f t="shared" si="1"/>
        <v>16700000</v>
      </c>
      <c r="H5" s="92">
        <f t="shared" si="1"/>
        <v>16700000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>
        <f t="shared" si="1"/>
        <v>35070000</v>
      </c>
      <c r="M5" s="96" t="e">
        <f t="shared" ref="M5:M17" si="2">SUM(C5:L5)</f>
        <v>#REF!</v>
      </c>
    </row>
    <row r="6" spans="1:13" ht="15.6" customHeight="1">
      <c r="A6" s="90">
        <v>1.1000000000000001</v>
      </c>
      <c r="B6" s="93" t="s">
        <v>129</v>
      </c>
      <c r="C6" s="94"/>
      <c r="D6" s="94"/>
      <c r="E6" s="94" t="e">
        <f>损益表!#REF!</f>
        <v>#REF!</v>
      </c>
      <c r="F6" s="94">
        <f>损益表!C4</f>
        <v>1670000</v>
      </c>
      <c r="G6" s="94">
        <f>损益表!D4</f>
        <v>16700000</v>
      </c>
      <c r="H6" s="94">
        <f>损益表!E4</f>
        <v>16700000</v>
      </c>
      <c r="I6" s="94" t="e">
        <f>损益表!#REF!</f>
        <v>#REF!</v>
      </c>
      <c r="J6" s="94" t="e">
        <f>损益表!#REF!</f>
        <v>#REF!</v>
      </c>
      <c r="K6" s="94" t="e">
        <f>损益表!#REF!</f>
        <v>#REF!</v>
      </c>
      <c r="L6" s="94">
        <f>损益表!H4</f>
        <v>35070000</v>
      </c>
      <c r="M6" s="96" t="e">
        <f t="shared" si="2"/>
        <v>#REF!</v>
      </c>
    </row>
    <row r="7" spans="1:13" ht="15.6" customHeight="1">
      <c r="A7" s="90">
        <v>1.2</v>
      </c>
      <c r="B7" s="93" t="s">
        <v>130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spans="1:13" ht="15.6" customHeight="1">
      <c r="A8" s="90">
        <v>1.3</v>
      </c>
      <c r="B8" s="93" t="s">
        <v>131</v>
      </c>
      <c r="C8" s="94" t="s">
        <v>132</v>
      </c>
      <c r="D8" s="94" t="s">
        <v>132</v>
      </c>
      <c r="E8" s="94" t="s">
        <v>132</v>
      </c>
      <c r="F8" s="94" t="s">
        <v>132</v>
      </c>
      <c r="G8" s="94" t="s">
        <v>132</v>
      </c>
      <c r="H8" s="94" t="s">
        <v>132</v>
      </c>
      <c r="I8" s="94" t="s">
        <v>132</v>
      </c>
      <c r="J8" s="94" t="s">
        <v>132</v>
      </c>
      <c r="K8" s="94" t="s">
        <v>132</v>
      </c>
      <c r="L8" s="94"/>
      <c r="M8" s="96">
        <f t="shared" si="2"/>
        <v>0</v>
      </c>
    </row>
    <row r="9" spans="1:13" s="77" customFormat="1" ht="15.6" customHeight="1">
      <c r="A9" s="95">
        <v>1.4</v>
      </c>
      <c r="B9" s="96" t="s">
        <v>133</v>
      </c>
      <c r="C9" s="94" t="s">
        <v>132</v>
      </c>
      <c r="D9" s="94" t="s">
        <v>132</v>
      </c>
      <c r="E9" s="94" t="s">
        <v>132</v>
      </c>
      <c r="F9" s="94" t="s">
        <v>132</v>
      </c>
      <c r="G9" s="94" t="s">
        <v>132</v>
      </c>
      <c r="H9" s="94" t="s">
        <v>132</v>
      </c>
      <c r="I9" s="94" t="s">
        <v>132</v>
      </c>
      <c r="J9" s="94" t="s">
        <v>132</v>
      </c>
      <c r="K9" s="94" t="s">
        <v>132</v>
      </c>
      <c r="L9" s="94" t="s">
        <v>132</v>
      </c>
      <c r="M9" s="96">
        <f t="shared" si="2"/>
        <v>0</v>
      </c>
    </row>
    <row r="10" spans="1:13" ht="15.6" customHeight="1">
      <c r="A10" s="95">
        <v>2</v>
      </c>
      <c r="B10" s="91" t="s">
        <v>134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spans="1:13" ht="15" customHeight="1">
      <c r="A11" s="90">
        <v>2.1</v>
      </c>
      <c r="B11" s="90" t="s">
        <v>135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pans="1:13" s="77" customFormat="1" ht="15" customHeight="1">
      <c r="A12" s="90">
        <v>2.2000000000000002</v>
      </c>
      <c r="B12" s="96" t="s">
        <v>136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spans="1:13" ht="15" customHeight="1">
      <c r="A13" s="90">
        <v>2.2999999999999998</v>
      </c>
      <c r="B13" s="93" t="s">
        <v>137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spans="1:13" ht="15" customHeight="1">
      <c r="A14" s="90">
        <v>2.4</v>
      </c>
      <c r="B14" s="93" t="s">
        <v>138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spans="1:13" ht="15" customHeight="1">
      <c r="A15" s="90">
        <v>2.5</v>
      </c>
      <c r="B15" s="93" t="s">
        <v>64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spans="1:13" ht="15" customHeight="1">
      <c r="A16" s="90">
        <v>2.6</v>
      </c>
      <c r="B16" s="93" t="s">
        <v>139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spans="1:18" ht="12">
      <c r="A17" s="90">
        <v>3</v>
      </c>
      <c r="B17" s="91" t="s">
        <v>140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>
        <f t="shared" si="4"/>
        <v>1670000</v>
      </c>
      <c r="G17" s="92">
        <f t="shared" si="4"/>
        <v>16700000</v>
      </c>
      <c r="H17" s="92">
        <f t="shared" si="4"/>
        <v>16700000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>
        <f t="shared" si="4"/>
        <v>35070000</v>
      </c>
      <c r="M17" s="96" t="e">
        <f t="shared" si="2"/>
        <v>#REF!</v>
      </c>
    </row>
    <row r="18" spans="1:18" ht="12">
      <c r="A18" s="97">
        <v>4</v>
      </c>
      <c r="B18" s="93" t="s">
        <v>141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132</v>
      </c>
    </row>
    <row r="19" spans="1:18" s="77" customFormat="1" ht="12">
      <c r="A19" s="97">
        <v>5</v>
      </c>
      <c r="B19" s="93" t="s">
        <v>142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>
        <f t="shared" si="6"/>
        <v>1670000</v>
      </c>
      <c r="G19" s="94">
        <f t="shared" si="6"/>
        <v>16700000</v>
      </c>
      <c r="H19" s="94">
        <f t="shared" si="6"/>
        <v>16700000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>
        <f t="shared" si="6"/>
        <v>35070000</v>
      </c>
      <c r="M19" s="96" t="e">
        <f>SUM(C19:L19)</f>
        <v>#REF!</v>
      </c>
    </row>
    <row r="20" spans="1:18" s="77" customFormat="1" ht="12">
      <c r="A20" s="90">
        <v>6</v>
      </c>
      <c r="B20" s="93" t="s">
        <v>143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132</v>
      </c>
    </row>
    <row r="21" spans="1:18" ht="12">
      <c r="A21" s="98"/>
      <c r="B21" s="99" t="s">
        <v>144</v>
      </c>
      <c r="C21" s="99"/>
      <c r="D21" s="99"/>
      <c r="E21" s="99" t="s">
        <v>145</v>
      </c>
      <c r="F21" s="99"/>
      <c r="G21" s="99"/>
      <c r="H21" s="99"/>
      <c r="I21" s="99" t="s">
        <v>146</v>
      </c>
      <c r="J21" s="99"/>
      <c r="K21" s="99"/>
      <c r="L21" s="99"/>
      <c r="M21" s="110"/>
    </row>
    <row r="22" spans="1:18" ht="12">
      <c r="A22" s="100"/>
      <c r="B22" s="101" t="s">
        <v>147</v>
      </c>
      <c r="C22" s="101"/>
      <c r="D22" s="102" t="s">
        <v>148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spans="1:18" ht="12">
      <c r="A23" s="100"/>
      <c r="B23" s="101" t="s">
        <v>149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8">
        <f>30.9-29.82</f>
        <v>1.0799999999999983</v>
      </c>
    </row>
    <row r="24" spans="1:18" ht="12">
      <c r="A24" s="105"/>
      <c r="B24" s="106" t="s">
        <v>150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21" activePane="bottomRight" state="frozen"/>
      <selection pane="topRight"/>
      <selection pane="bottomLeft"/>
      <selection pane="bottomRight" activeCell="E29" sqref="E29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4.375" style="54" customWidth="1"/>
    <col min="5" max="5" width="12.375" style="53" customWidth="1"/>
    <col min="6" max="6" width="10.125" style="53" customWidth="1"/>
    <col min="7" max="13" width="9" style="53" customWidth="1"/>
    <col min="14" max="30" width="9" style="53"/>
    <col min="31" max="31" width="4.375" style="53" customWidth="1"/>
    <col min="32" max="32" width="13.875" style="53" customWidth="1"/>
    <col min="33" max="16384" width="9" style="53"/>
  </cols>
  <sheetData>
    <row r="1" spans="1:33">
      <c r="A1" s="188" t="s">
        <v>151</v>
      </c>
      <c r="B1" s="188"/>
      <c r="C1" s="192" t="s">
        <v>152</v>
      </c>
      <c r="D1" s="193"/>
    </row>
    <row r="2" spans="1:33">
      <c r="A2" s="188" t="s">
        <v>153</v>
      </c>
      <c r="B2" s="188"/>
      <c r="C2" s="194" t="s">
        <v>270</v>
      </c>
      <c r="D2" s="194"/>
    </row>
    <row r="3" spans="1:33">
      <c r="A3" s="188" t="s">
        <v>154</v>
      </c>
      <c r="B3" s="188"/>
      <c r="C3" s="166" t="str">
        <f>销量!C5</f>
        <v>驾驶员座椅</v>
      </c>
      <c r="D3" s="189" t="s">
        <v>25</v>
      </c>
    </row>
    <row r="4" spans="1:33">
      <c r="A4" s="188" t="s">
        <v>155</v>
      </c>
      <c r="B4" s="188"/>
      <c r="C4" s="166" t="str">
        <f>销量!C6</f>
        <v>H468100000213</v>
      </c>
      <c r="D4" s="190"/>
    </row>
    <row r="5" spans="1:33">
      <c r="A5" s="188" t="s">
        <v>156</v>
      </c>
      <c r="B5" s="188"/>
      <c r="C5" s="56"/>
      <c r="D5" s="191"/>
      <c r="AG5" s="53" t="s">
        <v>26</v>
      </c>
    </row>
    <row r="6" spans="1:33" ht="17.25">
      <c r="A6" s="57" t="s">
        <v>19</v>
      </c>
      <c r="B6" s="58" t="s">
        <v>157</v>
      </c>
      <c r="C6" s="25">
        <f>销量!C9</f>
        <v>1000</v>
      </c>
      <c r="D6" s="59">
        <f>+SUM(C6:C6)</f>
        <v>1000</v>
      </c>
      <c r="O6" s="58" t="s">
        <v>3</v>
      </c>
      <c r="AE6" s="57" t="s">
        <v>19</v>
      </c>
      <c r="AF6" s="58" t="s">
        <v>3</v>
      </c>
      <c r="AG6" s="53" t="s">
        <v>27</v>
      </c>
    </row>
    <row r="7" spans="1:33">
      <c r="A7" s="55">
        <v>1</v>
      </c>
      <c r="B7" s="58" t="s">
        <v>28</v>
      </c>
      <c r="C7" s="59">
        <f>C6*销量!C8</f>
        <v>1670000</v>
      </c>
      <c r="D7" s="59">
        <f>+SUM(C7:C7)</f>
        <v>1670000</v>
      </c>
      <c r="E7" s="54"/>
      <c r="O7" s="58" t="s">
        <v>28</v>
      </c>
      <c r="AE7" s="57" t="s">
        <v>29</v>
      </c>
      <c r="AF7" s="58" t="s">
        <v>28</v>
      </c>
      <c r="AG7" s="53" t="s">
        <v>27</v>
      </c>
    </row>
    <row r="8" spans="1:33">
      <c r="A8" s="55">
        <v>2</v>
      </c>
      <c r="B8" s="55" t="s">
        <v>30</v>
      </c>
      <c r="C8" s="59"/>
      <c r="D8" s="59">
        <f>+SUM(C8:C8)</f>
        <v>0</v>
      </c>
      <c r="E8" s="74"/>
      <c r="O8" s="55" t="s">
        <v>32</v>
      </c>
      <c r="AE8" s="57" t="s">
        <v>31</v>
      </c>
      <c r="AF8" s="55" t="s">
        <v>32</v>
      </c>
      <c r="AG8" s="53" t="s">
        <v>27</v>
      </c>
    </row>
    <row r="9" spans="1:33">
      <c r="A9" s="55">
        <v>3</v>
      </c>
      <c r="B9" s="58" t="s">
        <v>33</v>
      </c>
      <c r="C9" s="59">
        <f>+C7-C8</f>
        <v>1670000</v>
      </c>
      <c r="D9" s="59">
        <f>+SUM(C9:C9)</f>
        <v>1670000</v>
      </c>
      <c r="O9" s="58" t="s">
        <v>33</v>
      </c>
      <c r="AE9" s="57" t="s">
        <v>34</v>
      </c>
      <c r="AF9" s="58" t="s">
        <v>33</v>
      </c>
      <c r="AG9" s="53" t="s">
        <v>35</v>
      </c>
    </row>
    <row r="10" spans="1:33">
      <c r="A10" s="55">
        <v>4</v>
      </c>
      <c r="B10" s="57" t="s">
        <v>36</v>
      </c>
      <c r="C10" s="59">
        <f>C6*材料成本!E20</f>
        <v>1021950</v>
      </c>
      <c r="D10" s="59">
        <f>+SUM(C10:C10)</f>
        <v>1021950</v>
      </c>
      <c r="O10" s="57" t="s">
        <v>36</v>
      </c>
      <c r="AE10" s="57" t="s">
        <v>37</v>
      </c>
      <c r="AF10" s="57" t="s">
        <v>36</v>
      </c>
      <c r="AG10" s="53" t="s">
        <v>38</v>
      </c>
    </row>
    <row r="11" spans="1:33">
      <c r="A11" s="55">
        <v>5</v>
      </c>
      <c r="B11" s="57" t="s">
        <v>39</v>
      </c>
      <c r="C11" s="59">
        <f>+C6*C36</f>
        <v>71977</v>
      </c>
      <c r="D11" s="59">
        <f>+SUM(C11:C11)</f>
        <v>71977</v>
      </c>
      <c r="O11" s="57" t="s">
        <v>39</v>
      </c>
      <c r="AE11" s="57" t="s">
        <v>40</v>
      </c>
      <c r="AF11" s="57" t="s">
        <v>39</v>
      </c>
    </row>
    <row r="12" spans="1:33">
      <c r="A12" s="55">
        <v>6</v>
      </c>
      <c r="B12" s="57" t="s">
        <v>41</v>
      </c>
      <c r="C12" s="59">
        <f>+C6*C37</f>
        <v>36239.000000000007</v>
      </c>
      <c r="D12" s="59">
        <f>+SUM(C12:C12)</f>
        <v>36239.000000000007</v>
      </c>
      <c r="O12" s="57" t="s">
        <v>41</v>
      </c>
      <c r="AE12" s="57" t="s">
        <v>42</v>
      </c>
      <c r="AF12" s="57" t="s">
        <v>41</v>
      </c>
    </row>
    <row r="13" spans="1:33">
      <c r="A13" s="55">
        <v>7</v>
      </c>
      <c r="B13" s="57" t="s">
        <v>43</v>
      </c>
      <c r="C13" s="59">
        <f>+C6*C38</f>
        <v>53440</v>
      </c>
      <c r="D13" s="59">
        <f>+SUM(C13:C13)</f>
        <v>53440</v>
      </c>
      <c r="O13" s="57" t="s">
        <v>43</v>
      </c>
      <c r="AE13" s="57" t="s">
        <v>44</v>
      </c>
      <c r="AF13" s="57" t="s">
        <v>43</v>
      </c>
      <c r="AG13" s="53" t="s">
        <v>27</v>
      </c>
    </row>
    <row r="14" spans="1:33">
      <c r="A14" s="55">
        <v>8</v>
      </c>
      <c r="B14" s="60" t="s">
        <v>45</v>
      </c>
      <c r="C14" s="59">
        <f>SUM(C11:C13)</f>
        <v>161656</v>
      </c>
      <c r="D14" s="59">
        <f>+SUM(C14:C14)</f>
        <v>161656</v>
      </c>
      <c r="O14" s="60" t="s">
        <v>45</v>
      </c>
      <c r="AE14" s="57" t="s">
        <v>46</v>
      </c>
      <c r="AF14" s="60" t="s">
        <v>45</v>
      </c>
    </row>
    <row r="15" spans="1:33">
      <c r="A15" s="55">
        <v>9</v>
      </c>
      <c r="B15" s="60" t="s">
        <v>47</v>
      </c>
      <c r="C15" s="59">
        <f>+C9-C10-C14</f>
        <v>486394</v>
      </c>
      <c r="D15" s="59">
        <f>+SUM(C15:C15)</f>
        <v>486394</v>
      </c>
      <c r="O15" s="60" t="s">
        <v>47</v>
      </c>
      <c r="AE15" s="57" t="s">
        <v>48</v>
      </c>
      <c r="AF15" s="60" t="s">
        <v>47</v>
      </c>
    </row>
    <row r="16" spans="1:33">
      <c r="A16" s="55">
        <v>10</v>
      </c>
      <c r="B16" s="57" t="s">
        <v>49</v>
      </c>
      <c r="C16" s="61">
        <f>+C15/C9</f>
        <v>0.29125389221556885</v>
      </c>
      <c r="D16" s="61">
        <f t="shared" ref="D16" si="0">+D15/D9</f>
        <v>0.29125389221556885</v>
      </c>
      <c r="O16" s="57" t="s">
        <v>49</v>
      </c>
      <c r="AE16" s="57" t="s">
        <v>50</v>
      </c>
      <c r="AF16" s="57" t="s">
        <v>49</v>
      </c>
    </row>
    <row r="17" spans="1:33">
      <c r="A17" s="55">
        <v>11</v>
      </c>
      <c r="B17" s="57" t="s">
        <v>51</v>
      </c>
      <c r="C17" s="59">
        <f>C6*C43+C18</f>
        <v>71838</v>
      </c>
      <c r="D17" s="59">
        <f>SUM(C17:C17)</f>
        <v>71838</v>
      </c>
      <c r="E17" s="177"/>
      <c r="F17" s="178"/>
      <c r="G17" s="178"/>
      <c r="O17" s="57" t="s">
        <v>51</v>
      </c>
      <c r="AE17" s="57" t="s">
        <v>52</v>
      </c>
      <c r="AF17" s="57" t="s">
        <v>51</v>
      </c>
    </row>
    <row r="18" spans="1:33" s="51" customFormat="1">
      <c r="A18" s="55">
        <v>12</v>
      </c>
      <c r="B18" s="62" t="s">
        <v>158</v>
      </c>
      <c r="C18" s="63">
        <f>$D$18/$D$6*C6</f>
        <v>4370</v>
      </c>
      <c r="D18" s="63">
        <f>项目投资!D26</f>
        <v>4370</v>
      </c>
      <c r="E18" s="179" t="s">
        <v>159</v>
      </c>
      <c r="F18" s="179"/>
      <c r="G18" s="179"/>
    </row>
    <row r="19" spans="1:33">
      <c r="A19" s="55">
        <v>13</v>
      </c>
      <c r="B19" s="57" t="s">
        <v>53</v>
      </c>
      <c r="C19" s="59">
        <f>C6*C44</f>
        <v>8851</v>
      </c>
      <c r="D19" s="59">
        <f>SUM(C19:C19)</f>
        <v>8851</v>
      </c>
      <c r="E19" s="180"/>
      <c r="F19" s="178"/>
      <c r="G19" s="178"/>
      <c r="O19" s="57" t="s">
        <v>53</v>
      </c>
      <c r="AE19" s="57" t="s">
        <v>54</v>
      </c>
      <c r="AF19" s="57" t="s">
        <v>53</v>
      </c>
      <c r="AG19" s="53" t="s">
        <v>27</v>
      </c>
    </row>
    <row r="20" spans="1:33">
      <c r="A20" s="55">
        <v>14</v>
      </c>
      <c r="B20" s="57" t="s">
        <v>55</v>
      </c>
      <c r="C20" s="59">
        <f>C6*C45</f>
        <v>45424</v>
      </c>
      <c r="D20" s="59">
        <f>SUM(C20:C20)</f>
        <v>45424</v>
      </c>
      <c r="O20" s="57" t="s">
        <v>55</v>
      </c>
      <c r="AE20" s="57" t="s">
        <v>56</v>
      </c>
      <c r="AF20" s="57" t="s">
        <v>55</v>
      </c>
    </row>
    <row r="21" spans="1:33">
      <c r="A21" s="55">
        <v>15</v>
      </c>
      <c r="B21" s="57" t="s">
        <v>57</v>
      </c>
      <c r="C21" s="64">
        <f>$D$21/$D$6*C6</f>
        <v>20200</v>
      </c>
      <c r="D21" s="59">
        <f>项目投资!D27</f>
        <v>20200</v>
      </c>
      <c r="O21" s="57" t="s">
        <v>57</v>
      </c>
      <c r="AE21" s="57"/>
      <c r="AF21" s="57"/>
    </row>
    <row r="22" spans="1:33">
      <c r="A22" s="55">
        <v>16</v>
      </c>
      <c r="B22" s="57" t="s">
        <v>58</v>
      </c>
      <c r="C22" s="59">
        <f>C6*C47</f>
        <v>50100</v>
      </c>
      <c r="D22" s="59">
        <f>+SUM(C22:C22)</f>
        <v>50100</v>
      </c>
      <c r="O22" s="57" t="s">
        <v>58</v>
      </c>
      <c r="AE22" s="57" t="s">
        <v>59</v>
      </c>
      <c r="AF22" s="57" t="s">
        <v>58</v>
      </c>
    </row>
    <row r="23" spans="1:33">
      <c r="A23" s="55">
        <v>17</v>
      </c>
      <c r="B23" s="60" t="s">
        <v>60</v>
      </c>
      <c r="C23" s="64">
        <f>+C22+C21+C20+C19+C17</f>
        <v>196413</v>
      </c>
      <c r="D23" s="64">
        <f t="shared" ref="D23" si="1">+D22+D21+D20+D19+D17</f>
        <v>196413</v>
      </c>
      <c r="O23" s="60" t="s">
        <v>60</v>
      </c>
      <c r="AE23" s="57" t="s">
        <v>61</v>
      </c>
      <c r="AF23" s="60" t="s">
        <v>60</v>
      </c>
    </row>
    <row r="24" spans="1:33">
      <c r="A24" s="55">
        <v>18</v>
      </c>
      <c r="B24" s="65" t="s">
        <v>62</v>
      </c>
      <c r="C24" s="64">
        <f>+C15-C23</f>
        <v>289981</v>
      </c>
      <c r="D24" s="64">
        <f t="shared" ref="D24" si="2">+D15-D23</f>
        <v>289981</v>
      </c>
      <c r="F24" s="76"/>
      <c r="O24" s="57" t="s">
        <v>62</v>
      </c>
      <c r="AE24" s="57" t="s">
        <v>63</v>
      </c>
      <c r="AF24" s="57" t="s">
        <v>62</v>
      </c>
    </row>
    <row r="25" spans="1:33">
      <c r="A25" s="55">
        <v>19</v>
      </c>
      <c r="B25" s="57" t="s">
        <v>160</v>
      </c>
      <c r="C25" s="64">
        <f>IF(C24&lt;0,0,C24*0.25)</f>
        <v>72495.25</v>
      </c>
      <c r="D25" s="64">
        <f t="shared" ref="D25" si="3">IF(D24&lt;0,0,D24*0.25)</f>
        <v>72495.25</v>
      </c>
      <c r="E25" s="72"/>
      <c r="F25" s="72"/>
      <c r="G25" s="72"/>
      <c r="O25" s="57" t="s">
        <v>64</v>
      </c>
      <c r="AE25" s="57" t="s">
        <v>65</v>
      </c>
      <c r="AF25" s="57" t="s">
        <v>64</v>
      </c>
    </row>
    <row r="26" spans="1:33">
      <c r="A26" s="55">
        <v>20</v>
      </c>
      <c r="B26" s="57" t="s">
        <v>66</v>
      </c>
      <c r="C26" s="64">
        <f t="shared" ref="C26" si="4">C24-C25</f>
        <v>217485.75</v>
      </c>
      <c r="D26" s="59">
        <f>+SUM(C26:C26)</f>
        <v>217485.75</v>
      </c>
      <c r="E26" s="72"/>
      <c r="F26" s="72"/>
      <c r="G26" s="72"/>
      <c r="O26" s="57" t="s">
        <v>66</v>
      </c>
      <c r="AE26" s="57" t="s">
        <v>67</v>
      </c>
      <c r="AF26" s="57" t="s">
        <v>66</v>
      </c>
    </row>
    <row r="27" spans="1:33">
      <c r="A27" s="55">
        <v>21</v>
      </c>
      <c r="B27" s="57" t="s">
        <v>70</v>
      </c>
      <c r="C27" s="66">
        <f t="shared" ref="C27:D27" si="5">C26/C7</f>
        <v>0.13023098802395208</v>
      </c>
      <c r="D27" s="66">
        <f t="shared" si="5"/>
        <v>0.13023098802395208</v>
      </c>
      <c r="E27" s="72"/>
      <c r="F27" s="72"/>
      <c r="G27" s="72"/>
      <c r="O27" s="57" t="s">
        <v>70</v>
      </c>
      <c r="AE27" s="57" t="s">
        <v>69</v>
      </c>
      <c r="AF27" s="57" t="s">
        <v>70</v>
      </c>
    </row>
    <row r="28" spans="1:33">
      <c r="E28" s="72"/>
      <c r="F28" s="72"/>
      <c r="G28" s="72"/>
      <c r="O28" s="57"/>
    </row>
    <row r="29" spans="1:33">
      <c r="A29" s="53" t="s">
        <v>71</v>
      </c>
      <c r="D29" s="54" t="s">
        <v>161</v>
      </c>
      <c r="E29" s="72"/>
      <c r="F29" s="72"/>
      <c r="G29" s="72"/>
      <c r="O29" s="57"/>
      <c r="AE29" s="53" t="s">
        <v>71</v>
      </c>
    </row>
    <row r="30" spans="1:33">
      <c r="A30" s="57" t="s">
        <v>76</v>
      </c>
      <c r="B30" s="60" t="s">
        <v>77</v>
      </c>
      <c r="C30" s="64"/>
      <c r="D30" s="64"/>
      <c r="E30" s="72"/>
      <c r="F30" s="72"/>
      <c r="G30" s="72"/>
      <c r="I30" s="72"/>
      <c r="O30" s="60" t="s">
        <v>77</v>
      </c>
      <c r="AE30" s="57" t="s">
        <v>78</v>
      </c>
      <c r="AF30" s="60" t="s">
        <v>77</v>
      </c>
    </row>
    <row r="31" spans="1:33">
      <c r="A31" s="67">
        <v>1</v>
      </c>
      <c r="B31" s="62" t="s">
        <v>79</v>
      </c>
      <c r="C31" s="68">
        <f>销量!C8</f>
        <v>1670</v>
      </c>
      <c r="D31" s="64"/>
      <c r="E31" s="72"/>
      <c r="F31" s="72"/>
      <c r="G31" s="72"/>
      <c r="I31" s="72"/>
      <c r="O31" s="57" t="s">
        <v>79</v>
      </c>
      <c r="AE31" s="57" t="s">
        <v>29</v>
      </c>
      <c r="AF31" s="57" t="s">
        <v>79</v>
      </c>
    </row>
    <row r="32" spans="1:33">
      <c r="A32" s="67">
        <v>2</v>
      </c>
      <c r="B32" s="57" t="s">
        <v>162</v>
      </c>
      <c r="C32" s="59">
        <f>C31*1</f>
        <v>1670</v>
      </c>
      <c r="D32" s="64"/>
      <c r="E32" s="72"/>
      <c r="F32" s="72"/>
      <c r="G32" s="72"/>
      <c r="H32" s="72"/>
      <c r="I32" s="72"/>
      <c r="J32" s="72"/>
      <c r="K32" s="72"/>
      <c r="AE32" s="57"/>
      <c r="AF32" s="57"/>
    </row>
    <row r="33" spans="1:32">
      <c r="A33" s="67">
        <v>3</v>
      </c>
      <c r="B33" s="62" t="s">
        <v>80</v>
      </c>
      <c r="C33" s="59">
        <f>材料成本!E20</f>
        <v>1021.95</v>
      </c>
      <c r="D33" s="64"/>
      <c r="F33" s="72"/>
      <c r="G33" s="72"/>
      <c r="H33" s="72"/>
      <c r="I33" s="72"/>
      <c r="J33" s="72"/>
      <c r="K33" s="72"/>
      <c r="O33" s="57" t="s">
        <v>80</v>
      </c>
      <c r="AE33" s="57" t="s">
        <v>31</v>
      </c>
      <c r="AF33" s="57" t="s">
        <v>80</v>
      </c>
    </row>
    <row r="34" spans="1:32" ht="17.25" customHeight="1">
      <c r="A34" s="67">
        <v>4</v>
      </c>
      <c r="B34" s="57" t="s">
        <v>82</v>
      </c>
      <c r="C34" s="69">
        <f>C32-C33</f>
        <v>648.04999999999995</v>
      </c>
      <c r="D34" s="64"/>
      <c r="F34" s="72"/>
      <c r="G34" s="72"/>
      <c r="H34" s="72"/>
      <c r="I34" s="72"/>
      <c r="J34" s="72"/>
      <c r="K34" s="72"/>
      <c r="O34" s="57" t="s">
        <v>82</v>
      </c>
      <c r="AE34" s="57" t="s">
        <v>81</v>
      </c>
      <c r="AF34" s="57" t="s">
        <v>82</v>
      </c>
    </row>
    <row r="35" spans="1:32">
      <c r="A35" s="57" t="s">
        <v>78</v>
      </c>
      <c r="B35" s="60" t="s">
        <v>10</v>
      </c>
      <c r="C35" s="64"/>
      <c r="D35" s="6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60" t="s">
        <v>10</v>
      </c>
      <c r="AE35" s="57" t="s">
        <v>84</v>
      </c>
      <c r="AF35" s="60" t="s">
        <v>10</v>
      </c>
    </row>
    <row r="36" spans="1:32">
      <c r="A36" s="67">
        <v>1</v>
      </c>
      <c r="B36" s="57" t="s">
        <v>85</v>
      </c>
      <c r="C36" s="63">
        <f>标准成本!E4</f>
        <v>71.977000000000004</v>
      </c>
      <c r="D36" s="6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7" t="s">
        <v>85</v>
      </c>
      <c r="AE36" s="57" t="s">
        <v>81</v>
      </c>
      <c r="AF36" s="57" t="s">
        <v>85</v>
      </c>
    </row>
    <row r="37" spans="1:32">
      <c r="A37" s="67">
        <v>2</v>
      </c>
      <c r="B37" s="57" t="s">
        <v>86</v>
      </c>
      <c r="C37" s="63">
        <f>标准成本!E6</f>
        <v>36.239000000000004</v>
      </c>
      <c r="D37" s="6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7" t="s">
        <v>86</v>
      </c>
      <c r="AE37" s="57" t="s">
        <v>34</v>
      </c>
      <c r="AF37" s="57" t="s">
        <v>86</v>
      </c>
    </row>
    <row r="38" spans="1:32">
      <c r="A38" s="67">
        <v>3</v>
      </c>
      <c r="B38" s="57" t="s">
        <v>87</v>
      </c>
      <c r="C38" s="63">
        <f>标准成本!E10</f>
        <v>53.44</v>
      </c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7" t="s">
        <v>87</v>
      </c>
      <c r="AE38" s="57" t="s">
        <v>40</v>
      </c>
      <c r="AF38" s="57" t="s">
        <v>87</v>
      </c>
    </row>
    <row r="39" spans="1:32">
      <c r="A39" s="57" t="s">
        <v>84</v>
      </c>
      <c r="B39" s="60" t="s">
        <v>89</v>
      </c>
      <c r="C39" s="64"/>
      <c r="D39" s="64"/>
      <c r="O39" s="60" t="s">
        <v>89</v>
      </c>
      <c r="AE39" s="57" t="s">
        <v>88</v>
      </c>
      <c r="AF39" s="60" t="s">
        <v>89</v>
      </c>
    </row>
    <row r="40" spans="1:32">
      <c r="A40" s="67">
        <v>1</v>
      </c>
      <c r="B40" s="57" t="s">
        <v>91</v>
      </c>
      <c r="C40" s="64">
        <f>C34-C36-C37-C38</f>
        <v>486.39399999999995</v>
      </c>
      <c r="D40" s="64"/>
      <c r="O40" s="57" t="s">
        <v>91</v>
      </c>
      <c r="AE40" s="57" t="s">
        <v>29</v>
      </c>
      <c r="AF40" s="57" t="s">
        <v>91</v>
      </c>
    </row>
    <row r="41" spans="1:32">
      <c r="A41" s="67">
        <v>2</v>
      </c>
      <c r="B41" s="57" t="s">
        <v>92</v>
      </c>
      <c r="C41" s="64"/>
      <c r="D41" s="64"/>
      <c r="O41" s="57" t="s">
        <v>92</v>
      </c>
      <c r="AE41" s="57" t="s">
        <v>31</v>
      </c>
      <c r="AF41" s="57" t="s">
        <v>92</v>
      </c>
    </row>
    <row r="42" spans="1:32">
      <c r="A42" s="57" t="s">
        <v>88</v>
      </c>
      <c r="B42" s="60" t="s">
        <v>94</v>
      </c>
      <c r="C42" s="64"/>
      <c r="D42" s="64"/>
      <c r="O42" s="60" t="s">
        <v>94</v>
      </c>
      <c r="AE42" s="57" t="s">
        <v>93</v>
      </c>
      <c r="AF42" s="60" t="s">
        <v>94</v>
      </c>
    </row>
    <row r="43" spans="1:32">
      <c r="A43" s="67">
        <v>1</v>
      </c>
      <c r="B43" s="65" t="s">
        <v>95</v>
      </c>
      <c r="C43" s="63">
        <f>标准成本!E5</f>
        <v>67.468000000000004</v>
      </c>
      <c r="D43" s="64"/>
      <c r="O43" s="57" t="s">
        <v>95</v>
      </c>
      <c r="AE43" s="57" t="s">
        <v>29</v>
      </c>
      <c r="AF43" s="57" t="s">
        <v>95</v>
      </c>
    </row>
    <row r="44" spans="1:32">
      <c r="A44" s="67">
        <v>2</v>
      </c>
      <c r="B44" s="65" t="s">
        <v>96</v>
      </c>
      <c r="C44" s="63">
        <f>标准成本!E9</f>
        <v>8.8510000000000009</v>
      </c>
      <c r="D44" s="64"/>
      <c r="O44" s="57" t="s">
        <v>96</v>
      </c>
      <c r="AE44" s="57" t="s">
        <v>31</v>
      </c>
      <c r="AF44" s="57" t="s">
        <v>96</v>
      </c>
    </row>
    <row r="45" spans="1:32">
      <c r="A45" s="67">
        <v>3</v>
      </c>
      <c r="B45" s="65" t="s">
        <v>97</v>
      </c>
      <c r="C45" s="63">
        <f>C32*0.0272</f>
        <v>45.423999999999999</v>
      </c>
      <c r="D45" s="64"/>
      <c r="O45" s="57" t="s">
        <v>97</v>
      </c>
      <c r="AE45" s="57" t="s">
        <v>81</v>
      </c>
      <c r="AF45" s="57" t="s">
        <v>97</v>
      </c>
    </row>
    <row r="46" spans="1:32" s="52" customFormat="1">
      <c r="A46" s="67">
        <v>4</v>
      </c>
      <c r="B46" s="65" t="s">
        <v>98</v>
      </c>
      <c r="C46" s="70">
        <f>C21/C6</f>
        <v>20.2</v>
      </c>
      <c r="D46" s="70"/>
      <c r="O46" s="65" t="s">
        <v>100</v>
      </c>
      <c r="AE46" s="65" t="s">
        <v>37</v>
      </c>
      <c r="AF46" s="65" t="s">
        <v>100</v>
      </c>
    </row>
    <row r="47" spans="1:32" s="52" customFormat="1">
      <c r="A47" s="67">
        <v>5</v>
      </c>
      <c r="B47" s="65" t="s">
        <v>100</v>
      </c>
      <c r="C47" s="70">
        <f>标准成本!E11</f>
        <v>50.1</v>
      </c>
      <c r="D47" s="70"/>
      <c r="O47" s="65" t="s">
        <v>100</v>
      </c>
      <c r="AE47" s="65" t="s">
        <v>37</v>
      </c>
      <c r="AF47" s="65" t="s">
        <v>100</v>
      </c>
    </row>
    <row r="48" spans="1:32">
      <c r="A48" s="57" t="s">
        <v>93</v>
      </c>
      <c r="B48" s="60" t="s">
        <v>111</v>
      </c>
      <c r="C48" s="64">
        <f>C40-C43-C44-C45-C47-C46</f>
        <v>294.35099999999994</v>
      </c>
      <c r="D48" s="64"/>
      <c r="O48" s="60" t="s">
        <v>111</v>
      </c>
      <c r="AE48" s="57" t="s">
        <v>110</v>
      </c>
      <c r="AF48" s="60" t="s">
        <v>111</v>
      </c>
    </row>
    <row r="51" spans="2:9">
      <c r="C51" s="71"/>
    </row>
    <row r="54" spans="2:9">
      <c r="B54" s="72"/>
      <c r="C54" s="73"/>
      <c r="D54" s="73"/>
      <c r="E54" s="72"/>
      <c r="F54" s="72"/>
      <c r="G54" s="72"/>
      <c r="H54" s="72"/>
      <c r="I54" s="72"/>
    </row>
    <row r="55" spans="2:9">
      <c r="B55" s="72"/>
      <c r="C55" s="73"/>
      <c r="D55" s="73"/>
      <c r="E55" s="72"/>
      <c r="F55" s="72"/>
      <c r="G55" s="72"/>
      <c r="H55" s="72"/>
      <c r="I55" s="72"/>
    </row>
    <row r="56" spans="2:9">
      <c r="B56" s="72"/>
      <c r="C56" s="73"/>
      <c r="D56" s="73"/>
      <c r="E56" s="72"/>
      <c r="F56" s="72"/>
      <c r="G56" s="72"/>
      <c r="H56" s="72"/>
      <c r="I56" s="72"/>
    </row>
    <row r="57" spans="2:9">
      <c r="B57" s="72"/>
      <c r="C57" s="73"/>
      <c r="D57" s="73"/>
      <c r="E57" s="72"/>
      <c r="F57" s="72"/>
      <c r="G57" s="72"/>
      <c r="H57" s="72"/>
      <c r="I57" s="72"/>
    </row>
    <row r="58" spans="2:9">
      <c r="B58" s="72"/>
      <c r="C58" s="73"/>
      <c r="D58" s="73"/>
      <c r="E58" s="72"/>
      <c r="F58" s="72"/>
      <c r="G58" s="72"/>
      <c r="H58" s="72"/>
      <c r="I58" s="72"/>
    </row>
    <row r="59" spans="2:9">
      <c r="B59" s="72"/>
      <c r="C59" s="73"/>
      <c r="D59" s="73"/>
      <c r="E59" s="72"/>
      <c r="F59" s="72"/>
      <c r="G59" s="72"/>
      <c r="H59" s="72"/>
      <c r="I59" s="72"/>
    </row>
    <row r="60" spans="2:9">
      <c r="B60" s="72"/>
      <c r="C60" s="73"/>
      <c r="D60" s="73"/>
      <c r="E60" s="72"/>
      <c r="F60" s="72"/>
      <c r="G60" s="72"/>
      <c r="H60" s="72"/>
      <c r="I60" s="72"/>
    </row>
    <row r="61" spans="2:9">
      <c r="B61" s="72"/>
      <c r="C61" s="73"/>
      <c r="D61" s="73"/>
      <c r="E61" s="72"/>
      <c r="F61" s="72"/>
      <c r="G61" s="72"/>
      <c r="H61" s="72"/>
      <c r="I61" s="72"/>
    </row>
    <row r="62" spans="2:9">
      <c r="B62" s="72"/>
      <c r="C62" s="73"/>
      <c r="D62" s="73"/>
      <c r="E62" s="72"/>
      <c r="F62" s="72"/>
      <c r="G62" s="72"/>
      <c r="H62" s="72"/>
      <c r="I62" s="72"/>
    </row>
    <row r="63" spans="2:9">
      <c r="B63" s="72"/>
      <c r="C63" s="73"/>
      <c r="D63" s="73"/>
      <c r="E63" s="72"/>
      <c r="F63" s="72"/>
      <c r="G63" s="72"/>
      <c r="H63" s="72"/>
      <c r="I63" s="72"/>
    </row>
    <row r="64" spans="2:9">
      <c r="B64" s="72"/>
      <c r="C64" s="73"/>
      <c r="D64" s="73"/>
      <c r="E64" s="72"/>
      <c r="F64" s="72"/>
      <c r="G64" s="72"/>
      <c r="H64" s="72"/>
      <c r="I64" s="72"/>
    </row>
    <row r="65" spans="2:9">
      <c r="B65" s="72"/>
      <c r="C65" s="73"/>
      <c r="D65" s="73"/>
      <c r="E65" s="72"/>
      <c r="F65" s="72"/>
      <c r="G65" s="72"/>
      <c r="H65" s="72"/>
      <c r="I65" s="72"/>
    </row>
    <row r="66" spans="2:9">
      <c r="B66" s="72"/>
      <c r="C66" s="73"/>
      <c r="D66" s="73"/>
      <c r="E66" s="72"/>
      <c r="F66" s="72"/>
      <c r="G66" s="72"/>
      <c r="H66" s="72"/>
      <c r="I66" s="72"/>
    </row>
    <row r="67" spans="2:9">
      <c r="B67" s="72"/>
      <c r="C67" s="73"/>
      <c r="D67" s="73"/>
      <c r="E67" s="72"/>
    </row>
    <row r="68" spans="2:9">
      <c r="B68" s="72"/>
      <c r="C68" s="73"/>
      <c r="D68" s="73"/>
      <c r="E68" s="72"/>
    </row>
    <row r="69" spans="2:9">
      <c r="B69" s="72"/>
      <c r="C69" s="73"/>
      <c r="D69" s="73"/>
      <c r="E69" s="72"/>
    </row>
    <row r="70" spans="2:9">
      <c r="B70" s="72"/>
      <c r="C70" s="73"/>
      <c r="D70" s="73"/>
      <c r="E70" s="72"/>
    </row>
    <row r="71" spans="2:9">
      <c r="B71" s="72"/>
      <c r="C71" s="73"/>
      <c r="D71" s="73"/>
      <c r="E71" s="72"/>
    </row>
    <row r="72" spans="2:9">
      <c r="B72" s="72"/>
      <c r="C72" s="73"/>
      <c r="D72" s="73"/>
      <c r="E72" s="72"/>
    </row>
    <row r="73" spans="2:9">
      <c r="B73" s="72"/>
      <c r="C73" s="73"/>
      <c r="D73" s="73"/>
      <c r="E73" s="72"/>
    </row>
    <row r="74" spans="2:9">
      <c r="B74" s="72"/>
      <c r="C74" s="73"/>
      <c r="D74" s="73"/>
      <c r="E74" s="72"/>
    </row>
  </sheetData>
  <mergeCells count="8">
    <mergeCell ref="A4:B4"/>
    <mergeCell ref="A5:B5"/>
    <mergeCell ref="D3:D5"/>
    <mergeCell ref="A1:B1"/>
    <mergeCell ref="C1:D1"/>
    <mergeCell ref="A2:B2"/>
    <mergeCell ref="C2:D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8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8.75" style="54" customWidth="1"/>
    <col min="5" max="5" width="12.375" style="53" customWidth="1"/>
    <col min="6" max="6" width="10.125" style="53" customWidth="1"/>
    <col min="7" max="13" width="9" style="53" customWidth="1"/>
    <col min="14" max="30" width="9" style="53"/>
    <col min="31" max="31" width="4.375" style="53" customWidth="1"/>
    <col min="32" max="32" width="13.875" style="53" customWidth="1"/>
    <col min="33" max="16384" width="9" style="53"/>
  </cols>
  <sheetData>
    <row r="1" spans="1:33">
      <c r="A1" s="188" t="s">
        <v>151</v>
      </c>
      <c r="B1" s="188"/>
      <c r="C1" s="192" t="s">
        <v>250</v>
      </c>
      <c r="D1" s="193"/>
    </row>
    <row r="2" spans="1:33">
      <c r="A2" s="188" t="s">
        <v>153</v>
      </c>
      <c r="B2" s="188"/>
      <c r="C2" s="194" t="str">
        <f>'2021年'!C2:D2</f>
        <v>北汽福田戴姆勒</v>
      </c>
      <c r="D2" s="194"/>
    </row>
    <row r="3" spans="1:33">
      <c r="A3" s="188" t="s">
        <v>154</v>
      </c>
      <c r="B3" s="188"/>
      <c r="C3" s="166" t="str">
        <f>销量!C5</f>
        <v>驾驶员座椅</v>
      </c>
      <c r="D3" s="189" t="s">
        <v>25</v>
      </c>
    </row>
    <row r="4" spans="1:33">
      <c r="A4" s="188" t="s">
        <v>155</v>
      </c>
      <c r="B4" s="188"/>
      <c r="C4" s="166" t="str">
        <f>销量!C6</f>
        <v>H468100000213</v>
      </c>
      <c r="D4" s="190"/>
    </row>
    <row r="5" spans="1:33">
      <c r="A5" s="188" t="s">
        <v>156</v>
      </c>
      <c r="B5" s="188"/>
      <c r="C5" s="56"/>
      <c r="D5" s="191"/>
      <c r="AG5" s="53" t="s">
        <v>26</v>
      </c>
    </row>
    <row r="6" spans="1:33" ht="17.25">
      <c r="A6" s="57" t="s">
        <v>19</v>
      </c>
      <c r="B6" s="58" t="s">
        <v>157</v>
      </c>
      <c r="C6" s="25">
        <f>销量!C10</f>
        <v>10000</v>
      </c>
      <c r="D6" s="59">
        <f>+SUM(C6:C6)</f>
        <v>10000</v>
      </c>
      <c r="O6" s="58" t="s">
        <v>3</v>
      </c>
      <c r="AE6" s="57" t="s">
        <v>19</v>
      </c>
      <c r="AF6" s="58" t="s">
        <v>3</v>
      </c>
      <c r="AG6" s="53" t="s">
        <v>27</v>
      </c>
    </row>
    <row r="7" spans="1:33">
      <c r="A7" s="165">
        <v>1</v>
      </c>
      <c r="B7" s="58" t="s">
        <v>28</v>
      </c>
      <c r="C7" s="59">
        <f>C6*销量!C8</f>
        <v>16700000</v>
      </c>
      <c r="D7" s="59">
        <f>+SUM(C7:C7)</f>
        <v>16700000</v>
      </c>
      <c r="E7" s="54"/>
      <c r="O7" s="58" t="s">
        <v>28</v>
      </c>
      <c r="AE7" s="57" t="s">
        <v>29</v>
      </c>
      <c r="AF7" s="58" t="s">
        <v>28</v>
      </c>
      <c r="AG7" s="53" t="s">
        <v>27</v>
      </c>
    </row>
    <row r="8" spans="1:33">
      <c r="A8" s="165">
        <v>2</v>
      </c>
      <c r="B8" s="165" t="s">
        <v>30</v>
      </c>
      <c r="C8" s="59">
        <f>C7*(1-销量!$L$7)</f>
        <v>835000.0000000007</v>
      </c>
      <c r="D8" s="59">
        <f>+SUM(C8:C8)</f>
        <v>835000.0000000007</v>
      </c>
      <c r="E8" s="74"/>
      <c r="O8" s="165" t="s">
        <v>32</v>
      </c>
      <c r="AE8" s="57" t="s">
        <v>31</v>
      </c>
      <c r="AF8" s="165" t="s">
        <v>32</v>
      </c>
      <c r="AG8" s="53" t="s">
        <v>27</v>
      </c>
    </row>
    <row r="9" spans="1:33">
      <c r="A9" s="165">
        <v>3</v>
      </c>
      <c r="B9" s="58" t="s">
        <v>33</v>
      </c>
      <c r="C9" s="59">
        <f>+C7-C8</f>
        <v>15865000</v>
      </c>
      <c r="D9" s="59">
        <f>+SUM(C9:C9)</f>
        <v>15865000</v>
      </c>
      <c r="O9" s="58" t="s">
        <v>33</v>
      </c>
      <c r="AE9" s="57" t="s">
        <v>34</v>
      </c>
      <c r="AF9" s="58" t="s">
        <v>33</v>
      </c>
      <c r="AG9" s="53" t="s">
        <v>35</v>
      </c>
    </row>
    <row r="10" spans="1:33">
      <c r="A10" s="165">
        <v>4</v>
      </c>
      <c r="B10" s="57" t="s">
        <v>36</v>
      </c>
      <c r="C10" s="59">
        <f>C6*材料成本!F20</f>
        <v>9912915</v>
      </c>
      <c r="D10" s="59">
        <f>+SUM(C10:C10)</f>
        <v>9912915</v>
      </c>
      <c r="O10" s="57" t="s">
        <v>36</v>
      </c>
      <c r="AE10" s="57" t="s">
        <v>37</v>
      </c>
      <c r="AF10" s="57" t="s">
        <v>36</v>
      </c>
      <c r="AG10" s="53" t="s">
        <v>38</v>
      </c>
    </row>
    <row r="11" spans="1:33">
      <c r="A11" s="165">
        <v>5</v>
      </c>
      <c r="B11" s="57" t="s">
        <v>39</v>
      </c>
      <c r="C11" s="59">
        <f>+C6*C36</f>
        <v>719770</v>
      </c>
      <c r="D11" s="59">
        <f>+SUM(C11:C11)</f>
        <v>719770</v>
      </c>
      <c r="O11" s="57" t="s">
        <v>39</v>
      </c>
      <c r="AE11" s="57" t="s">
        <v>40</v>
      </c>
      <c r="AF11" s="57" t="s">
        <v>39</v>
      </c>
    </row>
    <row r="12" spans="1:33">
      <c r="A12" s="165">
        <v>6</v>
      </c>
      <c r="B12" s="57" t="s">
        <v>41</v>
      </c>
      <c r="C12" s="59">
        <f>+C6*C37</f>
        <v>362390.00000000006</v>
      </c>
      <c r="D12" s="59">
        <f>+SUM(C12:C12)</f>
        <v>362390.00000000006</v>
      </c>
      <c r="O12" s="57" t="s">
        <v>41</v>
      </c>
      <c r="AE12" s="57" t="s">
        <v>42</v>
      </c>
      <c r="AF12" s="57" t="s">
        <v>41</v>
      </c>
    </row>
    <row r="13" spans="1:33">
      <c r="A13" s="165">
        <v>7</v>
      </c>
      <c r="B13" s="57" t="s">
        <v>43</v>
      </c>
      <c r="C13" s="59">
        <f>+C6*C38</f>
        <v>534400</v>
      </c>
      <c r="D13" s="59">
        <f>+SUM(C13:C13)</f>
        <v>534400</v>
      </c>
      <c r="O13" s="57" t="s">
        <v>43</v>
      </c>
      <c r="AE13" s="57" t="s">
        <v>44</v>
      </c>
      <c r="AF13" s="57" t="s">
        <v>43</v>
      </c>
      <c r="AG13" s="53" t="s">
        <v>27</v>
      </c>
    </row>
    <row r="14" spans="1:33">
      <c r="A14" s="165">
        <v>8</v>
      </c>
      <c r="B14" s="60" t="s">
        <v>45</v>
      </c>
      <c r="C14" s="59">
        <f>SUM(C11:C13)</f>
        <v>1616560</v>
      </c>
      <c r="D14" s="59">
        <f>+SUM(C14:C14)</f>
        <v>1616560</v>
      </c>
      <c r="O14" s="60" t="s">
        <v>45</v>
      </c>
      <c r="AE14" s="57" t="s">
        <v>46</v>
      </c>
      <c r="AF14" s="60" t="s">
        <v>45</v>
      </c>
    </row>
    <row r="15" spans="1:33">
      <c r="A15" s="165">
        <v>9</v>
      </c>
      <c r="B15" s="60" t="s">
        <v>47</v>
      </c>
      <c r="C15" s="59">
        <f>+C9-C10-C14</f>
        <v>4335525</v>
      </c>
      <c r="D15" s="59">
        <f>+SUM(C15:C15)</f>
        <v>4335525</v>
      </c>
      <c r="O15" s="60" t="s">
        <v>47</v>
      </c>
      <c r="AE15" s="57" t="s">
        <v>48</v>
      </c>
      <c r="AF15" s="60" t="s">
        <v>47</v>
      </c>
    </row>
    <row r="16" spans="1:33">
      <c r="A16" s="165">
        <v>10</v>
      </c>
      <c r="B16" s="57" t="s">
        <v>49</v>
      </c>
      <c r="C16" s="61">
        <f>+C15/C9</f>
        <v>0.27327607942010718</v>
      </c>
      <c r="D16" s="61">
        <f t="shared" ref="D16" si="0">+D15/D9</f>
        <v>0.27327607942010718</v>
      </c>
      <c r="O16" s="57" t="s">
        <v>49</v>
      </c>
      <c r="AE16" s="57" t="s">
        <v>50</v>
      </c>
      <c r="AF16" s="57" t="s">
        <v>49</v>
      </c>
    </row>
    <row r="17" spans="1:33">
      <c r="A17" s="165">
        <v>11</v>
      </c>
      <c r="B17" s="57" t="s">
        <v>51</v>
      </c>
      <c r="C17" s="59">
        <f>C6*C43+C18</f>
        <v>679050</v>
      </c>
      <c r="D17" s="59">
        <f>SUM(C17:C17)</f>
        <v>679050</v>
      </c>
      <c r="E17" s="74"/>
      <c r="O17" s="57" t="s">
        <v>51</v>
      </c>
      <c r="AE17" s="57" t="s">
        <v>52</v>
      </c>
      <c r="AF17" s="57" t="s">
        <v>51</v>
      </c>
    </row>
    <row r="18" spans="1:33" s="51" customFormat="1">
      <c r="A18" s="165">
        <v>12</v>
      </c>
      <c r="B18" s="62" t="s">
        <v>158</v>
      </c>
      <c r="C18" s="63">
        <f>$D$18/$D$6*C6</f>
        <v>4370</v>
      </c>
      <c r="D18" s="63">
        <f>项目投资!D26</f>
        <v>4370</v>
      </c>
      <c r="E18" s="75" t="s">
        <v>159</v>
      </c>
      <c r="F18" s="75"/>
      <c r="G18" s="75"/>
    </row>
    <row r="19" spans="1:33">
      <c r="A19" s="165">
        <v>13</v>
      </c>
      <c r="B19" s="57" t="s">
        <v>53</v>
      </c>
      <c r="C19" s="59">
        <f>C6*C44</f>
        <v>88510.000000000015</v>
      </c>
      <c r="D19" s="59">
        <f>SUM(C19:C19)</f>
        <v>88510.000000000015</v>
      </c>
      <c r="E19" s="51"/>
      <c r="O19" s="57" t="s">
        <v>53</v>
      </c>
      <c r="AE19" s="57" t="s">
        <v>54</v>
      </c>
      <c r="AF19" s="57" t="s">
        <v>53</v>
      </c>
      <c r="AG19" s="53" t="s">
        <v>27</v>
      </c>
    </row>
    <row r="20" spans="1:33">
      <c r="A20" s="165">
        <v>14</v>
      </c>
      <c r="B20" s="57" t="s">
        <v>55</v>
      </c>
      <c r="C20" s="59">
        <f>C6*C45</f>
        <v>431528</v>
      </c>
      <c r="D20" s="59">
        <f>SUM(C20:C20)</f>
        <v>431528</v>
      </c>
      <c r="O20" s="57" t="s">
        <v>55</v>
      </c>
      <c r="AE20" s="57" t="s">
        <v>56</v>
      </c>
      <c r="AF20" s="57" t="s">
        <v>55</v>
      </c>
    </row>
    <row r="21" spans="1:33">
      <c r="A21" s="165">
        <v>15</v>
      </c>
      <c r="B21" s="57" t="s">
        <v>57</v>
      </c>
      <c r="C21" s="64">
        <f>$D$21/$D$6*C6</f>
        <v>20200</v>
      </c>
      <c r="D21" s="59">
        <f>项目投资!D27</f>
        <v>20200</v>
      </c>
      <c r="O21" s="57" t="s">
        <v>57</v>
      </c>
      <c r="AE21" s="57"/>
      <c r="AF21" s="57"/>
    </row>
    <row r="22" spans="1:33">
      <c r="A22" s="165">
        <v>16</v>
      </c>
      <c r="B22" s="57" t="s">
        <v>58</v>
      </c>
      <c r="C22" s="59">
        <f>C6*C47</f>
        <v>501000</v>
      </c>
      <c r="D22" s="59">
        <f>+SUM(C22:C22)</f>
        <v>501000</v>
      </c>
      <c r="O22" s="57" t="s">
        <v>58</v>
      </c>
      <c r="AE22" s="57" t="s">
        <v>59</v>
      </c>
      <c r="AF22" s="57" t="s">
        <v>58</v>
      </c>
    </row>
    <row r="23" spans="1:33">
      <c r="A23" s="165">
        <v>17</v>
      </c>
      <c r="B23" s="60" t="s">
        <v>60</v>
      </c>
      <c r="C23" s="64">
        <f>+C22+C21+C20+C19+C17</f>
        <v>1720288</v>
      </c>
      <c r="D23" s="64">
        <f t="shared" ref="D23" si="1">+D22+D21+D20+D19+D17</f>
        <v>1720288</v>
      </c>
      <c r="O23" s="60" t="s">
        <v>60</v>
      </c>
      <c r="AE23" s="57" t="s">
        <v>61</v>
      </c>
      <c r="AF23" s="60" t="s">
        <v>60</v>
      </c>
    </row>
    <row r="24" spans="1:33">
      <c r="A24" s="165">
        <v>18</v>
      </c>
      <c r="B24" s="65" t="s">
        <v>62</v>
      </c>
      <c r="C24" s="64">
        <f>+C15-C23</f>
        <v>2615237</v>
      </c>
      <c r="D24" s="64">
        <f t="shared" ref="D24" si="2">+D15-D23</f>
        <v>2615237</v>
      </c>
      <c r="F24" s="76"/>
      <c r="O24" s="57" t="s">
        <v>62</v>
      </c>
      <c r="AE24" s="57" t="s">
        <v>63</v>
      </c>
      <c r="AF24" s="57" t="s">
        <v>62</v>
      </c>
    </row>
    <row r="25" spans="1:33">
      <c r="A25" s="165">
        <v>19</v>
      </c>
      <c r="B25" s="57" t="s">
        <v>160</v>
      </c>
      <c r="C25" s="64">
        <f>IF(C24&lt;0,0,C24*0.25)</f>
        <v>653809.25</v>
      </c>
      <c r="D25" s="64">
        <f t="shared" ref="D25" si="3">IF(D24&lt;0,0,D24*0.25)</f>
        <v>653809.25</v>
      </c>
      <c r="E25" s="72"/>
      <c r="F25" s="72"/>
      <c r="G25" s="72"/>
      <c r="O25" s="57" t="s">
        <v>64</v>
      </c>
      <c r="AE25" s="57" t="s">
        <v>65</v>
      </c>
      <c r="AF25" s="57" t="s">
        <v>64</v>
      </c>
    </row>
    <row r="26" spans="1:33">
      <c r="A26" s="165">
        <v>20</v>
      </c>
      <c r="B26" s="57" t="s">
        <v>66</v>
      </c>
      <c r="C26" s="64">
        <f t="shared" ref="C26" si="4">C24-C25</f>
        <v>1961427.75</v>
      </c>
      <c r="D26" s="59">
        <f>+SUM(C26:C26)</f>
        <v>1961427.75</v>
      </c>
      <c r="E26" s="72"/>
      <c r="F26" s="72"/>
      <c r="G26" s="72"/>
      <c r="O26" s="57" t="s">
        <v>66</v>
      </c>
      <c r="AE26" s="57" t="s">
        <v>67</v>
      </c>
      <c r="AF26" s="57" t="s">
        <v>66</v>
      </c>
    </row>
    <row r="27" spans="1:33">
      <c r="A27" s="165">
        <v>21</v>
      </c>
      <c r="B27" s="57" t="s">
        <v>70</v>
      </c>
      <c r="C27" s="66">
        <f t="shared" ref="C27:D27" si="5">C26/C7</f>
        <v>0.11745076347305389</v>
      </c>
      <c r="D27" s="66">
        <f t="shared" si="5"/>
        <v>0.11745076347305389</v>
      </c>
      <c r="E27" s="72"/>
      <c r="F27" s="72"/>
      <c r="G27" s="72"/>
      <c r="O27" s="57" t="s">
        <v>70</v>
      </c>
      <c r="AE27" s="57" t="s">
        <v>69</v>
      </c>
      <c r="AF27" s="57" t="s">
        <v>70</v>
      </c>
    </row>
    <row r="28" spans="1:33">
      <c r="E28" s="72"/>
      <c r="F28" s="72"/>
      <c r="G28" s="72"/>
      <c r="O28" s="57"/>
    </row>
    <row r="29" spans="1:33">
      <c r="A29" s="53" t="s">
        <v>71</v>
      </c>
      <c r="D29" s="54" t="s">
        <v>161</v>
      </c>
      <c r="E29" s="72"/>
      <c r="F29" s="72"/>
      <c r="G29" s="72"/>
      <c r="O29" s="57"/>
      <c r="AE29" s="53" t="s">
        <v>71</v>
      </c>
    </row>
    <row r="30" spans="1:33">
      <c r="A30" s="57" t="s">
        <v>76</v>
      </c>
      <c r="B30" s="60" t="s">
        <v>77</v>
      </c>
      <c r="C30" s="64"/>
      <c r="D30" s="64"/>
      <c r="E30" s="72"/>
      <c r="F30" s="72"/>
      <c r="G30" s="72"/>
      <c r="I30" s="72"/>
      <c r="O30" s="60" t="s">
        <v>77</v>
      </c>
      <c r="AE30" s="57" t="s">
        <v>78</v>
      </c>
      <c r="AF30" s="60" t="s">
        <v>77</v>
      </c>
    </row>
    <row r="31" spans="1:33">
      <c r="A31" s="165">
        <v>1</v>
      </c>
      <c r="B31" s="62" t="s">
        <v>79</v>
      </c>
      <c r="C31" s="68">
        <f>销量!C8</f>
        <v>1670</v>
      </c>
      <c r="D31" s="64"/>
      <c r="E31" s="72"/>
      <c r="F31" s="72"/>
      <c r="G31" s="72"/>
      <c r="I31" s="72"/>
      <c r="O31" s="57" t="s">
        <v>79</v>
      </c>
      <c r="AE31" s="57" t="s">
        <v>29</v>
      </c>
      <c r="AF31" s="57" t="s">
        <v>79</v>
      </c>
    </row>
    <row r="32" spans="1:33">
      <c r="A32" s="165">
        <v>2</v>
      </c>
      <c r="B32" s="57" t="s">
        <v>162</v>
      </c>
      <c r="C32" s="59">
        <f>C9/C6</f>
        <v>1586.5</v>
      </c>
      <c r="D32" s="64"/>
      <c r="E32" s="72"/>
      <c r="F32" s="72"/>
      <c r="G32" s="72"/>
      <c r="H32" s="72"/>
      <c r="I32" s="72"/>
      <c r="J32" s="72"/>
      <c r="K32" s="72"/>
      <c r="AE32" s="57"/>
      <c r="AF32" s="57"/>
    </row>
    <row r="33" spans="1:32">
      <c r="A33" s="165">
        <v>3</v>
      </c>
      <c r="B33" s="62" t="s">
        <v>80</v>
      </c>
      <c r="C33" s="59">
        <f>材料成本!F20</f>
        <v>991.29150000000004</v>
      </c>
      <c r="D33" s="64"/>
      <c r="F33" s="72"/>
      <c r="G33" s="72"/>
      <c r="H33" s="72"/>
      <c r="I33" s="72"/>
      <c r="J33" s="72"/>
      <c r="K33" s="72"/>
      <c r="O33" s="57" t="s">
        <v>80</v>
      </c>
      <c r="AE33" s="57" t="s">
        <v>31</v>
      </c>
      <c r="AF33" s="57" t="s">
        <v>80</v>
      </c>
    </row>
    <row r="34" spans="1:32" ht="17.25" customHeight="1">
      <c r="A34" s="165">
        <v>4</v>
      </c>
      <c r="B34" s="57" t="s">
        <v>82</v>
      </c>
      <c r="C34" s="69">
        <f>C32-C33</f>
        <v>595.20849999999996</v>
      </c>
      <c r="D34" s="64"/>
      <c r="F34" s="72"/>
      <c r="G34" s="72"/>
      <c r="H34" s="72"/>
      <c r="I34" s="72"/>
      <c r="J34" s="72"/>
      <c r="K34" s="72"/>
      <c r="O34" s="57" t="s">
        <v>82</v>
      </c>
      <c r="AE34" s="57" t="s">
        <v>81</v>
      </c>
      <c r="AF34" s="57" t="s">
        <v>82</v>
      </c>
    </row>
    <row r="35" spans="1:32">
      <c r="A35" s="57" t="s">
        <v>78</v>
      </c>
      <c r="B35" s="60" t="s">
        <v>10</v>
      </c>
      <c r="C35" s="64"/>
      <c r="D35" s="6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60" t="s">
        <v>10</v>
      </c>
      <c r="AE35" s="57" t="s">
        <v>84</v>
      </c>
      <c r="AF35" s="60" t="s">
        <v>10</v>
      </c>
    </row>
    <row r="36" spans="1:32">
      <c r="A36" s="165">
        <v>1</v>
      </c>
      <c r="B36" s="57" t="s">
        <v>85</v>
      </c>
      <c r="C36" s="63">
        <f>标准成本!E4</f>
        <v>71.977000000000004</v>
      </c>
      <c r="D36" s="6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7" t="s">
        <v>85</v>
      </c>
      <c r="AE36" s="57" t="s">
        <v>81</v>
      </c>
      <c r="AF36" s="57" t="s">
        <v>85</v>
      </c>
    </row>
    <row r="37" spans="1:32">
      <c r="A37" s="165">
        <v>2</v>
      </c>
      <c r="B37" s="57" t="s">
        <v>86</v>
      </c>
      <c r="C37" s="63">
        <f>标准成本!E6</f>
        <v>36.239000000000004</v>
      </c>
      <c r="D37" s="6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7" t="s">
        <v>86</v>
      </c>
      <c r="AE37" s="57" t="s">
        <v>34</v>
      </c>
      <c r="AF37" s="57" t="s">
        <v>86</v>
      </c>
    </row>
    <row r="38" spans="1:32">
      <c r="A38" s="165">
        <v>3</v>
      </c>
      <c r="B38" s="57" t="s">
        <v>87</v>
      </c>
      <c r="C38" s="63">
        <f>标准成本!E10</f>
        <v>53.44</v>
      </c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7" t="s">
        <v>87</v>
      </c>
      <c r="AE38" s="57" t="s">
        <v>40</v>
      </c>
      <c r="AF38" s="57" t="s">
        <v>87</v>
      </c>
    </row>
    <row r="39" spans="1:32">
      <c r="A39" s="57" t="s">
        <v>84</v>
      </c>
      <c r="B39" s="60" t="s">
        <v>89</v>
      </c>
      <c r="C39" s="64"/>
      <c r="D39" s="64"/>
      <c r="O39" s="60" t="s">
        <v>89</v>
      </c>
      <c r="AE39" s="57" t="s">
        <v>88</v>
      </c>
      <c r="AF39" s="60" t="s">
        <v>89</v>
      </c>
    </row>
    <row r="40" spans="1:32">
      <c r="A40" s="165">
        <v>1</v>
      </c>
      <c r="B40" s="57" t="s">
        <v>91</v>
      </c>
      <c r="C40" s="64">
        <f>C34-C36-C37-C38</f>
        <v>433.55249999999995</v>
      </c>
      <c r="D40" s="64"/>
      <c r="O40" s="57" t="s">
        <v>91</v>
      </c>
      <c r="AE40" s="57" t="s">
        <v>29</v>
      </c>
      <c r="AF40" s="57" t="s">
        <v>91</v>
      </c>
    </row>
    <row r="41" spans="1:32">
      <c r="A41" s="165">
        <v>2</v>
      </c>
      <c r="B41" s="57" t="s">
        <v>92</v>
      </c>
      <c r="C41" s="64"/>
      <c r="D41" s="64"/>
      <c r="O41" s="57" t="s">
        <v>92</v>
      </c>
      <c r="AE41" s="57" t="s">
        <v>31</v>
      </c>
      <c r="AF41" s="57" t="s">
        <v>92</v>
      </c>
    </row>
    <row r="42" spans="1:32">
      <c r="A42" s="57" t="s">
        <v>88</v>
      </c>
      <c r="B42" s="60" t="s">
        <v>94</v>
      </c>
      <c r="C42" s="64"/>
      <c r="D42" s="64"/>
      <c r="O42" s="60" t="s">
        <v>94</v>
      </c>
      <c r="AE42" s="57" t="s">
        <v>93</v>
      </c>
      <c r="AF42" s="60" t="s">
        <v>94</v>
      </c>
    </row>
    <row r="43" spans="1:32">
      <c r="A43" s="165">
        <v>1</v>
      </c>
      <c r="B43" s="65" t="s">
        <v>95</v>
      </c>
      <c r="C43" s="63">
        <f>标准成本!E5</f>
        <v>67.468000000000004</v>
      </c>
      <c r="D43" s="64"/>
      <c r="O43" s="57" t="s">
        <v>95</v>
      </c>
      <c r="AE43" s="57" t="s">
        <v>29</v>
      </c>
      <c r="AF43" s="57" t="s">
        <v>95</v>
      </c>
    </row>
    <row r="44" spans="1:32">
      <c r="A44" s="165">
        <v>2</v>
      </c>
      <c r="B44" s="65" t="s">
        <v>96</v>
      </c>
      <c r="C44" s="63">
        <f>标准成本!E9</f>
        <v>8.8510000000000009</v>
      </c>
      <c r="D44" s="64"/>
      <c r="O44" s="57" t="s">
        <v>96</v>
      </c>
      <c r="AE44" s="57" t="s">
        <v>31</v>
      </c>
      <c r="AF44" s="57" t="s">
        <v>96</v>
      </c>
    </row>
    <row r="45" spans="1:32">
      <c r="A45" s="165">
        <v>3</v>
      </c>
      <c r="B45" s="65" t="s">
        <v>97</v>
      </c>
      <c r="C45" s="63">
        <f>C32*0.0272</f>
        <v>43.152799999999999</v>
      </c>
      <c r="D45" s="64"/>
      <c r="O45" s="57" t="s">
        <v>97</v>
      </c>
      <c r="AE45" s="57" t="s">
        <v>81</v>
      </c>
      <c r="AF45" s="57" t="s">
        <v>97</v>
      </c>
    </row>
    <row r="46" spans="1:32" s="52" customFormat="1">
      <c r="A46" s="165">
        <v>4</v>
      </c>
      <c r="B46" s="65" t="s">
        <v>98</v>
      </c>
      <c r="C46" s="70">
        <f>C21/C6</f>
        <v>2.02</v>
      </c>
      <c r="D46" s="70"/>
      <c r="O46" s="65" t="s">
        <v>100</v>
      </c>
      <c r="AE46" s="65" t="s">
        <v>37</v>
      </c>
      <c r="AF46" s="65" t="s">
        <v>100</v>
      </c>
    </row>
    <row r="47" spans="1:32" s="52" customFormat="1">
      <c r="A47" s="165">
        <v>5</v>
      </c>
      <c r="B47" s="65" t="s">
        <v>100</v>
      </c>
      <c r="C47" s="70">
        <f>标准成本!E11</f>
        <v>50.1</v>
      </c>
      <c r="D47" s="70"/>
      <c r="O47" s="65" t="s">
        <v>100</v>
      </c>
      <c r="AE47" s="65" t="s">
        <v>37</v>
      </c>
      <c r="AF47" s="65" t="s">
        <v>100</v>
      </c>
    </row>
    <row r="48" spans="1:32">
      <c r="A48" s="57" t="s">
        <v>93</v>
      </c>
      <c r="B48" s="60" t="s">
        <v>111</v>
      </c>
      <c r="C48" s="64">
        <f>C40-C43-C44-C45-C47-C46</f>
        <v>261.96069999999992</v>
      </c>
      <c r="D48" s="64"/>
      <c r="O48" s="60" t="s">
        <v>111</v>
      </c>
      <c r="AE48" s="57" t="s">
        <v>110</v>
      </c>
      <c r="AF48" s="60" t="s">
        <v>111</v>
      </c>
    </row>
    <row r="51" spans="2:9">
      <c r="C51" s="71"/>
    </row>
    <row r="54" spans="2:9">
      <c r="B54" s="72"/>
      <c r="C54" s="73"/>
      <c r="D54" s="73"/>
      <c r="E54" s="72"/>
      <c r="F54" s="72"/>
      <c r="G54" s="72"/>
      <c r="H54" s="72"/>
      <c r="I54" s="72"/>
    </row>
    <row r="55" spans="2:9">
      <c r="B55" s="72"/>
      <c r="C55" s="73"/>
      <c r="D55" s="73"/>
      <c r="E55" s="72"/>
      <c r="F55" s="72"/>
      <c r="G55" s="72"/>
      <c r="H55" s="72"/>
      <c r="I55" s="72"/>
    </row>
    <row r="56" spans="2:9">
      <c r="B56" s="72"/>
      <c r="C56" s="73"/>
      <c r="D56" s="73"/>
      <c r="E56" s="72"/>
      <c r="F56" s="72"/>
      <c r="G56" s="72"/>
      <c r="H56" s="72"/>
      <c r="I56" s="72"/>
    </row>
    <row r="57" spans="2:9">
      <c r="B57" s="72"/>
      <c r="C57" s="73"/>
      <c r="D57" s="73"/>
      <c r="E57" s="72"/>
      <c r="F57" s="72"/>
      <c r="G57" s="72"/>
      <c r="H57" s="72"/>
      <c r="I57" s="72"/>
    </row>
    <row r="58" spans="2:9">
      <c r="B58" s="72"/>
      <c r="C58" s="73"/>
      <c r="D58" s="73"/>
      <c r="E58" s="72"/>
      <c r="F58" s="72"/>
      <c r="G58" s="72"/>
      <c r="H58" s="72"/>
      <c r="I58" s="72"/>
    </row>
    <row r="59" spans="2:9">
      <c r="B59" s="72"/>
      <c r="C59" s="73"/>
      <c r="D59" s="73"/>
      <c r="E59" s="72"/>
      <c r="F59" s="72"/>
      <c r="G59" s="72"/>
      <c r="H59" s="72"/>
      <c r="I59" s="72"/>
    </row>
    <row r="60" spans="2:9">
      <c r="B60" s="72"/>
      <c r="C60" s="73"/>
      <c r="D60" s="73"/>
      <c r="E60" s="72"/>
      <c r="F60" s="72"/>
      <c r="G60" s="72"/>
      <c r="H60" s="72"/>
      <c r="I60" s="72"/>
    </row>
    <row r="61" spans="2:9">
      <c r="B61" s="72"/>
      <c r="C61" s="73"/>
      <c r="D61" s="73"/>
      <c r="E61" s="72"/>
      <c r="F61" s="72"/>
      <c r="G61" s="72"/>
      <c r="H61" s="72"/>
      <c r="I61" s="72"/>
    </row>
    <row r="62" spans="2:9">
      <c r="B62" s="72"/>
      <c r="C62" s="73"/>
      <c r="D62" s="73"/>
      <c r="E62" s="72"/>
      <c r="F62" s="72"/>
      <c r="G62" s="72"/>
      <c r="H62" s="72"/>
      <c r="I62" s="72"/>
    </row>
    <row r="63" spans="2:9">
      <c r="B63" s="72"/>
      <c r="C63" s="73"/>
      <c r="D63" s="73"/>
      <c r="E63" s="72"/>
      <c r="F63" s="72"/>
      <c r="G63" s="72"/>
      <c r="H63" s="72"/>
      <c r="I63" s="72"/>
    </row>
    <row r="64" spans="2:9">
      <c r="B64" s="72"/>
      <c r="C64" s="73"/>
      <c r="D64" s="73"/>
      <c r="E64" s="72"/>
      <c r="F64" s="72"/>
      <c r="G64" s="72"/>
      <c r="H64" s="72"/>
      <c r="I64" s="72"/>
    </row>
    <row r="65" spans="2:9">
      <c r="B65" s="72"/>
      <c r="C65" s="73"/>
      <c r="D65" s="73"/>
      <c r="E65" s="72"/>
      <c r="F65" s="72"/>
      <c r="G65" s="72"/>
      <c r="H65" s="72"/>
      <c r="I65" s="72"/>
    </row>
    <row r="66" spans="2:9">
      <c r="B66" s="72"/>
      <c r="C66" s="73"/>
      <c r="D66" s="73"/>
      <c r="E66" s="72"/>
      <c r="F66" s="72"/>
      <c r="G66" s="72"/>
      <c r="H66" s="72"/>
      <c r="I66" s="72"/>
    </row>
    <row r="67" spans="2:9">
      <c r="B67" s="72"/>
      <c r="C67" s="73"/>
      <c r="D67" s="73"/>
      <c r="E67" s="72"/>
    </row>
    <row r="68" spans="2:9">
      <c r="B68" s="72"/>
      <c r="C68" s="73"/>
      <c r="D68" s="73"/>
      <c r="E68" s="72"/>
    </row>
    <row r="69" spans="2:9">
      <c r="B69" s="72"/>
      <c r="C69" s="73"/>
      <c r="D69" s="73"/>
      <c r="E69" s="72"/>
    </row>
    <row r="70" spans="2:9">
      <c r="B70" s="72"/>
      <c r="C70" s="73"/>
      <c r="D70" s="73"/>
      <c r="E70" s="72"/>
    </row>
    <row r="71" spans="2:9">
      <c r="B71" s="72"/>
      <c r="C71" s="73"/>
      <c r="D71" s="73"/>
      <c r="E71" s="72"/>
    </row>
    <row r="72" spans="2:9">
      <c r="B72" s="72"/>
      <c r="C72" s="73"/>
      <c r="D72" s="73"/>
      <c r="E72" s="72"/>
    </row>
    <row r="73" spans="2:9">
      <c r="B73" s="72"/>
      <c r="C73" s="73"/>
      <c r="D73" s="73"/>
      <c r="E73" s="72"/>
    </row>
    <row r="74" spans="2:9">
      <c r="B74" s="72"/>
      <c r="C74" s="73"/>
      <c r="D74" s="73"/>
      <c r="E74" s="72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32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8.75" style="54" customWidth="1"/>
    <col min="5" max="5" width="12.375" style="53" customWidth="1"/>
    <col min="6" max="6" width="10.125" style="53" customWidth="1"/>
    <col min="7" max="13" width="9" style="53" customWidth="1"/>
    <col min="14" max="30" width="9" style="53"/>
    <col min="31" max="31" width="4.375" style="53" customWidth="1"/>
    <col min="32" max="32" width="13.875" style="53" customWidth="1"/>
    <col min="33" max="16384" width="9" style="53"/>
  </cols>
  <sheetData>
    <row r="1" spans="1:33">
      <c r="A1" s="188" t="s">
        <v>151</v>
      </c>
      <c r="B1" s="188"/>
      <c r="C1" s="192" t="s">
        <v>251</v>
      </c>
      <c r="D1" s="193"/>
    </row>
    <row r="2" spans="1:33">
      <c r="A2" s="188" t="s">
        <v>153</v>
      </c>
      <c r="B2" s="188"/>
      <c r="C2" s="194" t="str">
        <f>'2021年'!C2:D2</f>
        <v>北汽福田戴姆勒</v>
      </c>
      <c r="D2" s="194"/>
    </row>
    <row r="3" spans="1:33">
      <c r="A3" s="188" t="s">
        <v>154</v>
      </c>
      <c r="B3" s="188"/>
      <c r="C3" s="166" t="str">
        <f>销量!C5</f>
        <v>驾驶员座椅</v>
      </c>
      <c r="D3" s="189" t="s">
        <v>25</v>
      </c>
    </row>
    <row r="4" spans="1:33">
      <c r="A4" s="188" t="s">
        <v>155</v>
      </c>
      <c r="B4" s="188"/>
      <c r="C4" s="166" t="str">
        <f>销量!C6</f>
        <v>H468100000213</v>
      </c>
      <c r="D4" s="190"/>
    </row>
    <row r="5" spans="1:33">
      <c r="A5" s="188" t="s">
        <v>156</v>
      </c>
      <c r="B5" s="188"/>
      <c r="C5" s="56"/>
      <c r="D5" s="191"/>
      <c r="AG5" s="53" t="s">
        <v>26</v>
      </c>
    </row>
    <row r="6" spans="1:33" ht="17.25">
      <c r="A6" s="57" t="s">
        <v>19</v>
      </c>
      <c r="B6" s="58" t="s">
        <v>157</v>
      </c>
      <c r="C6" s="25">
        <f>销量!C11</f>
        <v>10000</v>
      </c>
      <c r="D6" s="59">
        <f>+SUM(C6:C6)</f>
        <v>10000</v>
      </c>
      <c r="O6" s="58" t="s">
        <v>3</v>
      </c>
      <c r="AE6" s="57" t="s">
        <v>19</v>
      </c>
      <c r="AF6" s="58" t="s">
        <v>3</v>
      </c>
      <c r="AG6" s="53" t="s">
        <v>27</v>
      </c>
    </row>
    <row r="7" spans="1:33">
      <c r="A7" s="165">
        <v>1</v>
      </c>
      <c r="B7" s="58" t="s">
        <v>28</v>
      </c>
      <c r="C7" s="59">
        <f>C6*销量!C8</f>
        <v>16700000</v>
      </c>
      <c r="D7" s="59">
        <f>+SUM(C7:C7)</f>
        <v>16700000</v>
      </c>
      <c r="E7" s="54"/>
      <c r="O7" s="58" t="s">
        <v>28</v>
      </c>
      <c r="AE7" s="57" t="s">
        <v>29</v>
      </c>
      <c r="AF7" s="58" t="s">
        <v>28</v>
      </c>
      <c r="AG7" s="53" t="s">
        <v>27</v>
      </c>
    </row>
    <row r="8" spans="1:33">
      <c r="A8" s="165">
        <v>2</v>
      </c>
      <c r="B8" s="165" t="s">
        <v>30</v>
      </c>
      <c r="C8" s="59">
        <f>C7*(1-销量!$L$8)</f>
        <v>1628250.0000000005</v>
      </c>
      <c r="D8" s="59">
        <f>+SUM(C8:C8)</f>
        <v>1628250.0000000005</v>
      </c>
      <c r="E8" s="74"/>
      <c r="O8" s="165" t="s">
        <v>32</v>
      </c>
      <c r="AE8" s="57" t="s">
        <v>31</v>
      </c>
      <c r="AF8" s="165" t="s">
        <v>32</v>
      </c>
      <c r="AG8" s="53" t="s">
        <v>27</v>
      </c>
    </row>
    <row r="9" spans="1:33">
      <c r="A9" s="165">
        <v>3</v>
      </c>
      <c r="B9" s="58" t="s">
        <v>33</v>
      </c>
      <c r="C9" s="59">
        <f>+C7-C8</f>
        <v>15071750</v>
      </c>
      <c r="D9" s="59">
        <f>+SUM(C9:C9)</f>
        <v>15071750</v>
      </c>
      <c r="O9" s="58" t="s">
        <v>33</v>
      </c>
      <c r="AE9" s="57" t="s">
        <v>34</v>
      </c>
      <c r="AF9" s="58" t="s">
        <v>33</v>
      </c>
      <c r="AG9" s="53" t="s">
        <v>35</v>
      </c>
    </row>
    <row r="10" spans="1:33">
      <c r="A10" s="165">
        <v>4</v>
      </c>
      <c r="B10" s="57" t="s">
        <v>36</v>
      </c>
      <c r="C10" s="59">
        <f>C6*材料成本!G20</f>
        <v>9615527.5500000007</v>
      </c>
      <c r="D10" s="59">
        <f>+SUM(C10:C10)</f>
        <v>9615527.5500000007</v>
      </c>
      <c r="O10" s="57" t="s">
        <v>36</v>
      </c>
      <c r="AE10" s="57" t="s">
        <v>37</v>
      </c>
      <c r="AF10" s="57" t="s">
        <v>36</v>
      </c>
      <c r="AG10" s="53" t="s">
        <v>38</v>
      </c>
    </row>
    <row r="11" spans="1:33">
      <c r="A11" s="165">
        <v>5</v>
      </c>
      <c r="B11" s="57" t="s">
        <v>39</v>
      </c>
      <c r="C11" s="59">
        <f>+C6*C36</f>
        <v>719770</v>
      </c>
      <c r="D11" s="59">
        <f>+SUM(C11:C11)</f>
        <v>719770</v>
      </c>
      <c r="O11" s="57" t="s">
        <v>39</v>
      </c>
      <c r="AE11" s="57" t="s">
        <v>40</v>
      </c>
      <c r="AF11" s="57" t="s">
        <v>39</v>
      </c>
    </row>
    <row r="12" spans="1:33">
      <c r="A12" s="165">
        <v>6</v>
      </c>
      <c r="B12" s="57" t="s">
        <v>41</v>
      </c>
      <c r="C12" s="59">
        <f>+C6*C37</f>
        <v>362390.00000000006</v>
      </c>
      <c r="D12" s="59">
        <f>+SUM(C12:C12)</f>
        <v>362390.00000000006</v>
      </c>
      <c r="O12" s="57" t="s">
        <v>41</v>
      </c>
      <c r="AE12" s="57" t="s">
        <v>42</v>
      </c>
      <c r="AF12" s="57" t="s">
        <v>41</v>
      </c>
    </row>
    <row r="13" spans="1:33">
      <c r="A13" s="165">
        <v>7</v>
      </c>
      <c r="B13" s="57" t="s">
        <v>43</v>
      </c>
      <c r="C13" s="59">
        <f>+C6*C38</f>
        <v>534400</v>
      </c>
      <c r="D13" s="59">
        <f>+SUM(C13:C13)</f>
        <v>534400</v>
      </c>
      <c r="O13" s="57" t="s">
        <v>43</v>
      </c>
      <c r="AE13" s="57" t="s">
        <v>44</v>
      </c>
      <c r="AF13" s="57" t="s">
        <v>43</v>
      </c>
      <c r="AG13" s="53" t="s">
        <v>27</v>
      </c>
    </row>
    <row r="14" spans="1:33">
      <c r="A14" s="165">
        <v>8</v>
      </c>
      <c r="B14" s="60" t="s">
        <v>45</v>
      </c>
      <c r="C14" s="59">
        <f>SUM(C11:C13)</f>
        <v>1616560</v>
      </c>
      <c r="D14" s="59">
        <f>+SUM(C14:C14)</f>
        <v>1616560</v>
      </c>
      <c r="O14" s="60" t="s">
        <v>45</v>
      </c>
      <c r="AE14" s="57" t="s">
        <v>46</v>
      </c>
      <c r="AF14" s="60" t="s">
        <v>45</v>
      </c>
    </row>
    <row r="15" spans="1:33">
      <c r="A15" s="165">
        <v>9</v>
      </c>
      <c r="B15" s="60" t="s">
        <v>47</v>
      </c>
      <c r="C15" s="59">
        <f>+C9-C10-C14</f>
        <v>3839662.4499999993</v>
      </c>
      <c r="D15" s="59">
        <f>+SUM(C15:C15)</f>
        <v>3839662.4499999993</v>
      </c>
      <c r="O15" s="60" t="s">
        <v>47</v>
      </c>
      <c r="AE15" s="57" t="s">
        <v>48</v>
      </c>
      <c r="AF15" s="60" t="s">
        <v>47</v>
      </c>
    </row>
    <row r="16" spans="1:33">
      <c r="A16" s="165">
        <v>10</v>
      </c>
      <c r="B16" s="57" t="s">
        <v>49</v>
      </c>
      <c r="C16" s="61">
        <f>+C15/C9</f>
        <v>0.25475889992867445</v>
      </c>
      <c r="D16" s="61">
        <f t="shared" ref="D16" si="0">+D15/D9</f>
        <v>0.25475889992867445</v>
      </c>
      <c r="O16" s="57" t="s">
        <v>49</v>
      </c>
      <c r="AE16" s="57" t="s">
        <v>50</v>
      </c>
      <c r="AF16" s="57" t="s">
        <v>49</v>
      </c>
    </row>
    <row r="17" spans="1:33">
      <c r="A17" s="165">
        <v>11</v>
      </c>
      <c r="B17" s="57" t="s">
        <v>51</v>
      </c>
      <c r="C17" s="59">
        <f>C6*C43+C18</f>
        <v>679050</v>
      </c>
      <c r="D17" s="59">
        <f>SUM(C17:C17)</f>
        <v>679050</v>
      </c>
      <c r="E17" s="74"/>
      <c r="O17" s="57" t="s">
        <v>51</v>
      </c>
      <c r="AE17" s="57" t="s">
        <v>52</v>
      </c>
      <c r="AF17" s="57" t="s">
        <v>51</v>
      </c>
    </row>
    <row r="18" spans="1:33" s="51" customFormat="1">
      <c r="A18" s="165">
        <v>12</v>
      </c>
      <c r="B18" s="62" t="s">
        <v>158</v>
      </c>
      <c r="C18" s="63">
        <f>$D$18/$D$6*C6</f>
        <v>4370</v>
      </c>
      <c r="D18" s="63">
        <f>项目投资!D26</f>
        <v>4370</v>
      </c>
      <c r="E18" s="75" t="s">
        <v>159</v>
      </c>
      <c r="F18" s="75"/>
      <c r="G18" s="75"/>
    </row>
    <row r="19" spans="1:33">
      <c r="A19" s="165">
        <v>13</v>
      </c>
      <c r="B19" s="57" t="s">
        <v>53</v>
      </c>
      <c r="C19" s="59">
        <f>C6*C44</f>
        <v>88510.000000000015</v>
      </c>
      <c r="D19" s="59">
        <f>SUM(C19:C19)</f>
        <v>88510.000000000015</v>
      </c>
      <c r="E19" s="51"/>
      <c r="O19" s="57" t="s">
        <v>53</v>
      </c>
      <c r="AE19" s="57" t="s">
        <v>54</v>
      </c>
      <c r="AF19" s="57" t="s">
        <v>53</v>
      </c>
      <c r="AG19" s="53" t="s">
        <v>27</v>
      </c>
    </row>
    <row r="20" spans="1:33">
      <c r="A20" s="165">
        <v>14</v>
      </c>
      <c r="B20" s="57" t="s">
        <v>55</v>
      </c>
      <c r="C20" s="59">
        <f>C6*C45</f>
        <v>409951.6</v>
      </c>
      <c r="D20" s="59">
        <f>SUM(C20:C20)</f>
        <v>409951.6</v>
      </c>
      <c r="O20" s="57" t="s">
        <v>55</v>
      </c>
      <c r="AE20" s="57" t="s">
        <v>56</v>
      </c>
      <c r="AF20" s="57" t="s">
        <v>55</v>
      </c>
    </row>
    <row r="21" spans="1:33">
      <c r="A21" s="165">
        <v>15</v>
      </c>
      <c r="B21" s="57" t="s">
        <v>57</v>
      </c>
      <c r="C21" s="64">
        <f>$D$21/$D$6*C6</f>
        <v>20200</v>
      </c>
      <c r="D21" s="59">
        <f>项目投资!D27</f>
        <v>20200</v>
      </c>
      <c r="O21" s="57" t="s">
        <v>57</v>
      </c>
      <c r="AE21" s="57"/>
      <c r="AF21" s="57"/>
    </row>
    <row r="22" spans="1:33">
      <c r="A22" s="165">
        <v>16</v>
      </c>
      <c r="B22" s="57" t="s">
        <v>58</v>
      </c>
      <c r="C22" s="59">
        <f>C6*C47</f>
        <v>501000</v>
      </c>
      <c r="D22" s="59">
        <f>+SUM(C22:C22)</f>
        <v>501000</v>
      </c>
      <c r="O22" s="57" t="s">
        <v>58</v>
      </c>
      <c r="AE22" s="57" t="s">
        <v>59</v>
      </c>
      <c r="AF22" s="57" t="s">
        <v>58</v>
      </c>
    </row>
    <row r="23" spans="1:33">
      <c r="A23" s="165">
        <v>17</v>
      </c>
      <c r="B23" s="60" t="s">
        <v>60</v>
      </c>
      <c r="C23" s="64">
        <f>+C22+C21+C20+C19+C17</f>
        <v>1698711.6</v>
      </c>
      <c r="D23" s="64">
        <f t="shared" ref="D23" si="1">+D22+D21+D20+D19+D17</f>
        <v>1698711.6</v>
      </c>
      <c r="O23" s="60" t="s">
        <v>60</v>
      </c>
      <c r="AE23" s="57" t="s">
        <v>61</v>
      </c>
      <c r="AF23" s="60" t="s">
        <v>60</v>
      </c>
    </row>
    <row r="24" spans="1:33">
      <c r="A24" s="165">
        <v>18</v>
      </c>
      <c r="B24" s="65" t="s">
        <v>62</v>
      </c>
      <c r="C24" s="64">
        <f>+C15-C23</f>
        <v>2140950.8499999992</v>
      </c>
      <c r="D24" s="64">
        <f t="shared" ref="D24" si="2">+D15-D23</f>
        <v>2140950.8499999992</v>
      </c>
      <c r="F24" s="76"/>
      <c r="O24" s="57" t="s">
        <v>62</v>
      </c>
      <c r="AE24" s="57" t="s">
        <v>63</v>
      </c>
      <c r="AF24" s="57" t="s">
        <v>62</v>
      </c>
    </row>
    <row r="25" spans="1:33">
      <c r="A25" s="165">
        <v>19</v>
      </c>
      <c r="B25" s="57" t="s">
        <v>160</v>
      </c>
      <c r="C25" s="64">
        <f>IF(C24&lt;0,0,C24*0.25)</f>
        <v>535237.71249999979</v>
      </c>
      <c r="D25" s="64">
        <f t="shared" ref="D25" si="3">IF(D24&lt;0,0,D24*0.25)</f>
        <v>535237.71249999979</v>
      </c>
      <c r="E25" s="72"/>
      <c r="F25" s="72"/>
      <c r="G25" s="72"/>
      <c r="O25" s="57" t="s">
        <v>64</v>
      </c>
      <c r="AE25" s="57" t="s">
        <v>65</v>
      </c>
      <c r="AF25" s="57" t="s">
        <v>64</v>
      </c>
    </row>
    <row r="26" spans="1:33">
      <c r="A26" s="165">
        <v>20</v>
      </c>
      <c r="B26" s="57" t="s">
        <v>66</v>
      </c>
      <c r="C26" s="64">
        <f t="shared" ref="C26" si="4">C24-C25</f>
        <v>1605713.1374999993</v>
      </c>
      <c r="D26" s="59">
        <f>+SUM(C26:C26)</f>
        <v>1605713.1374999993</v>
      </c>
      <c r="E26" s="72"/>
      <c r="F26" s="72"/>
      <c r="G26" s="72"/>
      <c r="O26" s="57" t="s">
        <v>66</v>
      </c>
      <c r="AE26" s="57" t="s">
        <v>67</v>
      </c>
      <c r="AF26" s="57" t="s">
        <v>66</v>
      </c>
    </row>
    <row r="27" spans="1:33">
      <c r="A27" s="165">
        <v>21</v>
      </c>
      <c r="B27" s="57" t="s">
        <v>70</v>
      </c>
      <c r="C27" s="66">
        <f t="shared" ref="C27:D27" si="5">C26/C7</f>
        <v>9.6150487275449059E-2</v>
      </c>
      <c r="D27" s="66">
        <f t="shared" si="5"/>
        <v>9.6150487275449059E-2</v>
      </c>
      <c r="E27" s="72"/>
      <c r="F27" s="72"/>
      <c r="G27" s="72"/>
      <c r="O27" s="57" t="s">
        <v>70</v>
      </c>
      <c r="AE27" s="57" t="s">
        <v>69</v>
      </c>
      <c r="AF27" s="57" t="s">
        <v>70</v>
      </c>
    </row>
    <row r="28" spans="1:33">
      <c r="E28" s="72"/>
      <c r="F28" s="72"/>
      <c r="G28" s="72"/>
      <c r="O28" s="57"/>
    </row>
    <row r="29" spans="1:33">
      <c r="A29" s="53" t="s">
        <v>71</v>
      </c>
      <c r="D29" s="54" t="s">
        <v>161</v>
      </c>
      <c r="E29" s="72"/>
      <c r="F29" s="72"/>
      <c r="G29" s="72"/>
      <c r="O29" s="57"/>
      <c r="AE29" s="53" t="s">
        <v>71</v>
      </c>
    </row>
    <row r="30" spans="1:33">
      <c r="A30" s="57" t="s">
        <v>76</v>
      </c>
      <c r="B30" s="60" t="s">
        <v>77</v>
      </c>
      <c r="C30" s="64"/>
      <c r="D30" s="64"/>
      <c r="E30" s="72"/>
      <c r="F30" s="72"/>
      <c r="G30" s="72"/>
      <c r="I30" s="72"/>
      <c r="O30" s="60" t="s">
        <v>77</v>
      </c>
      <c r="AE30" s="57" t="s">
        <v>78</v>
      </c>
      <c r="AF30" s="60" t="s">
        <v>77</v>
      </c>
    </row>
    <row r="31" spans="1:33">
      <c r="A31" s="165">
        <v>1</v>
      </c>
      <c r="B31" s="62" t="s">
        <v>79</v>
      </c>
      <c r="C31" s="68">
        <f>销量!C8</f>
        <v>1670</v>
      </c>
      <c r="D31" s="64"/>
      <c r="E31" s="72"/>
      <c r="F31" s="72"/>
      <c r="G31" s="72"/>
      <c r="I31" s="72"/>
      <c r="O31" s="57" t="s">
        <v>79</v>
      </c>
      <c r="AE31" s="57" t="s">
        <v>29</v>
      </c>
      <c r="AF31" s="57" t="s">
        <v>79</v>
      </c>
    </row>
    <row r="32" spans="1:33">
      <c r="A32" s="165">
        <v>2</v>
      </c>
      <c r="B32" s="57" t="s">
        <v>162</v>
      </c>
      <c r="C32" s="59">
        <f>C9/C6</f>
        <v>1507.175</v>
      </c>
      <c r="D32" s="64"/>
      <c r="E32" s="72"/>
      <c r="F32" s="72"/>
      <c r="G32" s="72"/>
      <c r="H32" s="72"/>
      <c r="I32" s="72"/>
      <c r="J32" s="72"/>
      <c r="K32" s="72"/>
      <c r="AE32" s="57"/>
      <c r="AF32" s="57"/>
    </row>
    <row r="33" spans="1:32">
      <c r="A33" s="165">
        <v>3</v>
      </c>
      <c r="B33" s="62" t="s">
        <v>80</v>
      </c>
      <c r="C33" s="59">
        <f>材料成本!G20</f>
        <v>961.55275500000005</v>
      </c>
      <c r="D33" s="64"/>
      <c r="F33" s="72"/>
      <c r="G33" s="72"/>
      <c r="H33" s="72"/>
      <c r="I33" s="72"/>
      <c r="J33" s="72"/>
      <c r="K33" s="72"/>
      <c r="O33" s="57" t="s">
        <v>80</v>
      </c>
      <c r="AE33" s="57" t="s">
        <v>31</v>
      </c>
      <c r="AF33" s="57" t="s">
        <v>80</v>
      </c>
    </row>
    <row r="34" spans="1:32" ht="17.25" customHeight="1">
      <c r="A34" s="165">
        <v>4</v>
      </c>
      <c r="B34" s="57" t="s">
        <v>82</v>
      </c>
      <c r="C34" s="69">
        <f>C32-C33</f>
        <v>545.62224499999991</v>
      </c>
      <c r="D34" s="64"/>
      <c r="F34" s="72"/>
      <c r="G34" s="72"/>
      <c r="H34" s="72"/>
      <c r="I34" s="72"/>
      <c r="J34" s="72"/>
      <c r="K34" s="72"/>
      <c r="O34" s="57" t="s">
        <v>82</v>
      </c>
      <c r="AE34" s="57" t="s">
        <v>81</v>
      </c>
      <c r="AF34" s="57" t="s">
        <v>82</v>
      </c>
    </row>
    <row r="35" spans="1:32">
      <c r="A35" s="57" t="s">
        <v>78</v>
      </c>
      <c r="B35" s="60" t="s">
        <v>10</v>
      </c>
      <c r="C35" s="64"/>
      <c r="D35" s="6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60" t="s">
        <v>10</v>
      </c>
      <c r="AE35" s="57" t="s">
        <v>84</v>
      </c>
      <c r="AF35" s="60" t="s">
        <v>10</v>
      </c>
    </row>
    <row r="36" spans="1:32">
      <c r="A36" s="165">
        <v>1</v>
      </c>
      <c r="B36" s="57" t="s">
        <v>85</v>
      </c>
      <c r="C36" s="63">
        <f>标准成本!E4</f>
        <v>71.977000000000004</v>
      </c>
      <c r="D36" s="6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7" t="s">
        <v>85</v>
      </c>
      <c r="AE36" s="57" t="s">
        <v>81</v>
      </c>
      <c r="AF36" s="57" t="s">
        <v>85</v>
      </c>
    </row>
    <row r="37" spans="1:32">
      <c r="A37" s="165">
        <v>2</v>
      </c>
      <c r="B37" s="57" t="s">
        <v>86</v>
      </c>
      <c r="C37" s="63">
        <f>标准成本!E6</f>
        <v>36.239000000000004</v>
      </c>
      <c r="D37" s="6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7" t="s">
        <v>86</v>
      </c>
      <c r="AE37" s="57" t="s">
        <v>34</v>
      </c>
      <c r="AF37" s="57" t="s">
        <v>86</v>
      </c>
    </row>
    <row r="38" spans="1:32">
      <c r="A38" s="165">
        <v>3</v>
      </c>
      <c r="B38" s="57" t="s">
        <v>87</v>
      </c>
      <c r="C38" s="63">
        <f>标准成本!E10</f>
        <v>53.44</v>
      </c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7" t="s">
        <v>87</v>
      </c>
      <c r="AE38" s="57" t="s">
        <v>40</v>
      </c>
      <c r="AF38" s="57" t="s">
        <v>87</v>
      </c>
    </row>
    <row r="39" spans="1:32">
      <c r="A39" s="57" t="s">
        <v>84</v>
      </c>
      <c r="B39" s="60" t="s">
        <v>89</v>
      </c>
      <c r="C39" s="64"/>
      <c r="D39" s="64"/>
      <c r="O39" s="60" t="s">
        <v>89</v>
      </c>
      <c r="AE39" s="57" t="s">
        <v>88</v>
      </c>
      <c r="AF39" s="60" t="s">
        <v>89</v>
      </c>
    </row>
    <row r="40" spans="1:32">
      <c r="A40" s="165">
        <v>1</v>
      </c>
      <c r="B40" s="57" t="s">
        <v>91</v>
      </c>
      <c r="C40" s="64">
        <f>C34-C36-C37-C38</f>
        <v>383.9662449999999</v>
      </c>
      <c r="D40" s="64"/>
      <c r="O40" s="57" t="s">
        <v>91</v>
      </c>
      <c r="AE40" s="57" t="s">
        <v>29</v>
      </c>
      <c r="AF40" s="57" t="s">
        <v>91</v>
      </c>
    </row>
    <row r="41" spans="1:32">
      <c r="A41" s="165">
        <v>2</v>
      </c>
      <c r="B41" s="57" t="s">
        <v>92</v>
      </c>
      <c r="C41" s="64"/>
      <c r="D41" s="64"/>
      <c r="O41" s="57" t="s">
        <v>92</v>
      </c>
      <c r="AE41" s="57" t="s">
        <v>31</v>
      </c>
      <c r="AF41" s="57" t="s">
        <v>92</v>
      </c>
    </row>
    <row r="42" spans="1:32">
      <c r="A42" s="57" t="s">
        <v>88</v>
      </c>
      <c r="B42" s="60" t="s">
        <v>94</v>
      </c>
      <c r="C42" s="64"/>
      <c r="D42" s="64"/>
      <c r="O42" s="60" t="s">
        <v>94</v>
      </c>
      <c r="AE42" s="57" t="s">
        <v>93</v>
      </c>
      <c r="AF42" s="60" t="s">
        <v>94</v>
      </c>
    </row>
    <row r="43" spans="1:32">
      <c r="A43" s="165">
        <v>1</v>
      </c>
      <c r="B43" s="65" t="s">
        <v>95</v>
      </c>
      <c r="C43" s="63">
        <f>标准成本!E5</f>
        <v>67.468000000000004</v>
      </c>
      <c r="D43" s="64"/>
      <c r="O43" s="57" t="s">
        <v>95</v>
      </c>
      <c r="AE43" s="57" t="s">
        <v>29</v>
      </c>
      <c r="AF43" s="57" t="s">
        <v>95</v>
      </c>
    </row>
    <row r="44" spans="1:32">
      <c r="A44" s="165">
        <v>2</v>
      </c>
      <c r="B44" s="65" t="s">
        <v>96</v>
      </c>
      <c r="C44" s="63">
        <f>标准成本!E9</f>
        <v>8.8510000000000009</v>
      </c>
      <c r="D44" s="64"/>
      <c r="O44" s="57" t="s">
        <v>96</v>
      </c>
      <c r="AE44" s="57" t="s">
        <v>31</v>
      </c>
      <c r="AF44" s="57" t="s">
        <v>96</v>
      </c>
    </row>
    <row r="45" spans="1:32">
      <c r="A45" s="165">
        <v>3</v>
      </c>
      <c r="B45" s="65" t="s">
        <v>97</v>
      </c>
      <c r="C45" s="63">
        <f>C32*0.0272</f>
        <v>40.995159999999998</v>
      </c>
      <c r="D45" s="64"/>
      <c r="O45" s="57" t="s">
        <v>97</v>
      </c>
      <c r="AE45" s="57" t="s">
        <v>81</v>
      </c>
      <c r="AF45" s="57" t="s">
        <v>97</v>
      </c>
    </row>
    <row r="46" spans="1:32" s="52" customFormat="1">
      <c r="A46" s="165">
        <v>4</v>
      </c>
      <c r="B46" s="65" t="s">
        <v>98</v>
      </c>
      <c r="C46" s="70">
        <f>C21/C6</f>
        <v>2.02</v>
      </c>
      <c r="D46" s="70"/>
      <c r="O46" s="65" t="s">
        <v>100</v>
      </c>
      <c r="AE46" s="65" t="s">
        <v>37</v>
      </c>
      <c r="AF46" s="65" t="s">
        <v>100</v>
      </c>
    </row>
    <row r="47" spans="1:32" s="52" customFormat="1">
      <c r="A47" s="165">
        <v>5</v>
      </c>
      <c r="B47" s="65" t="s">
        <v>100</v>
      </c>
      <c r="C47" s="70">
        <f>标准成本!E11</f>
        <v>50.1</v>
      </c>
      <c r="D47" s="70"/>
      <c r="O47" s="65" t="s">
        <v>100</v>
      </c>
      <c r="AE47" s="65" t="s">
        <v>37</v>
      </c>
      <c r="AF47" s="65" t="s">
        <v>100</v>
      </c>
    </row>
    <row r="48" spans="1:32">
      <c r="A48" s="57" t="s">
        <v>93</v>
      </c>
      <c r="B48" s="60" t="s">
        <v>111</v>
      </c>
      <c r="C48" s="64">
        <f>C40-C43-C44-C45-C47-C46</f>
        <v>214.53208499999988</v>
      </c>
      <c r="D48" s="64"/>
      <c r="O48" s="60" t="s">
        <v>111</v>
      </c>
      <c r="AE48" s="57" t="s">
        <v>110</v>
      </c>
      <c r="AF48" s="60" t="s">
        <v>111</v>
      </c>
    </row>
    <row r="51" spans="2:9">
      <c r="C51" s="71"/>
    </row>
    <row r="54" spans="2:9">
      <c r="B54" s="72"/>
      <c r="C54" s="73"/>
      <c r="D54" s="73"/>
      <c r="E54" s="72"/>
      <c r="F54" s="72"/>
      <c r="G54" s="72"/>
      <c r="H54" s="72"/>
      <c r="I54" s="72"/>
    </row>
    <row r="55" spans="2:9">
      <c r="B55" s="72"/>
      <c r="C55" s="73"/>
      <c r="D55" s="73"/>
      <c r="E55" s="72"/>
      <c r="F55" s="72"/>
      <c r="G55" s="72"/>
      <c r="H55" s="72"/>
      <c r="I55" s="72"/>
    </row>
    <row r="56" spans="2:9">
      <c r="B56" s="72"/>
      <c r="C56" s="73"/>
      <c r="D56" s="73"/>
      <c r="E56" s="72"/>
      <c r="F56" s="72"/>
      <c r="G56" s="72"/>
      <c r="H56" s="72"/>
      <c r="I56" s="72"/>
    </row>
    <row r="57" spans="2:9">
      <c r="B57" s="72"/>
      <c r="C57" s="73"/>
      <c r="D57" s="73"/>
      <c r="E57" s="72"/>
      <c r="F57" s="72"/>
      <c r="G57" s="72"/>
      <c r="H57" s="72"/>
      <c r="I57" s="72"/>
    </row>
    <row r="58" spans="2:9">
      <c r="B58" s="72"/>
      <c r="C58" s="73"/>
      <c r="D58" s="73"/>
      <c r="E58" s="72"/>
      <c r="F58" s="72"/>
      <c r="G58" s="72"/>
      <c r="H58" s="72"/>
      <c r="I58" s="72"/>
    </row>
    <row r="59" spans="2:9">
      <c r="B59" s="72"/>
      <c r="C59" s="73"/>
      <c r="D59" s="73"/>
      <c r="E59" s="72"/>
      <c r="F59" s="72"/>
      <c r="G59" s="72"/>
      <c r="H59" s="72"/>
      <c r="I59" s="72"/>
    </row>
    <row r="60" spans="2:9">
      <c r="B60" s="72"/>
      <c r="C60" s="73"/>
      <c r="D60" s="73"/>
      <c r="E60" s="72"/>
      <c r="F60" s="72"/>
      <c r="G60" s="72"/>
      <c r="H60" s="72"/>
      <c r="I60" s="72"/>
    </row>
    <row r="61" spans="2:9">
      <c r="B61" s="72"/>
      <c r="C61" s="73"/>
      <c r="D61" s="73"/>
      <c r="E61" s="72"/>
      <c r="F61" s="72"/>
      <c r="G61" s="72"/>
      <c r="H61" s="72"/>
      <c r="I61" s="72"/>
    </row>
    <row r="62" spans="2:9">
      <c r="B62" s="72"/>
      <c r="C62" s="73"/>
      <c r="D62" s="73"/>
      <c r="E62" s="72"/>
      <c r="F62" s="72"/>
      <c r="G62" s="72"/>
      <c r="H62" s="72"/>
      <c r="I62" s="72"/>
    </row>
    <row r="63" spans="2:9">
      <c r="B63" s="72"/>
      <c r="C63" s="73"/>
      <c r="D63" s="73"/>
      <c r="E63" s="72"/>
      <c r="F63" s="72"/>
      <c r="G63" s="72"/>
      <c r="H63" s="72"/>
      <c r="I63" s="72"/>
    </row>
    <row r="64" spans="2:9">
      <c r="B64" s="72"/>
      <c r="C64" s="73"/>
      <c r="D64" s="73"/>
      <c r="E64" s="72"/>
      <c r="F64" s="72"/>
      <c r="G64" s="72"/>
      <c r="H64" s="72"/>
      <c r="I64" s="72"/>
    </row>
    <row r="65" spans="2:9">
      <c r="B65" s="72"/>
      <c r="C65" s="73"/>
      <c r="D65" s="73"/>
      <c r="E65" s="72"/>
      <c r="F65" s="72"/>
      <c r="G65" s="72"/>
      <c r="H65" s="72"/>
      <c r="I65" s="72"/>
    </row>
    <row r="66" spans="2:9">
      <c r="B66" s="72"/>
      <c r="C66" s="73"/>
      <c r="D66" s="73"/>
      <c r="E66" s="72"/>
      <c r="F66" s="72"/>
      <c r="G66" s="72"/>
      <c r="H66" s="72"/>
      <c r="I66" s="72"/>
    </row>
    <row r="67" spans="2:9">
      <c r="B67" s="72"/>
      <c r="C67" s="73"/>
      <c r="D67" s="73"/>
      <c r="E67" s="72"/>
    </row>
    <row r="68" spans="2:9">
      <c r="B68" s="72"/>
      <c r="C68" s="73"/>
      <c r="D68" s="73"/>
      <c r="E68" s="72"/>
    </row>
    <row r="69" spans="2:9">
      <c r="B69" s="72"/>
      <c r="C69" s="73"/>
      <c r="D69" s="73"/>
      <c r="E69" s="72"/>
    </row>
    <row r="70" spans="2:9">
      <c r="B70" s="72"/>
      <c r="C70" s="73"/>
      <c r="D70" s="73"/>
      <c r="E70" s="72"/>
    </row>
    <row r="71" spans="2:9">
      <c r="B71" s="72"/>
      <c r="C71" s="73"/>
      <c r="D71" s="73"/>
      <c r="E71" s="72"/>
    </row>
    <row r="72" spans="2:9">
      <c r="B72" s="72"/>
      <c r="C72" s="73"/>
      <c r="D72" s="73"/>
      <c r="E72" s="72"/>
    </row>
    <row r="73" spans="2:9">
      <c r="B73" s="72"/>
      <c r="C73" s="73"/>
      <c r="D73" s="73"/>
      <c r="E73" s="72"/>
    </row>
    <row r="74" spans="2:9">
      <c r="B74" s="72"/>
      <c r="C74" s="73"/>
      <c r="D74" s="73"/>
      <c r="E74" s="72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35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8.75" style="54" customWidth="1"/>
    <col min="5" max="5" width="12.375" style="53" customWidth="1"/>
    <col min="6" max="6" width="10.125" style="53" customWidth="1"/>
    <col min="7" max="13" width="9" style="53" customWidth="1"/>
    <col min="14" max="30" width="9" style="53"/>
    <col min="31" max="31" width="4.375" style="53" customWidth="1"/>
    <col min="32" max="32" width="13.875" style="53" customWidth="1"/>
    <col min="33" max="16384" width="9" style="53"/>
  </cols>
  <sheetData>
    <row r="1" spans="1:33">
      <c r="A1" s="188" t="s">
        <v>151</v>
      </c>
      <c r="B1" s="188"/>
      <c r="C1" s="192" t="s">
        <v>252</v>
      </c>
      <c r="D1" s="193"/>
    </row>
    <row r="2" spans="1:33">
      <c r="A2" s="188" t="s">
        <v>153</v>
      </c>
      <c r="B2" s="188"/>
      <c r="C2" s="194" t="str">
        <f>'2021年'!C2:D2</f>
        <v>北汽福田戴姆勒</v>
      </c>
      <c r="D2" s="194"/>
    </row>
    <row r="3" spans="1:33">
      <c r="A3" s="188" t="s">
        <v>154</v>
      </c>
      <c r="B3" s="188"/>
      <c r="C3" s="166" t="str">
        <f>销量!C5</f>
        <v>驾驶员座椅</v>
      </c>
      <c r="D3" s="189" t="s">
        <v>25</v>
      </c>
    </row>
    <row r="4" spans="1:33">
      <c r="A4" s="188" t="s">
        <v>155</v>
      </c>
      <c r="B4" s="188"/>
      <c r="C4" s="166" t="str">
        <f>销量!C6</f>
        <v>H468100000213</v>
      </c>
      <c r="D4" s="190"/>
    </row>
    <row r="5" spans="1:33">
      <c r="A5" s="188" t="s">
        <v>156</v>
      </c>
      <c r="B5" s="188"/>
      <c r="C5" s="56"/>
      <c r="D5" s="191"/>
      <c r="AG5" s="53" t="s">
        <v>26</v>
      </c>
    </row>
    <row r="6" spans="1:33" ht="17.25">
      <c r="A6" s="57" t="s">
        <v>19</v>
      </c>
      <c r="B6" s="58" t="s">
        <v>157</v>
      </c>
      <c r="C6" s="25">
        <f>销量!C12</f>
        <v>10000</v>
      </c>
      <c r="D6" s="59">
        <f>+SUM(C6:C6)</f>
        <v>10000</v>
      </c>
      <c r="O6" s="58" t="s">
        <v>3</v>
      </c>
      <c r="AE6" s="57" t="s">
        <v>19</v>
      </c>
      <c r="AF6" s="58" t="s">
        <v>3</v>
      </c>
      <c r="AG6" s="53" t="s">
        <v>27</v>
      </c>
    </row>
    <row r="7" spans="1:33">
      <c r="A7" s="165">
        <v>1</v>
      </c>
      <c r="B7" s="58" t="s">
        <v>28</v>
      </c>
      <c r="C7" s="59">
        <f>C6*销量!C8</f>
        <v>16700000</v>
      </c>
      <c r="D7" s="59">
        <f>+SUM(C7:C7)</f>
        <v>16700000</v>
      </c>
      <c r="E7" s="54"/>
      <c r="O7" s="58" t="s">
        <v>28</v>
      </c>
      <c r="AE7" s="57" t="s">
        <v>29</v>
      </c>
      <c r="AF7" s="58" t="s">
        <v>28</v>
      </c>
      <c r="AG7" s="53" t="s">
        <v>27</v>
      </c>
    </row>
    <row r="8" spans="1:33">
      <c r="A8" s="165">
        <v>2</v>
      </c>
      <c r="B8" s="165" t="s">
        <v>30</v>
      </c>
      <c r="C8" s="59">
        <f>C7*(1-销量!$L$9)</f>
        <v>2381837.5</v>
      </c>
      <c r="D8" s="59">
        <f>+SUM(C8:C8)</f>
        <v>2381837.5</v>
      </c>
      <c r="E8" s="74"/>
      <c r="O8" s="165" t="s">
        <v>32</v>
      </c>
      <c r="AE8" s="57" t="s">
        <v>31</v>
      </c>
      <c r="AF8" s="165" t="s">
        <v>32</v>
      </c>
      <c r="AG8" s="53" t="s">
        <v>27</v>
      </c>
    </row>
    <row r="9" spans="1:33">
      <c r="A9" s="165">
        <v>3</v>
      </c>
      <c r="B9" s="58" t="s">
        <v>33</v>
      </c>
      <c r="C9" s="59">
        <f>+C7-C8</f>
        <v>14318162.5</v>
      </c>
      <c r="D9" s="59">
        <f>+SUM(C9:C9)</f>
        <v>14318162.5</v>
      </c>
      <c r="O9" s="58" t="s">
        <v>33</v>
      </c>
      <c r="AE9" s="57" t="s">
        <v>34</v>
      </c>
      <c r="AF9" s="58" t="s">
        <v>33</v>
      </c>
      <c r="AG9" s="53" t="s">
        <v>35</v>
      </c>
    </row>
    <row r="10" spans="1:33">
      <c r="A10" s="165">
        <v>4</v>
      </c>
      <c r="B10" s="57" t="s">
        <v>36</v>
      </c>
      <c r="C10" s="59">
        <f>C6*材料成本!H20</f>
        <v>9327061.7235000003</v>
      </c>
      <c r="D10" s="59">
        <f>+SUM(C10:C10)</f>
        <v>9327061.7235000003</v>
      </c>
      <c r="O10" s="57" t="s">
        <v>36</v>
      </c>
      <c r="AE10" s="57" t="s">
        <v>37</v>
      </c>
      <c r="AF10" s="57" t="s">
        <v>36</v>
      </c>
      <c r="AG10" s="53" t="s">
        <v>38</v>
      </c>
    </row>
    <row r="11" spans="1:33">
      <c r="A11" s="165">
        <v>5</v>
      </c>
      <c r="B11" s="57" t="s">
        <v>39</v>
      </c>
      <c r="C11" s="59">
        <f>+C6*C36</f>
        <v>719770</v>
      </c>
      <c r="D11" s="59">
        <f>+SUM(C11:C11)</f>
        <v>719770</v>
      </c>
      <c r="O11" s="57" t="s">
        <v>39</v>
      </c>
      <c r="AE11" s="57" t="s">
        <v>40</v>
      </c>
      <c r="AF11" s="57" t="s">
        <v>39</v>
      </c>
    </row>
    <row r="12" spans="1:33">
      <c r="A12" s="165">
        <v>6</v>
      </c>
      <c r="B12" s="57" t="s">
        <v>41</v>
      </c>
      <c r="C12" s="59">
        <f>+C6*C37</f>
        <v>362390.00000000006</v>
      </c>
      <c r="D12" s="59">
        <f>+SUM(C12:C12)</f>
        <v>362390.00000000006</v>
      </c>
      <c r="O12" s="57" t="s">
        <v>41</v>
      </c>
      <c r="AE12" s="57" t="s">
        <v>42</v>
      </c>
      <c r="AF12" s="57" t="s">
        <v>41</v>
      </c>
    </row>
    <row r="13" spans="1:33">
      <c r="A13" s="165">
        <v>7</v>
      </c>
      <c r="B13" s="57" t="s">
        <v>43</v>
      </c>
      <c r="C13" s="59">
        <f>+C6*C38</f>
        <v>534400</v>
      </c>
      <c r="D13" s="59">
        <f>+SUM(C13:C13)</f>
        <v>534400</v>
      </c>
      <c r="O13" s="57" t="s">
        <v>43</v>
      </c>
      <c r="AE13" s="57" t="s">
        <v>44</v>
      </c>
      <c r="AF13" s="57" t="s">
        <v>43</v>
      </c>
      <c r="AG13" s="53" t="s">
        <v>27</v>
      </c>
    </row>
    <row r="14" spans="1:33">
      <c r="A14" s="165">
        <v>8</v>
      </c>
      <c r="B14" s="60" t="s">
        <v>45</v>
      </c>
      <c r="C14" s="59">
        <f>SUM(C11:C13)</f>
        <v>1616560</v>
      </c>
      <c r="D14" s="59">
        <f>+SUM(C14:C14)</f>
        <v>1616560</v>
      </c>
      <c r="O14" s="60" t="s">
        <v>45</v>
      </c>
      <c r="AE14" s="57" t="s">
        <v>46</v>
      </c>
      <c r="AF14" s="60" t="s">
        <v>45</v>
      </c>
    </row>
    <row r="15" spans="1:33">
      <c r="A15" s="165">
        <v>9</v>
      </c>
      <c r="B15" s="60" t="s">
        <v>47</v>
      </c>
      <c r="C15" s="59">
        <f>+C9-C10-C14</f>
        <v>3374540.7764999997</v>
      </c>
      <c r="D15" s="59">
        <f>+SUM(C15:C15)</f>
        <v>3374540.7764999997</v>
      </c>
      <c r="O15" s="60" t="s">
        <v>47</v>
      </c>
      <c r="AE15" s="57" t="s">
        <v>48</v>
      </c>
      <c r="AF15" s="60" t="s">
        <v>47</v>
      </c>
    </row>
    <row r="16" spans="1:33">
      <c r="A16" s="165">
        <v>10</v>
      </c>
      <c r="B16" s="57" t="s">
        <v>49</v>
      </c>
      <c r="C16" s="61">
        <f>+C15/C9</f>
        <v>0.2356825309462719</v>
      </c>
      <c r="D16" s="61">
        <f t="shared" ref="D16" si="0">+D15/D9</f>
        <v>0.2356825309462719</v>
      </c>
      <c r="O16" s="57" t="s">
        <v>49</v>
      </c>
      <c r="AE16" s="57" t="s">
        <v>50</v>
      </c>
      <c r="AF16" s="57" t="s">
        <v>49</v>
      </c>
    </row>
    <row r="17" spans="1:33">
      <c r="A17" s="165">
        <v>11</v>
      </c>
      <c r="B17" s="57" t="s">
        <v>51</v>
      </c>
      <c r="C17" s="59">
        <f>C6*C43+C18</f>
        <v>679050</v>
      </c>
      <c r="D17" s="59">
        <f>SUM(C17:C17)</f>
        <v>679050</v>
      </c>
      <c r="E17" s="74"/>
      <c r="O17" s="57" t="s">
        <v>51</v>
      </c>
      <c r="AE17" s="57" t="s">
        <v>52</v>
      </c>
      <c r="AF17" s="57" t="s">
        <v>51</v>
      </c>
    </row>
    <row r="18" spans="1:33" s="51" customFormat="1">
      <c r="A18" s="165">
        <v>12</v>
      </c>
      <c r="B18" s="62" t="s">
        <v>158</v>
      </c>
      <c r="C18" s="63">
        <f>$D$18/$D$6*C6</f>
        <v>4370</v>
      </c>
      <c r="D18" s="63">
        <f>项目投资!D26</f>
        <v>4370</v>
      </c>
      <c r="E18" s="75" t="s">
        <v>159</v>
      </c>
      <c r="F18" s="75"/>
      <c r="G18" s="75"/>
    </row>
    <row r="19" spans="1:33">
      <c r="A19" s="165">
        <v>13</v>
      </c>
      <c r="B19" s="57" t="s">
        <v>53</v>
      </c>
      <c r="C19" s="59">
        <f>C6*C44</f>
        <v>88510.000000000015</v>
      </c>
      <c r="D19" s="59">
        <f>SUM(C19:C19)</f>
        <v>88510.000000000015</v>
      </c>
      <c r="E19" s="51"/>
      <c r="O19" s="57" t="s">
        <v>53</v>
      </c>
      <c r="AE19" s="57" t="s">
        <v>54</v>
      </c>
      <c r="AF19" s="57" t="s">
        <v>53</v>
      </c>
      <c r="AG19" s="53" t="s">
        <v>27</v>
      </c>
    </row>
    <row r="20" spans="1:33">
      <c r="A20" s="165">
        <v>14</v>
      </c>
      <c r="B20" s="57" t="s">
        <v>55</v>
      </c>
      <c r="C20" s="59">
        <f>C6*C45</f>
        <v>389454.02</v>
      </c>
      <c r="D20" s="59">
        <f>SUM(C20:C20)</f>
        <v>389454.02</v>
      </c>
      <c r="O20" s="57" t="s">
        <v>55</v>
      </c>
      <c r="AE20" s="57" t="s">
        <v>56</v>
      </c>
      <c r="AF20" s="57" t="s">
        <v>55</v>
      </c>
    </row>
    <row r="21" spans="1:33">
      <c r="A21" s="165">
        <v>15</v>
      </c>
      <c r="B21" s="57" t="s">
        <v>57</v>
      </c>
      <c r="C21" s="64">
        <f>$D$21/$D$6*C6</f>
        <v>20200</v>
      </c>
      <c r="D21" s="59">
        <f>项目投资!D27</f>
        <v>20200</v>
      </c>
      <c r="O21" s="57" t="s">
        <v>57</v>
      </c>
      <c r="AE21" s="57"/>
      <c r="AF21" s="57"/>
    </row>
    <row r="22" spans="1:33">
      <c r="A22" s="165">
        <v>16</v>
      </c>
      <c r="B22" s="57" t="s">
        <v>58</v>
      </c>
      <c r="C22" s="59">
        <f>C6*C47</f>
        <v>501000</v>
      </c>
      <c r="D22" s="59">
        <f>+SUM(C22:C22)</f>
        <v>501000</v>
      </c>
      <c r="O22" s="57" t="s">
        <v>58</v>
      </c>
      <c r="AE22" s="57" t="s">
        <v>59</v>
      </c>
      <c r="AF22" s="57" t="s">
        <v>58</v>
      </c>
    </row>
    <row r="23" spans="1:33">
      <c r="A23" s="165">
        <v>17</v>
      </c>
      <c r="B23" s="60" t="s">
        <v>60</v>
      </c>
      <c r="C23" s="64">
        <f>+C22+C21+C20+C19+C17</f>
        <v>1678214.02</v>
      </c>
      <c r="D23" s="64">
        <f t="shared" ref="D23" si="1">+D22+D21+D20+D19+D17</f>
        <v>1678214.02</v>
      </c>
      <c r="O23" s="60" t="s">
        <v>60</v>
      </c>
      <c r="AE23" s="57" t="s">
        <v>61</v>
      </c>
      <c r="AF23" s="60" t="s">
        <v>60</v>
      </c>
    </row>
    <row r="24" spans="1:33">
      <c r="A24" s="165">
        <v>18</v>
      </c>
      <c r="B24" s="65" t="s">
        <v>62</v>
      </c>
      <c r="C24" s="64">
        <f>+C15-C23</f>
        <v>1696326.7564999997</v>
      </c>
      <c r="D24" s="64">
        <f t="shared" ref="D24" si="2">+D15-D23</f>
        <v>1696326.7564999997</v>
      </c>
      <c r="F24" s="76"/>
      <c r="O24" s="57" t="s">
        <v>62</v>
      </c>
      <c r="AE24" s="57" t="s">
        <v>63</v>
      </c>
      <c r="AF24" s="57" t="s">
        <v>62</v>
      </c>
    </row>
    <row r="25" spans="1:33">
      <c r="A25" s="165">
        <v>19</v>
      </c>
      <c r="B25" s="57" t="s">
        <v>160</v>
      </c>
      <c r="C25" s="64">
        <f>IF(C24&lt;0,0,C24*0.25)</f>
        <v>424081.68912499992</v>
      </c>
      <c r="D25" s="64">
        <f t="shared" ref="D25" si="3">IF(D24&lt;0,0,D24*0.25)</f>
        <v>424081.68912499992</v>
      </c>
      <c r="E25" s="72"/>
      <c r="F25" s="72"/>
      <c r="G25" s="72"/>
      <c r="O25" s="57" t="s">
        <v>64</v>
      </c>
      <c r="AE25" s="57" t="s">
        <v>65</v>
      </c>
      <c r="AF25" s="57" t="s">
        <v>64</v>
      </c>
    </row>
    <row r="26" spans="1:33">
      <c r="A26" s="165">
        <v>20</v>
      </c>
      <c r="B26" s="57" t="s">
        <v>66</v>
      </c>
      <c r="C26" s="64">
        <f t="shared" ref="C26" si="4">C24-C25</f>
        <v>1272245.0673749996</v>
      </c>
      <c r="D26" s="59">
        <f>+SUM(C26:C26)</f>
        <v>1272245.0673749996</v>
      </c>
      <c r="E26" s="72"/>
      <c r="F26" s="72"/>
      <c r="G26" s="72"/>
      <c r="O26" s="57" t="s">
        <v>66</v>
      </c>
      <c r="AE26" s="57" t="s">
        <v>67</v>
      </c>
      <c r="AF26" s="57" t="s">
        <v>66</v>
      </c>
    </row>
    <row r="27" spans="1:33">
      <c r="A27" s="165">
        <v>21</v>
      </c>
      <c r="B27" s="57" t="s">
        <v>70</v>
      </c>
      <c r="C27" s="66">
        <f t="shared" ref="C27:D27" si="5">C26/C7</f>
        <v>7.6182339363772431E-2</v>
      </c>
      <c r="D27" s="66">
        <f t="shared" si="5"/>
        <v>7.6182339363772431E-2</v>
      </c>
      <c r="E27" s="72"/>
      <c r="F27" s="72"/>
      <c r="G27" s="72"/>
      <c r="O27" s="57" t="s">
        <v>70</v>
      </c>
      <c r="AE27" s="57" t="s">
        <v>69</v>
      </c>
      <c r="AF27" s="57" t="s">
        <v>70</v>
      </c>
    </row>
    <row r="28" spans="1:33">
      <c r="E28" s="72"/>
      <c r="F28" s="72"/>
      <c r="G28" s="72"/>
      <c r="O28" s="57"/>
    </row>
    <row r="29" spans="1:33">
      <c r="A29" s="53" t="s">
        <v>71</v>
      </c>
      <c r="D29" s="54" t="s">
        <v>161</v>
      </c>
      <c r="E29" s="72"/>
      <c r="F29" s="72"/>
      <c r="G29" s="72"/>
      <c r="O29" s="57"/>
      <c r="AE29" s="53" t="s">
        <v>71</v>
      </c>
    </row>
    <row r="30" spans="1:33">
      <c r="A30" s="57" t="s">
        <v>76</v>
      </c>
      <c r="B30" s="60" t="s">
        <v>77</v>
      </c>
      <c r="C30" s="64"/>
      <c r="D30" s="64"/>
      <c r="E30" s="72"/>
      <c r="F30" s="72"/>
      <c r="G30" s="72"/>
      <c r="I30" s="72"/>
      <c r="O30" s="60" t="s">
        <v>77</v>
      </c>
      <c r="AE30" s="57" t="s">
        <v>78</v>
      </c>
      <c r="AF30" s="60" t="s">
        <v>77</v>
      </c>
    </row>
    <row r="31" spans="1:33">
      <c r="A31" s="165">
        <v>1</v>
      </c>
      <c r="B31" s="62" t="s">
        <v>79</v>
      </c>
      <c r="C31" s="68">
        <f>销量!C8</f>
        <v>1670</v>
      </c>
      <c r="D31" s="64"/>
      <c r="E31" s="72"/>
      <c r="F31" s="72"/>
      <c r="G31" s="72"/>
      <c r="I31" s="72"/>
      <c r="O31" s="57" t="s">
        <v>79</v>
      </c>
      <c r="AE31" s="57" t="s">
        <v>29</v>
      </c>
      <c r="AF31" s="57" t="s">
        <v>79</v>
      </c>
    </row>
    <row r="32" spans="1:33">
      <c r="A32" s="165">
        <v>2</v>
      </c>
      <c r="B32" s="57" t="s">
        <v>162</v>
      </c>
      <c r="C32" s="59">
        <f>C9/C6</f>
        <v>1431.8162500000001</v>
      </c>
      <c r="D32" s="64"/>
      <c r="E32" s="72"/>
      <c r="F32" s="72"/>
      <c r="G32" s="72"/>
      <c r="H32" s="72"/>
      <c r="I32" s="72"/>
      <c r="J32" s="72"/>
      <c r="K32" s="72"/>
      <c r="AE32" s="57"/>
      <c r="AF32" s="57"/>
    </row>
    <row r="33" spans="1:32">
      <c r="A33" s="165">
        <v>3</v>
      </c>
      <c r="B33" s="62" t="s">
        <v>80</v>
      </c>
      <c r="C33" s="59">
        <f>材料成本!H20</f>
        <v>932.70617234999997</v>
      </c>
      <c r="D33" s="64"/>
      <c r="F33" s="72"/>
      <c r="G33" s="72"/>
      <c r="H33" s="72"/>
      <c r="I33" s="72"/>
      <c r="J33" s="72"/>
      <c r="K33" s="72"/>
      <c r="O33" s="57" t="s">
        <v>80</v>
      </c>
      <c r="AE33" s="57" t="s">
        <v>31</v>
      </c>
      <c r="AF33" s="57" t="s">
        <v>80</v>
      </c>
    </row>
    <row r="34" spans="1:32" ht="17.25" customHeight="1">
      <c r="A34" s="165">
        <v>4</v>
      </c>
      <c r="B34" s="57" t="s">
        <v>82</v>
      </c>
      <c r="C34" s="69">
        <f>C32-C33</f>
        <v>499.11007765000011</v>
      </c>
      <c r="D34" s="64"/>
      <c r="F34" s="72"/>
      <c r="G34" s="72"/>
      <c r="H34" s="72"/>
      <c r="I34" s="72"/>
      <c r="J34" s="72"/>
      <c r="K34" s="72"/>
      <c r="O34" s="57" t="s">
        <v>82</v>
      </c>
      <c r="AE34" s="57" t="s">
        <v>81</v>
      </c>
      <c r="AF34" s="57" t="s">
        <v>82</v>
      </c>
    </row>
    <row r="35" spans="1:32">
      <c r="A35" s="57" t="s">
        <v>78</v>
      </c>
      <c r="B35" s="60" t="s">
        <v>10</v>
      </c>
      <c r="C35" s="64"/>
      <c r="D35" s="6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60" t="s">
        <v>10</v>
      </c>
      <c r="AE35" s="57" t="s">
        <v>84</v>
      </c>
      <c r="AF35" s="60" t="s">
        <v>10</v>
      </c>
    </row>
    <row r="36" spans="1:32">
      <c r="A36" s="165">
        <v>1</v>
      </c>
      <c r="B36" s="57" t="s">
        <v>85</v>
      </c>
      <c r="C36" s="63">
        <f>标准成本!E4</f>
        <v>71.977000000000004</v>
      </c>
      <c r="D36" s="6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7" t="s">
        <v>85</v>
      </c>
      <c r="AE36" s="57" t="s">
        <v>81</v>
      </c>
      <c r="AF36" s="57" t="s">
        <v>85</v>
      </c>
    </row>
    <row r="37" spans="1:32">
      <c r="A37" s="165">
        <v>2</v>
      </c>
      <c r="B37" s="57" t="s">
        <v>86</v>
      </c>
      <c r="C37" s="63">
        <f>标准成本!E6</f>
        <v>36.239000000000004</v>
      </c>
      <c r="D37" s="6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7" t="s">
        <v>86</v>
      </c>
      <c r="AE37" s="57" t="s">
        <v>34</v>
      </c>
      <c r="AF37" s="57" t="s">
        <v>86</v>
      </c>
    </row>
    <row r="38" spans="1:32">
      <c r="A38" s="165">
        <v>3</v>
      </c>
      <c r="B38" s="57" t="s">
        <v>87</v>
      </c>
      <c r="C38" s="63">
        <f>标准成本!E10</f>
        <v>53.44</v>
      </c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7" t="s">
        <v>87</v>
      </c>
      <c r="AE38" s="57" t="s">
        <v>40</v>
      </c>
      <c r="AF38" s="57" t="s">
        <v>87</v>
      </c>
    </row>
    <row r="39" spans="1:32">
      <c r="A39" s="57" t="s">
        <v>84</v>
      </c>
      <c r="B39" s="60" t="s">
        <v>89</v>
      </c>
      <c r="C39" s="64"/>
      <c r="D39" s="64"/>
      <c r="O39" s="60" t="s">
        <v>89</v>
      </c>
      <c r="AE39" s="57" t="s">
        <v>88</v>
      </c>
      <c r="AF39" s="60" t="s">
        <v>89</v>
      </c>
    </row>
    <row r="40" spans="1:32">
      <c r="A40" s="165">
        <v>1</v>
      </c>
      <c r="B40" s="57" t="s">
        <v>91</v>
      </c>
      <c r="C40" s="64">
        <f>C34-C36-C37-C38</f>
        <v>337.4540776500001</v>
      </c>
      <c r="D40" s="64"/>
      <c r="O40" s="57" t="s">
        <v>91</v>
      </c>
      <c r="AE40" s="57" t="s">
        <v>29</v>
      </c>
      <c r="AF40" s="57" t="s">
        <v>91</v>
      </c>
    </row>
    <row r="41" spans="1:32">
      <c r="A41" s="165">
        <v>2</v>
      </c>
      <c r="B41" s="57" t="s">
        <v>92</v>
      </c>
      <c r="C41" s="64"/>
      <c r="D41" s="64"/>
      <c r="O41" s="57" t="s">
        <v>92</v>
      </c>
      <c r="AE41" s="57" t="s">
        <v>31</v>
      </c>
      <c r="AF41" s="57" t="s">
        <v>92</v>
      </c>
    </row>
    <row r="42" spans="1:32">
      <c r="A42" s="57" t="s">
        <v>88</v>
      </c>
      <c r="B42" s="60" t="s">
        <v>94</v>
      </c>
      <c r="C42" s="64"/>
      <c r="D42" s="64"/>
      <c r="O42" s="60" t="s">
        <v>94</v>
      </c>
      <c r="AE42" s="57" t="s">
        <v>93</v>
      </c>
      <c r="AF42" s="60" t="s">
        <v>94</v>
      </c>
    </row>
    <row r="43" spans="1:32">
      <c r="A43" s="165">
        <v>1</v>
      </c>
      <c r="B43" s="65" t="s">
        <v>95</v>
      </c>
      <c r="C43" s="63">
        <f>标准成本!E5</f>
        <v>67.468000000000004</v>
      </c>
      <c r="D43" s="64"/>
      <c r="O43" s="57" t="s">
        <v>95</v>
      </c>
      <c r="AE43" s="57" t="s">
        <v>29</v>
      </c>
      <c r="AF43" s="57" t="s">
        <v>95</v>
      </c>
    </row>
    <row r="44" spans="1:32">
      <c r="A44" s="165">
        <v>2</v>
      </c>
      <c r="B44" s="65" t="s">
        <v>96</v>
      </c>
      <c r="C44" s="63">
        <f>标准成本!E9</f>
        <v>8.8510000000000009</v>
      </c>
      <c r="D44" s="64"/>
      <c r="O44" s="57" t="s">
        <v>96</v>
      </c>
      <c r="AE44" s="57" t="s">
        <v>31</v>
      </c>
      <c r="AF44" s="57" t="s">
        <v>96</v>
      </c>
    </row>
    <row r="45" spans="1:32">
      <c r="A45" s="165">
        <v>3</v>
      </c>
      <c r="B45" s="65" t="s">
        <v>97</v>
      </c>
      <c r="C45" s="63">
        <f>C32*0.0272</f>
        <v>38.945402000000001</v>
      </c>
      <c r="D45" s="64"/>
      <c r="O45" s="57" t="s">
        <v>97</v>
      </c>
      <c r="AE45" s="57" t="s">
        <v>81</v>
      </c>
      <c r="AF45" s="57" t="s">
        <v>97</v>
      </c>
    </row>
    <row r="46" spans="1:32" s="52" customFormat="1">
      <c r="A46" s="165">
        <v>4</v>
      </c>
      <c r="B46" s="65" t="s">
        <v>98</v>
      </c>
      <c r="C46" s="70">
        <f>C21/C6</f>
        <v>2.02</v>
      </c>
      <c r="D46" s="70"/>
      <c r="O46" s="65" t="s">
        <v>100</v>
      </c>
      <c r="AE46" s="65" t="s">
        <v>37</v>
      </c>
      <c r="AF46" s="65" t="s">
        <v>100</v>
      </c>
    </row>
    <row r="47" spans="1:32" s="52" customFormat="1">
      <c r="A47" s="165">
        <v>5</v>
      </c>
      <c r="B47" s="65" t="s">
        <v>100</v>
      </c>
      <c r="C47" s="70">
        <f>标准成本!E11</f>
        <v>50.1</v>
      </c>
      <c r="D47" s="70"/>
      <c r="O47" s="65" t="s">
        <v>100</v>
      </c>
      <c r="AE47" s="65" t="s">
        <v>37</v>
      </c>
      <c r="AF47" s="65" t="s">
        <v>100</v>
      </c>
    </row>
    <row r="48" spans="1:32">
      <c r="A48" s="57" t="s">
        <v>93</v>
      </c>
      <c r="B48" s="60" t="s">
        <v>111</v>
      </c>
      <c r="C48" s="64">
        <f>C40-C43-C44-C45-C47-C46</f>
        <v>170.06967565000008</v>
      </c>
      <c r="D48" s="64"/>
      <c r="O48" s="60" t="s">
        <v>111</v>
      </c>
      <c r="AE48" s="57" t="s">
        <v>110</v>
      </c>
      <c r="AF48" s="60" t="s">
        <v>111</v>
      </c>
    </row>
    <row r="51" spans="2:9">
      <c r="C51" s="71"/>
    </row>
    <row r="54" spans="2:9">
      <c r="B54" s="72"/>
      <c r="C54" s="73"/>
      <c r="D54" s="73"/>
      <c r="E54" s="72"/>
      <c r="F54" s="72"/>
      <c r="G54" s="72"/>
      <c r="H54" s="72"/>
      <c r="I54" s="72"/>
    </row>
    <row r="55" spans="2:9">
      <c r="B55" s="72"/>
      <c r="C55" s="73"/>
      <c r="D55" s="73"/>
      <c r="E55" s="72"/>
      <c r="F55" s="72"/>
      <c r="G55" s="72"/>
      <c r="H55" s="72"/>
      <c r="I55" s="72"/>
    </row>
    <row r="56" spans="2:9">
      <c r="B56" s="72"/>
      <c r="C56" s="73"/>
      <c r="D56" s="73"/>
      <c r="E56" s="72"/>
      <c r="F56" s="72"/>
      <c r="G56" s="72"/>
      <c r="H56" s="72"/>
      <c r="I56" s="72"/>
    </row>
    <row r="57" spans="2:9">
      <c r="B57" s="72"/>
      <c r="C57" s="73"/>
      <c r="D57" s="73"/>
      <c r="E57" s="72"/>
      <c r="F57" s="72"/>
      <c r="G57" s="72"/>
      <c r="H57" s="72"/>
      <c r="I57" s="72"/>
    </row>
    <row r="58" spans="2:9">
      <c r="B58" s="72"/>
      <c r="C58" s="73"/>
      <c r="D58" s="73"/>
      <c r="E58" s="72"/>
      <c r="F58" s="72"/>
      <c r="G58" s="72"/>
      <c r="H58" s="72"/>
      <c r="I58" s="72"/>
    </row>
    <row r="59" spans="2:9">
      <c r="B59" s="72"/>
      <c r="C59" s="73"/>
      <c r="D59" s="73"/>
      <c r="E59" s="72"/>
      <c r="F59" s="72"/>
      <c r="G59" s="72"/>
      <c r="H59" s="72"/>
      <c r="I59" s="72"/>
    </row>
    <row r="60" spans="2:9">
      <c r="B60" s="72"/>
      <c r="C60" s="73"/>
      <c r="D60" s="73"/>
      <c r="E60" s="72"/>
      <c r="F60" s="72"/>
      <c r="G60" s="72"/>
      <c r="H60" s="72"/>
      <c r="I60" s="72"/>
    </row>
    <row r="61" spans="2:9">
      <c r="B61" s="72"/>
      <c r="C61" s="73"/>
      <c r="D61" s="73"/>
      <c r="E61" s="72"/>
      <c r="F61" s="72"/>
      <c r="G61" s="72"/>
      <c r="H61" s="72"/>
      <c r="I61" s="72"/>
    </row>
    <row r="62" spans="2:9">
      <c r="B62" s="72"/>
      <c r="C62" s="73"/>
      <c r="D62" s="73"/>
      <c r="E62" s="72"/>
      <c r="F62" s="72"/>
      <c r="G62" s="72"/>
      <c r="H62" s="72"/>
      <c r="I62" s="72"/>
    </row>
    <row r="63" spans="2:9">
      <c r="B63" s="72"/>
      <c r="C63" s="73"/>
      <c r="D63" s="73"/>
      <c r="E63" s="72"/>
      <c r="F63" s="72"/>
      <c r="G63" s="72"/>
      <c r="H63" s="72"/>
      <c r="I63" s="72"/>
    </row>
    <row r="64" spans="2:9">
      <c r="B64" s="72"/>
      <c r="C64" s="73"/>
      <c r="D64" s="73"/>
      <c r="E64" s="72"/>
      <c r="F64" s="72"/>
      <c r="G64" s="72"/>
      <c r="H64" s="72"/>
      <c r="I64" s="72"/>
    </row>
    <row r="65" spans="2:9">
      <c r="B65" s="72"/>
      <c r="C65" s="73"/>
      <c r="D65" s="73"/>
      <c r="E65" s="72"/>
      <c r="F65" s="72"/>
      <c r="G65" s="72"/>
      <c r="H65" s="72"/>
      <c r="I65" s="72"/>
    </row>
    <row r="66" spans="2:9">
      <c r="B66" s="72"/>
      <c r="C66" s="73"/>
      <c r="D66" s="73"/>
      <c r="E66" s="72"/>
      <c r="F66" s="72"/>
      <c r="G66" s="72"/>
      <c r="H66" s="72"/>
      <c r="I66" s="72"/>
    </row>
    <row r="67" spans="2:9">
      <c r="B67" s="72"/>
      <c r="C67" s="73"/>
      <c r="D67" s="73"/>
      <c r="E67" s="72"/>
    </row>
    <row r="68" spans="2:9">
      <c r="B68" s="72"/>
      <c r="C68" s="73"/>
      <c r="D68" s="73"/>
      <c r="E68" s="72"/>
    </row>
    <row r="69" spans="2:9">
      <c r="B69" s="72"/>
      <c r="C69" s="73"/>
      <c r="D69" s="73"/>
      <c r="E69" s="72"/>
    </row>
    <row r="70" spans="2:9">
      <c r="B70" s="72"/>
      <c r="C70" s="73"/>
      <c r="D70" s="73"/>
      <c r="E70" s="72"/>
    </row>
    <row r="71" spans="2:9">
      <c r="B71" s="72"/>
      <c r="C71" s="73"/>
      <c r="D71" s="73"/>
      <c r="E71" s="72"/>
    </row>
    <row r="72" spans="2:9">
      <c r="B72" s="72"/>
      <c r="C72" s="73"/>
      <c r="D72" s="73"/>
      <c r="E72" s="72"/>
    </row>
    <row r="73" spans="2:9">
      <c r="B73" s="72"/>
      <c r="C73" s="73"/>
      <c r="D73" s="73"/>
      <c r="E73" s="72"/>
    </row>
    <row r="74" spans="2:9">
      <c r="B74" s="72"/>
      <c r="C74" s="73"/>
      <c r="D74" s="73"/>
      <c r="E74" s="72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32" activePane="bottomRight" state="frozen"/>
      <selection pane="topRight"/>
      <selection pane="bottomLeft"/>
      <selection pane="bottomRight" activeCell="F46" sqref="F46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8.75" style="54" customWidth="1"/>
    <col min="5" max="5" width="12.375" style="53" customWidth="1"/>
    <col min="6" max="6" width="10.125" style="53" customWidth="1"/>
    <col min="7" max="13" width="9" style="53" customWidth="1"/>
    <col min="14" max="30" width="9" style="53"/>
    <col min="31" max="31" width="4.375" style="53" customWidth="1"/>
    <col min="32" max="32" width="13.875" style="53" customWidth="1"/>
    <col min="33" max="16384" width="9" style="53"/>
  </cols>
  <sheetData>
    <row r="1" spans="1:33">
      <c r="A1" s="188" t="s">
        <v>151</v>
      </c>
      <c r="B1" s="188"/>
      <c r="C1" s="192" t="s">
        <v>253</v>
      </c>
      <c r="D1" s="193"/>
    </row>
    <row r="2" spans="1:33">
      <c r="A2" s="188" t="s">
        <v>153</v>
      </c>
      <c r="B2" s="188"/>
      <c r="C2" s="194" t="str">
        <f>'2021年'!C2:D2</f>
        <v>北汽福田戴姆勒</v>
      </c>
      <c r="D2" s="194"/>
    </row>
    <row r="3" spans="1:33">
      <c r="A3" s="188" t="s">
        <v>154</v>
      </c>
      <c r="B3" s="188"/>
      <c r="C3" s="166" t="str">
        <f>销量!C5</f>
        <v>驾驶员座椅</v>
      </c>
      <c r="D3" s="189" t="s">
        <v>25</v>
      </c>
    </row>
    <row r="4" spans="1:33">
      <c r="A4" s="188" t="s">
        <v>155</v>
      </c>
      <c r="B4" s="188"/>
      <c r="C4" s="166" t="str">
        <f>销量!C6</f>
        <v>H468100000213</v>
      </c>
      <c r="D4" s="190"/>
    </row>
    <row r="5" spans="1:33">
      <c r="A5" s="188" t="s">
        <v>156</v>
      </c>
      <c r="B5" s="188"/>
      <c r="C5" s="56"/>
      <c r="D5" s="191"/>
      <c r="AG5" s="53" t="s">
        <v>26</v>
      </c>
    </row>
    <row r="6" spans="1:33" ht="17.25">
      <c r="A6" s="57" t="s">
        <v>19</v>
      </c>
      <c r="B6" s="58" t="s">
        <v>157</v>
      </c>
      <c r="C6" s="25">
        <f>销量!C13</f>
        <v>10000</v>
      </c>
      <c r="D6" s="59">
        <f>+SUM(C6:C6)</f>
        <v>10000</v>
      </c>
      <c r="O6" s="58" t="s">
        <v>3</v>
      </c>
      <c r="AE6" s="57" t="s">
        <v>19</v>
      </c>
      <c r="AF6" s="58" t="s">
        <v>3</v>
      </c>
      <c r="AG6" s="53" t="s">
        <v>27</v>
      </c>
    </row>
    <row r="7" spans="1:33">
      <c r="A7" s="165">
        <v>1</v>
      </c>
      <c r="B7" s="58" t="s">
        <v>28</v>
      </c>
      <c r="C7" s="59">
        <f>C6*销量!C8</f>
        <v>16700000</v>
      </c>
      <c r="D7" s="59">
        <f>+SUM(C7:C7)</f>
        <v>16700000</v>
      </c>
      <c r="E7" s="54"/>
      <c r="O7" s="58" t="s">
        <v>28</v>
      </c>
      <c r="AE7" s="57" t="s">
        <v>29</v>
      </c>
      <c r="AF7" s="58" t="s">
        <v>28</v>
      </c>
      <c r="AG7" s="53" t="s">
        <v>27</v>
      </c>
    </row>
    <row r="8" spans="1:33">
      <c r="A8" s="165">
        <v>2</v>
      </c>
      <c r="B8" s="165" t="s">
        <v>30</v>
      </c>
      <c r="C8" s="59">
        <f>C7*(1-销量!$L$10)</f>
        <v>3097745.6250000019</v>
      </c>
      <c r="D8" s="59">
        <f>+SUM(C8:C8)</f>
        <v>3097745.6250000019</v>
      </c>
      <c r="E8" s="74"/>
      <c r="O8" s="165" t="s">
        <v>32</v>
      </c>
      <c r="AE8" s="57" t="s">
        <v>31</v>
      </c>
      <c r="AF8" s="165" t="s">
        <v>32</v>
      </c>
      <c r="AG8" s="53" t="s">
        <v>27</v>
      </c>
    </row>
    <row r="9" spans="1:33">
      <c r="A9" s="165">
        <v>3</v>
      </c>
      <c r="B9" s="58" t="s">
        <v>33</v>
      </c>
      <c r="C9" s="59">
        <f>+C7-C8</f>
        <v>13602254.374999998</v>
      </c>
      <c r="D9" s="59">
        <f>+SUM(C9:C9)</f>
        <v>13602254.374999998</v>
      </c>
      <c r="O9" s="58" t="s">
        <v>33</v>
      </c>
      <c r="AE9" s="57" t="s">
        <v>34</v>
      </c>
      <c r="AF9" s="58" t="s">
        <v>33</v>
      </c>
      <c r="AG9" s="53" t="s">
        <v>35</v>
      </c>
    </row>
    <row r="10" spans="1:33">
      <c r="A10" s="165">
        <v>4</v>
      </c>
      <c r="B10" s="57" t="s">
        <v>36</v>
      </c>
      <c r="C10" s="59">
        <f>C6*材料成本!I20</f>
        <v>9047249.8717950005</v>
      </c>
      <c r="D10" s="59">
        <f>+SUM(C10:C10)</f>
        <v>9047249.8717950005</v>
      </c>
      <c r="O10" s="57" t="s">
        <v>36</v>
      </c>
      <c r="AE10" s="57" t="s">
        <v>37</v>
      </c>
      <c r="AF10" s="57" t="s">
        <v>36</v>
      </c>
      <c r="AG10" s="53" t="s">
        <v>38</v>
      </c>
    </row>
    <row r="11" spans="1:33">
      <c r="A11" s="165">
        <v>5</v>
      </c>
      <c r="B11" s="57" t="s">
        <v>39</v>
      </c>
      <c r="C11" s="59">
        <f>+C6*C36</f>
        <v>719770</v>
      </c>
      <c r="D11" s="59">
        <f>+SUM(C11:C11)</f>
        <v>719770</v>
      </c>
      <c r="O11" s="57" t="s">
        <v>39</v>
      </c>
      <c r="AE11" s="57" t="s">
        <v>40</v>
      </c>
      <c r="AF11" s="57" t="s">
        <v>39</v>
      </c>
    </row>
    <row r="12" spans="1:33">
      <c r="A12" s="165">
        <v>6</v>
      </c>
      <c r="B12" s="57" t="s">
        <v>41</v>
      </c>
      <c r="C12" s="59">
        <f>+C6*C37</f>
        <v>362390.00000000006</v>
      </c>
      <c r="D12" s="59">
        <f>+SUM(C12:C12)</f>
        <v>362390.00000000006</v>
      </c>
      <c r="O12" s="57" t="s">
        <v>41</v>
      </c>
      <c r="AE12" s="57" t="s">
        <v>42</v>
      </c>
      <c r="AF12" s="57" t="s">
        <v>41</v>
      </c>
    </row>
    <row r="13" spans="1:33">
      <c r="A13" s="165">
        <v>7</v>
      </c>
      <c r="B13" s="57" t="s">
        <v>43</v>
      </c>
      <c r="C13" s="59">
        <f>+C6*C38</f>
        <v>534400</v>
      </c>
      <c r="D13" s="59">
        <f>+SUM(C13:C13)</f>
        <v>534400</v>
      </c>
      <c r="O13" s="57" t="s">
        <v>43</v>
      </c>
      <c r="AE13" s="57" t="s">
        <v>44</v>
      </c>
      <c r="AF13" s="57" t="s">
        <v>43</v>
      </c>
      <c r="AG13" s="53" t="s">
        <v>27</v>
      </c>
    </row>
    <row r="14" spans="1:33">
      <c r="A14" s="165">
        <v>8</v>
      </c>
      <c r="B14" s="60" t="s">
        <v>45</v>
      </c>
      <c r="C14" s="59">
        <f>SUM(C11:C13)</f>
        <v>1616560</v>
      </c>
      <c r="D14" s="59">
        <f>+SUM(C14:C14)</f>
        <v>1616560</v>
      </c>
      <c r="O14" s="60" t="s">
        <v>45</v>
      </c>
      <c r="AE14" s="57" t="s">
        <v>46</v>
      </c>
      <c r="AF14" s="60" t="s">
        <v>45</v>
      </c>
    </row>
    <row r="15" spans="1:33">
      <c r="A15" s="165">
        <v>9</v>
      </c>
      <c r="B15" s="60" t="s">
        <v>47</v>
      </c>
      <c r="C15" s="59">
        <f>+C9-C10-C14</f>
        <v>2938444.5032049976</v>
      </c>
      <c r="D15" s="59">
        <f>+SUM(C15:C15)</f>
        <v>2938444.5032049976</v>
      </c>
      <c r="O15" s="60" t="s">
        <v>47</v>
      </c>
      <c r="AE15" s="57" t="s">
        <v>48</v>
      </c>
      <c r="AF15" s="60" t="s">
        <v>47</v>
      </c>
    </row>
    <row r="16" spans="1:33">
      <c r="A16" s="165">
        <v>10</v>
      </c>
      <c r="B16" s="57" t="s">
        <v>49</v>
      </c>
      <c r="C16" s="61">
        <f>+C15/C9</f>
        <v>0.2160262866871285</v>
      </c>
      <c r="D16" s="61">
        <f t="shared" ref="D16" si="0">+D15/D9</f>
        <v>0.2160262866871285</v>
      </c>
      <c r="O16" s="57" t="s">
        <v>49</v>
      </c>
      <c r="AE16" s="57" t="s">
        <v>50</v>
      </c>
      <c r="AF16" s="57" t="s">
        <v>49</v>
      </c>
    </row>
    <row r="17" spans="1:33">
      <c r="A17" s="165">
        <v>11</v>
      </c>
      <c r="B17" s="57" t="s">
        <v>51</v>
      </c>
      <c r="C17" s="59">
        <f>C6*C43+C18</f>
        <v>679050</v>
      </c>
      <c r="D17" s="59">
        <f>SUM(C17:C17)</f>
        <v>679050</v>
      </c>
      <c r="E17" s="74"/>
      <c r="O17" s="57" t="s">
        <v>51</v>
      </c>
      <c r="AE17" s="57" t="s">
        <v>52</v>
      </c>
      <c r="AF17" s="57" t="s">
        <v>51</v>
      </c>
    </row>
    <row r="18" spans="1:33" s="51" customFormat="1">
      <c r="A18" s="165">
        <v>12</v>
      </c>
      <c r="B18" s="62" t="s">
        <v>158</v>
      </c>
      <c r="C18" s="63">
        <f>$D$18/$D$6*C6</f>
        <v>4370</v>
      </c>
      <c r="D18" s="63">
        <f>项目投资!D26</f>
        <v>4370</v>
      </c>
      <c r="E18" s="75" t="s">
        <v>159</v>
      </c>
      <c r="F18" s="75"/>
      <c r="G18" s="75"/>
    </row>
    <row r="19" spans="1:33">
      <c r="A19" s="165">
        <v>13</v>
      </c>
      <c r="B19" s="57" t="s">
        <v>53</v>
      </c>
      <c r="C19" s="59">
        <f>C6*C44</f>
        <v>88510.000000000015</v>
      </c>
      <c r="D19" s="59">
        <f>SUM(C19:C19)</f>
        <v>88510.000000000015</v>
      </c>
      <c r="E19" s="51"/>
      <c r="O19" s="57" t="s">
        <v>53</v>
      </c>
      <c r="AE19" s="57" t="s">
        <v>54</v>
      </c>
      <c r="AF19" s="57" t="s">
        <v>53</v>
      </c>
      <c r="AG19" s="53" t="s">
        <v>27</v>
      </c>
    </row>
    <row r="20" spans="1:33">
      <c r="A20" s="165">
        <v>14</v>
      </c>
      <c r="B20" s="57" t="s">
        <v>55</v>
      </c>
      <c r="C20" s="59">
        <f>C6*C45</f>
        <v>369981.3189999999</v>
      </c>
      <c r="D20" s="59">
        <f>SUM(C20:C20)</f>
        <v>369981.3189999999</v>
      </c>
      <c r="O20" s="57" t="s">
        <v>55</v>
      </c>
      <c r="AE20" s="57" t="s">
        <v>56</v>
      </c>
      <c r="AF20" s="57" t="s">
        <v>55</v>
      </c>
    </row>
    <row r="21" spans="1:33">
      <c r="A21" s="165">
        <v>15</v>
      </c>
      <c r="B21" s="57" t="s">
        <v>57</v>
      </c>
      <c r="C21" s="64">
        <f>$D$21/$D$6*C6</f>
        <v>20200</v>
      </c>
      <c r="D21" s="59">
        <f>项目投资!D27</f>
        <v>20200</v>
      </c>
      <c r="O21" s="57" t="s">
        <v>57</v>
      </c>
      <c r="AE21" s="57"/>
      <c r="AF21" s="57"/>
    </row>
    <row r="22" spans="1:33">
      <c r="A22" s="165">
        <v>16</v>
      </c>
      <c r="B22" s="57" t="s">
        <v>58</v>
      </c>
      <c r="C22" s="59">
        <f>C6*C47</f>
        <v>501000</v>
      </c>
      <c r="D22" s="59">
        <f>+SUM(C22:C22)</f>
        <v>501000</v>
      </c>
      <c r="O22" s="57" t="s">
        <v>58</v>
      </c>
      <c r="AE22" s="57" t="s">
        <v>59</v>
      </c>
      <c r="AF22" s="57" t="s">
        <v>58</v>
      </c>
    </row>
    <row r="23" spans="1:33">
      <c r="A23" s="165">
        <v>17</v>
      </c>
      <c r="B23" s="60" t="s">
        <v>60</v>
      </c>
      <c r="C23" s="64">
        <f>+C22+C21+C20+C19+C17</f>
        <v>1658741.3189999999</v>
      </c>
      <c r="D23" s="64">
        <f t="shared" ref="D23" si="1">+D22+D21+D20+D19+D17</f>
        <v>1658741.3189999999</v>
      </c>
      <c r="O23" s="60" t="s">
        <v>60</v>
      </c>
      <c r="AE23" s="57" t="s">
        <v>61</v>
      </c>
      <c r="AF23" s="60" t="s">
        <v>60</v>
      </c>
    </row>
    <row r="24" spans="1:33">
      <c r="A24" s="165">
        <v>18</v>
      </c>
      <c r="B24" s="65" t="s">
        <v>62</v>
      </c>
      <c r="C24" s="64">
        <f>+C15-C23</f>
        <v>1279703.1842049977</v>
      </c>
      <c r="D24" s="64">
        <f t="shared" ref="D24" si="2">+D15-D23</f>
        <v>1279703.1842049977</v>
      </c>
      <c r="F24" s="76"/>
      <c r="O24" s="57" t="s">
        <v>62</v>
      </c>
      <c r="AE24" s="57" t="s">
        <v>63</v>
      </c>
      <c r="AF24" s="57" t="s">
        <v>62</v>
      </c>
    </row>
    <row r="25" spans="1:33">
      <c r="A25" s="165">
        <v>19</v>
      </c>
      <c r="B25" s="57" t="s">
        <v>160</v>
      </c>
      <c r="C25" s="64">
        <f>IF(C24&lt;0,0,C24*0.25)</f>
        <v>319925.79605124943</v>
      </c>
      <c r="D25" s="64">
        <f t="shared" ref="D25" si="3">IF(D24&lt;0,0,D24*0.25)</f>
        <v>319925.79605124943</v>
      </c>
      <c r="E25" s="72"/>
      <c r="F25" s="72"/>
      <c r="G25" s="72"/>
      <c r="O25" s="57" t="s">
        <v>64</v>
      </c>
      <c r="AE25" s="57" t="s">
        <v>65</v>
      </c>
      <c r="AF25" s="57" t="s">
        <v>64</v>
      </c>
    </row>
    <row r="26" spans="1:33">
      <c r="A26" s="165">
        <v>20</v>
      </c>
      <c r="B26" s="57" t="s">
        <v>66</v>
      </c>
      <c r="C26" s="64">
        <f t="shared" ref="C26" si="4">C24-C25</f>
        <v>959777.38815374835</v>
      </c>
      <c r="D26" s="59">
        <f>+SUM(C26:C26)</f>
        <v>959777.38815374835</v>
      </c>
      <c r="E26" s="72"/>
      <c r="F26" s="72"/>
      <c r="G26" s="72"/>
      <c r="O26" s="57" t="s">
        <v>66</v>
      </c>
      <c r="AE26" s="57" t="s">
        <v>67</v>
      </c>
      <c r="AF26" s="57" t="s">
        <v>66</v>
      </c>
    </row>
    <row r="27" spans="1:33">
      <c r="A27" s="165">
        <v>21</v>
      </c>
      <c r="B27" s="57" t="s">
        <v>70</v>
      </c>
      <c r="C27" s="66">
        <f t="shared" ref="C27:D27" si="5">C26/C7</f>
        <v>5.7471699889446011E-2</v>
      </c>
      <c r="D27" s="66">
        <f t="shared" si="5"/>
        <v>5.7471699889446011E-2</v>
      </c>
      <c r="E27" s="72"/>
      <c r="F27" s="72"/>
      <c r="G27" s="72"/>
      <c r="O27" s="57" t="s">
        <v>70</v>
      </c>
      <c r="AE27" s="57" t="s">
        <v>69</v>
      </c>
      <c r="AF27" s="57" t="s">
        <v>70</v>
      </c>
    </row>
    <row r="28" spans="1:33">
      <c r="E28" s="72"/>
      <c r="F28" s="72"/>
      <c r="G28" s="72"/>
      <c r="O28" s="57"/>
    </row>
    <row r="29" spans="1:33">
      <c r="A29" s="53" t="s">
        <v>71</v>
      </c>
      <c r="D29" s="54" t="s">
        <v>161</v>
      </c>
      <c r="E29" s="72"/>
      <c r="F29" s="72"/>
      <c r="G29" s="72"/>
      <c r="O29" s="57"/>
      <c r="AE29" s="53" t="s">
        <v>71</v>
      </c>
    </row>
    <row r="30" spans="1:33">
      <c r="A30" s="57" t="s">
        <v>76</v>
      </c>
      <c r="B30" s="60" t="s">
        <v>77</v>
      </c>
      <c r="C30" s="64"/>
      <c r="D30" s="64"/>
      <c r="E30" s="72"/>
      <c r="F30" s="72"/>
      <c r="G30" s="72"/>
      <c r="I30" s="72"/>
      <c r="O30" s="60" t="s">
        <v>77</v>
      </c>
      <c r="AE30" s="57" t="s">
        <v>78</v>
      </c>
      <c r="AF30" s="60" t="s">
        <v>77</v>
      </c>
    </row>
    <row r="31" spans="1:33">
      <c r="A31" s="165">
        <v>1</v>
      </c>
      <c r="B31" s="62" t="s">
        <v>79</v>
      </c>
      <c r="C31" s="68">
        <f>销量!C8</f>
        <v>1670</v>
      </c>
      <c r="D31" s="64"/>
      <c r="E31" s="72"/>
      <c r="F31" s="72"/>
      <c r="G31" s="72"/>
      <c r="I31" s="72"/>
      <c r="O31" s="57" t="s">
        <v>79</v>
      </c>
      <c r="AE31" s="57" t="s">
        <v>29</v>
      </c>
      <c r="AF31" s="57" t="s">
        <v>79</v>
      </c>
    </row>
    <row r="32" spans="1:33">
      <c r="A32" s="165">
        <v>2</v>
      </c>
      <c r="B32" s="57" t="s">
        <v>162</v>
      </c>
      <c r="C32" s="59">
        <f>C9/C6</f>
        <v>1360.2254374999998</v>
      </c>
      <c r="D32" s="64"/>
      <c r="E32" s="72"/>
      <c r="F32" s="72"/>
      <c r="G32" s="72"/>
      <c r="H32" s="72"/>
      <c r="I32" s="72"/>
      <c r="J32" s="72"/>
      <c r="K32" s="72"/>
      <c r="AE32" s="57"/>
      <c r="AF32" s="57"/>
    </row>
    <row r="33" spans="1:32">
      <c r="A33" s="165">
        <v>3</v>
      </c>
      <c r="B33" s="62" t="s">
        <v>80</v>
      </c>
      <c r="C33" s="59">
        <f>材料成本!I20</f>
        <v>904.72498717949998</v>
      </c>
      <c r="D33" s="64"/>
      <c r="F33" s="72"/>
      <c r="G33" s="72"/>
      <c r="H33" s="72"/>
      <c r="I33" s="72"/>
      <c r="J33" s="72"/>
      <c r="K33" s="72"/>
      <c r="O33" s="57" t="s">
        <v>80</v>
      </c>
      <c r="AE33" s="57" t="s">
        <v>31</v>
      </c>
      <c r="AF33" s="57" t="s">
        <v>80</v>
      </c>
    </row>
    <row r="34" spans="1:32" ht="17.25" customHeight="1">
      <c r="A34" s="165">
        <v>4</v>
      </c>
      <c r="B34" s="57" t="s">
        <v>82</v>
      </c>
      <c r="C34" s="69">
        <f>C32-C33</f>
        <v>455.50045032049979</v>
      </c>
      <c r="D34" s="64"/>
      <c r="F34" s="72"/>
      <c r="G34" s="72"/>
      <c r="H34" s="72"/>
      <c r="I34" s="72"/>
      <c r="J34" s="72"/>
      <c r="K34" s="72"/>
      <c r="O34" s="57" t="s">
        <v>82</v>
      </c>
      <c r="AE34" s="57" t="s">
        <v>81</v>
      </c>
      <c r="AF34" s="57" t="s">
        <v>82</v>
      </c>
    </row>
    <row r="35" spans="1:32">
      <c r="A35" s="57" t="s">
        <v>78</v>
      </c>
      <c r="B35" s="60" t="s">
        <v>10</v>
      </c>
      <c r="C35" s="64"/>
      <c r="D35" s="6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60" t="s">
        <v>10</v>
      </c>
      <c r="AE35" s="57" t="s">
        <v>84</v>
      </c>
      <c r="AF35" s="60" t="s">
        <v>10</v>
      </c>
    </row>
    <row r="36" spans="1:32">
      <c r="A36" s="165">
        <v>1</v>
      </c>
      <c r="B36" s="57" t="s">
        <v>85</v>
      </c>
      <c r="C36" s="63">
        <f>标准成本!E4</f>
        <v>71.977000000000004</v>
      </c>
      <c r="D36" s="6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7" t="s">
        <v>85</v>
      </c>
      <c r="AE36" s="57" t="s">
        <v>81</v>
      </c>
      <c r="AF36" s="57" t="s">
        <v>85</v>
      </c>
    </row>
    <row r="37" spans="1:32">
      <c r="A37" s="165">
        <v>2</v>
      </c>
      <c r="B37" s="57" t="s">
        <v>86</v>
      </c>
      <c r="C37" s="63">
        <f>标准成本!E6</f>
        <v>36.239000000000004</v>
      </c>
      <c r="D37" s="6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7" t="s">
        <v>86</v>
      </c>
      <c r="AE37" s="57" t="s">
        <v>34</v>
      </c>
      <c r="AF37" s="57" t="s">
        <v>86</v>
      </c>
    </row>
    <row r="38" spans="1:32">
      <c r="A38" s="165">
        <v>3</v>
      </c>
      <c r="B38" s="57" t="s">
        <v>87</v>
      </c>
      <c r="C38" s="63">
        <f>标准成本!E10</f>
        <v>53.44</v>
      </c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7" t="s">
        <v>87</v>
      </c>
      <c r="AE38" s="57" t="s">
        <v>40</v>
      </c>
      <c r="AF38" s="57" t="s">
        <v>87</v>
      </c>
    </row>
    <row r="39" spans="1:32">
      <c r="A39" s="57" t="s">
        <v>84</v>
      </c>
      <c r="B39" s="60" t="s">
        <v>89</v>
      </c>
      <c r="C39" s="64"/>
      <c r="D39" s="64"/>
      <c r="O39" s="60" t="s">
        <v>89</v>
      </c>
      <c r="AE39" s="57" t="s">
        <v>88</v>
      </c>
      <c r="AF39" s="60" t="s">
        <v>89</v>
      </c>
    </row>
    <row r="40" spans="1:32">
      <c r="A40" s="165">
        <v>1</v>
      </c>
      <c r="B40" s="57" t="s">
        <v>91</v>
      </c>
      <c r="C40" s="64">
        <f>C34-C36-C37-C38</f>
        <v>293.84445032049979</v>
      </c>
      <c r="D40" s="64"/>
      <c r="O40" s="57" t="s">
        <v>91</v>
      </c>
      <c r="AE40" s="57" t="s">
        <v>29</v>
      </c>
      <c r="AF40" s="57" t="s">
        <v>91</v>
      </c>
    </row>
    <row r="41" spans="1:32">
      <c r="A41" s="165">
        <v>2</v>
      </c>
      <c r="B41" s="57" t="s">
        <v>92</v>
      </c>
      <c r="C41" s="64"/>
      <c r="D41" s="64"/>
      <c r="O41" s="57" t="s">
        <v>92</v>
      </c>
      <c r="AE41" s="57" t="s">
        <v>31</v>
      </c>
      <c r="AF41" s="57" t="s">
        <v>92</v>
      </c>
    </row>
    <row r="42" spans="1:32">
      <c r="A42" s="57" t="s">
        <v>88</v>
      </c>
      <c r="B42" s="60" t="s">
        <v>94</v>
      </c>
      <c r="C42" s="64"/>
      <c r="D42" s="64"/>
      <c r="O42" s="60" t="s">
        <v>94</v>
      </c>
      <c r="AE42" s="57" t="s">
        <v>93</v>
      </c>
      <c r="AF42" s="60" t="s">
        <v>94</v>
      </c>
    </row>
    <row r="43" spans="1:32">
      <c r="A43" s="165">
        <v>1</v>
      </c>
      <c r="B43" s="65" t="s">
        <v>95</v>
      </c>
      <c r="C43" s="63">
        <f>标准成本!E5</f>
        <v>67.468000000000004</v>
      </c>
      <c r="D43" s="64"/>
      <c r="O43" s="57" t="s">
        <v>95</v>
      </c>
      <c r="AE43" s="57" t="s">
        <v>29</v>
      </c>
      <c r="AF43" s="57" t="s">
        <v>95</v>
      </c>
    </row>
    <row r="44" spans="1:32">
      <c r="A44" s="165">
        <v>2</v>
      </c>
      <c r="B44" s="65" t="s">
        <v>96</v>
      </c>
      <c r="C44" s="63">
        <f>标准成本!E9</f>
        <v>8.8510000000000009</v>
      </c>
      <c r="D44" s="64"/>
      <c r="O44" s="57" t="s">
        <v>96</v>
      </c>
      <c r="AE44" s="57" t="s">
        <v>31</v>
      </c>
      <c r="AF44" s="57" t="s">
        <v>96</v>
      </c>
    </row>
    <row r="45" spans="1:32">
      <c r="A45" s="165">
        <v>3</v>
      </c>
      <c r="B45" s="65" t="s">
        <v>97</v>
      </c>
      <c r="C45" s="63">
        <f>C32*0.0272</f>
        <v>36.99813189999999</v>
      </c>
      <c r="D45" s="64"/>
      <c r="O45" s="57" t="s">
        <v>97</v>
      </c>
      <c r="AE45" s="57" t="s">
        <v>81</v>
      </c>
      <c r="AF45" s="57" t="s">
        <v>97</v>
      </c>
    </row>
    <row r="46" spans="1:32" s="52" customFormat="1">
      <c r="A46" s="165">
        <v>4</v>
      </c>
      <c r="B46" s="65" t="s">
        <v>98</v>
      </c>
      <c r="C46" s="70">
        <f>C21/C6</f>
        <v>2.02</v>
      </c>
      <c r="D46" s="70"/>
      <c r="O46" s="65" t="s">
        <v>100</v>
      </c>
      <c r="AE46" s="65" t="s">
        <v>37</v>
      </c>
      <c r="AF46" s="65" t="s">
        <v>100</v>
      </c>
    </row>
    <row r="47" spans="1:32" s="52" customFormat="1">
      <c r="A47" s="165">
        <v>5</v>
      </c>
      <c r="B47" s="65" t="s">
        <v>100</v>
      </c>
      <c r="C47" s="70">
        <f>标准成本!E11</f>
        <v>50.1</v>
      </c>
      <c r="D47" s="70"/>
      <c r="O47" s="65" t="s">
        <v>100</v>
      </c>
      <c r="AE47" s="65" t="s">
        <v>37</v>
      </c>
      <c r="AF47" s="65" t="s">
        <v>100</v>
      </c>
    </row>
    <row r="48" spans="1:32">
      <c r="A48" s="57" t="s">
        <v>93</v>
      </c>
      <c r="B48" s="60" t="s">
        <v>111</v>
      </c>
      <c r="C48" s="64">
        <f>C40-C43-C44-C45-C47-C46</f>
        <v>128.40731842049979</v>
      </c>
      <c r="D48" s="64"/>
      <c r="O48" s="60" t="s">
        <v>111</v>
      </c>
      <c r="AE48" s="57" t="s">
        <v>110</v>
      </c>
      <c r="AF48" s="60" t="s">
        <v>111</v>
      </c>
    </row>
    <row r="51" spans="2:9">
      <c r="C51" s="71"/>
    </row>
    <row r="54" spans="2:9">
      <c r="B54" s="72"/>
      <c r="C54" s="73"/>
      <c r="D54" s="73"/>
      <c r="E54" s="72"/>
      <c r="F54" s="72"/>
      <c r="G54" s="72"/>
      <c r="H54" s="72"/>
      <c r="I54" s="72"/>
    </row>
    <row r="55" spans="2:9">
      <c r="B55" s="72"/>
      <c r="C55" s="73"/>
      <c r="D55" s="73"/>
      <c r="E55" s="72"/>
      <c r="F55" s="72"/>
      <c r="G55" s="72"/>
      <c r="H55" s="72"/>
      <c r="I55" s="72"/>
    </row>
    <row r="56" spans="2:9">
      <c r="B56" s="72"/>
      <c r="C56" s="73"/>
      <c r="D56" s="73"/>
      <c r="E56" s="72"/>
      <c r="F56" s="72"/>
      <c r="G56" s="72"/>
      <c r="H56" s="72"/>
      <c r="I56" s="72"/>
    </row>
    <row r="57" spans="2:9">
      <c r="B57" s="72"/>
      <c r="C57" s="73"/>
      <c r="D57" s="73"/>
      <c r="E57" s="72"/>
      <c r="F57" s="72"/>
      <c r="G57" s="72"/>
      <c r="H57" s="72"/>
      <c r="I57" s="72"/>
    </row>
    <row r="58" spans="2:9">
      <c r="B58" s="72"/>
      <c r="C58" s="73"/>
      <c r="D58" s="73"/>
      <c r="E58" s="72"/>
      <c r="F58" s="72"/>
      <c r="G58" s="72"/>
      <c r="H58" s="72"/>
      <c r="I58" s="72"/>
    </row>
    <row r="59" spans="2:9">
      <c r="B59" s="72"/>
      <c r="C59" s="73"/>
      <c r="D59" s="73"/>
      <c r="E59" s="72"/>
      <c r="F59" s="72"/>
      <c r="G59" s="72"/>
      <c r="H59" s="72"/>
      <c r="I59" s="72"/>
    </row>
    <row r="60" spans="2:9">
      <c r="B60" s="72"/>
      <c r="C60" s="73"/>
      <c r="D60" s="73"/>
      <c r="E60" s="72"/>
      <c r="F60" s="72"/>
      <c r="G60" s="72"/>
      <c r="H60" s="72"/>
      <c r="I60" s="72"/>
    </row>
    <row r="61" spans="2:9">
      <c r="B61" s="72"/>
      <c r="C61" s="73"/>
      <c r="D61" s="73"/>
      <c r="E61" s="72"/>
      <c r="F61" s="72"/>
      <c r="G61" s="72"/>
      <c r="H61" s="72"/>
      <c r="I61" s="72"/>
    </row>
    <row r="62" spans="2:9">
      <c r="B62" s="72"/>
      <c r="C62" s="73"/>
      <c r="D62" s="73"/>
      <c r="E62" s="72"/>
      <c r="F62" s="72"/>
      <c r="G62" s="72"/>
      <c r="H62" s="72"/>
      <c r="I62" s="72"/>
    </row>
    <row r="63" spans="2:9">
      <c r="B63" s="72"/>
      <c r="C63" s="73"/>
      <c r="D63" s="73"/>
      <c r="E63" s="72"/>
      <c r="F63" s="72"/>
      <c r="G63" s="72"/>
      <c r="H63" s="72"/>
      <c r="I63" s="72"/>
    </row>
    <row r="64" spans="2:9">
      <c r="B64" s="72"/>
      <c r="C64" s="73"/>
      <c r="D64" s="73"/>
      <c r="E64" s="72"/>
      <c r="F64" s="72"/>
      <c r="G64" s="72"/>
      <c r="H64" s="72"/>
      <c r="I64" s="72"/>
    </row>
    <row r="65" spans="2:9">
      <c r="B65" s="72"/>
      <c r="C65" s="73"/>
      <c r="D65" s="73"/>
      <c r="E65" s="72"/>
      <c r="F65" s="72"/>
      <c r="G65" s="72"/>
      <c r="H65" s="72"/>
      <c r="I65" s="72"/>
    </row>
    <row r="66" spans="2:9">
      <c r="B66" s="72"/>
      <c r="C66" s="73"/>
      <c r="D66" s="73"/>
      <c r="E66" s="72"/>
      <c r="F66" s="72"/>
      <c r="G66" s="72"/>
      <c r="H66" s="72"/>
      <c r="I66" s="72"/>
    </row>
    <row r="67" spans="2:9">
      <c r="B67" s="72"/>
      <c r="C67" s="73"/>
      <c r="D67" s="73"/>
      <c r="E67" s="72"/>
    </row>
    <row r="68" spans="2:9">
      <c r="B68" s="72"/>
      <c r="C68" s="73"/>
      <c r="D68" s="73"/>
      <c r="E68" s="72"/>
    </row>
    <row r="69" spans="2:9">
      <c r="B69" s="72"/>
      <c r="C69" s="73"/>
      <c r="D69" s="73"/>
      <c r="E69" s="72"/>
    </row>
    <row r="70" spans="2:9">
      <c r="B70" s="72"/>
      <c r="C70" s="73"/>
      <c r="D70" s="73"/>
      <c r="E70" s="72"/>
    </row>
    <row r="71" spans="2:9">
      <c r="B71" s="72"/>
      <c r="C71" s="73"/>
      <c r="D71" s="73"/>
      <c r="E71" s="72"/>
    </row>
    <row r="72" spans="2:9">
      <c r="B72" s="72"/>
      <c r="C72" s="73"/>
      <c r="D72" s="73"/>
      <c r="E72" s="72"/>
    </row>
    <row r="73" spans="2:9">
      <c r="B73" s="72"/>
      <c r="C73" s="73"/>
      <c r="D73" s="73"/>
      <c r="E73" s="72"/>
    </row>
    <row r="74" spans="2:9">
      <c r="B74" s="72"/>
      <c r="C74" s="73"/>
      <c r="D74" s="73"/>
      <c r="E74" s="72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9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20.625" customWidth="1"/>
    <col min="2" max="2" width="14.25" style="30" customWidth="1"/>
    <col min="3" max="3" width="13.125" customWidth="1"/>
    <col min="4" max="8" width="14.5" customWidth="1"/>
    <col min="9" max="9" width="24.75" customWidth="1"/>
    <col min="10" max="10" width="14.125" customWidth="1"/>
  </cols>
  <sheetData>
    <row r="1" spans="1:8" ht="20.25">
      <c r="A1" s="195" t="s">
        <v>163</v>
      </c>
      <c r="B1" s="195"/>
      <c r="C1" s="195"/>
      <c r="E1" s="196" t="s">
        <v>268</v>
      </c>
      <c r="F1" s="197"/>
      <c r="G1" s="197"/>
      <c r="H1" s="198"/>
    </row>
    <row r="2" spans="1:8" ht="23.45" customHeight="1">
      <c r="A2" s="31" t="s">
        <v>1</v>
      </c>
      <c r="B2" s="32" t="s">
        <v>164</v>
      </c>
      <c r="C2" s="33" t="s">
        <v>165</v>
      </c>
      <c r="E2" s="1" t="s">
        <v>166</v>
      </c>
      <c r="F2" s="1" t="s">
        <v>1</v>
      </c>
      <c r="G2" s="34" t="s">
        <v>167</v>
      </c>
      <c r="H2" s="1" t="s">
        <v>165</v>
      </c>
    </row>
    <row r="3" spans="1:8" ht="15.75" customHeight="1">
      <c r="A3" s="35" t="s">
        <v>168</v>
      </c>
      <c r="B3" s="36"/>
      <c r="C3" s="37"/>
      <c r="E3" s="203" t="s">
        <v>169</v>
      </c>
      <c r="F3" s="2" t="s">
        <v>170</v>
      </c>
      <c r="G3" s="38"/>
      <c r="H3" s="2"/>
    </row>
    <row r="4" spans="1:8" ht="15.75" customHeight="1">
      <c r="A4" s="35" t="s">
        <v>171</v>
      </c>
      <c r="B4" s="36"/>
      <c r="C4" s="39"/>
      <c r="E4" s="204"/>
      <c r="F4" s="2" t="s">
        <v>172</v>
      </c>
      <c r="G4" s="38"/>
      <c r="H4" s="2"/>
    </row>
    <row r="5" spans="1:8" ht="15.75" customHeight="1">
      <c r="A5" s="35" t="s">
        <v>173</v>
      </c>
      <c r="B5" s="40">
        <f>SUM(G3:G4)</f>
        <v>0</v>
      </c>
      <c r="C5" s="37"/>
      <c r="E5" s="205" t="s">
        <v>174</v>
      </c>
      <c r="F5" s="41" t="s">
        <v>175</v>
      </c>
      <c r="G5" s="38"/>
      <c r="H5" s="41"/>
    </row>
    <row r="6" spans="1:8" ht="15.75" customHeight="1">
      <c r="A6" s="35" t="s">
        <v>176</v>
      </c>
      <c r="B6" s="36"/>
      <c r="C6" s="37"/>
      <c r="E6" s="206"/>
      <c r="F6" s="41" t="s">
        <v>177</v>
      </c>
      <c r="G6" s="38">
        <v>0.8</v>
      </c>
      <c r="H6" s="2"/>
    </row>
    <row r="7" spans="1:8" ht="15.75" customHeight="1">
      <c r="A7" s="42" t="s">
        <v>178</v>
      </c>
      <c r="B7" s="40">
        <f>SUM(B3:B6)</f>
        <v>0</v>
      </c>
      <c r="C7" s="37"/>
      <c r="E7" s="206"/>
      <c r="F7" s="41" t="s">
        <v>179</v>
      </c>
      <c r="G7" s="38">
        <v>0.5</v>
      </c>
      <c r="H7" s="2"/>
    </row>
    <row r="8" spans="1:8" ht="15.75" customHeight="1">
      <c r="A8" s="43" t="s">
        <v>180</v>
      </c>
      <c r="B8" s="40">
        <f>SUM(G5:G12)</f>
        <v>2.2999999999999998</v>
      </c>
      <c r="C8" s="44"/>
      <c r="E8" s="206"/>
      <c r="F8" s="41" t="s">
        <v>181</v>
      </c>
      <c r="G8" s="38">
        <v>0</v>
      </c>
      <c r="H8" s="2"/>
    </row>
    <row r="9" spans="1:8" ht="15.75" customHeight="1">
      <c r="A9" s="35" t="s">
        <v>182</v>
      </c>
      <c r="B9" s="40">
        <f>SUM(G13:G21)</f>
        <v>10.1</v>
      </c>
      <c r="C9" s="37"/>
      <c r="E9" s="206"/>
      <c r="F9" s="2" t="s">
        <v>183</v>
      </c>
      <c r="G9" s="38">
        <v>1</v>
      </c>
      <c r="H9" s="167"/>
    </row>
    <row r="10" spans="1:8" ht="15.75" customHeight="1">
      <c r="A10" s="39" t="s">
        <v>25</v>
      </c>
      <c r="B10" s="40">
        <f>B7+B8+B9</f>
        <v>12.399999999999999</v>
      </c>
      <c r="C10" s="37"/>
      <c r="E10" s="206"/>
      <c r="F10" s="2" t="s">
        <v>184</v>
      </c>
      <c r="G10" s="38">
        <v>0</v>
      </c>
      <c r="H10" s="2"/>
    </row>
    <row r="11" spans="1:8" ht="15.75" customHeight="1">
      <c r="E11" s="206"/>
      <c r="F11" s="2" t="s">
        <v>185</v>
      </c>
      <c r="G11" s="38">
        <v>0</v>
      </c>
      <c r="H11" s="2"/>
    </row>
    <row r="12" spans="1:8" ht="15.75" customHeight="1">
      <c r="E12" s="207"/>
      <c r="F12" s="2" t="s">
        <v>186</v>
      </c>
      <c r="G12" s="38" t="s">
        <v>132</v>
      </c>
      <c r="H12" s="167"/>
    </row>
    <row r="13" spans="1:8" ht="15.75" customHeight="1">
      <c r="E13" s="203" t="s">
        <v>57</v>
      </c>
      <c r="F13" s="2" t="s">
        <v>187</v>
      </c>
      <c r="G13" s="38">
        <v>6</v>
      </c>
      <c r="H13" s="45"/>
    </row>
    <row r="14" spans="1:8" ht="15.75" customHeight="1">
      <c r="E14" s="204"/>
      <c r="F14" s="2" t="s">
        <v>188</v>
      </c>
      <c r="G14" s="38">
        <v>0.6</v>
      </c>
      <c r="H14" s="2"/>
    </row>
    <row r="15" spans="1:8" ht="15.75" customHeight="1">
      <c r="E15" s="204"/>
      <c r="F15" s="2" t="s">
        <v>189</v>
      </c>
      <c r="G15" s="38">
        <v>0</v>
      </c>
      <c r="H15" s="2"/>
    </row>
    <row r="16" spans="1:8" ht="15.75" customHeight="1">
      <c r="E16" s="204"/>
      <c r="F16" s="2" t="s">
        <v>190</v>
      </c>
      <c r="G16" s="38">
        <v>0.5</v>
      </c>
      <c r="H16" s="2"/>
    </row>
    <row r="17" spans="1:10" ht="15.75" customHeight="1">
      <c r="E17" s="204"/>
      <c r="F17" s="2" t="s">
        <v>191</v>
      </c>
      <c r="G17" s="38">
        <v>0.5</v>
      </c>
      <c r="H17" s="2"/>
    </row>
    <row r="18" spans="1:10" ht="15.75" customHeight="1">
      <c r="E18" s="204"/>
      <c r="F18" s="2" t="s">
        <v>192</v>
      </c>
      <c r="G18" s="38">
        <v>2</v>
      </c>
      <c r="H18" s="2"/>
    </row>
    <row r="19" spans="1:10" ht="15.75" customHeight="1">
      <c r="E19" s="204"/>
      <c r="F19" s="2" t="s">
        <v>193</v>
      </c>
      <c r="G19" s="38">
        <v>0.5</v>
      </c>
      <c r="H19" s="2"/>
    </row>
    <row r="20" spans="1:10" ht="15.75" customHeight="1">
      <c r="E20" s="204"/>
      <c r="F20" s="2" t="s">
        <v>194</v>
      </c>
      <c r="G20" s="38"/>
      <c r="H20" s="2"/>
    </row>
    <row r="21" spans="1:10" ht="15.75" customHeight="1">
      <c r="E21" s="208"/>
      <c r="F21" s="2" t="s">
        <v>139</v>
      </c>
      <c r="G21" s="38"/>
      <c r="H21" s="2"/>
    </row>
    <row r="22" spans="1:10" ht="15.75" customHeight="1">
      <c r="E22" s="1" t="s">
        <v>25</v>
      </c>
      <c r="F22" s="2"/>
      <c r="G22" s="34">
        <f>SUM(G3:G21)</f>
        <v>12.4</v>
      </c>
      <c r="H22" s="2"/>
    </row>
    <row r="23" spans="1:10" ht="30.75" customHeight="1">
      <c r="E23" s="199" t="s">
        <v>195</v>
      </c>
      <c r="F23" s="199"/>
      <c r="G23" s="199"/>
      <c r="H23" s="199"/>
    </row>
    <row r="25" spans="1:10" ht="17.25">
      <c r="A25" s="19" t="s">
        <v>1</v>
      </c>
      <c r="B25" s="19" t="s">
        <v>164</v>
      </c>
      <c r="C25" s="19" t="s">
        <v>196</v>
      </c>
      <c r="D25" s="24" t="s">
        <v>20</v>
      </c>
      <c r="E25" s="24" t="s">
        <v>21</v>
      </c>
      <c r="F25" s="24" t="s">
        <v>197</v>
      </c>
      <c r="G25" s="24" t="s">
        <v>198</v>
      </c>
      <c r="H25" s="24" t="s">
        <v>199</v>
      </c>
      <c r="I25" s="24" t="s">
        <v>25</v>
      </c>
      <c r="J25" s="49" t="s">
        <v>200</v>
      </c>
    </row>
    <row r="26" spans="1:10" ht="16.5">
      <c r="A26" s="46" t="s">
        <v>158</v>
      </c>
      <c r="B26" s="47">
        <f>(B5+B8)*10000</f>
        <v>23000</v>
      </c>
      <c r="C26" s="48">
        <v>0.05</v>
      </c>
      <c r="D26" s="13">
        <f>B26*(1-C26)/5</f>
        <v>4370</v>
      </c>
      <c r="E26" s="13">
        <f t="shared" ref="E26:H27" si="0">D26</f>
        <v>4370</v>
      </c>
      <c r="F26" s="13">
        <f t="shared" si="0"/>
        <v>4370</v>
      </c>
      <c r="G26" s="13">
        <f t="shared" si="0"/>
        <v>4370</v>
      </c>
      <c r="H26" s="13">
        <f t="shared" si="0"/>
        <v>4370</v>
      </c>
      <c r="I26" s="13">
        <f>SUM(D26:H26)</f>
        <v>21850</v>
      </c>
      <c r="J26" s="13">
        <f>B26*0.05</f>
        <v>1150</v>
      </c>
    </row>
    <row r="27" spans="1:10" ht="16.5">
      <c r="A27" s="46" t="s">
        <v>201</v>
      </c>
      <c r="B27" s="47">
        <f>B9*10000</f>
        <v>101000</v>
      </c>
      <c r="C27" s="13"/>
      <c r="D27" s="13">
        <f>B27/5</f>
        <v>20200</v>
      </c>
      <c r="E27" s="13">
        <f t="shared" si="0"/>
        <v>20200</v>
      </c>
      <c r="F27" s="13">
        <f t="shared" si="0"/>
        <v>20200</v>
      </c>
      <c r="G27" s="13">
        <f t="shared" si="0"/>
        <v>20200</v>
      </c>
      <c r="H27" s="13">
        <f t="shared" si="0"/>
        <v>20200</v>
      </c>
      <c r="I27" s="13">
        <f>SUM(D27:H27)</f>
        <v>101000</v>
      </c>
      <c r="J27" s="13"/>
    </row>
    <row r="28" spans="1:10" ht="16.5">
      <c r="A28" s="200" t="s">
        <v>119</v>
      </c>
      <c r="B28" s="201"/>
      <c r="C28" s="202"/>
      <c r="D28" s="13">
        <f>SUM(D26:D27)</f>
        <v>24570</v>
      </c>
      <c r="E28" s="13">
        <f t="shared" ref="E28:H28" si="1">SUM(E26:E27)</f>
        <v>24570</v>
      </c>
      <c r="F28" s="13">
        <f t="shared" si="1"/>
        <v>24570</v>
      </c>
      <c r="G28" s="13">
        <f t="shared" si="1"/>
        <v>24570</v>
      </c>
      <c r="H28" s="13">
        <f t="shared" si="1"/>
        <v>24570</v>
      </c>
      <c r="I28" s="50"/>
      <c r="J28" s="5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2021年</vt:lpstr>
      <vt:lpstr>2022年</vt:lpstr>
      <vt:lpstr>2023年</vt:lpstr>
      <vt:lpstr>2024年</vt:lpstr>
      <vt:lpstr>2025年</vt:lpstr>
      <vt:lpstr>项目投资</vt:lpstr>
      <vt:lpstr>销量</vt:lpstr>
      <vt:lpstr>材料成本</vt:lpstr>
      <vt:lpstr>其他</vt:lpstr>
      <vt:lpstr>标准成本</vt:lpstr>
      <vt:lpstr>'2021年'!Print_Area</vt:lpstr>
      <vt:lpstr>'2022年'!Print_Area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李伟青</cp:lastModifiedBy>
  <dcterms:created xsi:type="dcterms:W3CDTF">2006-09-13T11:21:00Z</dcterms:created>
  <dcterms:modified xsi:type="dcterms:W3CDTF">2021-07-05T02:14:54Z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