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525" windowHeight="6540" tabRatio="810" activeTab="13"/>
  </bookViews>
  <sheets>
    <sheet name="假设条件" sheetId="34" r:id="rId1"/>
    <sheet name="损益表" sheetId="2" r:id="rId2"/>
    <sheet name="现金" sheetId="36" state="hidden" r:id="rId3"/>
    <sheet name="2021年" sheetId="43" state="hidden" r:id="rId4"/>
    <sheet name="2022年" sheetId="56" r:id="rId5"/>
    <sheet name="2023年" sheetId="57" r:id="rId6"/>
    <sheet name="2024年" sheetId="58" r:id="rId7"/>
    <sheet name="2025年" sheetId="59" r:id="rId8"/>
    <sheet name="2026年" sheetId="60" state="hidden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  <externalReference r:id="rId16"/>
  </externalReferences>
  <definedNames>
    <definedName name="_xlnm.Print_Area" localSheetId="3">'2021年'!$A$1:$H$48</definedName>
    <definedName name="_xlnm.Print_Area" localSheetId="4">'2022年'!$A$1:$H$48</definedName>
    <definedName name="_xlnm.Print_Area" localSheetId="5">'2023年'!$A$1:$H$48</definedName>
    <definedName name="_xlnm.Print_Area" localSheetId="6">'2024年'!$A$1:$H$48</definedName>
    <definedName name="_xlnm.Print_Area" localSheetId="7">'2025年'!$A$1:$H$48</definedName>
    <definedName name="_xlnm.Print_Area" localSheetId="8">'2026年'!$A$1:$H$48</definedName>
    <definedName name="_xlnm.Print_Area" localSheetId="1">损益表!$A$1:$I$61</definedName>
    <definedName name="_xlnm.Print_Area" localSheetId="9">项目投资!$A$1:$C$35</definedName>
  </definedNames>
  <calcPr calcId="145621"/>
</workbook>
</file>

<file path=xl/calcChain.xml><?xml version="1.0" encoding="utf-8"?>
<calcChain xmlns="http://schemas.openxmlformats.org/spreadsheetml/2006/main">
  <c r="D33" i="59" l="1"/>
  <c r="E33" i="59"/>
  <c r="C33" i="59"/>
  <c r="D10" i="59"/>
  <c r="E10" i="59"/>
  <c r="C10" i="59"/>
  <c r="D33" i="58"/>
  <c r="E33" i="58"/>
  <c r="C33" i="58"/>
  <c r="D10" i="58"/>
  <c r="E10" i="58"/>
  <c r="C10" i="58"/>
  <c r="D33" i="57"/>
  <c r="E33" i="57"/>
  <c r="C33" i="57"/>
  <c r="D10" i="57"/>
  <c r="E10" i="57"/>
  <c r="C10" i="57"/>
  <c r="D33" i="56"/>
  <c r="E33" i="56"/>
  <c r="C33" i="56"/>
  <c r="D10" i="56"/>
  <c r="E10" i="56"/>
  <c r="C10" i="56"/>
  <c r="I23" i="50"/>
  <c r="I36" i="50"/>
  <c r="I10" i="50"/>
  <c r="E29" i="53"/>
  <c r="F29" i="53" s="1"/>
  <c r="G29" i="53" s="1"/>
  <c r="H29" i="53" s="1"/>
  <c r="D8" i="55"/>
  <c r="E11" i="55"/>
  <c r="E12" i="55"/>
  <c r="E13" i="55"/>
  <c r="E10" i="55"/>
  <c r="E38" i="59" l="1"/>
  <c r="E37" i="59"/>
  <c r="D37" i="59"/>
  <c r="C37" i="59"/>
  <c r="E36" i="59"/>
  <c r="D36" i="59"/>
  <c r="C36" i="59"/>
  <c r="E45" i="59"/>
  <c r="C45" i="59"/>
  <c r="E44" i="59"/>
  <c r="D44" i="59"/>
  <c r="C44" i="59"/>
  <c r="E43" i="59"/>
  <c r="D43" i="59"/>
  <c r="C43" i="59"/>
  <c r="E45" i="58"/>
  <c r="C45" i="58"/>
  <c r="E44" i="58"/>
  <c r="D44" i="58"/>
  <c r="C44" i="58"/>
  <c r="E43" i="58"/>
  <c r="D43" i="58"/>
  <c r="C43" i="58"/>
  <c r="E38" i="58"/>
  <c r="E37" i="58"/>
  <c r="D37" i="58"/>
  <c r="C37" i="58"/>
  <c r="E36" i="58"/>
  <c r="D36" i="58"/>
  <c r="C36" i="58"/>
  <c r="E45" i="57"/>
  <c r="C45" i="57"/>
  <c r="E44" i="57"/>
  <c r="D44" i="57"/>
  <c r="C44" i="57"/>
  <c r="E43" i="57"/>
  <c r="D43" i="57"/>
  <c r="C43" i="57"/>
  <c r="E38" i="57"/>
  <c r="E37" i="57"/>
  <c r="D37" i="57"/>
  <c r="C37" i="57"/>
  <c r="E36" i="57"/>
  <c r="D36" i="57"/>
  <c r="C36" i="57"/>
  <c r="E45" i="56"/>
  <c r="E44" i="56"/>
  <c r="E43" i="56"/>
  <c r="E37" i="56"/>
  <c r="E36" i="56"/>
  <c r="E31" i="50"/>
  <c r="E32" i="50"/>
  <c r="E33" i="50"/>
  <c r="E34" i="50"/>
  <c r="E35" i="50"/>
  <c r="E36" i="50"/>
  <c r="E38" i="56" s="1"/>
  <c r="E37" i="50"/>
  <c r="E30" i="50"/>
  <c r="E17" i="50"/>
  <c r="E4" i="50"/>
  <c r="I34" i="50"/>
  <c r="H34" i="50"/>
  <c r="I33" i="50"/>
  <c r="H33" i="50"/>
  <c r="I21" i="50"/>
  <c r="I20" i="50"/>
  <c r="D6" i="60"/>
  <c r="E6" i="60"/>
  <c r="C6" i="60"/>
  <c r="E33" i="60"/>
  <c r="D33" i="60"/>
  <c r="C33" i="60"/>
  <c r="G32" i="60"/>
  <c r="F32" i="60"/>
  <c r="G31" i="60"/>
  <c r="F31" i="60"/>
  <c r="E31" i="60"/>
  <c r="E32" i="60" s="1"/>
  <c r="E34" i="60" s="1"/>
  <c r="D31" i="60"/>
  <c r="C31" i="60"/>
  <c r="H21" i="60"/>
  <c r="H18" i="60"/>
  <c r="G7" i="60"/>
  <c r="G9" i="60" s="1"/>
  <c r="D7" i="60"/>
  <c r="G6" i="60"/>
  <c r="F6" i="60"/>
  <c r="G4" i="60"/>
  <c r="F4" i="60"/>
  <c r="E4" i="60"/>
  <c r="D4" i="60"/>
  <c r="C4" i="60"/>
  <c r="G3" i="60"/>
  <c r="F3" i="60"/>
  <c r="E3" i="60"/>
  <c r="D3" i="60"/>
  <c r="C3" i="60"/>
  <c r="E6" i="59"/>
  <c r="E6" i="58"/>
  <c r="E6" i="57"/>
  <c r="I8" i="50"/>
  <c r="I7" i="50"/>
  <c r="E6" i="56"/>
  <c r="E5" i="53"/>
  <c r="F5" i="53"/>
  <c r="F4" i="53"/>
  <c r="E4" i="53"/>
  <c r="G2" i="43"/>
  <c r="E2" i="43"/>
  <c r="C2" i="43"/>
  <c r="E45" i="60" l="1"/>
  <c r="E20" i="60" s="1"/>
  <c r="C10" i="60"/>
  <c r="C7" i="60"/>
  <c r="D10" i="60"/>
  <c r="E10" i="60"/>
  <c r="E7" i="60"/>
  <c r="H7" i="60" s="1"/>
  <c r="F45" i="60"/>
  <c r="G45" i="60" s="1"/>
  <c r="G20" i="60" s="1"/>
  <c r="F7" i="60"/>
  <c r="F9" i="60" s="1"/>
  <c r="H6" i="60"/>
  <c r="F18" i="60" s="1"/>
  <c r="E18" i="50"/>
  <c r="E19" i="50"/>
  <c r="E20" i="50"/>
  <c r="H20" i="50"/>
  <c r="E21" i="50"/>
  <c r="H21" i="50"/>
  <c r="E22" i="50"/>
  <c r="E23" i="50"/>
  <c r="E24" i="50"/>
  <c r="D38" i="59" l="1"/>
  <c r="D38" i="58"/>
  <c r="D38" i="57"/>
  <c r="F43" i="60"/>
  <c r="G43" i="60" s="1"/>
  <c r="D43" i="60"/>
  <c r="F38" i="60"/>
  <c r="D38" i="60"/>
  <c r="D13" i="60" s="1"/>
  <c r="D36" i="60"/>
  <c r="D11" i="60" s="1"/>
  <c r="D14" i="60" s="1"/>
  <c r="F36" i="60"/>
  <c r="F44" i="60"/>
  <c r="D44" i="60"/>
  <c r="D19" i="60" s="1"/>
  <c r="F37" i="60"/>
  <c r="D37" i="60"/>
  <c r="D12" i="60" s="1"/>
  <c r="E18" i="60"/>
  <c r="H10" i="60"/>
  <c r="D21" i="60"/>
  <c r="G21" i="60"/>
  <c r="C21" i="60"/>
  <c r="F21" i="60"/>
  <c r="F46" i="60" s="1"/>
  <c r="E21" i="60"/>
  <c r="E46" i="60" s="1"/>
  <c r="G18" i="60"/>
  <c r="D18" i="60"/>
  <c r="C18" i="60"/>
  <c r="F20" i="60"/>
  <c r="D33" i="43"/>
  <c r="C33" i="43"/>
  <c r="G36" i="60" l="1"/>
  <c r="F11" i="60"/>
  <c r="D17" i="60"/>
  <c r="G37" i="60"/>
  <c r="G12" i="60" s="1"/>
  <c r="F12" i="60"/>
  <c r="G17" i="60"/>
  <c r="F17" i="60"/>
  <c r="G44" i="60"/>
  <c r="G19" i="60" s="1"/>
  <c r="F19" i="60"/>
  <c r="G38" i="60"/>
  <c r="G13" i="60" s="1"/>
  <c r="F13" i="60"/>
  <c r="G46" i="60"/>
  <c r="D46" i="60"/>
  <c r="C46" i="60"/>
  <c r="F14" i="60" l="1"/>
  <c r="G11" i="60"/>
  <c r="G14" i="60" s="1"/>
  <c r="H7" i="50"/>
  <c r="F43" i="59" l="1"/>
  <c r="F37" i="59"/>
  <c r="F44" i="59"/>
  <c r="F36" i="59"/>
  <c r="F43" i="43" l="1"/>
  <c r="F43" i="58"/>
  <c r="D43" i="56"/>
  <c r="F38" i="59"/>
  <c r="F38" i="57"/>
  <c r="D38" i="56"/>
  <c r="F38" i="58"/>
  <c r="F38" i="43"/>
  <c r="F38" i="56"/>
  <c r="D38" i="43"/>
  <c r="D37" i="43"/>
  <c r="D36" i="56"/>
  <c r="D36" i="43"/>
  <c r="F44" i="57"/>
  <c r="F36" i="57"/>
  <c r="F36" i="58"/>
  <c r="F37" i="43"/>
  <c r="D44" i="43"/>
  <c r="D37" i="56"/>
  <c r="D44" i="56"/>
  <c r="F36" i="56"/>
  <c r="F43" i="56"/>
  <c r="F37" i="57"/>
  <c r="F36" i="43"/>
  <c r="D43" i="43"/>
  <c r="F44" i="43"/>
  <c r="F43" i="57"/>
  <c r="F37" i="56"/>
  <c r="F44" i="56"/>
  <c r="F37" i="58"/>
  <c r="F44" i="58"/>
  <c r="D3" i="59"/>
  <c r="E3" i="59"/>
  <c r="F3" i="59"/>
  <c r="G3" i="59"/>
  <c r="D4" i="59"/>
  <c r="E4" i="59"/>
  <c r="F4" i="59"/>
  <c r="G4" i="59"/>
  <c r="C4" i="59"/>
  <c r="C3" i="59"/>
  <c r="D3" i="58"/>
  <c r="E3" i="58"/>
  <c r="F3" i="58"/>
  <c r="D4" i="58"/>
  <c r="E4" i="58"/>
  <c r="F4" i="58"/>
  <c r="C4" i="58"/>
  <c r="C3" i="58"/>
  <c r="D3" i="57"/>
  <c r="E3" i="57"/>
  <c r="F3" i="57"/>
  <c r="D4" i="57"/>
  <c r="E4" i="57"/>
  <c r="F4" i="57"/>
  <c r="C4" i="57"/>
  <c r="C3" i="57"/>
  <c r="C3" i="56"/>
  <c r="D3" i="56"/>
  <c r="E3" i="56"/>
  <c r="F3" i="56"/>
  <c r="D4" i="56"/>
  <c r="E4" i="56"/>
  <c r="F4" i="56"/>
  <c r="C4" i="56"/>
  <c r="C3" i="43"/>
  <c r="D4" i="53" s="1"/>
  <c r="D3" i="43"/>
  <c r="E3" i="43"/>
  <c r="F3" i="43"/>
  <c r="D4" i="43"/>
  <c r="E4" i="43"/>
  <c r="F4" i="43"/>
  <c r="C4" i="43"/>
  <c r="D5" i="53" s="1"/>
  <c r="B9" i="51"/>
  <c r="C36" i="60" l="1"/>
  <c r="C11" i="60" s="1"/>
  <c r="E36" i="60"/>
  <c r="C36" i="56"/>
  <c r="E36" i="43"/>
  <c r="C36" i="43"/>
  <c r="K7" i="55"/>
  <c r="K8" i="55" s="1"/>
  <c r="E11" i="60" l="1"/>
  <c r="E14" i="60" s="1"/>
  <c r="C14" i="60"/>
  <c r="H14" i="60" s="1"/>
  <c r="H11" i="60"/>
  <c r="L8" i="55"/>
  <c r="K9" i="55"/>
  <c r="L7" i="55"/>
  <c r="E5" i="50"/>
  <c r="E6" i="50"/>
  <c r="E8" i="50"/>
  <c r="E9" i="50"/>
  <c r="E10" i="50"/>
  <c r="E11" i="50"/>
  <c r="C6" i="59"/>
  <c r="D6" i="59"/>
  <c r="G31" i="59"/>
  <c r="G32" i="59" s="1"/>
  <c r="F31" i="59"/>
  <c r="F32" i="59" s="1"/>
  <c r="F45" i="59" s="1"/>
  <c r="E31" i="59"/>
  <c r="E32" i="59" s="1"/>
  <c r="D31" i="59"/>
  <c r="C31" i="59"/>
  <c r="G6" i="59"/>
  <c r="F6" i="59"/>
  <c r="E20" i="59"/>
  <c r="C6" i="58"/>
  <c r="D6" i="58"/>
  <c r="G31" i="58"/>
  <c r="G32" i="58" s="1"/>
  <c r="F31" i="58"/>
  <c r="F32" i="58" s="1"/>
  <c r="F45" i="58" s="1"/>
  <c r="E31" i="58"/>
  <c r="E32" i="58" s="1"/>
  <c r="D31" i="58"/>
  <c r="C31" i="58"/>
  <c r="G6" i="58"/>
  <c r="G7" i="58" s="1"/>
  <c r="G9" i="58" s="1"/>
  <c r="F6" i="58"/>
  <c r="F7" i="58" s="1"/>
  <c r="F9" i="58" s="1"/>
  <c r="C6" i="57"/>
  <c r="D6" i="57"/>
  <c r="C47" i="57"/>
  <c r="D47" i="57" s="1"/>
  <c r="G31" i="57"/>
  <c r="G32" i="57" s="1"/>
  <c r="F31" i="57"/>
  <c r="F32" i="57" s="1"/>
  <c r="F45" i="57" s="1"/>
  <c r="E31" i="57"/>
  <c r="E32" i="57" s="1"/>
  <c r="D31" i="57"/>
  <c r="C31" i="57"/>
  <c r="G6" i="57"/>
  <c r="G7" i="57" s="1"/>
  <c r="G9" i="57" s="1"/>
  <c r="F6" i="57"/>
  <c r="F7" i="57" s="1"/>
  <c r="F9" i="57" s="1"/>
  <c r="C6" i="56"/>
  <c r="D6" i="56"/>
  <c r="G31" i="56"/>
  <c r="G32" i="56" s="1"/>
  <c r="F31" i="56"/>
  <c r="F32" i="56" s="1"/>
  <c r="F45" i="56" s="1"/>
  <c r="E31" i="56"/>
  <c r="E32" i="56" s="1"/>
  <c r="D31" i="56"/>
  <c r="C31" i="56"/>
  <c r="G7" i="56"/>
  <c r="G9" i="56" s="1"/>
  <c r="G6" i="56"/>
  <c r="F6" i="56"/>
  <c r="E7" i="56"/>
  <c r="C38" i="59" l="1"/>
  <c r="C38" i="58"/>
  <c r="C38" i="57"/>
  <c r="C38" i="60"/>
  <c r="C13" i="60" s="1"/>
  <c r="H13" i="60" s="1"/>
  <c r="C38" i="56"/>
  <c r="C13" i="56" s="1"/>
  <c r="E38" i="60"/>
  <c r="E13" i="60" s="1"/>
  <c r="E43" i="60"/>
  <c r="E17" i="60" s="1"/>
  <c r="C43" i="60"/>
  <c r="C17" i="60" s="1"/>
  <c r="H17" i="60" s="1"/>
  <c r="C43" i="56"/>
  <c r="C44" i="60"/>
  <c r="C19" i="60" s="1"/>
  <c r="H19" i="60" s="1"/>
  <c r="C44" i="56"/>
  <c r="E44" i="60"/>
  <c r="E19" i="60" s="1"/>
  <c r="C47" i="59"/>
  <c r="D47" i="59" s="1"/>
  <c r="E47" i="59" s="1"/>
  <c r="F47" i="59" s="1"/>
  <c r="G47" i="59" s="1"/>
  <c r="G22" i="59" s="1"/>
  <c r="C47" i="60"/>
  <c r="E37" i="60"/>
  <c r="C37" i="60"/>
  <c r="C12" i="60" s="1"/>
  <c r="E9" i="56"/>
  <c r="C7" i="57"/>
  <c r="C8" i="57" s="1"/>
  <c r="C9" i="57" s="1"/>
  <c r="C32" i="57" s="1"/>
  <c r="G45" i="57" s="1"/>
  <c r="G20" i="57" s="1"/>
  <c r="C7" i="56"/>
  <c r="D7" i="57"/>
  <c r="D8" i="57" s="1"/>
  <c r="D7" i="59"/>
  <c r="D7" i="56"/>
  <c r="C7" i="58"/>
  <c r="E13" i="57"/>
  <c r="E13" i="59"/>
  <c r="E38" i="43"/>
  <c r="C38" i="43"/>
  <c r="C19" i="59"/>
  <c r="E44" i="43"/>
  <c r="E19" i="59"/>
  <c r="C44" i="43"/>
  <c r="C12" i="59"/>
  <c r="E12" i="59"/>
  <c r="C37" i="56"/>
  <c r="C37" i="43"/>
  <c r="E37" i="43"/>
  <c r="C43" i="43"/>
  <c r="E43" i="43"/>
  <c r="F7" i="59"/>
  <c r="F9" i="59" s="1"/>
  <c r="F20" i="59"/>
  <c r="G38" i="56"/>
  <c r="G13" i="56" s="1"/>
  <c r="G38" i="57"/>
  <c r="G13" i="57" s="1"/>
  <c r="G38" i="58"/>
  <c r="G13" i="58" s="1"/>
  <c r="G43" i="56"/>
  <c r="G44" i="57"/>
  <c r="G19" i="57" s="1"/>
  <c r="G44" i="56"/>
  <c r="G19" i="56" s="1"/>
  <c r="G36" i="57"/>
  <c r="G11" i="57" s="1"/>
  <c r="L9" i="55"/>
  <c r="K10" i="55"/>
  <c r="L10" i="55" s="1"/>
  <c r="G36" i="56"/>
  <c r="G11" i="56" s="1"/>
  <c r="G36" i="59"/>
  <c r="G11" i="59" s="1"/>
  <c r="C47" i="56"/>
  <c r="D47" i="56" s="1"/>
  <c r="C47" i="58"/>
  <c r="D47" i="58" s="1"/>
  <c r="D22" i="58" s="1"/>
  <c r="D7" i="58"/>
  <c r="H6" i="58"/>
  <c r="C13" i="59"/>
  <c r="E22" i="59"/>
  <c r="D12" i="57"/>
  <c r="C22" i="59"/>
  <c r="E11" i="56"/>
  <c r="C7" i="59"/>
  <c r="F11" i="59"/>
  <c r="G43" i="59"/>
  <c r="G37" i="59"/>
  <c r="F12" i="59"/>
  <c r="F19" i="59"/>
  <c r="G44" i="59"/>
  <c r="G19" i="59" s="1"/>
  <c r="G38" i="59"/>
  <c r="G13" i="59" s="1"/>
  <c r="F13" i="59"/>
  <c r="F22" i="59"/>
  <c r="G7" i="59"/>
  <c r="G9" i="59" s="1"/>
  <c r="H6" i="59"/>
  <c r="G3" i="2" s="1"/>
  <c r="E7" i="59"/>
  <c r="D12" i="59"/>
  <c r="G12" i="59"/>
  <c r="D13" i="59"/>
  <c r="D19" i="59"/>
  <c r="D22" i="59"/>
  <c r="G36" i="58"/>
  <c r="G11" i="58" s="1"/>
  <c r="D11" i="58"/>
  <c r="G43" i="58"/>
  <c r="E7" i="58"/>
  <c r="C11" i="58"/>
  <c r="E11" i="58"/>
  <c r="D11" i="57"/>
  <c r="D13" i="57"/>
  <c r="G43" i="57"/>
  <c r="E47" i="57"/>
  <c r="F47" i="57" s="1"/>
  <c r="G47" i="57" s="1"/>
  <c r="G22" i="57" s="1"/>
  <c r="D22" i="57"/>
  <c r="E7" i="57"/>
  <c r="H7" i="57" s="1"/>
  <c r="E4" i="2" s="1"/>
  <c r="F11" i="57"/>
  <c r="C13" i="57"/>
  <c r="F19" i="57"/>
  <c r="C22" i="57"/>
  <c r="H6" i="57"/>
  <c r="E11" i="57"/>
  <c r="E19" i="57"/>
  <c r="H6" i="56"/>
  <c r="D3" i="2" s="1"/>
  <c r="C11" i="56"/>
  <c r="F7" i="56"/>
  <c r="F9" i="56" s="1"/>
  <c r="D11" i="56"/>
  <c r="D13" i="56"/>
  <c r="E3" i="2" l="1"/>
  <c r="D18" i="57"/>
  <c r="E12" i="60"/>
  <c r="H12" i="60" s="1"/>
  <c r="E40" i="60"/>
  <c r="D47" i="60"/>
  <c r="C22" i="60"/>
  <c r="H22" i="60" s="1"/>
  <c r="C8" i="58"/>
  <c r="C9" i="58" s="1"/>
  <c r="C32" i="58" s="1"/>
  <c r="G45" i="58" s="1"/>
  <c r="G20" i="58" s="1"/>
  <c r="D8" i="59"/>
  <c r="D9" i="59" s="1"/>
  <c r="D32" i="59" s="1"/>
  <c r="D45" i="59" s="1"/>
  <c r="C8" i="60"/>
  <c r="C9" i="60" s="1"/>
  <c r="D8" i="60"/>
  <c r="D9" i="60" s="1"/>
  <c r="E8" i="60"/>
  <c r="E8" i="57"/>
  <c r="E9" i="57" s="1"/>
  <c r="D9" i="56"/>
  <c r="D32" i="56" s="1"/>
  <c r="D45" i="56" s="1"/>
  <c r="H8" i="56"/>
  <c r="D5" i="2" s="1"/>
  <c r="E8" i="58"/>
  <c r="E9" i="58" s="1"/>
  <c r="E8" i="59"/>
  <c r="E9" i="59" s="1"/>
  <c r="E47" i="58"/>
  <c r="F47" i="58" s="1"/>
  <c r="G47" i="58" s="1"/>
  <c r="G22" i="58" s="1"/>
  <c r="C22" i="58"/>
  <c r="C11" i="57"/>
  <c r="H11" i="57" s="1"/>
  <c r="E8" i="2" s="1"/>
  <c r="F13" i="57"/>
  <c r="F11" i="56"/>
  <c r="H11" i="56" s="1"/>
  <c r="D8" i="2" s="1"/>
  <c r="F13" i="56"/>
  <c r="E13" i="56"/>
  <c r="F13" i="58"/>
  <c r="D11" i="59"/>
  <c r="D14" i="59" s="1"/>
  <c r="D13" i="58"/>
  <c r="E13" i="58"/>
  <c r="C19" i="58"/>
  <c r="E11" i="59"/>
  <c r="E14" i="59" s="1"/>
  <c r="C19" i="57"/>
  <c r="D19" i="57"/>
  <c r="C13" i="58"/>
  <c r="D12" i="58"/>
  <c r="C11" i="59"/>
  <c r="C14" i="59" s="1"/>
  <c r="D8" i="58"/>
  <c r="D9" i="58" s="1"/>
  <c r="D32" i="58" s="1"/>
  <c r="C19" i="56"/>
  <c r="E19" i="56"/>
  <c r="D19" i="56"/>
  <c r="F19" i="56"/>
  <c r="C22" i="56"/>
  <c r="C12" i="57"/>
  <c r="E20" i="57"/>
  <c r="F20" i="57"/>
  <c r="F20" i="58"/>
  <c r="E20" i="58"/>
  <c r="C20" i="57"/>
  <c r="C20" i="58"/>
  <c r="E12" i="58"/>
  <c r="C12" i="58"/>
  <c r="E47" i="56"/>
  <c r="D22" i="56"/>
  <c r="F22" i="58"/>
  <c r="C8" i="59"/>
  <c r="D9" i="57"/>
  <c r="D32" i="57" s="1"/>
  <c r="F3" i="2"/>
  <c r="H13" i="57"/>
  <c r="E10" i="2" s="1"/>
  <c r="E36" i="2" s="1"/>
  <c r="D12" i="56"/>
  <c r="D14" i="56" s="1"/>
  <c r="C12" i="56"/>
  <c r="C14" i="56" s="1"/>
  <c r="H12" i="59"/>
  <c r="G9" i="2" s="1"/>
  <c r="G35" i="2" s="1"/>
  <c r="F14" i="59"/>
  <c r="E12" i="56"/>
  <c r="D19" i="58"/>
  <c r="D14" i="57"/>
  <c r="H19" i="59"/>
  <c r="G16" i="2" s="1"/>
  <c r="G42" i="2" s="1"/>
  <c r="F11" i="58"/>
  <c r="H13" i="59"/>
  <c r="G10" i="2" s="1"/>
  <c r="H7" i="59"/>
  <c r="G4" i="2" s="1"/>
  <c r="H22" i="59"/>
  <c r="G19" i="2" s="1"/>
  <c r="G14" i="59"/>
  <c r="E22" i="58"/>
  <c r="H7" i="58"/>
  <c r="F4" i="2" s="1"/>
  <c r="F22" i="57"/>
  <c r="E22" i="57"/>
  <c r="H7" i="56"/>
  <c r="D4" i="2" s="1"/>
  <c r="C9" i="56"/>
  <c r="C32" i="56" s="1"/>
  <c r="C45" i="56" s="1"/>
  <c r="D45" i="57" l="1"/>
  <c r="D20" i="57" s="1"/>
  <c r="H20" i="57" s="1"/>
  <c r="E17" i="2" s="1"/>
  <c r="E43" i="2" s="1"/>
  <c r="D45" i="58"/>
  <c r="D20" i="58" s="1"/>
  <c r="H20" i="58" s="1"/>
  <c r="F17" i="2" s="1"/>
  <c r="F49" i="2" s="1"/>
  <c r="E47" i="60"/>
  <c r="D22" i="60"/>
  <c r="E48" i="60"/>
  <c r="C15" i="60"/>
  <c r="C32" i="60"/>
  <c r="H9" i="60"/>
  <c r="H8" i="59"/>
  <c r="G5" i="2" s="1"/>
  <c r="H8" i="57"/>
  <c r="E5" i="2" s="1"/>
  <c r="D15" i="60"/>
  <c r="D16" i="60" s="1"/>
  <c r="D32" i="60"/>
  <c r="H8" i="60"/>
  <c r="E9" i="60"/>
  <c r="E15" i="60" s="1"/>
  <c r="D14" i="58"/>
  <c r="H22" i="57"/>
  <c r="E19" i="2" s="1"/>
  <c r="C14" i="57"/>
  <c r="E14" i="56"/>
  <c r="C14" i="58"/>
  <c r="H19" i="57"/>
  <c r="E16" i="2" s="1"/>
  <c r="E42" i="2" s="1"/>
  <c r="H9" i="58"/>
  <c r="F6" i="2" s="1"/>
  <c r="F29" i="2" s="1"/>
  <c r="H8" i="58"/>
  <c r="F5" i="2" s="1"/>
  <c r="H11" i="59"/>
  <c r="G8" i="2" s="1"/>
  <c r="G34" i="2" s="1"/>
  <c r="E14" i="58"/>
  <c r="H13" i="58"/>
  <c r="F10" i="2" s="1"/>
  <c r="F36" i="2" s="1"/>
  <c r="H13" i="56"/>
  <c r="D10" i="2" s="1"/>
  <c r="D36" i="2" s="1"/>
  <c r="H19" i="56"/>
  <c r="D16" i="2" s="1"/>
  <c r="D42" i="2" s="1"/>
  <c r="E12" i="57"/>
  <c r="E14" i="57" s="1"/>
  <c r="C20" i="56"/>
  <c r="F47" i="56"/>
  <c r="E22" i="56"/>
  <c r="G37" i="58"/>
  <c r="F12" i="58"/>
  <c r="F14" i="58" s="1"/>
  <c r="C9" i="59"/>
  <c r="H9" i="57"/>
  <c r="E6" i="2" s="1"/>
  <c r="E29" i="2" s="1"/>
  <c r="G37" i="56"/>
  <c r="F12" i="56"/>
  <c r="F14" i="56" s="1"/>
  <c r="G36" i="2"/>
  <c r="E19" i="58"/>
  <c r="H11" i="58"/>
  <c r="F8" i="2" s="1"/>
  <c r="F34" i="2" s="1"/>
  <c r="H14" i="59"/>
  <c r="G11" i="2" s="1"/>
  <c r="D34" i="2"/>
  <c r="E34" i="2"/>
  <c r="H22" i="58"/>
  <c r="H9" i="56"/>
  <c r="D6" i="2" s="1"/>
  <c r="F47" i="60" l="1"/>
  <c r="E22" i="60"/>
  <c r="E23" i="60" s="1"/>
  <c r="E24" i="60" s="1"/>
  <c r="E25" i="60" s="1"/>
  <c r="E26" i="60" s="1"/>
  <c r="E27" i="60" s="1"/>
  <c r="C34" i="60"/>
  <c r="C40" i="60" s="1"/>
  <c r="C48" i="60" s="1"/>
  <c r="C45" i="60"/>
  <c r="C20" i="60" s="1"/>
  <c r="D45" i="60"/>
  <c r="D20" i="60" s="1"/>
  <c r="D23" i="60" s="1"/>
  <c r="D24" i="60" s="1"/>
  <c r="D25" i="60" s="1"/>
  <c r="D26" i="60" s="1"/>
  <c r="D27" i="60" s="1"/>
  <c r="D34" i="60"/>
  <c r="D40" i="60" s="1"/>
  <c r="D48" i="60" s="1"/>
  <c r="E16" i="60"/>
  <c r="C16" i="60"/>
  <c r="H15" i="60"/>
  <c r="H16" i="60" s="1"/>
  <c r="F43" i="2"/>
  <c r="G37" i="57"/>
  <c r="F12" i="57"/>
  <c r="D20" i="56"/>
  <c r="G12" i="58"/>
  <c r="G14" i="58" s="1"/>
  <c r="G47" i="56"/>
  <c r="G22" i="56" s="1"/>
  <c r="F22" i="56"/>
  <c r="E51" i="2"/>
  <c r="C32" i="59"/>
  <c r="H9" i="59"/>
  <c r="G6" i="2" s="1"/>
  <c r="E47" i="2"/>
  <c r="E49" i="2"/>
  <c r="D29" i="2"/>
  <c r="D47" i="2"/>
  <c r="F19" i="2"/>
  <c r="F51" i="2" s="1"/>
  <c r="G44" i="58"/>
  <c r="F19" i="58"/>
  <c r="G12" i="56"/>
  <c r="G14" i="56" s="1"/>
  <c r="G47" i="60" l="1"/>
  <c r="F22" i="60"/>
  <c r="F23" i="60" s="1"/>
  <c r="H20" i="60"/>
  <c r="H23" i="60" s="1"/>
  <c r="H24" i="60" s="1"/>
  <c r="H25" i="60" s="1"/>
  <c r="C23" i="60"/>
  <c r="C24" i="60" s="1"/>
  <c r="H22" i="56"/>
  <c r="D19" i="2" s="1"/>
  <c r="D51" i="2" s="1"/>
  <c r="H12" i="58"/>
  <c r="F9" i="2" s="1"/>
  <c r="F35" i="2" s="1"/>
  <c r="F14" i="57"/>
  <c r="G12" i="57"/>
  <c r="G14" i="57" s="1"/>
  <c r="C20" i="59"/>
  <c r="E20" i="56"/>
  <c r="H14" i="58"/>
  <c r="F11" i="2" s="1"/>
  <c r="G51" i="2"/>
  <c r="G29" i="2"/>
  <c r="G47" i="2"/>
  <c r="H14" i="56"/>
  <c r="D11" i="2" s="1"/>
  <c r="G19" i="58"/>
  <c r="H19" i="58" s="1"/>
  <c r="H12" i="56"/>
  <c r="D9" i="2" s="1"/>
  <c r="D35" i="2" s="1"/>
  <c r="G22" i="60" l="1"/>
  <c r="G23" i="60" s="1"/>
  <c r="C25" i="60"/>
  <c r="C26" i="60" s="1"/>
  <c r="H14" i="57"/>
  <c r="E11" i="2" s="1"/>
  <c r="H12" i="57"/>
  <c r="E9" i="2" s="1"/>
  <c r="E35" i="2" s="1"/>
  <c r="G45" i="56"/>
  <c r="G20" i="56" s="1"/>
  <c r="F20" i="56"/>
  <c r="D20" i="59"/>
  <c r="F16" i="2"/>
  <c r="H26" i="60" l="1"/>
  <c r="H27" i="60" s="1"/>
  <c r="C27" i="60"/>
  <c r="H20" i="56"/>
  <c r="D17" i="2" s="1"/>
  <c r="D43" i="2" s="1"/>
  <c r="F42" i="2"/>
  <c r="F47" i="2"/>
  <c r="D49" i="2" l="1"/>
  <c r="G45" i="59"/>
  <c r="G20" i="59" s="1"/>
  <c r="H20" i="59" s="1"/>
  <c r="G17" i="2" s="1"/>
  <c r="B5" i="51"/>
  <c r="G43" i="2" l="1"/>
  <c r="G49" i="2"/>
  <c r="H8" i="50"/>
  <c r="E7" i="50"/>
  <c r="H18" i="53" l="1"/>
  <c r="G18" i="53"/>
  <c r="E18" i="53"/>
  <c r="E28" i="53" s="1"/>
  <c r="F28" i="53" s="1"/>
  <c r="G28" i="53" s="1"/>
  <c r="H28" i="53" s="1"/>
  <c r="D18" i="53"/>
  <c r="E27" i="53" s="1"/>
  <c r="F27" i="53" s="1"/>
  <c r="G27" i="53" s="1"/>
  <c r="H27" i="53" s="1"/>
  <c r="H14" i="55"/>
  <c r="G14" i="55"/>
  <c r="F14" i="55"/>
  <c r="E14" i="55"/>
  <c r="D14" i="55"/>
  <c r="C14" i="55"/>
  <c r="I13" i="55"/>
  <c r="I12" i="55"/>
  <c r="I11" i="55"/>
  <c r="I10" i="55"/>
  <c r="I9" i="55"/>
  <c r="G22" i="51"/>
  <c r="B27" i="51"/>
  <c r="C56" i="2" s="1"/>
  <c r="B8" i="51"/>
  <c r="B7" i="51"/>
  <c r="C47" i="43"/>
  <c r="D47" i="43" s="1"/>
  <c r="E47" i="43" s="1"/>
  <c r="F47" i="43" s="1"/>
  <c r="G47" i="43" s="1"/>
  <c r="G43" i="43"/>
  <c r="G37" i="43"/>
  <c r="G31" i="43"/>
  <c r="G32" i="43" s="1"/>
  <c r="F31" i="43"/>
  <c r="F32" i="43" s="1"/>
  <c r="F45" i="43" s="1"/>
  <c r="G45" i="43" s="1"/>
  <c r="E31" i="43"/>
  <c r="E32" i="43" s="1"/>
  <c r="E45" i="43" s="1"/>
  <c r="D31" i="43"/>
  <c r="D32" i="43" s="1"/>
  <c r="D45" i="43" s="1"/>
  <c r="C31" i="43"/>
  <c r="C32" i="43" s="1"/>
  <c r="C45" i="43" s="1"/>
  <c r="H8" i="43"/>
  <c r="C5" i="2" s="1"/>
  <c r="I5" i="2" s="1"/>
  <c r="G6" i="43"/>
  <c r="G7" i="43" s="1"/>
  <c r="G9" i="43" s="1"/>
  <c r="F6" i="43"/>
  <c r="F7" i="43" s="1"/>
  <c r="F9" i="43" s="1"/>
  <c r="E6" i="43"/>
  <c r="E7" i="43" s="1"/>
  <c r="E9" i="43" s="1"/>
  <c r="D6" i="43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K10" i="36" s="1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J5" i="36" s="1"/>
  <c r="I6" i="36"/>
  <c r="H6" i="36"/>
  <c r="G6" i="36"/>
  <c r="E6" i="36"/>
  <c r="E5" i="36" s="1"/>
  <c r="I5" i="36"/>
  <c r="D5" i="36"/>
  <c r="C5" i="36"/>
  <c r="E4" i="36"/>
  <c r="F4" i="36" s="1"/>
  <c r="G4" i="36" s="1"/>
  <c r="H4" i="36" s="1"/>
  <c r="I4" i="36" s="1"/>
  <c r="J4" i="36" s="1"/>
  <c r="K4" i="36" s="1"/>
  <c r="L4" i="36" s="1"/>
  <c r="D4" i="36"/>
  <c r="F33" i="60" l="1"/>
  <c r="F34" i="60" s="1"/>
  <c r="F40" i="60" s="1"/>
  <c r="F48" i="60" s="1"/>
  <c r="F10" i="60"/>
  <c r="F15" i="60" s="1"/>
  <c r="G10" i="60"/>
  <c r="G15" i="60" s="1"/>
  <c r="G33" i="60"/>
  <c r="G34" i="60" s="1"/>
  <c r="G40" i="60" s="1"/>
  <c r="G48" i="60" s="1"/>
  <c r="D7" i="43"/>
  <c r="D9" i="43" s="1"/>
  <c r="D10" i="43"/>
  <c r="C7" i="43"/>
  <c r="C9" i="43" s="1"/>
  <c r="C10" i="43"/>
  <c r="B26" i="51"/>
  <c r="D26" i="51" s="1"/>
  <c r="G5" i="36"/>
  <c r="M6" i="36"/>
  <c r="J17" i="36"/>
  <c r="J19" i="36" s="1"/>
  <c r="G10" i="36"/>
  <c r="J10" i="36"/>
  <c r="C10" i="36"/>
  <c r="M15" i="36"/>
  <c r="G33" i="43"/>
  <c r="G34" i="43" s="1"/>
  <c r="G33" i="57"/>
  <c r="G34" i="57" s="1"/>
  <c r="G40" i="57" s="1"/>
  <c r="G33" i="56"/>
  <c r="G34" i="56" s="1"/>
  <c r="G40" i="56" s="1"/>
  <c r="G33" i="59"/>
  <c r="G34" i="59" s="1"/>
  <c r="G40" i="59" s="1"/>
  <c r="G33" i="58"/>
  <c r="G34" i="58" s="1"/>
  <c r="G40" i="58" s="1"/>
  <c r="G10" i="57"/>
  <c r="G15" i="57" s="1"/>
  <c r="G16" i="57" s="1"/>
  <c r="G10" i="58"/>
  <c r="G15" i="58" s="1"/>
  <c r="G16" i="58" s="1"/>
  <c r="G10" i="59"/>
  <c r="G15" i="59" s="1"/>
  <c r="G16" i="59" s="1"/>
  <c r="G10" i="56"/>
  <c r="G15" i="56" s="1"/>
  <c r="G16" i="56" s="1"/>
  <c r="E34" i="58"/>
  <c r="E40" i="58" s="1"/>
  <c r="E34" i="56"/>
  <c r="E40" i="56" s="1"/>
  <c r="E34" i="57"/>
  <c r="E40" i="57" s="1"/>
  <c r="E34" i="59"/>
  <c r="E40" i="59" s="1"/>
  <c r="E15" i="59"/>
  <c r="E16" i="59" s="1"/>
  <c r="E15" i="58"/>
  <c r="E16" i="58" s="1"/>
  <c r="E15" i="57"/>
  <c r="E15" i="56"/>
  <c r="E16" i="56" s="1"/>
  <c r="E33" i="43"/>
  <c r="E34" i="43" s="1"/>
  <c r="F33" i="43"/>
  <c r="F34" i="43" s="1"/>
  <c r="F33" i="57"/>
  <c r="F34" i="57" s="1"/>
  <c r="F40" i="57" s="1"/>
  <c r="F10" i="59"/>
  <c r="F15" i="59" s="1"/>
  <c r="F16" i="59" s="1"/>
  <c r="F33" i="58"/>
  <c r="F34" i="58" s="1"/>
  <c r="F40" i="58" s="1"/>
  <c r="F33" i="59"/>
  <c r="F34" i="59" s="1"/>
  <c r="F40" i="59" s="1"/>
  <c r="F33" i="56"/>
  <c r="F34" i="56" s="1"/>
  <c r="F40" i="56" s="1"/>
  <c r="F10" i="57"/>
  <c r="F15" i="57" s="1"/>
  <c r="F16" i="57" s="1"/>
  <c r="F10" i="58"/>
  <c r="F15" i="58" s="1"/>
  <c r="F16" i="58" s="1"/>
  <c r="F10" i="56"/>
  <c r="F15" i="56" s="1"/>
  <c r="F16" i="56" s="1"/>
  <c r="D34" i="43"/>
  <c r="D40" i="43" s="1"/>
  <c r="D34" i="59"/>
  <c r="D40" i="59" s="1"/>
  <c r="D34" i="58"/>
  <c r="D40" i="58" s="1"/>
  <c r="D34" i="57"/>
  <c r="D40" i="57" s="1"/>
  <c r="D34" i="56"/>
  <c r="D40" i="56" s="1"/>
  <c r="D15" i="58"/>
  <c r="D16" i="58" s="1"/>
  <c r="D15" i="59"/>
  <c r="D16" i="59" s="1"/>
  <c r="D15" i="57"/>
  <c r="D16" i="57" s="1"/>
  <c r="D15" i="56"/>
  <c r="D16" i="56" s="1"/>
  <c r="C34" i="43"/>
  <c r="C40" i="43" s="1"/>
  <c r="C34" i="57"/>
  <c r="C40" i="57" s="1"/>
  <c r="C34" i="59"/>
  <c r="C40" i="59" s="1"/>
  <c r="C34" i="58"/>
  <c r="C40" i="58" s="1"/>
  <c r="C34" i="56"/>
  <c r="C40" i="56" s="1"/>
  <c r="H5" i="36"/>
  <c r="B10" i="51"/>
  <c r="C57" i="2"/>
  <c r="C55" i="2" s="1"/>
  <c r="D11" i="43"/>
  <c r="G10" i="43"/>
  <c r="G22" i="43"/>
  <c r="G12" i="43"/>
  <c r="I14" i="55"/>
  <c r="G20" i="43"/>
  <c r="D12" i="43"/>
  <c r="D20" i="43"/>
  <c r="G44" i="43"/>
  <c r="G19" i="43" s="1"/>
  <c r="D19" i="43"/>
  <c r="G38" i="43"/>
  <c r="G13" i="43" s="1"/>
  <c r="D13" i="43"/>
  <c r="D22" i="43"/>
  <c r="G36" i="43"/>
  <c r="G11" i="43" s="1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E22" i="43"/>
  <c r="E20" i="43"/>
  <c r="E12" i="43"/>
  <c r="E10" i="43"/>
  <c r="H6" i="43"/>
  <c r="C3" i="2" s="1"/>
  <c r="I3" i="2" s="1"/>
  <c r="D27" i="51"/>
  <c r="M13" i="36"/>
  <c r="E17" i="36"/>
  <c r="E19" i="36" s="1"/>
  <c r="K17" i="36"/>
  <c r="K19" i="36" s="1"/>
  <c r="M14" i="36"/>
  <c r="F10" i="43"/>
  <c r="C11" i="43"/>
  <c r="C12" i="43"/>
  <c r="F12" i="43"/>
  <c r="C13" i="43"/>
  <c r="C19" i="43"/>
  <c r="C20" i="43"/>
  <c r="F20" i="43"/>
  <c r="C22" i="43"/>
  <c r="F22" i="43"/>
  <c r="G16" i="60" l="1"/>
  <c r="G24" i="60"/>
  <c r="G25" i="60" s="1"/>
  <c r="G26" i="60" s="1"/>
  <c r="G27" i="60" s="1"/>
  <c r="F16" i="60"/>
  <c r="F24" i="60"/>
  <c r="F25" i="60" s="1"/>
  <c r="F26" i="60" s="1"/>
  <c r="F27" i="60" s="1"/>
  <c r="E16" i="57"/>
  <c r="H9" i="43"/>
  <c r="G17" i="36"/>
  <c r="G19" i="36" s="1"/>
  <c r="H7" i="43"/>
  <c r="C4" i="2" s="1"/>
  <c r="C6" i="2" s="1"/>
  <c r="H18" i="56"/>
  <c r="D18" i="56" s="1"/>
  <c r="D17" i="56" s="1"/>
  <c r="H18" i="59"/>
  <c r="C18" i="59" s="1"/>
  <c r="C17" i="59" s="1"/>
  <c r="H18" i="57"/>
  <c r="E26" i="51"/>
  <c r="H18" i="58"/>
  <c r="E18" i="58" s="1"/>
  <c r="E17" i="58" s="1"/>
  <c r="H18" i="43"/>
  <c r="C18" i="43" s="1"/>
  <c r="C17" i="43" s="1"/>
  <c r="J26" i="51"/>
  <c r="E23" i="36"/>
  <c r="C18" i="36"/>
  <c r="D18" i="36" s="1"/>
  <c r="E18" i="36" s="1"/>
  <c r="C19" i="36"/>
  <c r="I23" i="36" s="1"/>
  <c r="M10" i="36"/>
  <c r="D19" i="36"/>
  <c r="E22" i="36"/>
  <c r="H17" i="36"/>
  <c r="H19" i="36" s="1"/>
  <c r="E19" i="43"/>
  <c r="H21" i="59"/>
  <c r="H21" i="56"/>
  <c r="H21" i="57"/>
  <c r="H21" i="58"/>
  <c r="G40" i="43"/>
  <c r="F13" i="43"/>
  <c r="H10" i="57"/>
  <c r="E7" i="2" s="1"/>
  <c r="E30" i="2" s="1"/>
  <c r="E31" i="2" s="1"/>
  <c r="E32" i="2" s="1"/>
  <c r="C15" i="57"/>
  <c r="H10" i="56"/>
  <c r="D7" i="2" s="1"/>
  <c r="D30" i="2" s="1"/>
  <c r="D31" i="2" s="1"/>
  <c r="D32" i="2" s="1"/>
  <c r="C15" i="56"/>
  <c r="H10" i="58"/>
  <c r="F7" i="2" s="1"/>
  <c r="F30" i="2" s="1"/>
  <c r="F31" i="2" s="1"/>
  <c r="F32" i="2" s="1"/>
  <c r="C15" i="58"/>
  <c r="H10" i="59"/>
  <c r="G7" i="2" s="1"/>
  <c r="G30" i="2" s="1"/>
  <c r="G31" i="2" s="1"/>
  <c r="G32" i="2" s="1"/>
  <c r="C15" i="59"/>
  <c r="G60" i="2"/>
  <c r="D60" i="2"/>
  <c r="E18" i="56"/>
  <c r="E17" i="56" s="1"/>
  <c r="C18" i="56"/>
  <c r="C17" i="56" s="1"/>
  <c r="F18" i="56"/>
  <c r="F17" i="56" s="1"/>
  <c r="E60" i="2"/>
  <c r="G18" i="57"/>
  <c r="G17" i="57" s="1"/>
  <c r="C18" i="57"/>
  <c r="C17" i="57" s="1"/>
  <c r="D17" i="57"/>
  <c r="E18" i="57"/>
  <c r="E17" i="57" s="1"/>
  <c r="F18" i="57"/>
  <c r="F17" i="57" s="1"/>
  <c r="F60" i="2"/>
  <c r="D18" i="58"/>
  <c r="D17" i="58" s="1"/>
  <c r="G18" i="58"/>
  <c r="G17" i="58" s="1"/>
  <c r="C18" i="58"/>
  <c r="C17" i="58" s="1"/>
  <c r="F11" i="43"/>
  <c r="F40" i="43"/>
  <c r="D14" i="43"/>
  <c r="D15" i="43" s="1"/>
  <c r="D16" i="43" s="1"/>
  <c r="E11" i="43"/>
  <c r="E40" i="43"/>
  <c r="H10" i="43"/>
  <c r="C30" i="2" s="1"/>
  <c r="G14" i="43"/>
  <c r="G15" i="43" s="1"/>
  <c r="G16" i="43" s="1"/>
  <c r="E13" i="43"/>
  <c r="H20" i="43"/>
  <c r="C17" i="2" s="1"/>
  <c r="C43" i="2" s="1"/>
  <c r="H12" i="43"/>
  <c r="C9" i="2" s="1"/>
  <c r="C35" i="2" s="1"/>
  <c r="F19" i="43"/>
  <c r="H21" i="43"/>
  <c r="E27" i="51"/>
  <c r="F27" i="51" s="1"/>
  <c r="G27" i="51" s="1"/>
  <c r="H27" i="51" s="1"/>
  <c r="D28" i="51"/>
  <c r="F26" i="51"/>
  <c r="M17" i="36"/>
  <c r="H22" i="43"/>
  <c r="C14" i="43"/>
  <c r="F6" i="36"/>
  <c r="F5" i="36" s="1"/>
  <c r="F17" i="36" s="1"/>
  <c r="F19" i="36" s="1"/>
  <c r="D18" i="43"/>
  <c r="D17" i="43" s="1"/>
  <c r="I22" i="36"/>
  <c r="M19" i="36"/>
  <c r="I4" i="2" l="1"/>
  <c r="L6" i="36" s="1"/>
  <c r="L5" i="36" s="1"/>
  <c r="L17" i="36" s="1"/>
  <c r="L19" i="36" s="1"/>
  <c r="G18" i="43"/>
  <c r="G17" i="43" s="1"/>
  <c r="F18" i="43"/>
  <c r="F17" i="43" s="1"/>
  <c r="F18" i="58"/>
  <c r="F17" i="58" s="1"/>
  <c r="G18" i="56"/>
  <c r="G17" i="56" s="1"/>
  <c r="E18" i="59"/>
  <c r="E17" i="59" s="1"/>
  <c r="F18" i="59"/>
  <c r="F17" i="59" s="1"/>
  <c r="F14" i="43"/>
  <c r="F15" i="43" s="1"/>
  <c r="F16" i="43" s="1"/>
  <c r="C60" i="2"/>
  <c r="E18" i="43"/>
  <c r="E17" i="43" s="1"/>
  <c r="D18" i="59"/>
  <c r="D17" i="59" s="1"/>
  <c r="G18" i="59"/>
  <c r="G17" i="59" s="1"/>
  <c r="C20" i="36"/>
  <c r="D20" i="36" s="1"/>
  <c r="E20" i="36" s="1"/>
  <c r="H19" i="43"/>
  <c r="C16" i="2" s="1"/>
  <c r="I16" i="2" s="1"/>
  <c r="I42" i="2" s="1"/>
  <c r="I17" i="2"/>
  <c r="I43" i="2" s="1"/>
  <c r="F18" i="2"/>
  <c r="F50" i="2" s="1"/>
  <c r="F21" i="58"/>
  <c r="F46" i="58" s="1"/>
  <c r="F48" i="58" s="1"/>
  <c r="C21" i="58"/>
  <c r="C46" i="58" s="1"/>
  <c r="C48" i="58" s="1"/>
  <c r="D21" i="58"/>
  <c r="D46" i="58" s="1"/>
  <c r="D48" i="58" s="1"/>
  <c r="G21" i="58"/>
  <c r="G46" i="58" s="1"/>
  <c r="G48" i="58" s="1"/>
  <c r="E21" i="58"/>
  <c r="E46" i="58" s="1"/>
  <c r="E48" i="58" s="1"/>
  <c r="D18" i="2"/>
  <c r="D50" i="2" s="1"/>
  <c r="C21" i="56"/>
  <c r="C46" i="56" s="1"/>
  <c r="C48" i="56" s="1"/>
  <c r="E21" i="56"/>
  <c r="E46" i="56" s="1"/>
  <c r="E48" i="56" s="1"/>
  <c r="G21" i="56"/>
  <c r="G46" i="56" s="1"/>
  <c r="G48" i="56" s="1"/>
  <c r="F21" i="56"/>
  <c r="F46" i="56" s="1"/>
  <c r="F48" i="56" s="1"/>
  <c r="D21" i="56"/>
  <c r="D46" i="56" s="1"/>
  <c r="D48" i="56" s="1"/>
  <c r="E18" i="2"/>
  <c r="E50" i="2" s="1"/>
  <c r="G21" i="57"/>
  <c r="G46" i="57" s="1"/>
  <c r="G48" i="57" s="1"/>
  <c r="F21" i="57"/>
  <c r="F46" i="57" s="1"/>
  <c r="F48" i="57" s="1"/>
  <c r="E21" i="57"/>
  <c r="E46" i="57" s="1"/>
  <c r="E48" i="57" s="1"/>
  <c r="D21" i="57"/>
  <c r="D46" i="57" s="1"/>
  <c r="D48" i="57" s="1"/>
  <c r="C21" i="57"/>
  <c r="C46" i="57" s="1"/>
  <c r="C48" i="57" s="1"/>
  <c r="G18" i="2"/>
  <c r="G50" i="2" s="1"/>
  <c r="E21" i="59"/>
  <c r="E46" i="59" s="1"/>
  <c r="E48" i="59" s="1"/>
  <c r="C21" i="59"/>
  <c r="C46" i="59" s="1"/>
  <c r="C48" i="59" s="1"/>
  <c r="F21" i="59"/>
  <c r="F46" i="59" s="1"/>
  <c r="F48" i="59" s="1"/>
  <c r="G21" i="59"/>
  <c r="G46" i="59" s="1"/>
  <c r="G48" i="59" s="1"/>
  <c r="D21" i="59"/>
  <c r="D46" i="59" s="1"/>
  <c r="D48" i="59" s="1"/>
  <c r="H11" i="43"/>
  <c r="C8" i="2" s="1"/>
  <c r="C34" i="2" s="1"/>
  <c r="C16" i="58"/>
  <c r="H15" i="58"/>
  <c r="C16" i="59"/>
  <c r="H15" i="59"/>
  <c r="H15" i="57"/>
  <c r="C16" i="57"/>
  <c r="C16" i="56"/>
  <c r="H15" i="56"/>
  <c r="C23" i="58"/>
  <c r="C24" i="58" s="1"/>
  <c r="C25" i="58" s="1"/>
  <c r="C26" i="58" s="1"/>
  <c r="H17" i="58"/>
  <c r="H17" i="57"/>
  <c r="C23" i="59"/>
  <c r="C24" i="59" s="1"/>
  <c r="C25" i="59" s="1"/>
  <c r="C26" i="59" s="1"/>
  <c r="H17" i="56"/>
  <c r="E14" i="43"/>
  <c r="E15" i="43" s="1"/>
  <c r="E16" i="43" s="1"/>
  <c r="I7" i="2"/>
  <c r="I30" i="2" s="1"/>
  <c r="I9" i="2"/>
  <c r="I35" i="2" s="1"/>
  <c r="H13" i="43"/>
  <c r="C10" i="2" s="1"/>
  <c r="I10" i="2" s="1"/>
  <c r="I36" i="2" s="1"/>
  <c r="F20" i="36"/>
  <c r="G20" i="36" s="1"/>
  <c r="H20" i="36" s="1"/>
  <c r="I24" i="36" s="1"/>
  <c r="C15" i="43"/>
  <c r="C16" i="43" s="1"/>
  <c r="H17" i="43"/>
  <c r="F18" i="36"/>
  <c r="G18" i="36" s="1"/>
  <c r="H18" i="36" s="1"/>
  <c r="E28" i="51"/>
  <c r="I27" i="51"/>
  <c r="C29" i="2"/>
  <c r="C31" i="2" s="1"/>
  <c r="C32" i="2" s="1"/>
  <c r="I6" i="2"/>
  <c r="C19" i="2"/>
  <c r="F28" i="51"/>
  <c r="G26" i="51"/>
  <c r="E21" i="43"/>
  <c r="F21" i="43"/>
  <c r="C21" i="43"/>
  <c r="G21" i="43"/>
  <c r="C18" i="2"/>
  <c r="D21" i="43"/>
  <c r="C49" i="2"/>
  <c r="H17" i="59" l="1"/>
  <c r="H23" i="59" s="1"/>
  <c r="C42" i="2"/>
  <c r="G23" i="58"/>
  <c r="G24" i="58" s="1"/>
  <c r="G25" i="58" s="1"/>
  <c r="G26" i="58" s="1"/>
  <c r="G27" i="58" s="1"/>
  <c r="I8" i="2"/>
  <c r="I34" i="2" s="1"/>
  <c r="C48" i="2"/>
  <c r="D23" i="56"/>
  <c r="D24" i="56" s="1"/>
  <c r="D25" i="56" s="1"/>
  <c r="D26" i="56" s="1"/>
  <c r="D27" i="56" s="1"/>
  <c r="C23" i="57"/>
  <c r="C24" i="57" s="1"/>
  <c r="C25" i="57" s="1"/>
  <c r="C26" i="57" s="1"/>
  <c r="C27" i="57" s="1"/>
  <c r="G23" i="56"/>
  <c r="G24" i="56" s="1"/>
  <c r="G25" i="56" s="1"/>
  <c r="G26" i="56" s="1"/>
  <c r="G27" i="56" s="1"/>
  <c r="F23" i="57"/>
  <c r="F24" i="57" s="1"/>
  <c r="F25" i="57" s="1"/>
  <c r="F26" i="57" s="1"/>
  <c r="F27" i="57" s="1"/>
  <c r="E23" i="59"/>
  <c r="E24" i="59" s="1"/>
  <c r="E25" i="59" s="1"/>
  <c r="E26" i="59" s="1"/>
  <c r="E27" i="59" s="1"/>
  <c r="D23" i="59"/>
  <c r="D24" i="59" s="1"/>
  <c r="D25" i="59" s="1"/>
  <c r="D26" i="59" s="1"/>
  <c r="D27" i="59" s="1"/>
  <c r="F23" i="56"/>
  <c r="F24" i="56" s="1"/>
  <c r="F25" i="56" s="1"/>
  <c r="F26" i="56" s="1"/>
  <c r="F27" i="56" s="1"/>
  <c r="E23" i="58"/>
  <c r="E24" i="58" s="1"/>
  <c r="E25" i="58" s="1"/>
  <c r="E26" i="58" s="1"/>
  <c r="E27" i="58" s="1"/>
  <c r="G23" i="57"/>
  <c r="G24" i="57" s="1"/>
  <c r="G25" i="57" s="1"/>
  <c r="G26" i="57" s="1"/>
  <c r="G27" i="57" s="1"/>
  <c r="F23" i="59"/>
  <c r="F24" i="59" s="1"/>
  <c r="F25" i="59" s="1"/>
  <c r="F26" i="59" s="1"/>
  <c r="F27" i="59" s="1"/>
  <c r="C23" i="56"/>
  <c r="C24" i="56" s="1"/>
  <c r="C25" i="56" s="1"/>
  <c r="C26" i="56" s="1"/>
  <c r="C27" i="56" s="1"/>
  <c r="G23" i="59"/>
  <c r="G24" i="59" s="1"/>
  <c r="G25" i="59" s="1"/>
  <c r="G26" i="59" s="1"/>
  <c r="G27" i="59" s="1"/>
  <c r="D23" i="58"/>
  <c r="D24" i="58" s="1"/>
  <c r="D25" i="58" s="1"/>
  <c r="D26" i="58" s="1"/>
  <c r="D27" i="58" s="1"/>
  <c r="E23" i="56"/>
  <c r="E24" i="56" s="1"/>
  <c r="E25" i="56" s="1"/>
  <c r="E26" i="56" s="1"/>
  <c r="E27" i="56" s="1"/>
  <c r="E23" i="57"/>
  <c r="D23" i="57"/>
  <c r="D24" i="57" s="1"/>
  <c r="D25" i="57" s="1"/>
  <c r="D26" i="57" s="1"/>
  <c r="D27" i="57" s="1"/>
  <c r="F23" i="58"/>
  <c r="F24" i="58" s="1"/>
  <c r="F25" i="58" s="1"/>
  <c r="F26" i="58" s="1"/>
  <c r="F27" i="58" s="1"/>
  <c r="D12" i="2"/>
  <c r="D38" i="2" s="1"/>
  <c r="H16" i="56"/>
  <c r="D13" i="2" s="1"/>
  <c r="E12" i="2"/>
  <c r="E38" i="2" s="1"/>
  <c r="H16" i="57"/>
  <c r="E13" i="2" s="1"/>
  <c r="F12" i="2"/>
  <c r="F38" i="2" s="1"/>
  <c r="H16" i="58"/>
  <c r="F13" i="2" s="1"/>
  <c r="G12" i="2"/>
  <c r="G38" i="2" s="1"/>
  <c r="H16" i="59"/>
  <c r="G13" i="2" s="1"/>
  <c r="H23" i="56"/>
  <c r="D14" i="2"/>
  <c r="C27" i="59"/>
  <c r="F14" i="2"/>
  <c r="H23" i="58"/>
  <c r="E14" i="2"/>
  <c r="H23" i="57"/>
  <c r="C27" i="58"/>
  <c r="I47" i="2"/>
  <c r="C47" i="2"/>
  <c r="H14" i="43"/>
  <c r="C11" i="2" s="1"/>
  <c r="I11" i="2" s="1"/>
  <c r="I12" i="2" s="1"/>
  <c r="H15" i="43"/>
  <c r="H16" i="43" s="1"/>
  <c r="C36" i="2"/>
  <c r="I20" i="36"/>
  <c r="J20" i="36" s="1"/>
  <c r="K20" i="36" s="1"/>
  <c r="L20" i="36" s="1"/>
  <c r="H23" i="43"/>
  <c r="D23" i="43"/>
  <c r="D24" i="43" s="1"/>
  <c r="D46" i="43"/>
  <c r="D48" i="43" s="1"/>
  <c r="G46" i="43"/>
  <c r="G48" i="43" s="1"/>
  <c r="G23" i="43"/>
  <c r="G24" i="43" s="1"/>
  <c r="E46" i="43"/>
  <c r="E48" i="43" s="1"/>
  <c r="E23" i="43"/>
  <c r="E24" i="43" s="1"/>
  <c r="C51" i="2"/>
  <c r="C20" i="2"/>
  <c r="I19" i="2"/>
  <c r="I51" i="2" s="1"/>
  <c r="C41" i="2"/>
  <c r="C46" i="43"/>
  <c r="C48" i="43" s="1"/>
  <c r="C23" i="43"/>
  <c r="C24" i="43" s="1"/>
  <c r="I18" i="2"/>
  <c r="I50" i="2" s="1"/>
  <c r="C50" i="2"/>
  <c r="F46" i="43"/>
  <c r="F48" i="43" s="1"/>
  <c r="F23" i="43"/>
  <c r="F24" i="43" s="1"/>
  <c r="H26" i="51"/>
  <c r="G28" i="51"/>
  <c r="I29" i="2"/>
  <c r="I31" i="2" s="1"/>
  <c r="I32" i="2" s="1"/>
  <c r="I49" i="2"/>
  <c r="E24" i="36"/>
  <c r="I18" i="36"/>
  <c r="J18" i="36" s="1"/>
  <c r="K18" i="36" s="1"/>
  <c r="L18" i="36" s="1"/>
  <c r="E24" i="57" l="1"/>
  <c r="E25" i="57" s="1"/>
  <c r="G14" i="2"/>
  <c r="G48" i="2" s="1"/>
  <c r="H26" i="56"/>
  <c r="H27" i="56" s="1"/>
  <c r="D24" i="2" s="1"/>
  <c r="H26" i="59"/>
  <c r="G23" i="2" s="1"/>
  <c r="H26" i="58"/>
  <c r="H27" i="58" s="1"/>
  <c r="F24" i="2" s="1"/>
  <c r="H24" i="43"/>
  <c r="H25" i="43" s="1"/>
  <c r="I14" i="2"/>
  <c r="I41" i="2" s="1"/>
  <c r="F41" i="2"/>
  <c r="F48" i="2"/>
  <c r="D48" i="2"/>
  <c r="D41" i="2"/>
  <c r="E20" i="2"/>
  <c r="E39" i="2" s="1"/>
  <c r="H24" i="57"/>
  <c r="D20" i="2"/>
  <c r="D39" i="2" s="1"/>
  <c r="H24" i="56"/>
  <c r="E41" i="2"/>
  <c r="E48" i="2"/>
  <c r="F20" i="2"/>
  <c r="F39" i="2" s="1"/>
  <c r="H24" i="58"/>
  <c r="G20" i="2"/>
  <c r="G39" i="2" s="1"/>
  <c r="H24" i="59"/>
  <c r="C38" i="2"/>
  <c r="C39" i="2" s="1"/>
  <c r="C25" i="43"/>
  <c r="C26" i="43" s="1"/>
  <c r="E25" i="43"/>
  <c r="E26" i="43" s="1"/>
  <c r="E27" i="43" s="1"/>
  <c r="I38" i="2"/>
  <c r="I13" i="2"/>
  <c r="H28" i="51"/>
  <c r="I26" i="51"/>
  <c r="I60" i="2" s="1"/>
  <c r="F25" i="43"/>
  <c r="F26" i="43" s="1"/>
  <c r="F27" i="43" s="1"/>
  <c r="G25" i="43"/>
  <c r="G26" i="43" s="1"/>
  <c r="G27" i="43" s="1"/>
  <c r="D25" i="43"/>
  <c r="D26" i="43" s="1"/>
  <c r="D27" i="43" s="1"/>
  <c r="D23" i="2" l="1"/>
  <c r="D59" i="2" s="1"/>
  <c r="D58" i="2" s="1"/>
  <c r="G41" i="2"/>
  <c r="E26" i="57"/>
  <c r="H27" i="59"/>
  <c r="G24" i="2" s="1"/>
  <c r="F23" i="2"/>
  <c r="F59" i="2" s="1"/>
  <c r="F58" i="2" s="1"/>
  <c r="I48" i="2"/>
  <c r="I20" i="2"/>
  <c r="I21" i="2" s="1"/>
  <c r="H25" i="59"/>
  <c r="G22" i="2" s="1"/>
  <c r="G21" i="2"/>
  <c r="G53" i="2" s="1"/>
  <c r="G59" i="2"/>
  <c r="G58" i="2" s="1"/>
  <c r="G52" i="2"/>
  <c r="H25" i="58"/>
  <c r="F22" i="2" s="1"/>
  <c r="F21" i="2"/>
  <c r="F53" i="2" s="1"/>
  <c r="H25" i="56"/>
  <c r="D22" i="2" s="1"/>
  <c r="D21" i="2"/>
  <c r="D53" i="2" s="1"/>
  <c r="H25" i="57"/>
  <c r="E22" i="2" s="1"/>
  <c r="E21" i="2"/>
  <c r="E53" i="2" s="1"/>
  <c r="C21" i="2"/>
  <c r="C22" i="2" s="1"/>
  <c r="C23" i="2" s="1"/>
  <c r="H26" i="43"/>
  <c r="H27" i="43" s="1"/>
  <c r="C27" i="43"/>
  <c r="D52" i="2" l="1"/>
  <c r="E27" i="57"/>
  <c r="H26" i="57"/>
  <c r="F52" i="2"/>
  <c r="I39" i="2"/>
  <c r="C53" i="2"/>
  <c r="C59" i="2"/>
  <c r="C58" i="2" s="1"/>
  <c r="C52" i="2"/>
  <c r="I53" i="2"/>
  <c r="I22" i="2"/>
  <c r="I23" i="2" s="1"/>
  <c r="H27" i="57" l="1"/>
  <c r="E24" i="2" s="1"/>
  <c r="E23" i="2"/>
  <c r="I59" i="2"/>
  <c r="I58" i="2" s="1"/>
  <c r="I52" i="2"/>
  <c r="I24" i="2"/>
  <c r="E59" i="2" l="1"/>
  <c r="E58" i="2" s="1"/>
  <c r="E52" i="2"/>
</calcChain>
</file>

<file path=xl/comments1.xml><?xml version="1.0" encoding="utf-8"?>
<comments xmlns="http://schemas.openxmlformats.org/spreadsheetml/2006/main">
  <authors>
    <author>李伟青</author>
  </authors>
  <commentList>
    <comment ref="E10" authorId="0">
      <text>
        <r>
          <rPr>
            <b/>
            <sz val="9"/>
            <color indexed="81"/>
            <rFont val="宋体"/>
            <family val="3"/>
            <charset val="134"/>
          </rPr>
          <t>李伟青:</t>
        </r>
        <r>
          <rPr>
            <sz val="9"/>
            <color indexed="81"/>
            <rFont val="宋体"/>
            <family val="3"/>
            <charset val="134"/>
          </rPr>
          <t xml:space="preserve">
销售没填，预估数
</t>
        </r>
      </text>
    </comment>
    <comment ref="E11" authorId="0">
      <text>
        <r>
          <rPr>
            <b/>
            <sz val="9"/>
            <color indexed="81"/>
            <rFont val="宋体"/>
            <family val="3"/>
            <charset val="134"/>
          </rPr>
          <t>李伟青:</t>
        </r>
        <r>
          <rPr>
            <sz val="9"/>
            <color indexed="81"/>
            <rFont val="宋体"/>
            <family val="3"/>
            <charset val="134"/>
          </rPr>
          <t xml:space="preserve">
李伟青:
销售没填，预估数</t>
        </r>
      </text>
    </comment>
    <comment ref="E12" authorId="0">
      <text>
        <r>
          <rPr>
            <b/>
            <sz val="9"/>
            <color indexed="81"/>
            <rFont val="宋体"/>
            <family val="3"/>
            <charset val="134"/>
          </rPr>
          <t>李伟青:</t>
        </r>
        <r>
          <rPr>
            <sz val="9"/>
            <color indexed="81"/>
            <rFont val="宋体"/>
            <family val="3"/>
            <charset val="134"/>
          </rPr>
          <t xml:space="preserve">
李伟青:
销售没填，预估数</t>
        </r>
      </text>
    </comment>
    <comment ref="E13" authorId="0">
      <text>
        <r>
          <rPr>
            <b/>
            <sz val="9"/>
            <color indexed="81"/>
            <rFont val="宋体"/>
            <family val="3"/>
            <charset val="134"/>
          </rPr>
          <t>李伟青:</t>
        </r>
        <r>
          <rPr>
            <sz val="9"/>
            <color indexed="81"/>
            <rFont val="宋体"/>
            <family val="3"/>
            <charset val="134"/>
          </rPr>
          <t xml:space="preserve">
李伟青:
销售没填，预估数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李伟青</author>
  </authors>
  <commentList>
    <comment ref="C9" authorId="0">
      <text>
        <r>
          <rPr>
            <b/>
            <sz val="9"/>
            <color indexed="81"/>
            <rFont val="宋体"/>
            <family val="3"/>
            <charset val="134"/>
          </rPr>
          <t>李伟青:</t>
        </r>
        <r>
          <rPr>
            <sz val="9"/>
            <color indexed="81"/>
            <rFont val="宋体"/>
            <family val="3"/>
            <charset val="134"/>
          </rPr>
          <t xml:space="preserve">
销售暂不确定</t>
        </r>
      </text>
    </comment>
  </commentList>
</comments>
</file>

<file path=xl/sharedStrings.xml><?xml version="1.0" encoding="utf-8"?>
<sst xmlns="http://schemas.openxmlformats.org/spreadsheetml/2006/main" count="1572" uniqueCount="293">
  <si>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</si>
  <si>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</si>
  <si>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</si>
  <si>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</si>
  <si>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</si>
  <si>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</si>
  <si>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</si>
  <si>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</si>
  <si>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</si>
  <si>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</si>
  <si>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</si>
  <si>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</si>
  <si>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</si>
  <si>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</si>
  <si>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</si>
  <si>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</si>
  <si>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</si>
  <si>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</si>
  <si>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</si>
  <si>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</si>
  <si>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2021年</t>
  </si>
  <si>
    <t>2022年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</si>
  <si>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</si>
  <si>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</si>
  <si>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</si>
  <si>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</si>
  <si>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</si>
  <si>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</si>
  <si>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</si>
  <si>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</si>
  <si>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</si>
  <si>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</si>
  <si>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</si>
  <si>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</si>
  <si>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</si>
  <si>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</si>
  <si>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</si>
  <si>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</si>
  <si>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</si>
  <si>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</si>
  <si>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</si>
  <si>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</si>
  <si>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</si>
  <si>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</si>
  <si>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</si>
  <si>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</si>
  <si>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</si>
  <si>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</si>
  <si>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</si>
  <si>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</si>
  <si>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</si>
  <si>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</si>
  <si>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</si>
  <si>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</si>
  <si>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</si>
  <si>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</si>
  <si>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</si>
  <si>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</si>
  <si>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</si>
  <si>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</si>
  <si>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</si>
  <si>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</si>
  <si>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</si>
  <si>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</si>
  <si>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</si>
  <si>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</si>
  <si>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</si>
  <si>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</si>
  <si>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</si>
  <si>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</si>
  <si>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</si>
  <si>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</si>
  <si>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</si>
  <si>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</si>
  <si>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</si>
  <si>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</si>
  <si>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</si>
  <si>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</si>
  <si>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</si>
  <si>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</si>
  <si>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</si>
  <si>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</si>
  <si>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</si>
  <si>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</si>
  <si>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</si>
  <si>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</si>
  <si>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</si>
  <si>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</si>
  <si>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</si>
  <si>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</si>
  <si>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</si>
  <si>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</si>
  <si>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</si>
  <si>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</si>
  <si>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</si>
  <si>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</si>
  <si>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</si>
  <si>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</si>
  <si>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</si>
  <si>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</si>
  <si>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</si>
  <si>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</si>
  <si>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</si>
  <si>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</si>
  <si>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</si>
  <si>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</si>
  <si>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</si>
  <si>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</si>
  <si>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</si>
  <si>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</si>
  <si>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</si>
  <si>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</si>
  <si>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</si>
  <si>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</si>
  <si>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</si>
  <si>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</si>
  <si>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</si>
  <si>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</si>
  <si>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</si>
  <si>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</si>
  <si>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</si>
  <si>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</si>
  <si>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</si>
  <si>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</si>
  <si>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</si>
  <si>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</si>
  <si>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</si>
  <si>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</si>
  <si>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</si>
  <si>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</si>
  <si>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</si>
  <si>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</si>
  <si>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</si>
  <si>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</si>
  <si>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</si>
  <si>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</si>
  <si>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</si>
  <si>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</si>
  <si>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</si>
  <si>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</si>
  <si>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</si>
  <si>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</si>
  <si>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</si>
  <si>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</si>
  <si>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</si>
  <si>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</si>
  <si>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</si>
  <si>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</si>
  <si>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</si>
  <si>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</si>
  <si>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</si>
  <si>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</si>
  <si>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2021年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</si>
  <si>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</si>
  <si>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</si>
  <si>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</si>
  <si>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</si>
  <si>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</si>
  <si>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</si>
  <si>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</si>
  <si>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</si>
  <si>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</si>
  <si>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</si>
  <si>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</si>
  <si>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</si>
  <si>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</si>
  <si>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</si>
  <si>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</si>
  <si>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</si>
  <si>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</si>
  <si>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</si>
  <si>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</si>
  <si>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</si>
  <si>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</si>
  <si>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</si>
  <si>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</si>
  <si>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</si>
  <si>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</si>
  <si>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</si>
  <si>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</si>
  <si>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</si>
  <si>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</si>
  <si>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</si>
  <si>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</si>
  <si>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</si>
  <si>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</si>
  <si>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</si>
  <si>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</si>
  <si>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</si>
  <si>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</si>
  <si>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</si>
  <si>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</si>
  <si>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</si>
  <si>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</si>
  <si>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</si>
  <si>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</si>
  <si>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</si>
  <si>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</si>
  <si>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</si>
  <si>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</si>
  <si>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</si>
  <si>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</si>
  <si>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</si>
  <si>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</si>
  <si>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</si>
  <si>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</si>
  <si>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</si>
  <si>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</si>
  <si>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</si>
  <si>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</si>
  <si>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</si>
  <si>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</si>
  <si>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</si>
  <si>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</si>
  <si>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</si>
  <si>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</si>
  <si>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</si>
  <si>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</si>
  <si>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</si>
  <si>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</si>
  <si>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</si>
  <si>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</si>
  <si>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</si>
  <si>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</si>
  <si>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</si>
  <si>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</si>
  <si>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</si>
  <si>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</si>
  <si>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</si>
  <si>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</si>
  <si>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</si>
  <si>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</si>
  <si>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</si>
  <si>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</si>
  <si>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</si>
  <si>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</si>
  <si>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</si>
  <si>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</si>
  <si>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9" type="noConversion"/>
  </si>
  <si>
    <t>综合单件金额</t>
    <phoneticPr fontId="39" type="noConversion"/>
  </si>
  <si>
    <t>座椅单件金额</t>
    <phoneticPr fontId="39" type="noConversion"/>
  </si>
  <si>
    <t>后视镜单件金额</t>
    <phoneticPr fontId="39" type="noConversion"/>
  </si>
  <si>
    <t>综合占收入比率</t>
    <phoneticPr fontId="39" type="noConversion"/>
  </si>
  <si>
    <t>后视镜占收入比率</t>
    <phoneticPr fontId="39" type="noConversion"/>
  </si>
  <si>
    <t>座椅占收入比率</t>
    <phoneticPr fontId="39" type="noConversion"/>
  </si>
  <si>
    <t>采购</t>
    <phoneticPr fontId="39" type="noConversion"/>
  </si>
  <si>
    <t xml:space="preserve">    年</t>
    <phoneticPr fontId="39" type="noConversion"/>
  </si>
  <si>
    <t>供应商年降：     5  年3%</t>
    <phoneticPr fontId="39" type="noConversion"/>
  </si>
  <si>
    <t xml:space="preserve">2022年  </t>
    <phoneticPr fontId="39" type="noConversion"/>
  </si>
  <si>
    <t xml:space="preserve">2023年  </t>
    <phoneticPr fontId="39" type="noConversion"/>
  </si>
  <si>
    <t xml:space="preserve">2024年  </t>
    <phoneticPr fontId="39" type="noConversion"/>
  </si>
  <si>
    <t xml:space="preserve">2025年  </t>
    <phoneticPr fontId="39" type="noConversion"/>
  </si>
  <si>
    <t>主驾驶安全带出口罩壳A\B 预估24万
副驾驶安全带出口罩壳A\B 预估24万</t>
  </si>
  <si>
    <t>主驾驶坐垫、靠背泡沫  预估12万
副驾驶坐垫、靠背泡沫  预估12万</t>
  </si>
  <si>
    <t>1.主驾安全带固定钣金A\B 20万
  主驾靠背左右边板 12万
  副驾安全带固定钣金 12万
2.扶手支架（主驾）2万（落料、成型、冲孔）                   
3.主驾底支架5个冲压件共计 50W（左右前后边板+前支撑板），每个件涉及落料、成型、冲孔模具。
4.副驾底支架40万，涉及落料、成型、冲孔。           
5.后端支架（主驾）5万</t>
  </si>
  <si>
    <t>1.扶手支架焊胎1万；
2.靠背骨架焊接胎具3副 共15万
3.调教器焊接总成胎具  5万</t>
  </si>
  <si>
    <t>1.靠背骨架检具1副，3万；
2.座椅总成检具1副，2万；</t>
  </si>
  <si>
    <t>装配工装改制</t>
  </si>
  <si>
    <t>单把座椅样品费用3K，按照20把交付准备</t>
  </si>
  <si>
    <t>参照以往项目DVP实验预估费用</t>
  </si>
  <si>
    <t>驾驶员座椅</t>
  </si>
  <si>
    <t>副驾驶员座椅</t>
  </si>
  <si>
    <t>H668100000001</t>
    <phoneticPr fontId="39" type="noConversion"/>
  </si>
  <si>
    <t>H668100000002</t>
  </si>
  <si>
    <t>H668100000011</t>
  </si>
  <si>
    <t>6向调节、集成三点式安全带、定阻尼、速降、机械腰托</t>
  </si>
  <si>
    <t>8向调节、集成三点式安全带、可调阻尼、速降、气动腰托、座垫通风加热</t>
  </si>
  <si>
    <t>集成三点式安全带、靠背可调、坐垫翻折、SBR、安全带报警</t>
  </si>
  <si>
    <t>北汽福田戴姆勒</t>
  </si>
  <si>
    <r>
      <t xml:space="preserve"> HC1项目可行性分析            </t>
    </r>
    <r>
      <rPr>
        <sz val="10"/>
        <color theme="1"/>
        <rFont val="微软雅黑"/>
        <family val="2"/>
        <charset val="134"/>
      </rPr>
      <t>单位：万元</t>
    </r>
    <phoneticPr fontId="39" type="noConversion"/>
  </si>
  <si>
    <t xml:space="preserve"> HC1项目研发费用预算表 </t>
    <phoneticPr fontId="39" type="noConversion"/>
  </si>
  <si>
    <t xml:space="preserve"> HC1项目</t>
    <phoneticPr fontId="39" type="noConversion"/>
  </si>
  <si>
    <t>H468100000007</t>
    <phoneticPr fontId="39" type="noConversion"/>
  </si>
  <si>
    <t>面料差额</t>
    <phoneticPr fontId="39" type="noConversion"/>
  </si>
  <si>
    <t>气悬浮总成和速升速降气路总成</t>
    <phoneticPr fontId="39" type="noConversion"/>
  </si>
  <si>
    <t>VDC阀</t>
    <phoneticPr fontId="39" type="noConversion"/>
  </si>
  <si>
    <t>升降调节机构总成</t>
    <phoneticPr fontId="39" type="noConversion"/>
  </si>
  <si>
    <t>可变阻尼</t>
    <phoneticPr fontId="39" type="noConversion"/>
  </si>
  <si>
    <t>定阻尼</t>
    <phoneticPr fontId="39" type="noConversion"/>
  </si>
  <si>
    <t>机械腰拖及手轮</t>
    <phoneticPr fontId="39" type="noConversion"/>
  </si>
  <si>
    <t>气袋腰拖</t>
    <phoneticPr fontId="39" type="noConversion"/>
  </si>
  <si>
    <t>二联阀</t>
    <phoneticPr fontId="39" type="noConversion"/>
  </si>
  <si>
    <t>坐垫通风加热</t>
  </si>
  <si>
    <t>河北光华荣昌</t>
  </si>
  <si>
    <t>江苏常州</t>
    <phoneticPr fontId="36" type="noConversion"/>
  </si>
  <si>
    <r>
      <t>2026</t>
    </r>
    <r>
      <rPr>
        <b/>
        <sz val="10"/>
        <rFont val="宋体"/>
        <family val="3"/>
        <charset val="134"/>
      </rPr>
      <t>年</t>
    </r>
    <phoneticPr fontId="39" type="noConversion"/>
  </si>
  <si>
    <t>材料成本年降汇总表3%</t>
    <phoneticPr fontId="39" type="noConversion"/>
  </si>
  <si>
    <t>产品名称</t>
    <phoneticPr fontId="39" type="noConversion"/>
  </si>
  <si>
    <t>材料成本</t>
    <phoneticPr fontId="39" type="noConversion"/>
  </si>
  <si>
    <t>驾驶员座椅H668100000001</t>
  </si>
  <si>
    <t>驾驶员座椅H668100000002</t>
  </si>
  <si>
    <t>副驾驶员座椅H668100000011</t>
  </si>
  <si>
    <r>
      <t>河北至怀柔，2</t>
    </r>
    <r>
      <rPr>
        <sz val="11"/>
        <color theme="1"/>
        <rFont val="宋体"/>
        <family val="3"/>
        <charset val="134"/>
        <scheme val="minor"/>
      </rPr>
      <t>74.7KM，河北至常州，839.5KM</t>
    </r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</si>
</sst>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/>
    <xf numFmtId="9" fontId="38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0" fillId="0" borderId="0"/>
    <xf numFmtId="1" fontId="33" fillId="0" borderId="1" applyBorder="0"/>
    <xf numFmtId="43" fontId="34" fillId="0" borderId="0" applyFont="0" applyFill="0" applyBorder="0" applyAlignment="0" applyProtection="0">
      <alignment vertical="center"/>
    </xf>
    <xf numFmtId="0" fontId="30" fillId="0" borderId="0"/>
    <xf numFmtId="0" fontId="41" fillId="0" borderId="1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2" fillId="3" borderId="1" xfId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10" fillId="5" borderId="1" xfId="4" applyNumberFormat="1" applyFont="1" applyFill="1" applyBorder="1" applyAlignment="1">
      <alignment horizontal="center" vertical="center" wrapText="1"/>
    </xf>
    <xf numFmtId="43" fontId="10" fillId="5" borderId="1" xfId="1" applyFont="1" applyFill="1" applyBorder="1" applyAlignment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1" fillId="0" borderId="1" xfId="4" applyNumberFormat="1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1" fillId="0" borderId="4" xfId="4" applyNumberFormat="1" applyFont="1" applyFill="1" applyBorder="1" applyAlignment="1">
      <alignment horizontal="center" vertical="center"/>
    </xf>
    <xf numFmtId="177" fontId="11" fillId="0" borderId="4" xfId="4" applyNumberFormat="1" applyFont="1" applyFill="1" applyBorder="1" applyAlignment="1">
      <alignment horizontal="left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43" fontId="17" fillId="0" borderId="0" xfId="1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0" fontId="19" fillId="0" borderId="1" xfId="0" applyFont="1" applyFill="1" applyBorder="1">
      <alignment vertical="center"/>
    </xf>
    <xf numFmtId="9" fontId="17" fillId="0" borderId="1" xfId="3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7" fillId="0" borderId="1" xfId="1" applyFont="1" applyFill="1" applyBorder="1">
      <alignment vertical="center"/>
    </xf>
    <xf numFmtId="0" fontId="16" fillId="0" borderId="1" xfId="0" applyFont="1" applyFill="1" applyBorder="1">
      <alignment vertical="center"/>
    </xf>
    <xf numFmtId="9" fontId="17" fillId="0" borderId="1" xfId="3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43" fontId="17" fillId="0" borderId="1" xfId="0" applyNumberFormat="1" applyFont="1" applyFill="1" applyBorder="1">
      <alignment vertical="center"/>
    </xf>
    <xf numFmtId="43" fontId="16" fillId="0" borderId="1" xfId="1" applyFont="1" applyFill="1" applyBorder="1">
      <alignment vertical="center"/>
    </xf>
    <xf numFmtId="43" fontId="17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7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9" fontId="17" fillId="0" borderId="0" xfId="0" applyNumberFormat="1" applyFont="1" applyFill="1">
      <alignment vertical="center"/>
    </xf>
    <xf numFmtId="1" fontId="11" fillId="4" borderId="0" xfId="2" applyNumberFormat="1" applyFont="1" applyFill="1" applyProtection="1"/>
    <xf numFmtId="0" fontId="11" fillId="4" borderId="0" xfId="2" applyFont="1" applyFill="1" applyProtection="1"/>
    <xf numFmtId="0" fontId="21" fillId="4" borderId="0" xfId="2" applyFont="1" applyFill="1" applyAlignment="1" applyProtection="1">
      <alignment horizontal="centerContinuous"/>
    </xf>
    <xf numFmtId="0" fontId="11" fillId="4" borderId="0" xfId="2" applyFont="1" applyFill="1" applyAlignment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Protection="1"/>
    <xf numFmtId="0" fontId="11" fillId="4" borderId="5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2" xfId="2" applyFont="1" applyFill="1" applyBorder="1" applyAlignment="1" applyProtection="1">
      <alignment horizontal="center"/>
    </xf>
    <xf numFmtId="1" fontId="13" fillId="4" borderId="2" xfId="7" applyFont="1" applyFill="1" applyBorder="1"/>
    <xf numFmtId="1" fontId="11" fillId="4" borderId="2" xfId="7" applyFont="1" applyFill="1" applyBorder="1"/>
    <xf numFmtId="0" fontId="11" fillId="4" borderId="6" xfId="2" applyFont="1" applyFill="1" applyBorder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9" xfId="2" applyFont="1" applyFill="1" applyBorder="1" applyProtection="1"/>
    <xf numFmtId="0" fontId="11" fillId="4" borderId="10" xfId="2" applyFont="1" applyFill="1" applyBorder="1" applyProtection="1"/>
    <xf numFmtId="0" fontId="11" fillId="4" borderId="11" xfId="2" applyFont="1" applyFill="1" applyBorder="1" applyProtection="1"/>
    <xf numFmtId="0" fontId="11" fillId="4" borderId="0" xfId="2" applyFont="1" applyFill="1" applyBorder="1" applyProtection="1"/>
    <xf numFmtId="176" fontId="11" fillId="4" borderId="0" xfId="2" applyNumberFormat="1" applyFont="1" applyFill="1" applyBorder="1" applyProtection="1"/>
    <xf numFmtId="10" fontId="11" fillId="4" borderId="0" xfId="2" applyNumberFormat="1" applyFont="1" applyFill="1" applyBorder="1" applyProtection="1"/>
    <xf numFmtId="1" fontId="11" fillId="4" borderId="0" xfId="2" applyNumberFormat="1" applyFont="1" applyFill="1" applyBorder="1" applyProtection="1"/>
    <xf numFmtId="0" fontId="11" fillId="4" borderId="12" xfId="2" applyFont="1" applyFill="1" applyBorder="1" applyProtection="1"/>
    <xf numFmtId="0" fontId="11" fillId="4" borderId="8" xfId="2" applyFont="1" applyFill="1" applyBorder="1" applyProtection="1"/>
    <xf numFmtId="2" fontId="11" fillId="4" borderId="8" xfId="2" applyNumberFormat="1" applyFont="1" applyFill="1" applyBorder="1" applyProtection="1"/>
    <xf numFmtId="0" fontId="11" fillId="4" borderId="3" xfId="2" applyFont="1" applyFill="1" applyBorder="1"/>
    <xf numFmtId="1" fontId="11" fillId="4" borderId="6" xfId="7" applyFont="1" applyFill="1" applyBorder="1" applyAlignment="1">
      <alignment horizontal="center"/>
    </xf>
    <xf numFmtId="0" fontId="11" fillId="4" borderId="13" xfId="2" applyFont="1" applyFill="1" applyBorder="1" applyProtection="1"/>
    <xf numFmtId="0" fontId="11" fillId="4" borderId="14" xfId="2" applyFont="1" applyFill="1" applyBorder="1" applyProtection="1"/>
    <xf numFmtId="0" fontId="11" fillId="4" borderId="15" xfId="2" applyFont="1" applyFill="1" applyBorder="1" applyProtection="1"/>
    <xf numFmtId="0" fontId="16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43" fontId="17" fillId="0" borderId="0" xfId="1" applyFont="1">
      <alignment vertical="center"/>
    </xf>
    <xf numFmtId="43" fontId="23" fillId="0" borderId="1" xfId="1" applyFont="1" applyFill="1" applyBorder="1" applyAlignment="1">
      <alignment horizontal="center" vertical="center" wrapText="1"/>
    </xf>
    <xf numFmtId="178" fontId="17" fillId="0" borderId="1" xfId="1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9" fillId="6" borderId="1" xfId="0" applyFont="1" applyFill="1" applyBorder="1">
      <alignment vertical="center"/>
    </xf>
    <xf numFmtId="178" fontId="16" fillId="6" borderId="1" xfId="1" applyNumberFormat="1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10" fontId="16" fillId="0" borderId="1" xfId="3" applyNumberFormat="1" applyFont="1" applyBorder="1" applyAlignment="1">
      <alignment vertical="center"/>
    </xf>
    <xf numFmtId="178" fontId="16" fillId="0" borderId="1" xfId="1" applyNumberFormat="1" applyFont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24" fillId="6" borderId="1" xfId="0" applyFont="1" applyFill="1" applyBorder="1">
      <alignment vertical="center"/>
    </xf>
    <xf numFmtId="178" fontId="17" fillId="0" borderId="1" xfId="1" applyNumberFormat="1" applyFont="1" applyBorder="1" applyAlignment="1">
      <alignment horizontal="center" vertical="center"/>
    </xf>
    <xf numFmtId="10" fontId="17" fillId="0" borderId="1" xfId="3" applyNumberFormat="1" applyFont="1" applyBorder="1">
      <alignment vertical="center"/>
    </xf>
    <xf numFmtId="10" fontId="17" fillId="0" borderId="0" xfId="3" applyNumberFormat="1" applyFont="1" applyBorder="1">
      <alignment vertical="center"/>
    </xf>
    <xf numFmtId="43" fontId="17" fillId="0" borderId="0" xfId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1" applyFont="1" applyBorder="1">
      <alignment vertical="center"/>
    </xf>
    <xf numFmtId="178" fontId="17" fillId="0" borderId="1" xfId="1" applyNumberFormat="1" applyFont="1" applyBorder="1">
      <alignment vertical="center"/>
    </xf>
    <xf numFmtId="43" fontId="17" fillId="0" borderId="0" xfId="0" applyNumberFormat="1" applyFont="1" applyFill="1" applyBorder="1">
      <alignment vertical="center"/>
    </xf>
    <xf numFmtId="0" fontId="16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17" fillId="0" borderId="5" xfId="0" applyFont="1" applyBorder="1">
      <alignment vertical="center"/>
    </xf>
    <xf numFmtId="0" fontId="25" fillId="0" borderId="0" xfId="0" applyFont="1">
      <alignment vertical="center"/>
    </xf>
    <xf numFmtId="0" fontId="26" fillId="0" borderId="1" xfId="0" applyFont="1" applyBorder="1" applyAlignment="1">
      <alignment horizontal="center" vertical="center" wrapText="1" readingOrder="1"/>
    </xf>
    <xf numFmtId="0" fontId="25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Fill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8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3" fontId="17" fillId="0" borderId="4" xfId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0" fontId="0" fillId="0" borderId="1" xfId="0" applyFill="1" applyBorder="1" applyAlignment="1">
      <alignment horizontal="left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8" fillId="0" borderId="0" xfId="0" applyFont="1" applyFill="1">
      <alignment vertical="center"/>
    </xf>
    <xf numFmtId="43" fontId="17" fillId="7" borderId="0" xfId="0" applyNumberFormat="1" applyFont="1" applyFill="1">
      <alignment vertical="center"/>
    </xf>
    <xf numFmtId="0" fontId="17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5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 readingOrder="1"/>
    </xf>
    <xf numFmtId="43" fontId="17" fillId="2" borderId="4" xfId="1" applyFont="1" applyFill="1" applyBorder="1" applyAlignment="1">
      <alignment vertical="center"/>
    </xf>
    <xf numFmtId="43" fontId="17" fillId="2" borderId="3" xfId="1" applyFont="1" applyFill="1" applyBorder="1" applyAlignment="1">
      <alignment vertical="center"/>
    </xf>
    <xf numFmtId="0" fontId="44" fillId="8" borderId="1" xfId="0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 wrapText="1"/>
    </xf>
    <xf numFmtId="43" fontId="18" fillId="0" borderId="7" xfId="1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 wrapText="1"/>
    </xf>
    <xf numFmtId="43" fontId="17" fillId="0" borderId="4" xfId="1" applyFont="1" applyFill="1" applyBorder="1" applyAlignment="1">
      <alignment horizontal="center" vertical="center"/>
    </xf>
    <xf numFmtId="43" fontId="17" fillId="0" borderId="2" xfId="1" applyFont="1" applyFill="1" applyBorder="1" applyAlignment="1">
      <alignment horizontal="center" vertical="center"/>
    </xf>
    <xf numFmtId="43" fontId="17" fillId="0" borderId="3" xfId="1" applyFont="1" applyFill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/>
    </xf>
    <xf numFmtId="0" fontId="9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9" fontId="0" fillId="0" borderId="0" xfId="0" applyNumberFormat="1" applyFill="1" applyAlignment="1">
      <alignment horizontal="left" vertical="top"/>
    </xf>
    <xf numFmtId="10" fontId="28" fillId="0" borderId="0" xfId="3" applyNumberFormat="1" applyFont="1" applyFill="1" applyAlignment="1">
      <alignment horizontal="left" vertical="top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1&#39033;&#30446;&#22270;&#21495;H668100000001&#39033;&#30446;&#21487;&#34892;&#24615;&#20998;&#26512;2021.7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1年"/>
      <sheetName val="2022年"/>
      <sheetName val="2023年"/>
      <sheetName val="2024年"/>
      <sheetName val="2025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2">
          <cell r="C2" t="str">
            <v>北汽福田戴姆勒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5" customFormat="1" ht="35.25" customHeight="1">
      <c r="A2" s="146" t="s">
        <v>0</v>
      </c>
      <c r="B2" s="146" t="s">
        <v>1</v>
      </c>
      <c r="C2" s="146" t="s">
        <v>2</v>
      </c>
      <c r="D2" s="147"/>
    </row>
    <row r="3" spans="1:4" s="145" customFormat="1" ht="33.75" customHeight="1">
      <c r="A3" s="148">
        <v>1</v>
      </c>
      <c r="B3" s="148" t="s">
        <v>3</v>
      </c>
      <c r="C3" s="149" t="s">
        <v>4</v>
      </c>
      <c r="D3" s="147"/>
    </row>
    <row r="4" spans="1:4" s="145" customFormat="1" ht="33.75" customHeight="1">
      <c r="A4" s="148">
        <v>2</v>
      </c>
      <c r="B4" s="148" t="s">
        <v>5</v>
      </c>
      <c r="C4" s="149" t="s">
        <v>6</v>
      </c>
    </row>
    <row r="5" spans="1:4" s="145" customFormat="1" ht="33.75" customHeight="1">
      <c r="A5" s="148">
        <v>3</v>
      </c>
      <c r="B5" s="191" t="s">
        <v>7</v>
      </c>
      <c r="C5" s="150" t="s">
        <v>8</v>
      </c>
    </row>
    <row r="6" spans="1:4" s="145" customFormat="1" ht="33.75" customHeight="1">
      <c r="A6" s="148">
        <v>4</v>
      </c>
      <c r="B6" s="192"/>
      <c r="C6" s="149" t="s">
        <v>9</v>
      </c>
    </row>
    <row r="7" spans="1:4" s="145" customFormat="1" ht="33.75" customHeight="1">
      <c r="A7" s="148">
        <v>5</v>
      </c>
      <c r="B7" s="151" t="s">
        <v>10</v>
      </c>
      <c r="C7" s="149" t="s">
        <v>11</v>
      </c>
    </row>
    <row r="8" spans="1:4" s="145" customFormat="1" ht="33.75" customHeight="1">
      <c r="A8" s="148">
        <v>6</v>
      </c>
      <c r="B8" s="191" t="s">
        <v>12</v>
      </c>
      <c r="C8" s="149" t="s">
        <v>13</v>
      </c>
    </row>
    <row r="9" spans="1:4" s="145" customFormat="1" ht="33.75" customHeight="1">
      <c r="A9" s="148">
        <v>7</v>
      </c>
      <c r="B9" s="192"/>
      <c r="C9" s="149" t="s">
        <v>14</v>
      </c>
    </row>
    <row r="10" spans="1:4" s="145" customFormat="1" ht="33.75" customHeight="1">
      <c r="A10" s="148">
        <v>8</v>
      </c>
      <c r="B10" s="192"/>
      <c r="C10" s="150" t="s">
        <v>15</v>
      </c>
    </row>
    <row r="11" spans="1:4" s="145" customFormat="1" ht="33.75" customHeight="1">
      <c r="A11" s="148">
        <v>9</v>
      </c>
      <c r="B11" s="192"/>
      <c r="C11" s="149" t="s">
        <v>16</v>
      </c>
    </row>
    <row r="12" spans="1:4" s="145" customFormat="1" ht="33.75" customHeight="1">
      <c r="A12" s="148">
        <v>10</v>
      </c>
      <c r="B12" s="151" t="s">
        <v>17</v>
      </c>
      <c r="C12" s="149" t="s">
        <v>18</v>
      </c>
    </row>
    <row r="13" spans="1:4" ht="33.75" customHeight="1"/>
    <row r="14" spans="1:4" ht="33.75" customHeight="1"/>
    <row r="15" spans="1:4" ht="33.75" customHeight="1">
      <c r="C15" s="152"/>
    </row>
  </sheetData>
  <mergeCells count="2">
    <mergeCell ref="B5:B6"/>
    <mergeCell ref="B8:B11"/>
  </mergeCells>
  <phoneticPr fontId="3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8" activePane="bottomRight" state="frozen"/>
      <selection pane="topRight"/>
      <selection pane="bottomLeft"/>
      <selection pane="bottomRight" activeCell="F34" sqref="F34"/>
    </sheetView>
  </sheetViews>
  <sheetFormatPr defaultColWidth="9" defaultRowHeight="13.5"/>
  <cols>
    <col min="1" max="1" width="20.625" customWidth="1"/>
    <col min="2" max="2" width="14.25" style="30" customWidth="1"/>
    <col min="3" max="3" width="13.125" customWidth="1"/>
    <col min="4" max="8" width="14.5" customWidth="1"/>
    <col min="9" max="9" width="24.75" customWidth="1"/>
    <col min="10" max="10" width="14.125" customWidth="1"/>
  </cols>
  <sheetData>
    <row r="1" spans="1:8" ht="20.25">
      <c r="A1" s="205" t="s">
        <v>163</v>
      </c>
      <c r="B1" s="205"/>
      <c r="C1" s="205"/>
      <c r="E1" s="206" t="s">
        <v>270</v>
      </c>
      <c r="F1" s="207"/>
      <c r="G1" s="207"/>
      <c r="H1" s="208"/>
    </row>
    <row r="2" spans="1:8" ht="23.45" customHeight="1">
      <c r="A2" s="31" t="s">
        <v>1</v>
      </c>
      <c r="B2" s="32" t="s">
        <v>164</v>
      </c>
      <c r="C2" s="33" t="s">
        <v>165</v>
      </c>
      <c r="E2" s="1" t="s">
        <v>166</v>
      </c>
      <c r="F2" s="1" t="s">
        <v>1</v>
      </c>
      <c r="G2" s="34" t="s">
        <v>167</v>
      </c>
      <c r="H2" s="1" t="s">
        <v>165</v>
      </c>
    </row>
    <row r="3" spans="1:8" ht="15.75" customHeight="1">
      <c r="A3" s="35" t="s">
        <v>168</v>
      </c>
      <c r="B3" s="36"/>
      <c r="C3" s="37"/>
      <c r="E3" s="213" t="s">
        <v>169</v>
      </c>
      <c r="F3" s="2" t="s">
        <v>170</v>
      </c>
      <c r="G3" s="38"/>
      <c r="H3" s="2"/>
    </row>
    <row r="4" spans="1:8" ht="15.75" customHeight="1">
      <c r="A4" s="35" t="s">
        <v>171</v>
      </c>
      <c r="B4" s="36"/>
      <c r="C4" s="39"/>
      <c r="E4" s="214"/>
      <c r="F4" s="2" t="s">
        <v>172</v>
      </c>
      <c r="G4" s="38"/>
      <c r="H4" s="2"/>
    </row>
    <row r="5" spans="1:8" ht="15.75" customHeight="1">
      <c r="A5" s="35" t="s">
        <v>173</v>
      </c>
      <c r="B5" s="40">
        <f>SUM(G3:G4)</f>
        <v>0</v>
      </c>
      <c r="C5" s="37"/>
      <c r="E5" s="215" t="s">
        <v>174</v>
      </c>
      <c r="F5" s="41" t="s">
        <v>175</v>
      </c>
      <c r="G5" s="38">
        <v>48</v>
      </c>
      <c r="H5" s="41" t="s">
        <v>252</v>
      </c>
    </row>
    <row r="6" spans="1:8" ht="15.75" customHeight="1">
      <c r="A6" s="35" t="s">
        <v>176</v>
      </c>
      <c r="B6" s="36"/>
      <c r="C6" s="37"/>
      <c r="E6" s="216"/>
      <c r="F6" s="41" t="s">
        <v>177</v>
      </c>
      <c r="G6" s="38">
        <v>24</v>
      </c>
      <c r="H6" s="2" t="s">
        <v>253</v>
      </c>
    </row>
    <row r="7" spans="1:8" ht="15.75" customHeight="1">
      <c r="A7" s="42" t="s">
        <v>178</v>
      </c>
      <c r="B7" s="40">
        <f>SUM(B3:B6)</f>
        <v>0</v>
      </c>
      <c r="C7" s="37"/>
      <c r="E7" s="216"/>
      <c r="F7" s="41" t="s">
        <v>179</v>
      </c>
      <c r="G7" s="38">
        <v>141</v>
      </c>
      <c r="H7" s="2" t="s">
        <v>254</v>
      </c>
    </row>
    <row r="8" spans="1:8" ht="15.75" customHeight="1">
      <c r="A8" s="43" t="s">
        <v>180</v>
      </c>
      <c r="B8" s="40">
        <f>SUM(G5:G12)</f>
        <v>243</v>
      </c>
      <c r="C8" s="44"/>
      <c r="E8" s="216"/>
      <c r="F8" s="41" t="s">
        <v>181</v>
      </c>
      <c r="G8" s="38">
        <v>0</v>
      </c>
      <c r="H8" s="2"/>
    </row>
    <row r="9" spans="1:8" ht="15.75" customHeight="1">
      <c r="A9" s="35" t="s">
        <v>182</v>
      </c>
      <c r="B9" s="40">
        <f>SUM(G13:G21)</f>
        <v>30</v>
      </c>
      <c r="C9" s="37"/>
      <c r="E9" s="216"/>
      <c r="F9" s="2" t="s">
        <v>183</v>
      </c>
      <c r="G9" s="38">
        <v>21</v>
      </c>
      <c r="H9" s="169" t="s">
        <v>255</v>
      </c>
    </row>
    <row r="10" spans="1:8" ht="15.75" customHeight="1">
      <c r="A10" s="39" t="s">
        <v>25</v>
      </c>
      <c r="B10" s="40">
        <f>B7+B8+B9</f>
        <v>273</v>
      </c>
      <c r="C10" s="37"/>
      <c r="E10" s="216"/>
      <c r="F10" s="2" t="s">
        <v>184</v>
      </c>
      <c r="G10" s="38">
        <v>5</v>
      </c>
      <c r="H10" s="2" t="s">
        <v>256</v>
      </c>
    </row>
    <row r="11" spans="1:8" ht="15.75" customHeight="1">
      <c r="E11" s="216"/>
      <c r="F11" s="2" t="s">
        <v>185</v>
      </c>
      <c r="G11" s="38">
        <v>4</v>
      </c>
      <c r="H11" s="2" t="s">
        <v>257</v>
      </c>
    </row>
    <row r="12" spans="1:8" ht="15.75" customHeight="1">
      <c r="E12" s="217"/>
      <c r="F12" s="2" t="s">
        <v>186</v>
      </c>
      <c r="G12" s="38" t="s">
        <v>132</v>
      </c>
      <c r="H12" s="169"/>
    </row>
    <row r="13" spans="1:8" ht="15.75" customHeight="1">
      <c r="E13" s="213" t="s">
        <v>57</v>
      </c>
      <c r="F13" s="2" t="s">
        <v>187</v>
      </c>
      <c r="G13" s="38"/>
      <c r="H13" s="45"/>
    </row>
    <row r="14" spans="1:8" ht="15.75" customHeight="1">
      <c r="E14" s="214"/>
      <c r="F14" s="2" t="s">
        <v>188</v>
      </c>
      <c r="G14" s="38">
        <v>2</v>
      </c>
      <c r="H14" s="2"/>
    </row>
    <row r="15" spans="1:8" ht="15.75" customHeight="1">
      <c r="E15" s="214"/>
      <c r="F15" s="2" t="s">
        <v>189</v>
      </c>
      <c r="G15" s="38">
        <v>0</v>
      </c>
      <c r="H15" s="2"/>
    </row>
    <row r="16" spans="1:8" ht="15.75" customHeight="1">
      <c r="E16" s="214"/>
      <c r="F16" s="2" t="s">
        <v>190</v>
      </c>
      <c r="G16" s="38">
        <v>2</v>
      </c>
      <c r="H16" s="2"/>
    </row>
    <row r="17" spans="1:10" ht="15.75" customHeight="1">
      <c r="E17" s="214"/>
      <c r="F17" s="2" t="s">
        <v>191</v>
      </c>
      <c r="G17" s="38">
        <v>8</v>
      </c>
      <c r="H17" s="2"/>
    </row>
    <row r="18" spans="1:10" ht="15.75" customHeight="1">
      <c r="E18" s="214"/>
      <c r="F18" s="2" t="s">
        <v>192</v>
      </c>
      <c r="G18" s="38">
        <v>6</v>
      </c>
      <c r="H18" s="2" t="s">
        <v>258</v>
      </c>
    </row>
    <row r="19" spans="1:10" ht="15.75" customHeight="1">
      <c r="E19" s="214"/>
      <c r="F19" s="2" t="s">
        <v>193</v>
      </c>
      <c r="G19" s="38">
        <v>12</v>
      </c>
      <c r="H19" s="2" t="s">
        <v>259</v>
      </c>
    </row>
    <row r="20" spans="1:10" ht="15.75" customHeight="1">
      <c r="E20" s="214"/>
      <c r="F20" s="2" t="s">
        <v>194</v>
      </c>
      <c r="G20" s="38"/>
      <c r="H20" s="2"/>
    </row>
    <row r="21" spans="1:10" ht="15.75" customHeight="1">
      <c r="E21" s="218"/>
      <c r="F21" s="2" t="s">
        <v>139</v>
      </c>
      <c r="G21" s="38"/>
      <c r="H21" s="2"/>
    </row>
    <row r="22" spans="1:10" ht="15.75" customHeight="1">
      <c r="E22" s="1" t="s">
        <v>25</v>
      </c>
      <c r="F22" s="2"/>
      <c r="G22" s="34">
        <f>SUM(G3:G21)</f>
        <v>273</v>
      </c>
      <c r="H22" s="2"/>
    </row>
    <row r="23" spans="1:10" ht="30.75" customHeight="1">
      <c r="E23" s="209" t="s">
        <v>195</v>
      </c>
      <c r="F23" s="209"/>
      <c r="G23" s="209"/>
      <c r="H23" s="209"/>
    </row>
    <row r="25" spans="1:10" ht="17.25">
      <c r="A25" s="19" t="s">
        <v>1</v>
      </c>
      <c r="B25" s="19" t="s">
        <v>164</v>
      </c>
      <c r="C25" s="19" t="s">
        <v>196</v>
      </c>
      <c r="D25" s="24" t="s">
        <v>20</v>
      </c>
      <c r="E25" s="24" t="s">
        <v>21</v>
      </c>
      <c r="F25" s="24" t="s">
        <v>197</v>
      </c>
      <c r="G25" s="24" t="s">
        <v>198</v>
      </c>
      <c r="H25" s="24" t="s">
        <v>199</v>
      </c>
      <c r="I25" s="24" t="s">
        <v>25</v>
      </c>
      <c r="J25" s="49" t="s">
        <v>200</v>
      </c>
    </row>
    <row r="26" spans="1:10" ht="16.5">
      <c r="A26" s="46" t="s">
        <v>158</v>
      </c>
      <c r="B26" s="47">
        <f>(B5+B8)*10000</f>
        <v>2430000</v>
      </c>
      <c r="C26" s="48">
        <v>0.05</v>
      </c>
      <c r="D26" s="13">
        <f>B26*(1-C26)/5</f>
        <v>461700</v>
      </c>
      <c r="E26" s="13">
        <f t="shared" ref="E26:H27" si="0">D26</f>
        <v>461700</v>
      </c>
      <c r="F26" s="13">
        <f t="shared" si="0"/>
        <v>461700</v>
      </c>
      <c r="G26" s="13">
        <f t="shared" si="0"/>
        <v>461700</v>
      </c>
      <c r="H26" s="13">
        <f t="shared" si="0"/>
        <v>461700</v>
      </c>
      <c r="I26" s="13">
        <f>SUM(D26:H26)</f>
        <v>2308500</v>
      </c>
      <c r="J26" s="13">
        <f>B26*0.05</f>
        <v>121500</v>
      </c>
    </row>
    <row r="27" spans="1:10" ht="16.5">
      <c r="A27" s="46" t="s">
        <v>201</v>
      </c>
      <c r="B27" s="47">
        <f>B9*10000</f>
        <v>300000</v>
      </c>
      <c r="C27" s="13"/>
      <c r="D27" s="13">
        <f>B27/5</f>
        <v>60000</v>
      </c>
      <c r="E27" s="13">
        <f t="shared" si="0"/>
        <v>60000</v>
      </c>
      <c r="F27" s="13">
        <f t="shared" si="0"/>
        <v>60000</v>
      </c>
      <c r="G27" s="13">
        <f t="shared" si="0"/>
        <v>60000</v>
      </c>
      <c r="H27" s="13">
        <f t="shared" si="0"/>
        <v>60000</v>
      </c>
      <c r="I27" s="13">
        <f>SUM(D27:H27)</f>
        <v>300000</v>
      </c>
      <c r="J27" s="13"/>
    </row>
    <row r="28" spans="1:10" ht="16.5">
      <c r="A28" s="210" t="s">
        <v>119</v>
      </c>
      <c r="B28" s="211"/>
      <c r="C28" s="212"/>
      <c r="D28" s="13">
        <f>SUM(D26:D27)</f>
        <v>521700</v>
      </c>
      <c r="E28" s="13">
        <f t="shared" ref="E28:H28" si="1">SUM(E26:E27)</f>
        <v>521700</v>
      </c>
      <c r="F28" s="13">
        <f t="shared" si="1"/>
        <v>521700</v>
      </c>
      <c r="G28" s="13">
        <f t="shared" si="1"/>
        <v>521700</v>
      </c>
      <c r="H28" s="13">
        <f t="shared" si="1"/>
        <v>521700</v>
      </c>
      <c r="I28" s="50"/>
      <c r="J28" s="5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9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zoomScale="80" zoomScaleNormal="80" workbookViewId="0">
      <selection activeCell="E25" sqref="E25"/>
    </sheetView>
  </sheetViews>
  <sheetFormatPr defaultColWidth="9" defaultRowHeight="16.5"/>
  <cols>
    <col min="1" max="1" width="14" style="6" customWidth="1"/>
    <col min="2" max="2" width="14.125" style="6" customWidth="1"/>
    <col min="3" max="3" width="21.625" style="6" bestFit="1" customWidth="1"/>
    <col min="4" max="4" width="23.25" style="6" customWidth="1"/>
    <col min="5" max="5" width="22.5" style="6" customWidth="1"/>
    <col min="6" max="6" width="16.25" style="6" customWidth="1"/>
    <col min="7" max="7" width="11.125" style="6" customWidth="1"/>
    <col min="8" max="8" width="12.1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202</v>
      </c>
      <c r="E1" s="17"/>
      <c r="F1" s="17"/>
      <c r="G1" s="17"/>
      <c r="H1" s="17"/>
      <c r="I1" s="17"/>
    </row>
    <row r="2" spans="1:12" ht="24" customHeight="1">
      <c r="A2" s="18" t="s">
        <v>203</v>
      </c>
      <c r="E2" s="17"/>
      <c r="F2" s="17"/>
      <c r="G2" s="17"/>
      <c r="H2" s="17"/>
      <c r="I2" s="17"/>
    </row>
    <row r="3" spans="1:12">
      <c r="C3" s="6" t="s">
        <v>204</v>
      </c>
      <c r="D3" s="9" t="s">
        <v>246</v>
      </c>
      <c r="E3" s="172">
        <v>0.05</v>
      </c>
    </row>
    <row r="5" spans="1:12" ht="45" customHeight="1">
      <c r="A5" s="220" t="s">
        <v>205</v>
      </c>
      <c r="B5" s="8" t="s">
        <v>154</v>
      </c>
      <c r="C5" s="168" t="s">
        <v>260</v>
      </c>
      <c r="D5" s="168" t="s">
        <v>260</v>
      </c>
      <c r="E5" s="168" t="s">
        <v>261</v>
      </c>
      <c r="F5" s="168"/>
      <c r="G5" s="168"/>
      <c r="H5" s="21"/>
      <c r="I5" s="219" t="s">
        <v>25</v>
      </c>
    </row>
    <row r="6" spans="1:12" ht="31.5" customHeight="1">
      <c r="A6" s="220"/>
      <c r="B6" s="8" t="s">
        <v>155</v>
      </c>
      <c r="C6" s="20" t="s">
        <v>262</v>
      </c>
      <c r="D6" s="20" t="s">
        <v>263</v>
      </c>
      <c r="E6" s="20" t="s">
        <v>264</v>
      </c>
      <c r="F6" s="20"/>
      <c r="G6" s="20"/>
      <c r="H6" s="21"/>
      <c r="I6" s="219"/>
      <c r="K6" s="6">
        <v>100</v>
      </c>
    </row>
    <row r="7" spans="1:12" ht="16.5" customHeight="1">
      <c r="A7" s="220"/>
      <c r="B7" s="22" t="s">
        <v>206</v>
      </c>
      <c r="C7" s="20" t="s">
        <v>265</v>
      </c>
      <c r="D7" s="20" t="s">
        <v>266</v>
      </c>
      <c r="E7" s="20" t="s">
        <v>267</v>
      </c>
      <c r="F7" s="20"/>
      <c r="G7" s="20"/>
      <c r="H7" s="21"/>
      <c r="I7" s="219"/>
      <c r="K7" s="6">
        <f>K6*(1-$E$3)</f>
        <v>95</v>
      </c>
      <c r="L7" s="6">
        <f>K7/$K$6</f>
        <v>0.95</v>
      </c>
    </row>
    <row r="8" spans="1:12" ht="33">
      <c r="A8" s="220"/>
      <c r="B8" s="22" t="s">
        <v>207</v>
      </c>
      <c r="C8" s="20">
        <v>1521</v>
      </c>
      <c r="D8" s="20">
        <f>C8+700</f>
        <v>2221</v>
      </c>
      <c r="E8" s="20">
        <v>703</v>
      </c>
      <c r="F8" s="20"/>
      <c r="G8" s="20"/>
      <c r="H8" s="23"/>
      <c r="I8" s="219"/>
      <c r="K8" s="6">
        <f t="shared" ref="K8:K10" si="0">K7*(1-$E$3)</f>
        <v>90.25</v>
      </c>
      <c r="L8" s="6">
        <f t="shared" ref="L8:L10" si="1">K8/$K$6</f>
        <v>0.90249999999999997</v>
      </c>
    </row>
    <row r="9" spans="1:12" ht="18.75">
      <c r="A9" s="221" t="s">
        <v>208</v>
      </c>
      <c r="B9" s="24" t="s">
        <v>20</v>
      </c>
      <c r="C9" s="25">
        <v>0</v>
      </c>
      <c r="D9" s="25">
        <v>0</v>
      </c>
      <c r="E9" s="25">
        <v>0</v>
      </c>
      <c r="F9" s="25"/>
      <c r="G9" s="25"/>
      <c r="H9" s="26"/>
      <c r="I9" s="29">
        <f>SUM(C9:H9)</f>
        <v>0</v>
      </c>
      <c r="K9" s="6">
        <f t="shared" si="0"/>
        <v>85.737499999999997</v>
      </c>
      <c r="L9" s="6">
        <f t="shared" si="1"/>
        <v>0.857375</v>
      </c>
    </row>
    <row r="10" spans="1:12" ht="18.75">
      <c r="A10" s="222"/>
      <c r="B10" s="19" t="s">
        <v>21</v>
      </c>
      <c r="C10" s="25">
        <v>5000</v>
      </c>
      <c r="D10" s="25">
        <v>5000</v>
      </c>
      <c r="E10" s="186">
        <f>D10+C10</f>
        <v>10000</v>
      </c>
      <c r="F10" s="25"/>
      <c r="G10" s="25"/>
      <c r="H10" s="26"/>
      <c r="I10" s="29">
        <f>SUM(C10:H10)</f>
        <v>20000</v>
      </c>
      <c r="K10" s="6">
        <f t="shared" si="0"/>
        <v>81.450624999999988</v>
      </c>
      <c r="L10" s="6">
        <f t="shared" si="1"/>
        <v>0.81450624999999988</v>
      </c>
    </row>
    <row r="11" spans="1:12" ht="18.75">
      <c r="A11" s="222"/>
      <c r="B11" s="19" t="s">
        <v>197</v>
      </c>
      <c r="C11" s="25">
        <v>20000</v>
      </c>
      <c r="D11" s="25">
        <v>30000</v>
      </c>
      <c r="E11" s="186">
        <f t="shared" ref="E11:E13" si="2">D11+C11</f>
        <v>50000</v>
      </c>
      <c r="F11" s="25"/>
      <c r="G11" s="25"/>
      <c r="H11" s="26"/>
      <c r="I11" s="29">
        <f>SUM(C11:H11)</f>
        <v>100000</v>
      </c>
    </row>
    <row r="12" spans="1:12" ht="18.75">
      <c r="A12" s="222"/>
      <c r="B12" s="19" t="s">
        <v>198</v>
      </c>
      <c r="C12" s="25">
        <v>20000</v>
      </c>
      <c r="D12" s="25">
        <v>30000</v>
      </c>
      <c r="E12" s="186">
        <f t="shared" si="2"/>
        <v>50000</v>
      </c>
      <c r="F12" s="25"/>
      <c r="G12" s="25"/>
      <c r="H12" s="26"/>
      <c r="I12" s="29">
        <f>SUM(C12:H12)</f>
        <v>100000</v>
      </c>
    </row>
    <row r="13" spans="1:12" ht="18.75">
      <c r="A13" s="222"/>
      <c r="B13" s="19" t="s">
        <v>199</v>
      </c>
      <c r="C13" s="25">
        <v>20000</v>
      </c>
      <c r="D13" s="25">
        <v>30000</v>
      </c>
      <c r="E13" s="186">
        <f t="shared" si="2"/>
        <v>50000</v>
      </c>
      <c r="F13" s="25"/>
      <c r="G13" s="25"/>
      <c r="H13" s="26"/>
      <c r="I13" s="29">
        <f>SUM(C13:H13)</f>
        <v>100000</v>
      </c>
    </row>
    <row r="14" spans="1:12" ht="17.25">
      <c r="A14" s="219" t="s">
        <v>25</v>
      </c>
      <c r="B14" s="219"/>
      <c r="C14" s="27">
        <f t="shared" ref="C14:I14" si="3">SUM(C9:C13)</f>
        <v>65000</v>
      </c>
      <c r="D14" s="27">
        <f t="shared" si="3"/>
        <v>95000</v>
      </c>
      <c r="E14" s="27">
        <f t="shared" si="3"/>
        <v>160000</v>
      </c>
      <c r="F14" s="27">
        <f t="shared" si="3"/>
        <v>0</v>
      </c>
      <c r="G14" s="27">
        <f t="shared" si="3"/>
        <v>0</v>
      </c>
      <c r="H14" s="27">
        <f t="shared" si="3"/>
        <v>0</v>
      </c>
      <c r="I14" s="27">
        <f t="shared" si="3"/>
        <v>320000</v>
      </c>
    </row>
    <row r="15" spans="1:12">
      <c r="A15" s="28"/>
      <c r="B15" s="28"/>
      <c r="C15" s="28"/>
    </row>
  </sheetData>
  <mergeCells count="4">
    <mergeCell ref="A14:B14"/>
    <mergeCell ref="A5:A8"/>
    <mergeCell ref="I5:I8"/>
    <mergeCell ref="A9:A13"/>
  </mergeCells>
  <phoneticPr fontId="3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workbookViewId="0">
      <pane xSplit="3" ySplit="5" topLeftCell="D15" activePane="bottomRight" state="frozen"/>
      <selection pane="topRight"/>
      <selection pane="bottomLeft"/>
      <selection pane="bottomRight" activeCell="J28" sqref="J28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3.5" style="6" customWidth="1"/>
    <col min="7" max="8" width="14.375" style="6" customWidth="1"/>
    <col min="9" max="9" width="17.375" style="6" customWidth="1"/>
    <col min="10" max="10" width="16" style="6" customWidth="1"/>
    <col min="11" max="16384" width="9" style="6"/>
  </cols>
  <sheetData>
    <row r="1" spans="1:10" s="5" customFormat="1" ht="28.5" customHeight="1">
      <c r="A1" s="229" t="s">
        <v>7</v>
      </c>
      <c r="B1" s="229"/>
      <c r="C1" s="7"/>
      <c r="J1" s="14"/>
    </row>
    <row r="2" spans="1:10">
      <c r="A2" s="230" t="s">
        <v>209</v>
      </c>
      <c r="B2" s="230"/>
      <c r="C2" s="231"/>
      <c r="D2" s="231"/>
      <c r="E2" s="232" t="s">
        <v>247</v>
      </c>
      <c r="F2" s="233"/>
      <c r="G2" s="233"/>
      <c r="H2" s="233"/>
      <c r="I2" s="234"/>
    </row>
    <row r="3" spans="1:10">
      <c r="A3" s="228" t="s">
        <v>19</v>
      </c>
      <c r="B3" s="228" t="s">
        <v>210</v>
      </c>
      <c r="C3" s="8" t="s">
        <v>211</v>
      </c>
      <c r="D3" s="235" t="s">
        <v>271</v>
      </c>
      <c r="E3" s="235"/>
      <c r="F3" s="8" t="s">
        <v>212</v>
      </c>
      <c r="G3" s="236"/>
      <c r="H3" s="237"/>
      <c r="I3" s="238" t="s">
        <v>165</v>
      </c>
    </row>
    <row r="4" spans="1:10">
      <c r="A4" s="228"/>
      <c r="B4" s="228"/>
      <c r="C4" s="8" t="s">
        <v>154</v>
      </c>
      <c r="D4" s="168" t="str">
        <f>'2021年'!C3</f>
        <v>驾驶员座椅</v>
      </c>
      <c r="E4" s="168" t="str">
        <f>销量!D5</f>
        <v>驾驶员座椅</v>
      </c>
      <c r="F4" s="168" t="str">
        <f>销量!E5</f>
        <v>副驾驶员座椅</v>
      </c>
      <c r="G4" s="168"/>
      <c r="H4" s="10"/>
      <c r="I4" s="239"/>
    </row>
    <row r="5" spans="1:10">
      <c r="A5" s="228"/>
      <c r="B5" s="228"/>
      <c r="C5" s="8" t="s">
        <v>155</v>
      </c>
      <c r="D5" s="168" t="str">
        <f>'2021年'!C4</f>
        <v>H668100000001</v>
      </c>
      <c r="E5" s="168" t="str">
        <f>销量!D6</f>
        <v>H668100000002</v>
      </c>
      <c r="F5" s="168" t="str">
        <f>销量!E6</f>
        <v>H668100000011</v>
      </c>
      <c r="G5" s="168"/>
      <c r="H5" s="10"/>
      <c r="I5" s="240"/>
    </row>
    <row r="6" spans="1:10">
      <c r="A6" s="11">
        <v>1</v>
      </c>
      <c r="B6" s="223" t="s">
        <v>272</v>
      </c>
      <c r="C6" s="224"/>
      <c r="D6" s="12">
        <v>950.90000000000009</v>
      </c>
      <c r="E6" s="12">
        <v>950.90000000000009</v>
      </c>
      <c r="F6" s="10"/>
      <c r="G6" s="10"/>
      <c r="H6" s="10"/>
      <c r="I6" s="15"/>
    </row>
    <row r="7" spans="1:10">
      <c r="A7" s="11">
        <v>2</v>
      </c>
      <c r="B7" s="223" t="s">
        <v>273</v>
      </c>
      <c r="C7" s="224"/>
      <c r="D7" s="12">
        <v>4.08</v>
      </c>
      <c r="E7" s="12">
        <v>4.08</v>
      </c>
      <c r="F7" s="10"/>
      <c r="G7" s="10"/>
      <c r="H7" s="10"/>
      <c r="I7" s="15"/>
    </row>
    <row r="8" spans="1:10">
      <c r="A8" s="11">
        <v>3</v>
      </c>
      <c r="B8" s="223" t="s">
        <v>274</v>
      </c>
      <c r="C8" s="224"/>
      <c r="D8" s="12">
        <v>-212.21</v>
      </c>
      <c r="E8" s="10"/>
      <c r="F8" s="12"/>
      <c r="G8" s="10"/>
      <c r="H8" s="12"/>
      <c r="I8" s="15"/>
    </row>
    <row r="9" spans="1:10">
      <c r="A9" s="11">
        <v>4</v>
      </c>
      <c r="B9" s="223" t="s">
        <v>275</v>
      </c>
      <c r="C9" s="224"/>
      <c r="D9" s="12">
        <v>37.39</v>
      </c>
      <c r="E9" s="10"/>
      <c r="F9" s="12"/>
      <c r="G9" s="10"/>
      <c r="H9" s="10"/>
      <c r="I9" s="15"/>
    </row>
    <row r="10" spans="1:10">
      <c r="A10" s="11">
        <v>5</v>
      </c>
      <c r="B10" s="223" t="s">
        <v>276</v>
      </c>
      <c r="C10" s="224"/>
      <c r="D10" s="12">
        <v>20</v>
      </c>
      <c r="E10" s="12"/>
      <c r="F10" s="12"/>
      <c r="G10" s="10"/>
      <c r="H10" s="10"/>
      <c r="I10" s="15"/>
    </row>
    <row r="11" spans="1:10">
      <c r="A11" s="11">
        <v>6</v>
      </c>
      <c r="B11" s="223" t="s">
        <v>277</v>
      </c>
      <c r="C11" s="224"/>
      <c r="D11" s="12"/>
      <c r="E11" s="12">
        <v>131</v>
      </c>
      <c r="F11" s="12"/>
      <c r="G11" s="10"/>
      <c r="H11" s="10"/>
      <c r="I11" s="15"/>
    </row>
    <row r="12" spans="1:10">
      <c r="A12" s="11">
        <v>7</v>
      </c>
      <c r="B12" s="223" t="s">
        <v>278</v>
      </c>
      <c r="C12" s="224"/>
      <c r="D12" s="12"/>
      <c r="E12" s="12">
        <v>-39.6</v>
      </c>
      <c r="F12" s="12"/>
      <c r="G12" s="10"/>
      <c r="H12" s="10"/>
      <c r="I12" s="15"/>
    </row>
    <row r="13" spans="1:10">
      <c r="A13" s="11">
        <v>8</v>
      </c>
      <c r="B13" s="223" t="s">
        <v>279</v>
      </c>
      <c r="C13" s="224"/>
      <c r="D13" s="12"/>
      <c r="E13" s="12">
        <v>-24.44</v>
      </c>
      <c r="F13" s="12"/>
      <c r="G13" s="10"/>
      <c r="H13" s="10"/>
      <c r="I13" s="15"/>
    </row>
    <row r="14" spans="1:10">
      <c r="A14" s="11">
        <v>9</v>
      </c>
      <c r="B14" s="223" t="s">
        <v>280</v>
      </c>
      <c r="C14" s="224"/>
      <c r="D14" s="12"/>
      <c r="E14" s="12">
        <v>19.899999999999999</v>
      </c>
      <c r="F14" s="12"/>
      <c r="G14" s="10"/>
      <c r="H14" s="10"/>
      <c r="I14" s="15"/>
    </row>
    <row r="15" spans="1:10">
      <c r="A15" s="11">
        <v>10</v>
      </c>
      <c r="B15" s="223" t="s">
        <v>281</v>
      </c>
      <c r="C15" s="224"/>
      <c r="D15" s="12"/>
      <c r="E15" s="12">
        <v>44.53</v>
      </c>
      <c r="F15" s="12"/>
      <c r="G15" s="10"/>
      <c r="H15" s="10"/>
      <c r="I15" s="15"/>
    </row>
    <row r="16" spans="1:10">
      <c r="A16" s="11">
        <v>11</v>
      </c>
      <c r="B16" s="223" t="s">
        <v>282</v>
      </c>
      <c r="C16" s="224"/>
      <c r="D16" s="12"/>
      <c r="E16" s="12">
        <v>251.31</v>
      </c>
      <c r="F16" s="12"/>
      <c r="G16" s="10"/>
      <c r="H16" s="10"/>
      <c r="I16" s="15"/>
    </row>
    <row r="17" spans="1:9">
      <c r="A17" s="11">
        <v>12</v>
      </c>
      <c r="B17" s="223" t="s">
        <v>139</v>
      </c>
      <c r="C17" s="224"/>
      <c r="D17" s="12"/>
      <c r="E17" s="10"/>
      <c r="F17" s="10"/>
      <c r="G17" s="10"/>
      <c r="H17" s="10"/>
      <c r="I17" s="15"/>
    </row>
    <row r="18" spans="1:9" ht="31.5" customHeight="1">
      <c r="A18" s="225" t="s">
        <v>213</v>
      </c>
      <c r="B18" s="226"/>
      <c r="C18" s="227"/>
      <c r="D18" s="13">
        <f>SUM(D6:D17)</f>
        <v>800.16000000000008</v>
      </c>
      <c r="E18" s="13">
        <f>SUM(E6:E17)</f>
        <v>1337.68</v>
      </c>
      <c r="F18" s="13">
        <v>417.52</v>
      </c>
      <c r="G18" s="13">
        <f>SUM(G6:G17)</f>
        <v>0</v>
      </c>
      <c r="H18" s="13">
        <f>SUM(H6:H17)</f>
        <v>0</v>
      </c>
      <c r="I18" s="15"/>
    </row>
    <row r="19" spans="1:9">
      <c r="D19" s="174"/>
      <c r="E19" s="174"/>
    </row>
    <row r="23" spans="1:9">
      <c r="E23" s="174"/>
    </row>
    <row r="24" spans="1:9">
      <c r="D24" s="220" t="s">
        <v>286</v>
      </c>
      <c r="E24" s="220"/>
      <c r="F24" s="220"/>
      <c r="G24" s="220"/>
      <c r="H24" s="220"/>
    </row>
    <row r="25" spans="1:9">
      <c r="D25" s="220" t="s">
        <v>287</v>
      </c>
      <c r="E25" s="255" t="s">
        <v>288</v>
      </c>
      <c r="F25" s="255"/>
      <c r="G25" s="255"/>
      <c r="H25" s="255"/>
    </row>
    <row r="26" spans="1:9">
      <c r="D26" s="220"/>
      <c r="E26" s="185" t="s">
        <v>21</v>
      </c>
      <c r="F26" s="185" t="s">
        <v>197</v>
      </c>
      <c r="G26" s="185" t="s">
        <v>198</v>
      </c>
      <c r="H26" s="185" t="s">
        <v>199</v>
      </c>
    </row>
    <row r="27" spans="1:9" ht="28.5">
      <c r="D27" s="168" t="s">
        <v>289</v>
      </c>
      <c r="E27" s="182">
        <f>D18</f>
        <v>800.16000000000008</v>
      </c>
      <c r="F27" s="182">
        <f>E27*(1-0.03)</f>
        <v>776.15520000000004</v>
      </c>
      <c r="G27" s="182">
        <f>F27*(1-0.03)</f>
        <v>752.870544</v>
      </c>
      <c r="H27" s="182">
        <f t="shared" ref="H27:H29" si="0">G27*(1-0.03)</f>
        <v>730.28442768000002</v>
      </c>
    </row>
    <row r="28" spans="1:9" ht="28.5">
      <c r="D28" s="168" t="s">
        <v>290</v>
      </c>
      <c r="E28" s="182">
        <f>E18</f>
        <v>1337.68</v>
      </c>
      <c r="F28" s="182">
        <f t="shared" ref="F28:G29" si="1">E28*(1-0.03)</f>
        <v>1297.5496000000001</v>
      </c>
      <c r="G28" s="182">
        <f t="shared" si="1"/>
        <v>1258.623112</v>
      </c>
      <c r="H28" s="182">
        <f t="shared" si="0"/>
        <v>1220.8644186399999</v>
      </c>
    </row>
    <row r="29" spans="1:9" ht="28.5">
      <c r="D29" s="168" t="s">
        <v>291</v>
      </c>
      <c r="E29" s="182">
        <f>F18</f>
        <v>417.52</v>
      </c>
      <c r="F29" s="182">
        <f t="shared" si="1"/>
        <v>404.99439999999998</v>
      </c>
      <c r="G29" s="182">
        <f t="shared" si="1"/>
        <v>392.84456799999998</v>
      </c>
      <c r="H29" s="182">
        <f t="shared" si="0"/>
        <v>381.05923095999998</v>
      </c>
    </row>
  </sheetData>
  <mergeCells count="24">
    <mergeCell ref="D24:H24"/>
    <mergeCell ref="D25:D26"/>
    <mergeCell ref="E25:H25"/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A18:C18"/>
    <mergeCell ref="A3:A5"/>
    <mergeCell ref="B3:B5"/>
    <mergeCell ref="B16:C16"/>
    <mergeCell ref="B11:C11"/>
    <mergeCell ref="B12:C12"/>
    <mergeCell ref="B13:C13"/>
    <mergeCell ref="B14:C14"/>
    <mergeCell ref="B15:C15"/>
  </mergeCells>
  <phoneticPr fontId="3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D12" sqref="D12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19</v>
      </c>
      <c r="B1" s="1" t="s">
        <v>214</v>
      </c>
      <c r="C1" s="1" t="s">
        <v>215</v>
      </c>
      <c r="D1" s="1" t="s">
        <v>216</v>
      </c>
      <c r="E1" s="1" t="s">
        <v>217</v>
      </c>
    </row>
    <row r="2" spans="1:6" ht="19.5" customHeight="1">
      <c r="A2" s="1">
        <v>1</v>
      </c>
      <c r="B2" s="1" t="s">
        <v>218</v>
      </c>
      <c r="C2" s="170" t="s">
        <v>283</v>
      </c>
      <c r="D2" s="1"/>
      <c r="E2" s="1"/>
    </row>
    <row r="3" spans="1:6" ht="19.5" customHeight="1">
      <c r="A3" s="1">
        <v>2</v>
      </c>
      <c r="B3" s="1" t="s">
        <v>219</v>
      </c>
      <c r="C3" s="189" t="s">
        <v>284</v>
      </c>
      <c r="D3" s="1"/>
      <c r="E3" s="1"/>
    </row>
    <row r="4" spans="1:6" ht="19.5" customHeight="1">
      <c r="A4" s="1">
        <v>3</v>
      </c>
      <c r="B4" s="1" t="s">
        <v>220</v>
      </c>
      <c r="C4" s="170"/>
      <c r="D4" s="1"/>
      <c r="E4" s="1"/>
    </row>
    <row r="5" spans="1:6" ht="19.5" customHeight="1">
      <c r="A5" s="1">
        <v>4</v>
      </c>
      <c r="B5" s="1" t="s">
        <v>221</v>
      </c>
      <c r="C5" s="170"/>
      <c r="D5" s="1"/>
      <c r="E5" s="1"/>
    </row>
    <row r="6" spans="1:6" ht="35.25" customHeight="1">
      <c r="A6" s="1">
        <v>5</v>
      </c>
      <c r="B6" s="1" t="s">
        <v>222</v>
      </c>
      <c r="C6" s="170"/>
      <c r="D6" s="1"/>
      <c r="E6" s="1"/>
    </row>
    <row r="7" spans="1:6" ht="37.5" customHeight="1">
      <c r="A7" s="1">
        <v>6</v>
      </c>
      <c r="B7" s="1" t="s">
        <v>223</v>
      </c>
      <c r="C7" s="170"/>
      <c r="D7" s="1"/>
      <c r="E7" s="1"/>
    </row>
    <row r="8" spans="1:6" ht="42.75" customHeight="1">
      <c r="A8" s="1">
        <v>7</v>
      </c>
      <c r="B8" s="1" t="s">
        <v>224</v>
      </c>
      <c r="C8" s="170"/>
      <c r="D8" s="1"/>
      <c r="E8" s="1"/>
    </row>
    <row r="9" spans="1:6" ht="39" customHeight="1">
      <c r="A9" s="1">
        <v>8</v>
      </c>
      <c r="B9" s="1" t="s">
        <v>225</v>
      </c>
      <c r="C9" s="170"/>
      <c r="D9" s="1"/>
      <c r="E9" s="1"/>
    </row>
    <row r="10" spans="1:6" ht="36" customHeight="1">
      <c r="A10" s="1">
        <v>9</v>
      </c>
      <c r="B10" s="1" t="s">
        <v>226</v>
      </c>
      <c r="C10" s="170"/>
      <c r="D10" s="1"/>
      <c r="E10" s="1"/>
    </row>
    <row r="11" spans="1:6" ht="35.25" customHeight="1">
      <c r="A11" s="1">
        <v>10</v>
      </c>
      <c r="B11" s="1" t="s">
        <v>227</v>
      </c>
      <c r="C11" s="170"/>
      <c r="D11" s="1"/>
      <c r="E11" s="1"/>
      <c r="F11" s="171" t="s">
        <v>245</v>
      </c>
    </row>
    <row r="12" spans="1:6" ht="19.5" customHeight="1">
      <c r="A12" s="1">
        <v>11</v>
      </c>
      <c r="B12" s="1" t="s">
        <v>228</v>
      </c>
      <c r="C12" s="170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9" type="noConversion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7"/>
  <sheetViews>
    <sheetView tabSelected="1" topLeftCell="A16" workbookViewId="0">
      <selection activeCell="H41" sqref="H41"/>
    </sheetView>
  </sheetViews>
  <sheetFormatPr defaultColWidth="9" defaultRowHeight="13.5"/>
  <cols>
    <col min="1" max="2" width="9" style="73"/>
    <col min="3" max="5" width="15.75" style="73" customWidth="1"/>
    <col min="6" max="8" width="11.125" style="73" customWidth="1"/>
    <col min="9" max="9" width="12.875" style="156" customWidth="1"/>
    <col min="10" max="10" width="25.375" style="73" customWidth="1"/>
    <col min="11" max="16384" width="9" style="73"/>
  </cols>
  <sheetData>
    <row r="1" spans="1:12" s="153" customFormat="1" ht="18.75" customHeight="1">
      <c r="G1" s="247" t="s">
        <v>229</v>
      </c>
      <c r="H1" s="247"/>
      <c r="I1" s="154"/>
    </row>
    <row r="2" spans="1:12" ht="39" customHeight="1">
      <c r="A2" s="254" t="s">
        <v>230</v>
      </c>
      <c r="B2" s="254"/>
      <c r="C2" s="241" t="s">
        <v>231</v>
      </c>
      <c r="D2" s="252"/>
      <c r="E2" s="252"/>
      <c r="F2" s="252"/>
      <c r="G2" s="252"/>
      <c r="H2" s="242"/>
      <c r="I2" s="155" t="s">
        <v>238</v>
      </c>
      <c r="K2" s="177"/>
      <c r="L2" s="177"/>
    </row>
    <row r="3" spans="1:12" ht="34.5" customHeight="1">
      <c r="A3" s="254"/>
      <c r="B3" s="254"/>
      <c r="C3" s="164" t="s">
        <v>240</v>
      </c>
      <c r="D3" s="164" t="s">
        <v>241</v>
      </c>
      <c r="E3" s="164" t="s">
        <v>239</v>
      </c>
      <c r="F3" s="165" t="s">
        <v>244</v>
      </c>
      <c r="G3" s="165" t="s">
        <v>243</v>
      </c>
      <c r="H3" s="165" t="s">
        <v>242</v>
      </c>
      <c r="I3" s="190">
        <v>1521</v>
      </c>
    </row>
    <row r="4" spans="1:12" ht="24" customHeight="1">
      <c r="A4" s="253" t="s">
        <v>232</v>
      </c>
      <c r="B4" s="253"/>
      <c r="C4" s="3"/>
      <c r="D4" s="157"/>
      <c r="E4" s="158">
        <f>$I$3*I4</f>
        <v>65.555099999999996</v>
      </c>
      <c r="F4" s="158"/>
      <c r="G4" s="158"/>
      <c r="H4" s="159">
        <v>4.48E-2</v>
      </c>
      <c r="I4" s="163">
        <v>4.3099999999999999E-2</v>
      </c>
      <c r="J4" s="175"/>
      <c r="K4" s="74"/>
      <c r="L4" s="74"/>
    </row>
    <row r="5" spans="1:12" ht="24" customHeight="1">
      <c r="A5" s="253" t="s">
        <v>233</v>
      </c>
      <c r="B5" s="160" t="s">
        <v>234</v>
      </c>
      <c r="C5" s="3"/>
      <c r="D5" s="157"/>
      <c r="E5" s="158">
        <f t="shared" ref="E5:E11" si="0">$I$3*I5</f>
        <v>61.448399999999999</v>
      </c>
      <c r="F5" s="158"/>
      <c r="G5" s="158"/>
      <c r="H5" s="159">
        <v>4.0399999999999998E-2</v>
      </c>
      <c r="I5" s="163">
        <v>4.0399999999999998E-2</v>
      </c>
      <c r="J5" s="176"/>
      <c r="K5" s="74"/>
      <c r="L5" s="74"/>
    </row>
    <row r="6" spans="1:12" ht="24" customHeight="1">
      <c r="A6" s="253"/>
      <c r="B6" s="160" t="s">
        <v>235</v>
      </c>
      <c r="C6" s="3"/>
      <c r="D6" s="157"/>
      <c r="E6" s="158">
        <f t="shared" si="0"/>
        <v>33.005699999999997</v>
      </c>
      <c r="F6" s="158"/>
      <c r="G6" s="158"/>
      <c r="H6" s="159">
        <v>1.66E-2</v>
      </c>
      <c r="I6" s="163">
        <v>2.1700000000000001E-2</v>
      </c>
      <c r="J6" s="175"/>
      <c r="K6" s="74"/>
      <c r="L6" s="74"/>
    </row>
    <row r="7" spans="1:12" ht="24" customHeight="1">
      <c r="A7" s="241" t="s">
        <v>236</v>
      </c>
      <c r="B7" s="242"/>
      <c r="C7" s="161"/>
      <c r="D7" s="162"/>
      <c r="E7" s="158">
        <f t="shared" si="0"/>
        <v>160.00919999999999</v>
      </c>
      <c r="F7" s="158"/>
      <c r="G7" s="158"/>
      <c r="H7" s="163">
        <f>SUM(H4:H6)</f>
        <v>0.1018</v>
      </c>
      <c r="I7" s="163">
        <f>SUM(I4:I6)</f>
        <v>0.10519999999999999</v>
      </c>
      <c r="J7" s="256"/>
      <c r="K7" s="74"/>
      <c r="L7" s="74"/>
    </row>
    <row r="8" spans="1:12" ht="24" customHeight="1">
      <c r="A8" s="253" t="s">
        <v>55</v>
      </c>
      <c r="B8" s="253"/>
      <c r="C8" s="3"/>
      <c r="D8" s="157"/>
      <c r="E8" s="158">
        <f t="shared" si="0"/>
        <v>41.371199999999995</v>
      </c>
      <c r="F8" s="158"/>
      <c r="G8" s="158"/>
      <c r="H8" s="159">
        <f>1.97%+0.75%</f>
        <v>2.7199999999999998E-2</v>
      </c>
      <c r="I8" s="159">
        <f>1.97%+0.75%</f>
        <v>2.7199999999999998E-2</v>
      </c>
      <c r="J8" s="176"/>
      <c r="K8" s="74"/>
      <c r="L8" s="74"/>
    </row>
    <row r="9" spans="1:12" ht="24" customHeight="1">
      <c r="A9" s="245" t="s">
        <v>237</v>
      </c>
      <c r="B9" s="160" t="s">
        <v>234</v>
      </c>
      <c r="C9" s="3"/>
      <c r="D9" s="157"/>
      <c r="E9" s="158">
        <f t="shared" si="0"/>
        <v>8.0612999999999992</v>
      </c>
      <c r="F9" s="158"/>
      <c r="G9" s="158"/>
      <c r="H9" s="159">
        <v>5.3E-3</v>
      </c>
      <c r="I9" s="159">
        <v>5.3E-3</v>
      </c>
      <c r="J9" s="156"/>
      <c r="K9" s="74"/>
      <c r="L9" s="74"/>
    </row>
    <row r="10" spans="1:12" ht="24" customHeight="1">
      <c r="A10" s="246"/>
      <c r="B10" s="160" t="s">
        <v>235</v>
      </c>
      <c r="C10" s="3"/>
      <c r="D10" s="157"/>
      <c r="E10" s="158">
        <f t="shared" si="0"/>
        <v>97.344000000000008</v>
      </c>
      <c r="F10" s="158"/>
      <c r="G10" s="158"/>
      <c r="H10" s="159">
        <v>3.4099999999999998E-2</v>
      </c>
      <c r="I10" s="163">
        <f>2.8%+3.6%</f>
        <v>6.4000000000000001E-2</v>
      </c>
      <c r="J10" s="257" t="s">
        <v>292</v>
      </c>
      <c r="K10" s="74"/>
      <c r="L10" s="74"/>
    </row>
    <row r="11" spans="1:12" ht="24" customHeight="1">
      <c r="A11" s="253" t="s">
        <v>58</v>
      </c>
      <c r="B11" s="253"/>
      <c r="C11" s="3"/>
      <c r="D11" s="157"/>
      <c r="E11" s="158">
        <f t="shared" si="0"/>
        <v>45.629999999999995</v>
      </c>
      <c r="F11" s="158"/>
      <c r="G11" s="158"/>
      <c r="H11" s="159">
        <v>1.0999999999999999E-2</v>
      </c>
      <c r="I11" s="163">
        <v>0.03</v>
      </c>
      <c r="J11" s="156"/>
      <c r="K11" s="74"/>
      <c r="L11" s="74"/>
    </row>
    <row r="14" spans="1:12" ht="13.5" customHeight="1">
      <c r="A14" s="153"/>
      <c r="B14" s="153"/>
      <c r="C14" s="153"/>
      <c r="D14" s="153"/>
      <c r="E14" s="153"/>
      <c r="F14" s="153"/>
      <c r="G14" s="247" t="s">
        <v>229</v>
      </c>
      <c r="H14" s="247"/>
      <c r="I14" s="154"/>
    </row>
    <row r="15" spans="1:12">
      <c r="A15" s="248" t="s">
        <v>230</v>
      </c>
      <c r="B15" s="249"/>
      <c r="C15" s="241" t="s">
        <v>231</v>
      </c>
      <c r="D15" s="252"/>
      <c r="E15" s="252"/>
      <c r="F15" s="252"/>
      <c r="G15" s="252"/>
      <c r="H15" s="242"/>
      <c r="I15" s="155" t="s">
        <v>238</v>
      </c>
    </row>
    <row r="16" spans="1:12" ht="27">
      <c r="A16" s="250"/>
      <c r="B16" s="251"/>
      <c r="C16" s="164" t="s">
        <v>240</v>
      </c>
      <c r="D16" s="164" t="s">
        <v>241</v>
      </c>
      <c r="E16" s="164" t="s">
        <v>239</v>
      </c>
      <c r="F16" s="165" t="s">
        <v>244</v>
      </c>
      <c r="G16" s="165" t="s">
        <v>243</v>
      </c>
      <c r="H16" s="165" t="s">
        <v>242</v>
      </c>
      <c r="I16" s="190">
        <v>2633</v>
      </c>
    </row>
    <row r="17" spans="1:10">
      <c r="A17" s="243" t="s">
        <v>232</v>
      </c>
      <c r="B17" s="244"/>
      <c r="C17" s="3"/>
      <c r="D17" s="157"/>
      <c r="E17" s="158">
        <f>$I$16*I17</f>
        <v>113.4823</v>
      </c>
      <c r="F17" s="158"/>
      <c r="G17" s="158"/>
      <c r="H17" s="159">
        <v>4.48E-2</v>
      </c>
      <c r="I17" s="163">
        <v>4.3099999999999999E-2</v>
      </c>
    </row>
    <row r="18" spans="1:10">
      <c r="A18" s="245" t="s">
        <v>233</v>
      </c>
      <c r="B18" s="173" t="s">
        <v>234</v>
      </c>
      <c r="C18" s="3"/>
      <c r="D18" s="157"/>
      <c r="E18" s="158">
        <f t="shared" ref="E18:E24" si="1">$I$16*I18</f>
        <v>106.3732</v>
      </c>
      <c r="F18" s="158"/>
      <c r="G18" s="158"/>
      <c r="H18" s="159">
        <v>4.0399999999999998E-2</v>
      </c>
      <c r="I18" s="163">
        <v>4.0399999999999998E-2</v>
      </c>
    </row>
    <row r="19" spans="1:10">
      <c r="A19" s="246"/>
      <c r="B19" s="173" t="s">
        <v>235</v>
      </c>
      <c r="C19" s="3"/>
      <c r="D19" s="157"/>
      <c r="E19" s="158">
        <f t="shared" si="1"/>
        <v>57.136099999999999</v>
      </c>
      <c r="F19" s="158"/>
      <c r="G19" s="158"/>
      <c r="H19" s="159">
        <v>1.66E-2</v>
      </c>
      <c r="I19" s="163">
        <v>2.1700000000000001E-2</v>
      </c>
    </row>
    <row r="20" spans="1:10">
      <c r="A20" s="241" t="s">
        <v>236</v>
      </c>
      <c r="B20" s="242"/>
      <c r="C20" s="161"/>
      <c r="D20" s="162"/>
      <c r="E20" s="158">
        <f t="shared" si="1"/>
        <v>276.99159999999995</v>
      </c>
      <c r="F20" s="158"/>
      <c r="G20" s="158"/>
      <c r="H20" s="163">
        <f>SUM(H17:H19)</f>
        <v>0.1018</v>
      </c>
      <c r="I20" s="163">
        <f>SUM(I17:I19)</f>
        <v>0.10519999999999999</v>
      </c>
    </row>
    <row r="21" spans="1:10">
      <c r="A21" s="243" t="s">
        <v>55</v>
      </c>
      <c r="B21" s="244"/>
      <c r="C21" s="3"/>
      <c r="D21" s="157"/>
      <c r="E21" s="158">
        <f t="shared" si="1"/>
        <v>71.617599999999996</v>
      </c>
      <c r="F21" s="158"/>
      <c r="G21" s="158"/>
      <c r="H21" s="159">
        <f>1.97%+0.75%</f>
        <v>2.7199999999999998E-2</v>
      </c>
      <c r="I21" s="159">
        <f>1.97%+0.75%</f>
        <v>2.7199999999999998E-2</v>
      </c>
    </row>
    <row r="22" spans="1:10">
      <c r="A22" s="245" t="s">
        <v>237</v>
      </c>
      <c r="B22" s="173" t="s">
        <v>234</v>
      </c>
      <c r="C22" s="3"/>
      <c r="D22" s="157"/>
      <c r="E22" s="158">
        <f t="shared" si="1"/>
        <v>13.9549</v>
      </c>
      <c r="F22" s="158"/>
      <c r="G22" s="158"/>
      <c r="H22" s="159">
        <v>5.3E-3</v>
      </c>
      <c r="I22" s="159">
        <v>5.3E-3</v>
      </c>
    </row>
    <row r="23" spans="1:10">
      <c r="A23" s="246"/>
      <c r="B23" s="173" t="s">
        <v>235</v>
      </c>
      <c r="C23" s="3"/>
      <c r="D23" s="157"/>
      <c r="E23" s="158">
        <f t="shared" si="1"/>
        <v>168.512</v>
      </c>
      <c r="F23" s="158"/>
      <c r="G23" s="158"/>
      <c r="H23" s="159">
        <v>3.4099999999999998E-2</v>
      </c>
      <c r="I23" s="163">
        <f>2.8%+3.6%</f>
        <v>6.4000000000000001E-2</v>
      </c>
      <c r="J23" s="257" t="s">
        <v>292</v>
      </c>
    </row>
    <row r="24" spans="1:10">
      <c r="A24" s="243" t="s">
        <v>58</v>
      </c>
      <c r="B24" s="244"/>
      <c r="C24" s="3"/>
      <c r="D24" s="157"/>
      <c r="E24" s="158">
        <f t="shared" si="1"/>
        <v>78.989999999999995</v>
      </c>
      <c r="F24" s="158"/>
      <c r="G24" s="158"/>
      <c r="H24" s="159">
        <v>1.0999999999999999E-2</v>
      </c>
      <c r="I24" s="163">
        <v>0.03</v>
      </c>
    </row>
    <row r="27" spans="1:10">
      <c r="A27" s="153"/>
      <c r="B27" s="153"/>
      <c r="C27" s="153"/>
      <c r="D27" s="153"/>
      <c r="E27" s="153"/>
      <c r="F27" s="153"/>
      <c r="G27" s="247" t="s">
        <v>229</v>
      </c>
      <c r="H27" s="247"/>
      <c r="I27" s="154"/>
    </row>
    <row r="28" spans="1:10">
      <c r="A28" s="248" t="s">
        <v>230</v>
      </c>
      <c r="B28" s="249"/>
      <c r="C28" s="241" t="s">
        <v>231</v>
      </c>
      <c r="D28" s="252"/>
      <c r="E28" s="252"/>
      <c r="F28" s="252"/>
      <c r="G28" s="252"/>
      <c r="H28" s="242"/>
      <c r="I28" s="155" t="s">
        <v>238</v>
      </c>
    </row>
    <row r="29" spans="1:10" ht="27">
      <c r="A29" s="250"/>
      <c r="B29" s="251"/>
      <c r="C29" s="164" t="s">
        <v>240</v>
      </c>
      <c r="D29" s="164" t="s">
        <v>241</v>
      </c>
      <c r="E29" s="164" t="s">
        <v>239</v>
      </c>
      <c r="F29" s="165" t="s">
        <v>244</v>
      </c>
      <c r="G29" s="165" t="s">
        <v>243</v>
      </c>
      <c r="H29" s="165" t="s">
        <v>242</v>
      </c>
      <c r="I29" s="190">
        <v>703</v>
      </c>
    </row>
    <row r="30" spans="1:10">
      <c r="A30" s="243" t="s">
        <v>232</v>
      </c>
      <c r="B30" s="244"/>
      <c r="C30" s="3"/>
      <c r="D30" s="157"/>
      <c r="E30" s="158">
        <f>$I$29*I30</f>
        <v>30.299299999999999</v>
      </c>
      <c r="F30" s="158"/>
      <c r="G30" s="158"/>
      <c r="H30" s="159">
        <v>4.48E-2</v>
      </c>
      <c r="I30" s="163">
        <v>4.3099999999999999E-2</v>
      </c>
    </row>
    <row r="31" spans="1:10">
      <c r="A31" s="245" t="s">
        <v>233</v>
      </c>
      <c r="B31" s="184" t="s">
        <v>234</v>
      </c>
      <c r="C31" s="3"/>
      <c r="D31" s="157"/>
      <c r="E31" s="158">
        <f t="shared" ref="E31:E37" si="2">$I$29*I31</f>
        <v>28.401199999999999</v>
      </c>
      <c r="F31" s="158"/>
      <c r="G31" s="158"/>
      <c r="H31" s="159">
        <v>4.0399999999999998E-2</v>
      </c>
      <c r="I31" s="163">
        <v>4.0399999999999998E-2</v>
      </c>
    </row>
    <row r="32" spans="1:10">
      <c r="A32" s="246"/>
      <c r="B32" s="184" t="s">
        <v>235</v>
      </c>
      <c r="C32" s="3"/>
      <c r="D32" s="157"/>
      <c r="E32" s="158">
        <f t="shared" si="2"/>
        <v>15.255100000000001</v>
      </c>
      <c r="F32" s="158"/>
      <c r="G32" s="158"/>
      <c r="H32" s="159">
        <v>1.66E-2</v>
      </c>
      <c r="I32" s="163">
        <v>2.1700000000000001E-2</v>
      </c>
    </row>
    <row r="33" spans="1:10">
      <c r="A33" s="241" t="s">
        <v>236</v>
      </c>
      <c r="B33" s="242"/>
      <c r="C33" s="161"/>
      <c r="D33" s="162"/>
      <c r="E33" s="158">
        <f t="shared" si="2"/>
        <v>73.95559999999999</v>
      </c>
      <c r="F33" s="158"/>
      <c r="G33" s="158"/>
      <c r="H33" s="163">
        <f>SUM(H30:H32)</f>
        <v>0.1018</v>
      </c>
      <c r="I33" s="163">
        <f>SUM(I30:I32)</f>
        <v>0.10519999999999999</v>
      </c>
    </row>
    <row r="34" spans="1:10">
      <c r="A34" s="243" t="s">
        <v>55</v>
      </c>
      <c r="B34" s="244"/>
      <c r="C34" s="3"/>
      <c r="D34" s="157"/>
      <c r="E34" s="158">
        <f t="shared" si="2"/>
        <v>19.121599999999997</v>
      </c>
      <c r="F34" s="158"/>
      <c r="G34" s="158"/>
      <c r="H34" s="159">
        <f>1.97%+0.75%</f>
        <v>2.7199999999999998E-2</v>
      </c>
      <c r="I34" s="159">
        <f>1.97%+0.75%</f>
        <v>2.7199999999999998E-2</v>
      </c>
    </row>
    <row r="35" spans="1:10">
      <c r="A35" s="245" t="s">
        <v>237</v>
      </c>
      <c r="B35" s="184" t="s">
        <v>234</v>
      </c>
      <c r="C35" s="3"/>
      <c r="D35" s="157"/>
      <c r="E35" s="158">
        <f t="shared" si="2"/>
        <v>3.7259000000000002</v>
      </c>
      <c r="F35" s="158"/>
      <c r="G35" s="158"/>
      <c r="H35" s="159">
        <v>5.3E-3</v>
      </c>
      <c r="I35" s="159">
        <v>5.3E-3</v>
      </c>
    </row>
    <row r="36" spans="1:10">
      <c r="A36" s="246"/>
      <c r="B36" s="184" t="s">
        <v>235</v>
      </c>
      <c r="C36" s="3"/>
      <c r="D36" s="157"/>
      <c r="E36" s="158">
        <f t="shared" si="2"/>
        <v>44.992000000000004</v>
      </c>
      <c r="F36" s="158"/>
      <c r="G36" s="158"/>
      <c r="H36" s="159">
        <v>3.4099999999999998E-2</v>
      </c>
      <c r="I36" s="163">
        <f>2.8%+3.6%</f>
        <v>6.4000000000000001E-2</v>
      </c>
      <c r="J36" s="257" t="s">
        <v>292</v>
      </c>
    </row>
    <row r="37" spans="1:10">
      <c r="A37" s="243" t="s">
        <v>58</v>
      </c>
      <c r="B37" s="244"/>
      <c r="C37" s="3"/>
      <c r="D37" s="157"/>
      <c r="E37" s="158">
        <f t="shared" si="2"/>
        <v>21.09</v>
      </c>
      <c r="F37" s="158"/>
      <c r="G37" s="158"/>
      <c r="H37" s="159">
        <v>1.0999999999999999E-2</v>
      </c>
      <c r="I37" s="163">
        <v>0.03</v>
      </c>
    </row>
  </sheetData>
  <mergeCells count="27">
    <mergeCell ref="A20:B20"/>
    <mergeCell ref="A21:B21"/>
    <mergeCell ref="A22:A23"/>
    <mergeCell ref="A24:B24"/>
    <mergeCell ref="G14:H14"/>
    <mergeCell ref="A15:B16"/>
    <mergeCell ref="C15:H15"/>
    <mergeCell ref="A17:B17"/>
    <mergeCell ref="A18:A19"/>
    <mergeCell ref="G1:H1"/>
    <mergeCell ref="A4:B4"/>
    <mergeCell ref="A7:B7"/>
    <mergeCell ref="A8:B8"/>
    <mergeCell ref="A11:B11"/>
    <mergeCell ref="A5:A6"/>
    <mergeCell ref="A9:A10"/>
    <mergeCell ref="A2:B3"/>
    <mergeCell ref="C2:H2"/>
    <mergeCell ref="A33:B33"/>
    <mergeCell ref="A34:B34"/>
    <mergeCell ref="A35:A36"/>
    <mergeCell ref="A37:B37"/>
    <mergeCell ref="G27:H27"/>
    <mergeCell ref="A28:B29"/>
    <mergeCell ref="C28:H28"/>
    <mergeCell ref="A30:B30"/>
    <mergeCell ref="A31:A32"/>
  </mergeCells>
  <phoneticPr fontId="3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workbookViewId="0">
      <pane xSplit="3" ySplit="6" topLeftCell="D7" activePane="bottomRight" state="frozen"/>
      <selection pane="topRight"/>
      <selection pane="bottomLeft"/>
      <selection pane="bottomRight" activeCell="F22" sqref="F22"/>
    </sheetView>
  </sheetViews>
  <sheetFormatPr defaultColWidth="9" defaultRowHeight="16.5"/>
  <cols>
    <col min="1" max="1" width="5.125" style="116" customWidth="1"/>
    <col min="2" max="2" width="35.75" style="116" customWidth="1"/>
    <col min="3" max="3" width="14.5" style="117" hidden="1" customWidth="1"/>
    <col min="4" max="8" width="13" style="117" customWidth="1"/>
    <col min="9" max="9" width="16.5" style="117" customWidth="1"/>
    <col min="10" max="10" width="15.5" style="116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27" customHeight="1">
      <c r="A1" s="193" t="s">
        <v>269</v>
      </c>
      <c r="B1" s="193"/>
      <c r="C1" s="193"/>
      <c r="D1" s="193"/>
      <c r="E1" s="193"/>
      <c r="F1" s="193"/>
      <c r="G1" s="193"/>
      <c r="H1" s="193"/>
      <c r="I1" s="193"/>
    </row>
    <row r="2" spans="1:39" ht="15.75" customHeight="1">
      <c r="A2" s="194" t="s">
        <v>19</v>
      </c>
      <c r="B2" s="118" t="s">
        <v>1</v>
      </c>
      <c r="C2" s="118" t="s">
        <v>20</v>
      </c>
      <c r="D2" s="118" t="s">
        <v>21</v>
      </c>
      <c r="E2" s="118" t="s">
        <v>22</v>
      </c>
      <c r="F2" s="118" t="s">
        <v>23</v>
      </c>
      <c r="G2" s="118" t="s">
        <v>24</v>
      </c>
      <c r="H2" s="118" t="s">
        <v>285</v>
      </c>
      <c r="I2" s="57" t="s">
        <v>25</v>
      </c>
      <c r="AM2" s="116" t="s">
        <v>26</v>
      </c>
    </row>
    <row r="3" spans="1:39" s="53" customFormat="1" ht="15.75" customHeight="1">
      <c r="A3" s="195"/>
      <c r="B3" s="59" t="s">
        <v>3</v>
      </c>
      <c r="C3" s="119">
        <f>'2021年'!H6</f>
        <v>0</v>
      </c>
      <c r="D3" s="119">
        <f>'2022年'!H6</f>
        <v>20000</v>
      </c>
      <c r="E3" s="119">
        <f>'2023年'!H6</f>
        <v>100000</v>
      </c>
      <c r="F3" s="119">
        <f>'2024年'!H6</f>
        <v>100000</v>
      </c>
      <c r="G3" s="119">
        <f>'2025年'!H6</f>
        <v>100000</v>
      </c>
      <c r="H3" s="119"/>
      <c r="I3" s="119">
        <f>SUM(C3:E3)</f>
        <v>120000</v>
      </c>
      <c r="J3" s="75"/>
      <c r="AK3" s="58" t="s">
        <v>19</v>
      </c>
      <c r="AL3" s="59" t="s">
        <v>3</v>
      </c>
      <c r="AM3" s="53" t="s">
        <v>27</v>
      </c>
    </row>
    <row r="4" spans="1:39" s="53" customFormat="1" ht="15.75" customHeight="1">
      <c r="A4" s="68">
        <v>1</v>
      </c>
      <c r="B4" s="59" t="s">
        <v>28</v>
      </c>
      <c r="C4" s="119">
        <f>'2021年'!H7</f>
        <v>0</v>
      </c>
      <c r="D4" s="119">
        <f>'2022年'!H7</f>
        <v>25740000</v>
      </c>
      <c r="E4" s="119">
        <f>'2023年'!H7</f>
        <v>132200000</v>
      </c>
      <c r="F4" s="119">
        <f>'2024年'!H7</f>
        <v>132200000</v>
      </c>
      <c r="G4" s="119">
        <f>'2025年'!H7</f>
        <v>132200000</v>
      </c>
      <c r="H4" s="119"/>
      <c r="I4" s="119">
        <f t="shared" ref="I4:I11" si="0">SUM(C4:E4)</f>
        <v>157940000</v>
      </c>
      <c r="J4" s="75"/>
      <c r="AK4" s="58" t="s">
        <v>29</v>
      </c>
      <c r="AL4" s="59" t="s">
        <v>28</v>
      </c>
      <c r="AM4" s="53" t="s">
        <v>27</v>
      </c>
    </row>
    <row r="5" spans="1:39" s="53" customFormat="1" ht="15.75" customHeight="1">
      <c r="A5" s="68">
        <v>2</v>
      </c>
      <c r="B5" s="55" t="s">
        <v>30</v>
      </c>
      <c r="C5" s="119">
        <f>'2021年'!H8</f>
        <v>0</v>
      </c>
      <c r="D5" s="119">
        <f>'2022年'!H8</f>
        <v>0</v>
      </c>
      <c r="E5" s="119">
        <f>'2023年'!H8</f>
        <v>12889500.000000004</v>
      </c>
      <c r="F5" s="119">
        <f>'2024年'!H8</f>
        <v>18855025</v>
      </c>
      <c r="G5" s="119">
        <f>'2025年'!H8</f>
        <v>24522273.750000015</v>
      </c>
      <c r="H5" s="119"/>
      <c r="I5" s="119">
        <f t="shared" si="0"/>
        <v>12889500.000000004</v>
      </c>
      <c r="J5" s="75"/>
      <c r="AK5" s="58" t="s">
        <v>31</v>
      </c>
      <c r="AL5" s="55" t="s">
        <v>32</v>
      </c>
      <c r="AM5" s="53" t="s">
        <v>27</v>
      </c>
    </row>
    <row r="6" spans="1:39" s="53" customFormat="1" ht="15.75" customHeight="1">
      <c r="A6" s="68">
        <v>3</v>
      </c>
      <c r="B6" s="59" t="s">
        <v>33</v>
      </c>
      <c r="C6" s="120">
        <f>+C4-C5</f>
        <v>0</v>
      </c>
      <c r="D6" s="120">
        <f>'2022年'!H9</f>
        <v>25740000</v>
      </c>
      <c r="E6" s="120">
        <f>'2023年'!H9</f>
        <v>119310500</v>
      </c>
      <c r="F6" s="120">
        <f>'2024年'!H9</f>
        <v>113344975</v>
      </c>
      <c r="G6" s="120">
        <f>'2025年'!H9</f>
        <v>107677726.24999999</v>
      </c>
      <c r="H6" s="120"/>
      <c r="I6" s="119">
        <f t="shared" si="0"/>
        <v>145050500</v>
      </c>
      <c r="J6" s="75"/>
      <c r="AK6" s="58" t="s">
        <v>34</v>
      </c>
      <c r="AL6" s="59" t="s">
        <v>33</v>
      </c>
      <c r="AM6" s="53" t="s">
        <v>35</v>
      </c>
    </row>
    <row r="7" spans="1:39" s="53" customFormat="1" ht="15.75" customHeight="1">
      <c r="A7" s="68">
        <v>4</v>
      </c>
      <c r="B7" s="58" t="s">
        <v>36</v>
      </c>
      <c r="C7" s="119"/>
      <c r="D7" s="119">
        <f>'2022年'!H10</f>
        <v>14864400</v>
      </c>
      <c r="E7" s="119">
        <f>'2023年'!H10</f>
        <v>77009600</v>
      </c>
      <c r="F7" s="119">
        <f>'2024年'!H10</f>
        <v>77009600</v>
      </c>
      <c r="G7" s="119">
        <f>'2025年'!H10</f>
        <v>77009600</v>
      </c>
      <c r="H7" s="119"/>
      <c r="I7" s="119">
        <f t="shared" si="0"/>
        <v>91874000</v>
      </c>
      <c r="J7" s="75"/>
      <c r="AK7" s="58" t="s">
        <v>37</v>
      </c>
      <c r="AL7" s="58" t="s">
        <v>36</v>
      </c>
      <c r="AM7" s="53" t="s">
        <v>38</v>
      </c>
    </row>
    <row r="8" spans="1:39" s="53" customFormat="1" ht="15.75" customHeight="1">
      <c r="A8" s="68">
        <v>5</v>
      </c>
      <c r="B8" s="58" t="s">
        <v>39</v>
      </c>
      <c r="C8" s="119">
        <f>'2021年'!H11</f>
        <v>0</v>
      </c>
      <c r="D8" s="119">
        <f>'2022年'!H11</f>
        <v>1198180</v>
      </c>
      <c r="E8" s="119">
        <f>'2023年'!H11</f>
        <v>6230536</v>
      </c>
      <c r="F8" s="119">
        <f>'2024年'!H11</f>
        <v>6230536</v>
      </c>
      <c r="G8" s="119">
        <f>'2025年'!H11</f>
        <v>6230536</v>
      </c>
      <c r="H8" s="119"/>
      <c r="I8" s="119">
        <f t="shared" si="0"/>
        <v>7428716</v>
      </c>
      <c r="J8" s="75"/>
      <c r="AK8" s="58" t="s">
        <v>40</v>
      </c>
      <c r="AL8" s="58" t="s">
        <v>39</v>
      </c>
    </row>
    <row r="9" spans="1:39" s="53" customFormat="1" ht="15.75" customHeight="1">
      <c r="A9" s="68">
        <v>6</v>
      </c>
      <c r="B9" s="58" t="s">
        <v>41</v>
      </c>
      <c r="C9" s="119">
        <f>'2021年'!H12</f>
        <v>0</v>
      </c>
      <c r="D9" s="119">
        <f>'2022年'!H12</f>
        <v>603260</v>
      </c>
      <c r="E9" s="119">
        <f>'2023年'!H12</f>
        <v>3136952</v>
      </c>
      <c r="F9" s="119">
        <f>'2024年'!H12</f>
        <v>3136952</v>
      </c>
      <c r="G9" s="119">
        <f>'2025年'!H12</f>
        <v>3136952</v>
      </c>
      <c r="H9" s="119"/>
      <c r="I9" s="119">
        <f t="shared" si="0"/>
        <v>3740212</v>
      </c>
      <c r="J9" s="75"/>
      <c r="AK9" s="58" t="s">
        <v>42</v>
      </c>
      <c r="AL9" s="58" t="s">
        <v>41</v>
      </c>
    </row>
    <row r="10" spans="1:39" s="53" customFormat="1" ht="15.75" customHeight="1">
      <c r="A10" s="68">
        <v>7</v>
      </c>
      <c r="B10" s="121" t="s">
        <v>43</v>
      </c>
      <c r="C10" s="119">
        <f>'2021年'!H13</f>
        <v>0</v>
      </c>
      <c r="D10" s="119">
        <f>'2022年'!H13</f>
        <v>1779200</v>
      </c>
      <c r="E10" s="119">
        <f>'2023年'!H13</f>
        <v>9251840</v>
      </c>
      <c r="F10" s="119">
        <f>'2024年'!H13</f>
        <v>9251840</v>
      </c>
      <c r="G10" s="119">
        <f>'2025年'!H13</f>
        <v>9251840</v>
      </c>
      <c r="H10" s="119"/>
      <c r="I10" s="119">
        <f t="shared" si="0"/>
        <v>11031040</v>
      </c>
      <c r="J10" s="75"/>
      <c r="AK10" s="58" t="s">
        <v>44</v>
      </c>
      <c r="AL10" s="58" t="s">
        <v>43</v>
      </c>
      <c r="AM10" s="53" t="s">
        <v>27</v>
      </c>
    </row>
    <row r="11" spans="1:39" s="53" customFormat="1" ht="15.75" customHeight="1">
      <c r="A11" s="68">
        <v>8</v>
      </c>
      <c r="B11" s="122" t="s">
        <v>45</v>
      </c>
      <c r="C11" s="123">
        <f>'2021年'!H14</f>
        <v>0</v>
      </c>
      <c r="D11" s="123">
        <f>'2022年'!H14</f>
        <v>3580640</v>
      </c>
      <c r="E11" s="123">
        <f>'2023年'!H14</f>
        <v>18619328</v>
      </c>
      <c r="F11" s="123">
        <f>'2024年'!H14</f>
        <v>18619328</v>
      </c>
      <c r="G11" s="123">
        <f>'2025年'!H14</f>
        <v>18619328</v>
      </c>
      <c r="H11" s="123"/>
      <c r="I11" s="123">
        <f t="shared" si="0"/>
        <v>22199968</v>
      </c>
      <c r="J11" s="75"/>
      <c r="AK11" s="58" t="s">
        <v>46</v>
      </c>
      <c r="AL11" s="61" t="s">
        <v>45</v>
      </c>
    </row>
    <row r="12" spans="1:39" s="53" customFormat="1" ht="15.75" customHeight="1">
      <c r="A12" s="68">
        <v>9</v>
      </c>
      <c r="B12" s="124" t="s">
        <v>47</v>
      </c>
      <c r="C12" s="119"/>
      <c r="D12" s="119">
        <f>'2022年'!H15</f>
        <v>7294960</v>
      </c>
      <c r="E12" s="119">
        <f>'2023年'!H15</f>
        <v>23681572</v>
      </c>
      <c r="F12" s="119">
        <f>'2024年'!H15</f>
        <v>17716047</v>
      </c>
      <c r="G12" s="119">
        <f>'2025年'!H15</f>
        <v>12048798.249999983</v>
      </c>
      <c r="H12" s="119"/>
      <c r="I12" s="119">
        <f>I6-I7-I11</f>
        <v>30976532</v>
      </c>
      <c r="J12" s="75"/>
      <c r="L12" s="116"/>
      <c r="M12" s="116"/>
      <c r="N12" s="116"/>
      <c r="O12" s="116"/>
      <c r="P12" s="116"/>
      <c r="Q12" s="116"/>
      <c r="AK12" s="58" t="s">
        <v>48</v>
      </c>
      <c r="AL12" s="61" t="s">
        <v>47</v>
      </c>
    </row>
    <row r="13" spans="1:39" ht="15.75" customHeight="1">
      <c r="A13" s="68">
        <v>10</v>
      </c>
      <c r="B13" s="125" t="s">
        <v>49</v>
      </c>
      <c r="C13" s="126"/>
      <c r="D13" s="126">
        <f>'2022年'!H16</f>
        <v>0.28340947940947941</v>
      </c>
      <c r="E13" s="126">
        <f>'2023年'!H16</f>
        <v>0.19848690601413957</v>
      </c>
      <c r="F13" s="126">
        <f>'2024年'!H16</f>
        <v>0.15630200633067323</v>
      </c>
      <c r="G13" s="126">
        <f>'2025年'!H16</f>
        <v>0.11189684876912959</v>
      </c>
      <c r="H13" s="126"/>
      <c r="I13" s="126">
        <f>+I12/I6</f>
        <v>0.21355687846646512</v>
      </c>
      <c r="J13" s="75"/>
      <c r="AK13" s="125" t="s">
        <v>50</v>
      </c>
      <c r="AL13" s="125" t="s">
        <v>49</v>
      </c>
    </row>
    <row r="14" spans="1:39" ht="15.75" customHeight="1">
      <c r="A14" s="68">
        <v>11</v>
      </c>
      <c r="B14" s="125" t="s">
        <v>51</v>
      </c>
      <c r="C14" s="119"/>
      <c r="D14" s="119">
        <f>'2022年'!H17</f>
        <v>1584820</v>
      </c>
      <c r="E14" s="119">
        <f>'2023年'!H17</f>
        <v>6301924</v>
      </c>
      <c r="F14" s="119">
        <f>'2024年'!H17</f>
        <v>6301924</v>
      </c>
      <c r="G14" s="119">
        <f>'2025年'!H17</f>
        <v>6301924</v>
      </c>
      <c r="H14" s="119"/>
      <c r="I14" s="119">
        <f t="shared" ref="I14:I20" si="1">SUM(C14:E14)</f>
        <v>7886744</v>
      </c>
      <c r="J14" s="75"/>
      <c r="AK14" s="125" t="s">
        <v>52</v>
      </c>
      <c r="AL14" s="125" t="s">
        <v>51</v>
      </c>
    </row>
    <row r="15" spans="1:39" ht="15.75" hidden="1" customHeight="1">
      <c r="A15" s="166"/>
      <c r="B15" s="125"/>
      <c r="C15" s="119"/>
      <c r="D15" s="119"/>
      <c r="E15" s="119"/>
      <c r="F15" s="119"/>
      <c r="G15" s="119"/>
      <c r="H15" s="119"/>
      <c r="I15" s="119"/>
      <c r="J15" s="75"/>
      <c r="AK15" s="125"/>
      <c r="AL15" s="125"/>
    </row>
    <row r="16" spans="1:39" ht="15.75" customHeight="1">
      <c r="A16" s="68">
        <v>12</v>
      </c>
      <c r="B16" s="125" t="s">
        <v>53</v>
      </c>
      <c r="C16" s="127">
        <f>'2021年'!H19</f>
        <v>0</v>
      </c>
      <c r="D16" s="127">
        <f>'2022年'!H19</f>
        <v>147340</v>
      </c>
      <c r="E16" s="127">
        <f>'2023年'!H19</f>
        <v>766168</v>
      </c>
      <c r="F16" s="127">
        <f>'2024年'!H19</f>
        <v>766168</v>
      </c>
      <c r="G16" s="127">
        <f>'2025年'!H19</f>
        <v>766168</v>
      </c>
      <c r="H16" s="127"/>
      <c r="I16" s="119">
        <f t="shared" si="1"/>
        <v>913508</v>
      </c>
      <c r="J16" s="75"/>
      <c r="R16" s="75"/>
      <c r="AK16" s="125" t="s">
        <v>54</v>
      </c>
      <c r="AL16" s="125" t="s">
        <v>53</v>
      </c>
      <c r="AM16" s="116" t="s">
        <v>27</v>
      </c>
    </row>
    <row r="17" spans="1:39" ht="15.75" customHeight="1">
      <c r="A17" s="68">
        <v>13</v>
      </c>
      <c r="B17" s="125" t="s">
        <v>55</v>
      </c>
      <c r="C17" s="127">
        <f>'2021年'!H20</f>
        <v>0</v>
      </c>
      <c r="D17" s="127">
        <f>'2022年'!H20</f>
        <v>700127.99999999988</v>
      </c>
      <c r="E17" s="127">
        <f>'2023年'!H20</f>
        <v>3338463.4</v>
      </c>
      <c r="F17" s="127">
        <f>'2024年'!H20</f>
        <v>3219344.23</v>
      </c>
      <c r="G17" s="127">
        <f>'2025年'!H20</f>
        <v>3106181.0184999993</v>
      </c>
      <c r="H17" s="127"/>
      <c r="I17" s="119">
        <f t="shared" si="1"/>
        <v>4038591.4</v>
      </c>
      <c r="J17" s="75"/>
      <c r="AK17" s="125" t="s">
        <v>56</v>
      </c>
      <c r="AL17" s="125" t="s">
        <v>55</v>
      </c>
    </row>
    <row r="18" spans="1:39" s="52" customFormat="1" ht="15.75" customHeight="1">
      <c r="A18" s="68">
        <v>14</v>
      </c>
      <c r="B18" s="66" t="s">
        <v>57</v>
      </c>
      <c r="C18" s="128">
        <f>'2021年'!H21</f>
        <v>60000</v>
      </c>
      <c r="D18" s="128">
        <f>'2022年'!H21</f>
        <v>60000</v>
      </c>
      <c r="E18" s="128">
        <f>'2023年'!H21</f>
        <v>60000</v>
      </c>
      <c r="F18" s="128">
        <f>'2024年'!H21</f>
        <v>60000</v>
      </c>
      <c r="G18" s="128">
        <f>'2025年'!H21</f>
        <v>60000</v>
      </c>
      <c r="H18" s="128"/>
      <c r="I18" s="119">
        <f t="shared" si="1"/>
        <v>180000</v>
      </c>
      <c r="J18" s="75"/>
      <c r="AK18" s="66"/>
      <c r="AL18" s="66"/>
    </row>
    <row r="19" spans="1:39" s="53" customFormat="1" ht="15.75" customHeight="1">
      <c r="A19" s="68">
        <v>15</v>
      </c>
      <c r="B19" s="58" t="s">
        <v>58</v>
      </c>
      <c r="C19" s="127">
        <f>'2021年'!H22</f>
        <v>0</v>
      </c>
      <c r="D19" s="127">
        <f>'2022年'!H22</f>
        <v>912599.99999999988</v>
      </c>
      <c r="E19" s="127">
        <f>'2023年'!H22</f>
        <v>4563000</v>
      </c>
      <c r="F19" s="127">
        <f>'2024年'!H22</f>
        <v>4563000</v>
      </c>
      <c r="G19" s="127">
        <f>'2025年'!H22</f>
        <v>4563000</v>
      </c>
      <c r="H19" s="127"/>
      <c r="I19" s="119">
        <f t="shared" si="1"/>
        <v>5475600</v>
      </c>
      <c r="J19" s="75"/>
      <c r="AK19" s="58" t="s">
        <v>59</v>
      </c>
      <c r="AL19" s="58" t="s">
        <v>58</v>
      </c>
    </row>
    <row r="20" spans="1:39" s="114" customFormat="1" ht="15.75" customHeight="1">
      <c r="A20" s="68">
        <v>16</v>
      </c>
      <c r="B20" s="129" t="s">
        <v>60</v>
      </c>
      <c r="C20" s="123">
        <f t="shared" ref="C20" si="2">+C19+C18+C17+C16+C14</f>
        <v>60000</v>
      </c>
      <c r="D20" s="123">
        <f>'2022年'!H23</f>
        <v>3404888</v>
      </c>
      <c r="E20" s="123">
        <f>'2023年'!H23</f>
        <v>15029555.4</v>
      </c>
      <c r="F20" s="123">
        <f>'2024年'!H23</f>
        <v>14910436.23</v>
      </c>
      <c r="G20" s="123">
        <f>'2025年'!H23</f>
        <v>14797273.0185</v>
      </c>
      <c r="H20" s="123"/>
      <c r="I20" s="123">
        <f t="shared" si="1"/>
        <v>18494443.399999999</v>
      </c>
      <c r="J20" s="75"/>
      <c r="AK20" s="142" t="s">
        <v>61</v>
      </c>
      <c r="AL20" s="143" t="s">
        <v>60</v>
      </c>
    </row>
    <row r="21" spans="1:39" ht="15.75" customHeight="1">
      <c r="A21" s="68">
        <v>17</v>
      </c>
      <c r="B21" s="125" t="s">
        <v>62</v>
      </c>
      <c r="C21" s="130">
        <f>+C12-C20</f>
        <v>-60000</v>
      </c>
      <c r="D21" s="130">
        <f>'2022年'!H24</f>
        <v>3890072</v>
      </c>
      <c r="E21" s="130">
        <f>'2023年'!H24</f>
        <v>8652016.5999999996</v>
      </c>
      <c r="F21" s="130">
        <f>'2024年'!H24</f>
        <v>2805610.7699999996</v>
      </c>
      <c r="G21" s="130">
        <f>'2025年'!H24</f>
        <v>-2748474.768500017</v>
      </c>
      <c r="H21" s="130"/>
      <c r="I21" s="130">
        <f>+I12-I20</f>
        <v>12482088.600000001</v>
      </c>
      <c r="J21" s="75"/>
      <c r="AK21" s="125" t="s">
        <v>63</v>
      </c>
      <c r="AL21" s="125" t="s">
        <v>62</v>
      </c>
    </row>
    <row r="22" spans="1:39" ht="15.75" customHeight="1">
      <c r="A22" s="68">
        <v>18</v>
      </c>
      <c r="B22" s="125" t="s">
        <v>64</v>
      </c>
      <c r="C22" s="130">
        <f>IF(C21&lt;0,0,C21*0.25)</f>
        <v>0</v>
      </c>
      <c r="D22" s="130">
        <f>'2022年'!H25</f>
        <v>972518</v>
      </c>
      <c r="E22" s="130">
        <f>'2023年'!H25</f>
        <v>2163004.15</v>
      </c>
      <c r="F22" s="130">
        <f>'2024年'!H25</f>
        <v>701402.69249999989</v>
      </c>
      <c r="G22" s="130">
        <f>'2025年'!H25</f>
        <v>0</v>
      </c>
      <c r="H22" s="130"/>
      <c r="I22" s="130">
        <f>IF(I21&lt;0,0,I21*0.25)</f>
        <v>3120522.1500000004</v>
      </c>
      <c r="J22" s="75"/>
      <c r="AK22" s="125" t="s">
        <v>65</v>
      </c>
      <c r="AL22" s="125" t="s">
        <v>64</v>
      </c>
    </row>
    <row r="23" spans="1:39" ht="15.75" customHeight="1">
      <c r="A23" s="68">
        <v>19</v>
      </c>
      <c r="B23" s="125" t="s">
        <v>66</v>
      </c>
      <c r="C23" s="130">
        <f>C21-C22</f>
        <v>-60000</v>
      </c>
      <c r="D23" s="130">
        <f>'2022年'!H26</f>
        <v>2917553.9999999995</v>
      </c>
      <c r="E23" s="130">
        <f>'2023年'!H26</f>
        <v>6489012.4499999983</v>
      </c>
      <c r="F23" s="130">
        <f>'2024年'!H26</f>
        <v>2011364.6399999992</v>
      </c>
      <c r="G23" s="130">
        <f>'2025年'!H26</f>
        <v>-3192201.794900015</v>
      </c>
      <c r="H23" s="130"/>
      <c r="I23" s="130">
        <f>I21-I22</f>
        <v>9361566.4500000011</v>
      </c>
      <c r="J23" s="75"/>
      <c r="AK23" s="125" t="s">
        <v>67</v>
      </c>
      <c r="AL23" s="125" t="s">
        <v>66</v>
      </c>
    </row>
    <row r="24" spans="1:39" ht="15.75" customHeight="1">
      <c r="A24" s="68">
        <v>20</v>
      </c>
      <c r="B24" s="125" t="s">
        <v>68</v>
      </c>
      <c r="C24" s="131"/>
      <c r="D24" s="131">
        <f>'2022年'!H27</f>
        <v>0.11334708624708623</v>
      </c>
      <c r="E24" s="131">
        <f>'2023年'!H27</f>
        <v>4.908481429652041E-2</v>
      </c>
      <c r="F24" s="131">
        <f>'2024年'!H27</f>
        <v>1.5214558547655061E-2</v>
      </c>
      <c r="G24" s="131">
        <f>'2025年'!H27</f>
        <v>-2.4146760929652157E-2</v>
      </c>
      <c r="H24" s="131"/>
      <c r="I24" s="131">
        <f>(I23/I4)*100%</f>
        <v>5.9272929276940618E-2</v>
      </c>
      <c r="J24" s="75"/>
      <c r="AK24" s="144" t="s">
        <v>69</v>
      </c>
      <c r="AL24" s="144" t="s">
        <v>70</v>
      </c>
    </row>
    <row r="25" spans="1:39" s="115" customFormat="1" ht="15.75" customHeight="1">
      <c r="C25" s="132"/>
      <c r="D25" s="132"/>
      <c r="E25" s="132"/>
      <c r="F25" s="132"/>
      <c r="G25" s="132"/>
      <c r="H25" s="132"/>
      <c r="I25" s="132"/>
      <c r="J25" s="141"/>
    </row>
    <row r="26" spans="1:39" s="115" customFormat="1" ht="15.75" customHeight="1">
      <c r="A26" s="115" t="s">
        <v>71</v>
      </c>
      <c r="C26" s="133"/>
      <c r="D26" s="133"/>
      <c r="E26" s="133"/>
      <c r="F26" s="133"/>
      <c r="G26" s="133"/>
      <c r="H26" s="133"/>
      <c r="I26" s="133"/>
      <c r="J26" s="141"/>
      <c r="AK26" s="115" t="s">
        <v>71</v>
      </c>
    </row>
    <row r="27" spans="1:39" ht="15.75" customHeight="1">
      <c r="A27" s="125" t="s">
        <v>19</v>
      </c>
      <c r="B27" s="134" t="s">
        <v>1</v>
      </c>
      <c r="C27" s="118" t="s">
        <v>72</v>
      </c>
      <c r="D27" s="118" t="s">
        <v>21</v>
      </c>
      <c r="E27" s="118" t="s">
        <v>73</v>
      </c>
      <c r="F27" s="118" t="s">
        <v>74</v>
      </c>
      <c r="G27" s="118" t="s">
        <v>75</v>
      </c>
      <c r="H27" s="118"/>
      <c r="I27" s="57" t="s">
        <v>25</v>
      </c>
      <c r="AM27" s="116" t="s">
        <v>26</v>
      </c>
    </row>
    <row r="28" spans="1:39" s="53" customFormat="1" ht="15.75" customHeight="1">
      <c r="A28" s="58" t="s">
        <v>76</v>
      </c>
      <c r="B28" s="61" t="s">
        <v>77</v>
      </c>
      <c r="C28" s="65"/>
      <c r="D28" s="65"/>
      <c r="E28" s="65"/>
      <c r="F28" s="65"/>
      <c r="G28" s="65"/>
      <c r="H28" s="65"/>
      <c r="I28" s="65"/>
      <c r="J28" s="75"/>
      <c r="AK28" s="58" t="s">
        <v>78</v>
      </c>
      <c r="AL28" s="61" t="s">
        <v>77</v>
      </c>
    </row>
    <row r="29" spans="1:39" s="53" customFormat="1" ht="15.75" customHeight="1">
      <c r="A29" s="58" t="s">
        <v>29</v>
      </c>
      <c r="B29" s="58" t="s">
        <v>79</v>
      </c>
      <c r="C29" s="60" t="e">
        <f>+C6/C3</f>
        <v>#DIV/0!</v>
      </c>
      <c r="D29" s="60">
        <f t="shared" ref="D29:G29" si="3">+D6/D3</f>
        <v>1287</v>
      </c>
      <c r="E29" s="60">
        <f t="shared" si="3"/>
        <v>1193.105</v>
      </c>
      <c r="F29" s="60">
        <f t="shared" si="3"/>
        <v>1133.44975</v>
      </c>
      <c r="G29" s="60">
        <f t="shared" si="3"/>
        <v>1076.7772624999998</v>
      </c>
      <c r="H29" s="60"/>
      <c r="I29" s="60">
        <f>+I6/I3</f>
        <v>1208.7541666666666</v>
      </c>
      <c r="J29" s="75"/>
      <c r="AK29" s="58" t="s">
        <v>29</v>
      </c>
      <c r="AL29" s="58" t="s">
        <v>79</v>
      </c>
    </row>
    <row r="30" spans="1:39" s="53" customFormat="1" ht="15.75" customHeight="1">
      <c r="A30" s="58" t="s">
        <v>31</v>
      </c>
      <c r="B30" s="58" t="s">
        <v>80</v>
      </c>
      <c r="C30" s="60" t="e">
        <f>+C7/C3</f>
        <v>#DIV/0!</v>
      </c>
      <c r="D30" s="60">
        <f t="shared" ref="D30:G30" si="4">+D7/D3</f>
        <v>743.22</v>
      </c>
      <c r="E30" s="60">
        <f t="shared" si="4"/>
        <v>770.096</v>
      </c>
      <c r="F30" s="60">
        <f t="shared" si="4"/>
        <v>770.096</v>
      </c>
      <c r="G30" s="60">
        <f t="shared" si="4"/>
        <v>770.096</v>
      </c>
      <c r="H30" s="60"/>
      <c r="I30" s="60">
        <f>+I7/I3</f>
        <v>765.61666666666667</v>
      </c>
      <c r="J30" s="75"/>
      <c r="AK30" s="58" t="s">
        <v>31</v>
      </c>
      <c r="AL30" s="58" t="s">
        <v>80</v>
      </c>
    </row>
    <row r="31" spans="1:39" s="53" customFormat="1" ht="15.75" customHeight="1">
      <c r="A31" s="58" t="s">
        <v>81</v>
      </c>
      <c r="B31" s="58" t="s">
        <v>82</v>
      </c>
      <c r="C31" s="65" t="e">
        <f t="shared" ref="C31:G31" si="5">C29-C30</f>
        <v>#DIV/0!</v>
      </c>
      <c r="D31" s="65">
        <f t="shared" si="5"/>
        <v>543.78</v>
      </c>
      <c r="E31" s="65">
        <f t="shared" si="5"/>
        <v>423.00900000000001</v>
      </c>
      <c r="F31" s="65">
        <f t="shared" si="5"/>
        <v>363.35374999999999</v>
      </c>
      <c r="G31" s="65">
        <f t="shared" si="5"/>
        <v>306.68126249999978</v>
      </c>
      <c r="H31" s="65"/>
      <c r="I31" s="65">
        <f t="shared" ref="I31" si="6">I29-I30</f>
        <v>443.13749999999993</v>
      </c>
      <c r="J31" s="75"/>
      <c r="AK31" s="58" t="s">
        <v>81</v>
      </c>
      <c r="AL31" s="58" t="s">
        <v>82</v>
      </c>
    </row>
    <row r="32" spans="1:39" s="53" customFormat="1" ht="15.75" customHeight="1">
      <c r="A32" s="58">
        <v>3.1</v>
      </c>
      <c r="B32" s="58" t="s">
        <v>83</v>
      </c>
      <c r="C32" s="135" t="e">
        <f t="shared" ref="C32:G32" si="7">C31/C29</f>
        <v>#DIV/0!</v>
      </c>
      <c r="D32" s="135">
        <f t="shared" si="7"/>
        <v>0.4225174825174825</v>
      </c>
      <c r="E32" s="135">
        <f t="shared" si="7"/>
        <v>0.35454465449394645</v>
      </c>
      <c r="F32" s="135">
        <f t="shared" si="7"/>
        <v>0.32057332051994364</v>
      </c>
      <c r="G32" s="135">
        <f t="shared" si="7"/>
        <v>0.28481402159994051</v>
      </c>
      <c r="H32" s="135"/>
      <c r="I32" s="135">
        <f t="shared" ref="I32" si="8">I31/I29</f>
        <v>0.36660680245845406</v>
      </c>
      <c r="J32" s="75"/>
      <c r="AK32" s="58"/>
      <c r="AL32" s="58"/>
    </row>
    <row r="33" spans="1:38" s="53" customFormat="1" ht="15.75" customHeight="1">
      <c r="A33" s="58" t="s">
        <v>78</v>
      </c>
      <c r="B33" s="61" t="s">
        <v>10</v>
      </c>
      <c r="C33" s="65"/>
      <c r="D33" s="65"/>
      <c r="E33" s="65"/>
      <c r="F33" s="65"/>
      <c r="G33" s="65"/>
      <c r="H33" s="65"/>
      <c r="I33" s="65"/>
      <c r="J33" s="75"/>
      <c r="AK33" s="58" t="s">
        <v>84</v>
      </c>
      <c r="AL33" s="61" t="s">
        <v>10</v>
      </c>
    </row>
    <row r="34" spans="1:38" s="53" customFormat="1" ht="15.75" customHeight="1">
      <c r="A34" s="58" t="s">
        <v>29</v>
      </c>
      <c r="B34" s="66" t="s">
        <v>85</v>
      </c>
      <c r="C34" s="60" t="e">
        <f>+C8/C3</f>
        <v>#DIV/0!</v>
      </c>
      <c r="D34" s="60">
        <f t="shared" ref="D34:G34" si="9">+D8/D3</f>
        <v>59.908999999999999</v>
      </c>
      <c r="E34" s="60">
        <f t="shared" si="9"/>
        <v>62.30536</v>
      </c>
      <c r="F34" s="60">
        <f t="shared" si="9"/>
        <v>62.30536</v>
      </c>
      <c r="G34" s="60">
        <f t="shared" si="9"/>
        <v>62.30536</v>
      </c>
      <c r="H34" s="60"/>
      <c r="I34" s="60">
        <f>+I8/I3</f>
        <v>61.905966666666664</v>
      </c>
      <c r="J34" s="75"/>
      <c r="AK34" s="58" t="s">
        <v>81</v>
      </c>
      <c r="AL34" s="58" t="s">
        <v>85</v>
      </c>
    </row>
    <row r="35" spans="1:38" s="53" customFormat="1" ht="15.75" customHeight="1">
      <c r="A35" s="58" t="s">
        <v>31</v>
      </c>
      <c r="B35" s="66" t="s">
        <v>86</v>
      </c>
      <c r="C35" s="60" t="e">
        <f>+C9/C3</f>
        <v>#DIV/0!</v>
      </c>
      <c r="D35" s="60">
        <f t="shared" ref="D35:G35" si="10">+D9/D3</f>
        <v>30.163</v>
      </c>
      <c r="E35" s="60">
        <f t="shared" si="10"/>
        <v>31.369520000000001</v>
      </c>
      <c r="F35" s="60">
        <f t="shared" si="10"/>
        <v>31.369520000000001</v>
      </c>
      <c r="G35" s="60">
        <f t="shared" si="10"/>
        <v>31.369520000000001</v>
      </c>
      <c r="H35" s="60"/>
      <c r="I35" s="60">
        <f>+I9/I3</f>
        <v>31.168433333333333</v>
      </c>
      <c r="J35" s="75"/>
      <c r="AK35" s="58" t="s">
        <v>34</v>
      </c>
      <c r="AL35" s="58" t="s">
        <v>86</v>
      </c>
    </row>
    <row r="36" spans="1:38" s="53" customFormat="1" ht="15.75" customHeight="1">
      <c r="A36" s="58" t="s">
        <v>81</v>
      </c>
      <c r="B36" s="66" t="s">
        <v>87</v>
      </c>
      <c r="C36" s="60" t="e">
        <f>+C10/C3</f>
        <v>#DIV/0!</v>
      </c>
      <c r="D36" s="60">
        <f t="shared" ref="D36:G36" si="11">+D10/D3</f>
        <v>88.96</v>
      </c>
      <c r="E36" s="60">
        <f t="shared" si="11"/>
        <v>92.5184</v>
      </c>
      <c r="F36" s="60">
        <f t="shared" si="11"/>
        <v>92.5184</v>
      </c>
      <c r="G36" s="60">
        <f t="shared" si="11"/>
        <v>92.5184</v>
      </c>
      <c r="H36" s="60"/>
      <c r="I36" s="60">
        <f>+I10/I3</f>
        <v>91.925333333333327</v>
      </c>
      <c r="J36" s="75"/>
      <c r="AK36" s="58" t="s">
        <v>40</v>
      </c>
      <c r="AL36" s="58" t="s">
        <v>87</v>
      </c>
    </row>
    <row r="37" spans="1:38" s="53" customFormat="1" ht="15.75" customHeight="1">
      <c r="A37" s="58" t="s">
        <v>88</v>
      </c>
      <c r="B37" s="124" t="s">
        <v>89</v>
      </c>
      <c r="C37" s="60"/>
      <c r="D37" s="60"/>
      <c r="E37" s="60"/>
      <c r="F37" s="60"/>
      <c r="G37" s="60"/>
      <c r="H37" s="60"/>
      <c r="I37" s="60"/>
      <c r="J37" s="75"/>
      <c r="AK37" s="58" t="s">
        <v>88</v>
      </c>
      <c r="AL37" s="61" t="s">
        <v>89</v>
      </c>
    </row>
    <row r="38" spans="1:38" s="53" customFormat="1" ht="15.75" customHeight="1">
      <c r="A38" s="58" t="s">
        <v>29</v>
      </c>
      <c r="B38" s="66" t="s">
        <v>90</v>
      </c>
      <c r="C38" s="60" t="e">
        <f>+C12/C3</f>
        <v>#DIV/0!</v>
      </c>
      <c r="D38" s="60">
        <f t="shared" ref="D38:G38" si="12">+D12/D3</f>
        <v>364.74799999999999</v>
      </c>
      <c r="E38" s="60">
        <f t="shared" si="12"/>
        <v>236.81572</v>
      </c>
      <c r="F38" s="60">
        <f t="shared" si="12"/>
        <v>177.16047</v>
      </c>
      <c r="G38" s="60">
        <f t="shared" si="12"/>
        <v>120.48798249999983</v>
      </c>
      <c r="H38" s="60"/>
      <c r="I38" s="60">
        <f>+I12/I3</f>
        <v>258.13776666666666</v>
      </c>
      <c r="J38" s="75"/>
      <c r="AK38" s="58" t="s">
        <v>29</v>
      </c>
      <c r="AL38" s="58" t="s">
        <v>91</v>
      </c>
    </row>
    <row r="39" spans="1:38" s="53" customFormat="1" ht="15.75" customHeight="1">
      <c r="A39" s="58" t="s">
        <v>31</v>
      </c>
      <c r="B39" s="66" t="s">
        <v>92</v>
      </c>
      <c r="C39" s="119" t="e">
        <f t="shared" ref="C39:G39" si="13">+C20/C38</f>
        <v>#DIV/0!</v>
      </c>
      <c r="D39" s="119">
        <f t="shared" si="13"/>
        <v>9334.9051948194374</v>
      </c>
      <c r="E39" s="119">
        <f t="shared" si="13"/>
        <v>63465.193104579375</v>
      </c>
      <c r="F39" s="119">
        <f t="shared" si="13"/>
        <v>84163.449272854152</v>
      </c>
      <c r="G39" s="119">
        <f t="shared" si="13"/>
        <v>122811.19420768807</v>
      </c>
      <c r="H39" s="119"/>
      <c r="I39" s="119">
        <f t="shared" ref="I39" si="14">+I20/I38</f>
        <v>71645.631860919733</v>
      </c>
      <c r="J39" s="75"/>
      <c r="AK39" s="58" t="s">
        <v>31</v>
      </c>
      <c r="AL39" s="58" t="s">
        <v>92</v>
      </c>
    </row>
    <row r="40" spans="1:38" s="53" customFormat="1" ht="15.75" customHeight="1">
      <c r="A40" s="58" t="s">
        <v>93</v>
      </c>
      <c r="B40" s="61" t="s">
        <v>94</v>
      </c>
      <c r="C40" s="65"/>
      <c r="D40" s="65"/>
      <c r="E40" s="65"/>
      <c r="F40" s="65"/>
      <c r="G40" s="65"/>
      <c r="H40" s="65"/>
      <c r="I40" s="65"/>
      <c r="J40" s="75"/>
      <c r="AK40" s="58" t="s">
        <v>93</v>
      </c>
      <c r="AL40" s="61" t="s">
        <v>94</v>
      </c>
    </row>
    <row r="41" spans="1:38" s="53" customFormat="1" ht="15.75" customHeight="1">
      <c r="A41" s="58" t="s">
        <v>29</v>
      </c>
      <c r="B41" s="58" t="s">
        <v>95</v>
      </c>
      <c r="C41" s="65" t="e">
        <f>+C14/C3</f>
        <v>#DIV/0!</v>
      </c>
      <c r="D41" s="65">
        <f t="shared" ref="D41:G41" si="15">+D14/D3</f>
        <v>79.241</v>
      </c>
      <c r="E41" s="65">
        <f t="shared" si="15"/>
        <v>63.019240000000003</v>
      </c>
      <c r="F41" s="65">
        <f t="shared" si="15"/>
        <v>63.019240000000003</v>
      </c>
      <c r="G41" s="65">
        <f t="shared" si="15"/>
        <v>63.019240000000003</v>
      </c>
      <c r="H41" s="65"/>
      <c r="I41" s="65">
        <f>+I14/I3</f>
        <v>65.722866666666661</v>
      </c>
      <c r="J41" s="75"/>
      <c r="AK41" s="58" t="s">
        <v>29</v>
      </c>
      <c r="AL41" s="58" t="s">
        <v>95</v>
      </c>
    </row>
    <row r="42" spans="1:38" s="53" customFormat="1" ht="15.75" customHeight="1">
      <c r="A42" s="58" t="s">
        <v>31</v>
      </c>
      <c r="B42" s="58" t="s">
        <v>96</v>
      </c>
      <c r="C42" s="65" t="e">
        <f>+C16/C3</f>
        <v>#DIV/0!</v>
      </c>
      <c r="D42" s="65">
        <f t="shared" ref="D42:G42" si="16">+D16/D3</f>
        <v>7.367</v>
      </c>
      <c r="E42" s="65">
        <f t="shared" si="16"/>
        <v>7.6616799999999996</v>
      </c>
      <c r="F42" s="65">
        <f t="shared" si="16"/>
        <v>7.6616799999999996</v>
      </c>
      <c r="G42" s="65">
        <f t="shared" si="16"/>
        <v>7.6616799999999996</v>
      </c>
      <c r="H42" s="65"/>
      <c r="I42" s="65">
        <f>+I16/I3</f>
        <v>7.6125666666666669</v>
      </c>
      <c r="J42" s="75"/>
      <c r="AK42" s="58" t="s">
        <v>31</v>
      </c>
      <c r="AL42" s="58" t="s">
        <v>96</v>
      </c>
    </row>
    <row r="43" spans="1:38" s="53" customFormat="1" ht="15.75" customHeight="1">
      <c r="A43" s="58" t="s">
        <v>81</v>
      </c>
      <c r="B43" s="58" t="s">
        <v>97</v>
      </c>
      <c r="C43" s="65" t="e">
        <f>+C17/C3</f>
        <v>#DIV/0!</v>
      </c>
      <c r="D43" s="65">
        <f t="shared" ref="D43:G43" si="17">+D17/D3</f>
        <v>35.006399999999992</v>
      </c>
      <c r="E43" s="65">
        <f t="shared" si="17"/>
        <v>33.384633999999998</v>
      </c>
      <c r="F43" s="65">
        <f t="shared" si="17"/>
        <v>32.193442300000001</v>
      </c>
      <c r="G43" s="65">
        <f t="shared" si="17"/>
        <v>31.061810184999992</v>
      </c>
      <c r="H43" s="65"/>
      <c r="I43" s="65">
        <f>+I17/I3</f>
        <v>33.654928333333331</v>
      </c>
      <c r="J43" s="75"/>
      <c r="AK43" s="58" t="s">
        <v>81</v>
      </c>
      <c r="AL43" s="58" t="s">
        <v>97</v>
      </c>
    </row>
    <row r="44" spans="1:38" s="53" customFormat="1" ht="15.75" customHeight="1">
      <c r="A44" s="58" t="s">
        <v>34</v>
      </c>
      <c r="B44" s="58" t="s">
        <v>98</v>
      </c>
      <c r="C44" s="65"/>
      <c r="D44" s="65"/>
      <c r="E44" s="65"/>
      <c r="F44" s="65"/>
      <c r="G44" s="65"/>
      <c r="H44" s="65"/>
      <c r="I44" s="65"/>
      <c r="J44" s="75"/>
      <c r="AK44" s="58" t="s">
        <v>34</v>
      </c>
      <c r="AL44" s="58" t="s">
        <v>99</v>
      </c>
    </row>
    <row r="45" spans="1:38" s="53" customFormat="1" ht="15.75" customHeight="1">
      <c r="A45" s="58" t="s">
        <v>37</v>
      </c>
      <c r="B45" s="58" t="s">
        <v>100</v>
      </c>
      <c r="C45" s="65"/>
      <c r="D45" s="65"/>
      <c r="E45" s="65"/>
      <c r="F45" s="65"/>
      <c r="G45" s="65"/>
      <c r="H45" s="65"/>
      <c r="I45" s="65"/>
      <c r="J45" s="75"/>
      <c r="AK45" s="58" t="s">
        <v>37</v>
      </c>
      <c r="AL45" s="58" t="s">
        <v>100</v>
      </c>
    </row>
    <row r="46" spans="1:38" s="53" customFormat="1" ht="15.75" customHeight="1">
      <c r="A46" s="58" t="s">
        <v>101</v>
      </c>
      <c r="B46" s="61" t="s">
        <v>102</v>
      </c>
      <c r="C46" s="65"/>
      <c r="D46" s="65"/>
      <c r="E46" s="65"/>
      <c r="F46" s="65"/>
      <c r="G46" s="65"/>
      <c r="H46" s="65"/>
      <c r="I46" s="65"/>
      <c r="J46" s="75"/>
      <c r="AK46" s="58" t="s">
        <v>101</v>
      </c>
      <c r="AL46" s="61" t="s">
        <v>102</v>
      </c>
    </row>
    <row r="47" spans="1:38" s="53" customFormat="1" ht="15.75" customHeight="1">
      <c r="A47" s="58" t="s">
        <v>29</v>
      </c>
      <c r="B47" s="58" t="s">
        <v>103</v>
      </c>
      <c r="C47" s="136" t="e">
        <f>+(C10+C16)/C6</f>
        <v>#DIV/0!</v>
      </c>
      <c r="D47" s="136">
        <f t="shared" ref="D47:G47" si="18">+(D10+D16)/D6</f>
        <v>7.484615384615384E-2</v>
      </c>
      <c r="E47" s="136">
        <f t="shared" si="18"/>
        <v>8.3965853801635223E-2</v>
      </c>
      <c r="F47" s="136">
        <f t="shared" si="18"/>
        <v>8.8385109264879191E-2</v>
      </c>
      <c r="G47" s="136">
        <f t="shared" si="18"/>
        <v>9.3036957120925468E-2</v>
      </c>
      <c r="H47" s="136"/>
      <c r="I47" s="136">
        <f>+(I10+I16)/I6</f>
        <v>8.2347513452211474E-2</v>
      </c>
      <c r="J47" s="75"/>
      <c r="AK47" s="58" t="s">
        <v>29</v>
      </c>
      <c r="AL47" s="58" t="s">
        <v>103</v>
      </c>
    </row>
    <row r="48" spans="1:38" s="53" customFormat="1" ht="15.75" customHeight="1">
      <c r="A48" s="58" t="s">
        <v>31</v>
      </c>
      <c r="B48" s="58" t="s">
        <v>104</v>
      </c>
      <c r="C48" s="136" t="e">
        <f>+(C8+C9+C14)/C6</f>
        <v>#DIV/0!</v>
      </c>
      <c r="D48" s="136">
        <f t="shared" ref="D48:G48" si="19">+(D8+D9+D14)/D6</f>
        <v>0.13155633255633256</v>
      </c>
      <c r="E48" s="136">
        <f t="shared" si="19"/>
        <v>0.13133305115643637</v>
      </c>
      <c r="F48" s="136">
        <f t="shared" si="19"/>
        <v>0.13824531700677511</v>
      </c>
      <c r="G48" s="136">
        <f t="shared" si="19"/>
        <v>0.14552138632292119</v>
      </c>
      <c r="H48" s="136"/>
      <c r="I48" s="136">
        <f>+(I8+I9+I14)/I6</f>
        <v>0.13137267365503738</v>
      </c>
      <c r="J48" s="75"/>
      <c r="AK48" s="58" t="s">
        <v>31</v>
      </c>
      <c r="AL48" s="58" t="s">
        <v>104</v>
      </c>
    </row>
    <row r="49" spans="1:38" s="53" customFormat="1" ht="15.75" customHeight="1">
      <c r="A49" s="58" t="s">
        <v>81</v>
      </c>
      <c r="B49" s="58" t="s">
        <v>105</v>
      </c>
      <c r="C49" s="136" t="e">
        <f>+C17/C6</f>
        <v>#DIV/0!</v>
      </c>
      <c r="D49" s="136">
        <f t="shared" ref="D49:G49" si="20">+D17/D6</f>
        <v>2.7199999999999995E-2</v>
      </c>
      <c r="E49" s="136">
        <f t="shared" si="20"/>
        <v>2.7981304243968469E-2</v>
      </c>
      <c r="F49" s="136">
        <f t="shared" si="20"/>
        <v>2.8403060920874523E-2</v>
      </c>
      <c r="G49" s="136">
        <f t="shared" si="20"/>
        <v>2.8847015317617738E-2</v>
      </c>
      <c r="H49" s="136"/>
      <c r="I49" s="136">
        <f>+I17/I6</f>
        <v>2.7842657557195595E-2</v>
      </c>
      <c r="J49" s="75"/>
      <c r="AK49" s="58" t="s">
        <v>81</v>
      </c>
      <c r="AL49" s="58" t="s">
        <v>105</v>
      </c>
    </row>
    <row r="50" spans="1:38" s="53" customFormat="1" ht="15.75" customHeight="1">
      <c r="A50" s="58" t="s">
        <v>34</v>
      </c>
      <c r="B50" s="58" t="s">
        <v>106</v>
      </c>
      <c r="C50" s="136" t="e">
        <f>+C18/C6</f>
        <v>#DIV/0!</v>
      </c>
      <c r="D50" s="136">
        <f t="shared" ref="D50:G50" si="21">+D18/D6</f>
        <v>2.331002331002331E-3</v>
      </c>
      <c r="E50" s="136">
        <f t="shared" si="21"/>
        <v>5.028895193633419E-4</v>
      </c>
      <c r="F50" s="136">
        <f t="shared" si="21"/>
        <v>5.2935738880351775E-4</v>
      </c>
      <c r="G50" s="136">
        <f t="shared" si="21"/>
        <v>5.5721830400370302E-4</v>
      </c>
      <c r="H50" s="136"/>
      <c r="I50" s="136">
        <f>+I18/I6</f>
        <v>1.2409471184173788E-3</v>
      </c>
      <c r="J50" s="75"/>
      <c r="AK50" s="58" t="s">
        <v>34</v>
      </c>
      <c r="AL50" s="58" t="s">
        <v>106</v>
      </c>
    </row>
    <row r="51" spans="1:38" s="53" customFormat="1" ht="15.75" customHeight="1">
      <c r="A51" s="58" t="s">
        <v>37</v>
      </c>
      <c r="B51" s="58" t="s">
        <v>107</v>
      </c>
      <c r="C51" s="136" t="e">
        <f>+C19/C6</f>
        <v>#DIV/0!</v>
      </c>
      <c r="D51" s="136">
        <f t="shared" ref="D51:G51" si="22">+D19/D6</f>
        <v>3.5454545454545447E-2</v>
      </c>
      <c r="E51" s="136">
        <f t="shared" si="22"/>
        <v>3.8244747947582147E-2</v>
      </c>
      <c r="F51" s="136">
        <f t="shared" si="22"/>
        <v>4.0257629418507523E-2</v>
      </c>
      <c r="G51" s="136">
        <f t="shared" si="22"/>
        <v>4.2376452019481613E-2</v>
      </c>
      <c r="H51" s="136"/>
      <c r="I51" s="136">
        <f>+I19/I6</f>
        <v>3.7749611342256663E-2</v>
      </c>
      <c r="J51" s="75"/>
      <c r="AK51" s="58" t="s">
        <v>37</v>
      </c>
      <c r="AL51" s="58" t="s">
        <v>107</v>
      </c>
    </row>
    <row r="52" spans="1:38" s="53" customFormat="1" ht="15.75" customHeight="1">
      <c r="A52" s="58" t="s">
        <v>40</v>
      </c>
      <c r="B52" s="58" t="s">
        <v>108</v>
      </c>
      <c r="C52" s="136" t="e">
        <f>+C23/C6</f>
        <v>#DIV/0!</v>
      </c>
      <c r="D52" s="136">
        <f t="shared" ref="D52:G52" si="23">+D23/D6</f>
        <v>0.11334708624708623</v>
      </c>
      <c r="E52" s="136">
        <f t="shared" si="23"/>
        <v>5.4387605868720677E-2</v>
      </c>
      <c r="F52" s="136">
        <f t="shared" si="23"/>
        <v>1.7745512229368786E-2</v>
      </c>
      <c r="G52" s="136">
        <f t="shared" si="23"/>
        <v>-2.964588783652938E-2</v>
      </c>
      <c r="H52" s="136"/>
      <c r="I52" s="136">
        <f>+I23/I6</f>
        <v>6.4540049500001737E-2</v>
      </c>
      <c r="J52" s="75"/>
      <c r="AK52" s="58" t="s">
        <v>40</v>
      </c>
      <c r="AL52" s="58" t="s">
        <v>109</v>
      </c>
    </row>
    <row r="53" spans="1:38" s="53" customFormat="1" ht="15.75" customHeight="1">
      <c r="A53" s="58" t="s">
        <v>110</v>
      </c>
      <c r="B53" s="61" t="s">
        <v>111</v>
      </c>
      <c r="C53" s="65" t="e">
        <f>+C21/C3</f>
        <v>#DIV/0!</v>
      </c>
      <c r="D53" s="65">
        <f t="shared" ref="D53:G53" si="24">+D21/D3</f>
        <v>194.50360000000001</v>
      </c>
      <c r="E53" s="65">
        <f t="shared" si="24"/>
        <v>86.520166000000003</v>
      </c>
      <c r="F53" s="65">
        <f t="shared" si="24"/>
        <v>28.056107699999995</v>
      </c>
      <c r="G53" s="65">
        <f t="shared" si="24"/>
        <v>-27.484747685000169</v>
      </c>
      <c r="H53" s="65"/>
      <c r="I53" s="65">
        <f>+I21/I3</f>
        <v>104.01740500000001</v>
      </c>
      <c r="J53" s="75"/>
      <c r="AK53" s="58" t="s">
        <v>110</v>
      </c>
      <c r="AL53" s="61" t="s">
        <v>111</v>
      </c>
    </row>
    <row r="54" spans="1:38" s="53" customFormat="1" ht="15.75" customHeight="1">
      <c r="A54" s="58" t="s">
        <v>112</v>
      </c>
      <c r="B54" s="137" t="s">
        <v>113</v>
      </c>
      <c r="C54" s="65"/>
      <c r="D54" s="65"/>
      <c r="E54" s="65"/>
      <c r="F54" s="65"/>
      <c r="G54" s="65"/>
      <c r="H54" s="65"/>
      <c r="I54" s="65"/>
      <c r="J54" s="75"/>
      <c r="AK54" s="58"/>
      <c r="AL54" s="61"/>
    </row>
    <row r="55" spans="1:38" s="53" customFormat="1" ht="15.75" customHeight="1">
      <c r="A55" s="58" t="s">
        <v>29</v>
      </c>
      <c r="B55" s="58" t="s">
        <v>114</v>
      </c>
      <c r="C55" s="65">
        <f>C56+C57</f>
        <v>2730000</v>
      </c>
      <c r="D55" s="65"/>
      <c r="E55" s="65"/>
      <c r="F55" s="65"/>
      <c r="G55" s="65"/>
      <c r="H55" s="65"/>
      <c r="I55" s="65"/>
      <c r="J55" s="75"/>
    </row>
    <row r="56" spans="1:38" s="53" customFormat="1" ht="15.75" customHeight="1">
      <c r="A56" s="58">
        <v>1.1000000000000001</v>
      </c>
      <c r="B56" s="138" t="s">
        <v>115</v>
      </c>
      <c r="C56" s="65">
        <f>项目投资!B27</f>
        <v>300000</v>
      </c>
      <c r="D56" s="65"/>
      <c r="E56" s="65"/>
      <c r="F56" s="65"/>
      <c r="G56" s="65"/>
      <c r="H56" s="65"/>
      <c r="I56" s="65"/>
      <c r="J56" s="75"/>
    </row>
    <row r="57" spans="1:38" s="53" customFormat="1" ht="15.75" customHeight="1">
      <c r="A57" s="58">
        <v>1.2</v>
      </c>
      <c r="B57" s="58" t="s">
        <v>116</v>
      </c>
      <c r="C57" s="65">
        <f>项目投资!B26</f>
        <v>2430000</v>
      </c>
      <c r="D57" s="65"/>
      <c r="E57" s="65"/>
      <c r="F57" s="65"/>
      <c r="G57" s="65"/>
      <c r="H57" s="65"/>
      <c r="I57" s="65"/>
      <c r="J57" s="75"/>
    </row>
    <row r="58" spans="1:38" ht="15.75" customHeight="1">
      <c r="A58" s="125" t="s">
        <v>31</v>
      </c>
      <c r="B58" s="125" t="s">
        <v>117</v>
      </c>
      <c r="C58" s="139">
        <f t="shared" ref="C58:G58" si="25">C59+C60</f>
        <v>401700</v>
      </c>
      <c r="D58" s="139">
        <f t="shared" si="25"/>
        <v>3379253.9999999995</v>
      </c>
      <c r="E58" s="139">
        <f t="shared" si="25"/>
        <v>6950712.4499999983</v>
      </c>
      <c r="F58" s="139">
        <f t="shared" si="25"/>
        <v>2473064.6399999992</v>
      </c>
      <c r="G58" s="139">
        <f t="shared" si="25"/>
        <v>-2730501.794900015</v>
      </c>
      <c r="H58" s="139"/>
      <c r="I58" s="139">
        <f t="shared" ref="I58" si="26">I59+I60</f>
        <v>11670066.450000001</v>
      </c>
      <c r="J58" s="75"/>
    </row>
    <row r="59" spans="1:38" ht="15.75" customHeight="1">
      <c r="A59" s="125" t="s">
        <v>81</v>
      </c>
      <c r="B59" s="125" t="s">
        <v>118</v>
      </c>
      <c r="C59" s="139">
        <f t="shared" ref="C59:G59" si="27">C23</f>
        <v>-60000</v>
      </c>
      <c r="D59" s="139">
        <f t="shared" si="27"/>
        <v>2917553.9999999995</v>
      </c>
      <c r="E59" s="139">
        <f t="shared" si="27"/>
        <v>6489012.4499999983</v>
      </c>
      <c r="F59" s="139">
        <f t="shared" si="27"/>
        <v>2011364.6399999992</v>
      </c>
      <c r="G59" s="139">
        <f t="shared" si="27"/>
        <v>-3192201.794900015</v>
      </c>
      <c r="H59" s="139"/>
      <c r="I59" s="139">
        <f t="shared" ref="I59" si="28">I23</f>
        <v>9361566.4500000011</v>
      </c>
      <c r="J59" s="75"/>
    </row>
    <row r="60" spans="1:38" ht="15.75" customHeight="1">
      <c r="A60" s="125" t="s">
        <v>34</v>
      </c>
      <c r="B60" s="125" t="s">
        <v>119</v>
      </c>
      <c r="C60" s="139">
        <f>'2021年'!H18</f>
        <v>461700</v>
      </c>
      <c r="D60" s="139">
        <f>'2022年'!H18</f>
        <v>461700</v>
      </c>
      <c r="E60" s="139">
        <f>'2023年'!H18</f>
        <v>461700</v>
      </c>
      <c r="F60" s="139">
        <f>'2024年'!H18</f>
        <v>461700</v>
      </c>
      <c r="G60" s="139">
        <f>'2025年'!H18</f>
        <v>461700</v>
      </c>
      <c r="H60" s="139"/>
      <c r="I60" s="139">
        <f>项目投资!I26</f>
        <v>2308500</v>
      </c>
      <c r="J60" s="75"/>
    </row>
    <row r="61" spans="1:38" ht="15.75" customHeight="1">
      <c r="A61" s="125" t="s">
        <v>37</v>
      </c>
      <c r="B61" s="125" t="s">
        <v>120</v>
      </c>
      <c r="C61" s="140"/>
      <c r="D61" s="140"/>
      <c r="E61" s="140"/>
      <c r="F61" s="140"/>
      <c r="G61" s="140"/>
      <c r="H61" s="140"/>
      <c r="I61" s="139"/>
      <c r="J61" s="75"/>
    </row>
  </sheetData>
  <mergeCells count="2">
    <mergeCell ref="A1:I1"/>
    <mergeCell ref="A2:A3"/>
  </mergeCells>
  <phoneticPr fontId="39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9" customWidth="1"/>
    <col min="2" max="2" width="28.5" style="79" customWidth="1"/>
    <col min="3" max="4" width="9.125" style="79"/>
    <col min="5" max="5" width="13.875" style="79" customWidth="1"/>
    <col min="6" max="12" width="16.125" style="79" customWidth="1"/>
    <col min="13" max="13" width="10.625" style="79" customWidth="1"/>
    <col min="14" max="254" width="9.125" style="79"/>
    <col min="255" max="255" width="8" style="79" customWidth="1"/>
    <col min="256" max="256" width="28.5" style="79" customWidth="1"/>
    <col min="257" max="268" width="9.125" style="79"/>
    <col min="269" max="269" width="10.625" style="79" customWidth="1"/>
    <col min="270" max="510" width="9.125" style="79"/>
    <col min="511" max="511" width="8" style="79" customWidth="1"/>
    <col min="512" max="512" width="28.5" style="79" customWidth="1"/>
    <col min="513" max="524" width="9.125" style="79"/>
    <col min="525" max="525" width="10.625" style="79" customWidth="1"/>
    <col min="526" max="766" width="9.125" style="79"/>
    <col min="767" max="767" width="8" style="79" customWidth="1"/>
    <col min="768" max="768" width="28.5" style="79" customWidth="1"/>
    <col min="769" max="780" width="9.125" style="79"/>
    <col min="781" max="781" width="10.625" style="79" customWidth="1"/>
    <col min="782" max="1022" width="9.125" style="79"/>
    <col min="1023" max="1023" width="8" style="79" customWidth="1"/>
    <col min="1024" max="1024" width="28.5" style="79" customWidth="1"/>
    <col min="1025" max="1036" width="9.125" style="79"/>
    <col min="1037" max="1037" width="10.625" style="79" customWidth="1"/>
    <col min="1038" max="1278" width="9.125" style="79"/>
    <col min="1279" max="1279" width="8" style="79" customWidth="1"/>
    <col min="1280" max="1280" width="28.5" style="79" customWidth="1"/>
    <col min="1281" max="1292" width="9.125" style="79"/>
    <col min="1293" max="1293" width="10.625" style="79" customWidth="1"/>
    <col min="1294" max="1534" width="9.125" style="79"/>
    <col min="1535" max="1535" width="8" style="79" customWidth="1"/>
    <col min="1536" max="1536" width="28.5" style="79" customWidth="1"/>
    <col min="1537" max="1548" width="9.125" style="79"/>
    <col min="1549" max="1549" width="10.625" style="79" customWidth="1"/>
    <col min="1550" max="1790" width="9.125" style="79"/>
    <col min="1791" max="1791" width="8" style="79" customWidth="1"/>
    <col min="1792" max="1792" width="28.5" style="79" customWidth="1"/>
    <col min="1793" max="1804" width="9.125" style="79"/>
    <col min="1805" max="1805" width="10.625" style="79" customWidth="1"/>
    <col min="1806" max="2046" width="9.125" style="79"/>
    <col min="2047" max="2047" width="8" style="79" customWidth="1"/>
    <col min="2048" max="2048" width="28.5" style="79" customWidth="1"/>
    <col min="2049" max="2060" width="9.125" style="79"/>
    <col min="2061" max="2061" width="10.625" style="79" customWidth="1"/>
    <col min="2062" max="2302" width="9.125" style="79"/>
    <col min="2303" max="2303" width="8" style="79" customWidth="1"/>
    <col min="2304" max="2304" width="28.5" style="79" customWidth="1"/>
    <col min="2305" max="2316" width="9.125" style="79"/>
    <col min="2317" max="2317" width="10.625" style="79" customWidth="1"/>
    <col min="2318" max="2558" width="9.125" style="79"/>
    <col min="2559" max="2559" width="8" style="79" customWidth="1"/>
    <col min="2560" max="2560" width="28.5" style="79" customWidth="1"/>
    <col min="2561" max="2572" width="9.125" style="79"/>
    <col min="2573" max="2573" width="10.625" style="79" customWidth="1"/>
    <col min="2574" max="2814" width="9.125" style="79"/>
    <col min="2815" max="2815" width="8" style="79" customWidth="1"/>
    <col min="2816" max="2816" width="28.5" style="79" customWidth="1"/>
    <col min="2817" max="2828" width="9.125" style="79"/>
    <col min="2829" max="2829" width="10.625" style="79" customWidth="1"/>
    <col min="2830" max="3070" width="9.125" style="79"/>
    <col min="3071" max="3071" width="8" style="79" customWidth="1"/>
    <col min="3072" max="3072" width="28.5" style="79" customWidth="1"/>
    <col min="3073" max="3084" width="9.125" style="79"/>
    <col min="3085" max="3085" width="10.625" style="79" customWidth="1"/>
    <col min="3086" max="3326" width="9.125" style="79"/>
    <col min="3327" max="3327" width="8" style="79" customWidth="1"/>
    <col min="3328" max="3328" width="28.5" style="79" customWidth="1"/>
    <col min="3329" max="3340" width="9.125" style="79"/>
    <col min="3341" max="3341" width="10.625" style="79" customWidth="1"/>
    <col min="3342" max="3582" width="9.125" style="79"/>
    <col min="3583" max="3583" width="8" style="79" customWidth="1"/>
    <col min="3584" max="3584" width="28.5" style="79" customWidth="1"/>
    <col min="3585" max="3596" width="9.125" style="79"/>
    <col min="3597" max="3597" width="10.625" style="79" customWidth="1"/>
    <col min="3598" max="3838" width="9.125" style="79"/>
    <col min="3839" max="3839" width="8" style="79" customWidth="1"/>
    <col min="3840" max="3840" width="28.5" style="79" customWidth="1"/>
    <col min="3841" max="3852" width="9.125" style="79"/>
    <col min="3853" max="3853" width="10.625" style="79" customWidth="1"/>
    <col min="3854" max="4094" width="9.125" style="79"/>
    <col min="4095" max="4095" width="8" style="79" customWidth="1"/>
    <col min="4096" max="4096" width="28.5" style="79" customWidth="1"/>
    <col min="4097" max="4108" width="9.125" style="79"/>
    <col min="4109" max="4109" width="10.625" style="79" customWidth="1"/>
    <col min="4110" max="4350" width="9.125" style="79"/>
    <col min="4351" max="4351" width="8" style="79" customWidth="1"/>
    <col min="4352" max="4352" width="28.5" style="79" customWidth="1"/>
    <col min="4353" max="4364" width="9.125" style="79"/>
    <col min="4365" max="4365" width="10.625" style="79" customWidth="1"/>
    <col min="4366" max="4606" width="9.125" style="79"/>
    <col min="4607" max="4607" width="8" style="79" customWidth="1"/>
    <col min="4608" max="4608" width="28.5" style="79" customWidth="1"/>
    <col min="4609" max="4620" width="9.125" style="79"/>
    <col min="4621" max="4621" width="10.625" style="79" customWidth="1"/>
    <col min="4622" max="4862" width="9.125" style="79"/>
    <col min="4863" max="4863" width="8" style="79" customWidth="1"/>
    <col min="4864" max="4864" width="28.5" style="79" customWidth="1"/>
    <col min="4865" max="4876" width="9.125" style="79"/>
    <col min="4877" max="4877" width="10.625" style="79" customWidth="1"/>
    <col min="4878" max="5118" width="9.125" style="79"/>
    <col min="5119" max="5119" width="8" style="79" customWidth="1"/>
    <col min="5120" max="5120" width="28.5" style="79" customWidth="1"/>
    <col min="5121" max="5132" width="9.125" style="79"/>
    <col min="5133" max="5133" width="10.625" style="79" customWidth="1"/>
    <col min="5134" max="5374" width="9.125" style="79"/>
    <col min="5375" max="5375" width="8" style="79" customWidth="1"/>
    <col min="5376" max="5376" width="28.5" style="79" customWidth="1"/>
    <col min="5377" max="5388" width="9.125" style="79"/>
    <col min="5389" max="5389" width="10.625" style="79" customWidth="1"/>
    <col min="5390" max="5630" width="9.125" style="79"/>
    <col min="5631" max="5631" width="8" style="79" customWidth="1"/>
    <col min="5632" max="5632" width="28.5" style="79" customWidth="1"/>
    <col min="5633" max="5644" width="9.125" style="79"/>
    <col min="5645" max="5645" width="10.625" style="79" customWidth="1"/>
    <col min="5646" max="5886" width="9.125" style="79"/>
    <col min="5887" max="5887" width="8" style="79" customWidth="1"/>
    <col min="5888" max="5888" width="28.5" style="79" customWidth="1"/>
    <col min="5889" max="5900" width="9.125" style="79"/>
    <col min="5901" max="5901" width="10.625" style="79" customWidth="1"/>
    <col min="5902" max="6142" width="9.125" style="79"/>
    <col min="6143" max="6143" width="8" style="79" customWidth="1"/>
    <col min="6144" max="6144" width="28.5" style="79" customWidth="1"/>
    <col min="6145" max="6156" width="9.125" style="79"/>
    <col min="6157" max="6157" width="10.625" style="79" customWidth="1"/>
    <col min="6158" max="6398" width="9.125" style="79"/>
    <col min="6399" max="6399" width="8" style="79" customWidth="1"/>
    <col min="6400" max="6400" width="28.5" style="79" customWidth="1"/>
    <col min="6401" max="6412" width="9.125" style="79"/>
    <col min="6413" max="6413" width="10.625" style="79" customWidth="1"/>
    <col min="6414" max="6654" width="9.125" style="79"/>
    <col min="6655" max="6655" width="8" style="79" customWidth="1"/>
    <col min="6656" max="6656" width="28.5" style="79" customWidth="1"/>
    <col min="6657" max="6668" width="9.125" style="79"/>
    <col min="6669" max="6669" width="10.625" style="79" customWidth="1"/>
    <col min="6670" max="6910" width="9.125" style="79"/>
    <col min="6911" max="6911" width="8" style="79" customWidth="1"/>
    <col min="6912" max="6912" width="28.5" style="79" customWidth="1"/>
    <col min="6913" max="6924" width="9.125" style="79"/>
    <col min="6925" max="6925" width="10.625" style="79" customWidth="1"/>
    <col min="6926" max="7166" width="9.125" style="79"/>
    <col min="7167" max="7167" width="8" style="79" customWidth="1"/>
    <col min="7168" max="7168" width="28.5" style="79" customWidth="1"/>
    <col min="7169" max="7180" width="9.125" style="79"/>
    <col min="7181" max="7181" width="10.625" style="79" customWidth="1"/>
    <col min="7182" max="7422" width="9.125" style="79"/>
    <col min="7423" max="7423" width="8" style="79" customWidth="1"/>
    <col min="7424" max="7424" width="28.5" style="79" customWidth="1"/>
    <col min="7425" max="7436" width="9.125" style="79"/>
    <col min="7437" max="7437" width="10.625" style="79" customWidth="1"/>
    <col min="7438" max="7678" width="9.125" style="79"/>
    <col min="7679" max="7679" width="8" style="79" customWidth="1"/>
    <col min="7680" max="7680" width="28.5" style="79" customWidth="1"/>
    <col min="7681" max="7692" width="9.125" style="79"/>
    <col min="7693" max="7693" width="10.625" style="79" customWidth="1"/>
    <col min="7694" max="7934" width="9.125" style="79"/>
    <col min="7935" max="7935" width="8" style="79" customWidth="1"/>
    <col min="7936" max="7936" width="28.5" style="79" customWidth="1"/>
    <col min="7937" max="7948" width="9.125" style="79"/>
    <col min="7949" max="7949" width="10.625" style="79" customWidth="1"/>
    <col min="7950" max="8190" width="9.125" style="79"/>
    <col min="8191" max="8191" width="8" style="79" customWidth="1"/>
    <col min="8192" max="8192" width="28.5" style="79" customWidth="1"/>
    <col min="8193" max="8204" width="9.125" style="79"/>
    <col min="8205" max="8205" width="10.625" style="79" customWidth="1"/>
    <col min="8206" max="8446" width="9.125" style="79"/>
    <col min="8447" max="8447" width="8" style="79" customWidth="1"/>
    <col min="8448" max="8448" width="28.5" style="79" customWidth="1"/>
    <col min="8449" max="8460" width="9.125" style="79"/>
    <col min="8461" max="8461" width="10.625" style="79" customWidth="1"/>
    <col min="8462" max="8702" width="9.125" style="79"/>
    <col min="8703" max="8703" width="8" style="79" customWidth="1"/>
    <col min="8704" max="8704" width="28.5" style="79" customWidth="1"/>
    <col min="8705" max="8716" width="9.125" style="79"/>
    <col min="8717" max="8717" width="10.625" style="79" customWidth="1"/>
    <col min="8718" max="8958" width="9.125" style="79"/>
    <col min="8959" max="8959" width="8" style="79" customWidth="1"/>
    <col min="8960" max="8960" width="28.5" style="79" customWidth="1"/>
    <col min="8961" max="8972" width="9.125" style="79"/>
    <col min="8973" max="8973" width="10.625" style="79" customWidth="1"/>
    <col min="8974" max="9214" width="9.125" style="79"/>
    <col min="9215" max="9215" width="8" style="79" customWidth="1"/>
    <col min="9216" max="9216" width="28.5" style="79" customWidth="1"/>
    <col min="9217" max="9228" width="9.125" style="79"/>
    <col min="9229" max="9229" width="10.625" style="79" customWidth="1"/>
    <col min="9230" max="9470" width="9.125" style="79"/>
    <col min="9471" max="9471" width="8" style="79" customWidth="1"/>
    <col min="9472" max="9472" width="28.5" style="79" customWidth="1"/>
    <col min="9473" max="9484" width="9.125" style="79"/>
    <col min="9485" max="9485" width="10.625" style="79" customWidth="1"/>
    <col min="9486" max="9726" width="9.125" style="79"/>
    <col min="9727" max="9727" width="8" style="79" customWidth="1"/>
    <col min="9728" max="9728" width="28.5" style="79" customWidth="1"/>
    <col min="9729" max="9740" width="9.125" style="79"/>
    <col min="9741" max="9741" width="10.625" style="79" customWidth="1"/>
    <col min="9742" max="9982" width="9.125" style="79"/>
    <col min="9983" max="9983" width="8" style="79" customWidth="1"/>
    <col min="9984" max="9984" width="28.5" style="79" customWidth="1"/>
    <col min="9985" max="9996" width="9.125" style="79"/>
    <col min="9997" max="9997" width="10.625" style="79" customWidth="1"/>
    <col min="9998" max="10238" width="9.125" style="79"/>
    <col min="10239" max="10239" width="8" style="79" customWidth="1"/>
    <col min="10240" max="10240" width="28.5" style="79" customWidth="1"/>
    <col min="10241" max="10252" width="9.125" style="79"/>
    <col min="10253" max="10253" width="10.625" style="79" customWidth="1"/>
    <col min="10254" max="10494" width="9.125" style="79"/>
    <col min="10495" max="10495" width="8" style="79" customWidth="1"/>
    <col min="10496" max="10496" width="28.5" style="79" customWidth="1"/>
    <col min="10497" max="10508" width="9.125" style="79"/>
    <col min="10509" max="10509" width="10.625" style="79" customWidth="1"/>
    <col min="10510" max="10750" width="9.125" style="79"/>
    <col min="10751" max="10751" width="8" style="79" customWidth="1"/>
    <col min="10752" max="10752" width="28.5" style="79" customWidth="1"/>
    <col min="10753" max="10764" width="9.125" style="79"/>
    <col min="10765" max="10765" width="10.625" style="79" customWidth="1"/>
    <col min="10766" max="11006" width="9.125" style="79"/>
    <col min="11007" max="11007" width="8" style="79" customWidth="1"/>
    <col min="11008" max="11008" width="28.5" style="79" customWidth="1"/>
    <col min="11009" max="11020" width="9.125" style="79"/>
    <col min="11021" max="11021" width="10.625" style="79" customWidth="1"/>
    <col min="11022" max="11262" width="9.125" style="79"/>
    <col min="11263" max="11263" width="8" style="79" customWidth="1"/>
    <col min="11264" max="11264" width="28.5" style="79" customWidth="1"/>
    <col min="11265" max="11276" width="9.125" style="79"/>
    <col min="11277" max="11277" width="10.625" style="79" customWidth="1"/>
    <col min="11278" max="11518" width="9.125" style="79"/>
    <col min="11519" max="11519" width="8" style="79" customWidth="1"/>
    <col min="11520" max="11520" width="28.5" style="79" customWidth="1"/>
    <col min="11521" max="11532" width="9.125" style="79"/>
    <col min="11533" max="11533" width="10.625" style="79" customWidth="1"/>
    <col min="11534" max="11774" width="9.125" style="79"/>
    <col min="11775" max="11775" width="8" style="79" customWidth="1"/>
    <col min="11776" max="11776" width="28.5" style="79" customWidth="1"/>
    <col min="11777" max="11788" width="9.125" style="79"/>
    <col min="11789" max="11789" width="10.625" style="79" customWidth="1"/>
    <col min="11790" max="12030" width="9.125" style="79"/>
    <col min="12031" max="12031" width="8" style="79" customWidth="1"/>
    <col min="12032" max="12032" width="28.5" style="79" customWidth="1"/>
    <col min="12033" max="12044" width="9.125" style="79"/>
    <col min="12045" max="12045" width="10.625" style="79" customWidth="1"/>
    <col min="12046" max="12286" width="9.125" style="79"/>
    <col min="12287" max="12287" width="8" style="79" customWidth="1"/>
    <col min="12288" max="12288" width="28.5" style="79" customWidth="1"/>
    <col min="12289" max="12300" width="9.125" style="79"/>
    <col min="12301" max="12301" width="10.625" style="79" customWidth="1"/>
    <col min="12302" max="12542" width="9.125" style="79"/>
    <col min="12543" max="12543" width="8" style="79" customWidth="1"/>
    <col min="12544" max="12544" width="28.5" style="79" customWidth="1"/>
    <col min="12545" max="12556" width="9.125" style="79"/>
    <col min="12557" max="12557" width="10.625" style="79" customWidth="1"/>
    <col min="12558" max="12798" width="9.125" style="79"/>
    <col min="12799" max="12799" width="8" style="79" customWidth="1"/>
    <col min="12800" max="12800" width="28.5" style="79" customWidth="1"/>
    <col min="12801" max="12812" width="9.125" style="79"/>
    <col min="12813" max="12813" width="10.625" style="79" customWidth="1"/>
    <col min="12814" max="13054" width="9.125" style="79"/>
    <col min="13055" max="13055" width="8" style="79" customWidth="1"/>
    <col min="13056" max="13056" width="28.5" style="79" customWidth="1"/>
    <col min="13057" max="13068" width="9.125" style="79"/>
    <col min="13069" max="13069" width="10.625" style="79" customWidth="1"/>
    <col min="13070" max="13310" width="9.125" style="79"/>
    <col min="13311" max="13311" width="8" style="79" customWidth="1"/>
    <col min="13312" max="13312" width="28.5" style="79" customWidth="1"/>
    <col min="13313" max="13324" width="9.125" style="79"/>
    <col min="13325" max="13325" width="10.625" style="79" customWidth="1"/>
    <col min="13326" max="13566" width="9.125" style="79"/>
    <col min="13567" max="13567" width="8" style="79" customWidth="1"/>
    <col min="13568" max="13568" width="28.5" style="79" customWidth="1"/>
    <col min="13569" max="13580" width="9.125" style="79"/>
    <col min="13581" max="13581" width="10.625" style="79" customWidth="1"/>
    <col min="13582" max="13822" width="9.125" style="79"/>
    <col min="13823" max="13823" width="8" style="79" customWidth="1"/>
    <col min="13824" max="13824" width="28.5" style="79" customWidth="1"/>
    <col min="13825" max="13836" width="9.125" style="79"/>
    <col min="13837" max="13837" width="10.625" style="79" customWidth="1"/>
    <col min="13838" max="14078" width="9.125" style="79"/>
    <col min="14079" max="14079" width="8" style="79" customWidth="1"/>
    <col min="14080" max="14080" width="28.5" style="79" customWidth="1"/>
    <col min="14081" max="14092" width="9.125" style="79"/>
    <col min="14093" max="14093" width="10.625" style="79" customWidth="1"/>
    <col min="14094" max="14334" width="9.125" style="79"/>
    <col min="14335" max="14335" width="8" style="79" customWidth="1"/>
    <col min="14336" max="14336" width="28.5" style="79" customWidth="1"/>
    <col min="14337" max="14348" width="9.125" style="79"/>
    <col min="14349" max="14349" width="10.625" style="79" customWidth="1"/>
    <col min="14350" max="14590" width="9.125" style="79"/>
    <col min="14591" max="14591" width="8" style="79" customWidth="1"/>
    <col min="14592" max="14592" width="28.5" style="79" customWidth="1"/>
    <col min="14593" max="14604" width="9.125" style="79"/>
    <col min="14605" max="14605" width="10.625" style="79" customWidth="1"/>
    <col min="14606" max="14846" width="9.125" style="79"/>
    <col min="14847" max="14847" width="8" style="79" customWidth="1"/>
    <col min="14848" max="14848" width="28.5" style="79" customWidth="1"/>
    <col min="14849" max="14860" width="9.125" style="79"/>
    <col min="14861" max="14861" width="10.625" style="79" customWidth="1"/>
    <col min="14862" max="15102" width="9.125" style="79"/>
    <col min="15103" max="15103" width="8" style="79" customWidth="1"/>
    <col min="15104" max="15104" width="28.5" style="79" customWidth="1"/>
    <col min="15105" max="15116" width="9.125" style="79"/>
    <col min="15117" max="15117" width="10.625" style="79" customWidth="1"/>
    <col min="15118" max="15358" width="9.125" style="79"/>
    <col min="15359" max="15359" width="8" style="79" customWidth="1"/>
    <col min="15360" max="15360" width="28.5" style="79" customWidth="1"/>
    <col min="15361" max="15372" width="9.125" style="79"/>
    <col min="15373" max="15373" width="10.625" style="79" customWidth="1"/>
    <col min="15374" max="15614" width="9.125" style="79"/>
    <col min="15615" max="15615" width="8" style="79" customWidth="1"/>
    <col min="15616" max="15616" width="28.5" style="79" customWidth="1"/>
    <col min="15617" max="15628" width="9.125" style="79"/>
    <col min="15629" max="15629" width="10.625" style="79" customWidth="1"/>
    <col min="15630" max="15870" width="9.125" style="79"/>
    <col min="15871" max="15871" width="8" style="79" customWidth="1"/>
    <col min="15872" max="15872" width="28.5" style="79" customWidth="1"/>
    <col min="15873" max="15884" width="9.125" style="79"/>
    <col min="15885" max="15885" width="10.625" style="79" customWidth="1"/>
    <col min="15886" max="16126" width="9.125" style="79"/>
    <col min="16127" max="16127" width="8" style="79" customWidth="1"/>
    <col min="16128" max="16128" width="28.5" style="79" customWidth="1"/>
    <col min="16129" max="16140" width="9.125" style="79"/>
    <col min="16141" max="16141" width="10.625" style="79" customWidth="1"/>
    <col min="16142" max="16384" width="9.125" style="79"/>
  </cols>
  <sheetData>
    <row r="1" spans="1:13" ht="18.75">
      <c r="A1" s="80" t="s">
        <v>121</v>
      </c>
      <c r="B1" s="81"/>
      <c r="C1" s="82"/>
      <c r="D1" s="82"/>
      <c r="E1" s="81"/>
      <c r="F1" s="82"/>
      <c r="G1" s="82"/>
      <c r="H1" s="81"/>
      <c r="I1" s="82"/>
      <c r="J1" s="82"/>
      <c r="K1" s="82"/>
      <c r="L1" s="82"/>
      <c r="M1" s="82"/>
    </row>
    <row r="2" spans="1:13" ht="12">
      <c r="A2" s="79" t="s">
        <v>122</v>
      </c>
      <c r="B2" s="83"/>
    </row>
    <row r="3" spans="1:13" ht="16.899999999999999" customHeight="1">
      <c r="A3" s="84" t="s">
        <v>19</v>
      </c>
      <c r="B3" s="84" t="s">
        <v>123</v>
      </c>
      <c r="C3" s="196" t="s">
        <v>124</v>
      </c>
      <c r="D3" s="196"/>
      <c r="E3" s="196"/>
      <c r="F3" s="86"/>
      <c r="G3" s="87"/>
      <c r="H3" s="88"/>
      <c r="I3" s="88"/>
      <c r="J3" s="88" t="s">
        <v>125</v>
      </c>
      <c r="K3" s="88"/>
      <c r="L3" s="88"/>
      <c r="M3" s="109"/>
    </row>
    <row r="4" spans="1:13" ht="16.149999999999999" customHeight="1">
      <c r="A4" s="89"/>
      <c r="B4" s="89" t="s">
        <v>126</v>
      </c>
      <c r="C4" s="85">
        <v>2017</v>
      </c>
      <c r="D4" s="85">
        <f t="shared" ref="D4:L4" si="0">C4+1</f>
        <v>2018</v>
      </c>
      <c r="E4" s="85">
        <f t="shared" si="0"/>
        <v>2019</v>
      </c>
      <c r="F4" s="85">
        <f t="shared" si="0"/>
        <v>2020</v>
      </c>
      <c r="G4" s="85">
        <f t="shared" si="0"/>
        <v>2021</v>
      </c>
      <c r="H4" s="90">
        <f t="shared" si="0"/>
        <v>2022</v>
      </c>
      <c r="I4" s="90">
        <f t="shared" si="0"/>
        <v>2023</v>
      </c>
      <c r="J4" s="90">
        <f t="shared" si="0"/>
        <v>2024</v>
      </c>
      <c r="K4" s="90">
        <f t="shared" si="0"/>
        <v>2025</v>
      </c>
      <c r="L4" s="90">
        <f t="shared" si="0"/>
        <v>2026</v>
      </c>
      <c r="M4" s="110" t="s">
        <v>127</v>
      </c>
    </row>
    <row r="5" spans="1:13" ht="15.6" customHeight="1">
      <c r="A5" s="91">
        <v>1</v>
      </c>
      <c r="B5" s="92" t="s">
        <v>128</v>
      </c>
      <c r="C5" s="93">
        <f>SUM(C6:C9)</f>
        <v>0</v>
      </c>
      <c r="D5" s="93">
        <f t="shared" ref="D5:L5" si="1">SUM(D6:D9)</f>
        <v>0</v>
      </c>
      <c r="E5" s="93" t="e">
        <f t="shared" si="1"/>
        <v>#REF!</v>
      </c>
      <c r="F5" s="93">
        <f t="shared" si="1"/>
        <v>0</v>
      </c>
      <c r="G5" s="93">
        <f t="shared" si="1"/>
        <v>25740000</v>
      </c>
      <c r="H5" s="93">
        <f t="shared" si="1"/>
        <v>132200000</v>
      </c>
      <c r="I5" s="93" t="e">
        <f t="shared" si="1"/>
        <v>#REF!</v>
      </c>
      <c r="J5" s="93" t="e">
        <f t="shared" si="1"/>
        <v>#REF!</v>
      </c>
      <c r="K5" s="93" t="e">
        <f t="shared" si="1"/>
        <v>#REF!</v>
      </c>
      <c r="L5" s="93">
        <f t="shared" si="1"/>
        <v>157940000</v>
      </c>
      <c r="M5" s="97" t="e">
        <f t="shared" ref="M5:M17" si="2">SUM(C5:L5)</f>
        <v>#REF!</v>
      </c>
    </row>
    <row r="6" spans="1:13" ht="15.6" customHeight="1">
      <c r="A6" s="91">
        <v>1.1000000000000001</v>
      </c>
      <c r="B6" s="94" t="s">
        <v>129</v>
      </c>
      <c r="C6" s="95"/>
      <c r="D6" s="95"/>
      <c r="E6" s="95" t="e">
        <f>损益表!#REF!</f>
        <v>#REF!</v>
      </c>
      <c r="F6" s="95">
        <f>损益表!C4</f>
        <v>0</v>
      </c>
      <c r="G6" s="95">
        <f>损益表!D4</f>
        <v>25740000</v>
      </c>
      <c r="H6" s="95">
        <f>损益表!E4</f>
        <v>132200000</v>
      </c>
      <c r="I6" s="95" t="e">
        <f>损益表!#REF!</f>
        <v>#REF!</v>
      </c>
      <c r="J6" s="95" t="e">
        <f>损益表!#REF!</f>
        <v>#REF!</v>
      </c>
      <c r="K6" s="95" t="e">
        <f>损益表!#REF!</f>
        <v>#REF!</v>
      </c>
      <c r="L6" s="95">
        <f>损益表!I4</f>
        <v>157940000</v>
      </c>
      <c r="M6" s="97" t="e">
        <f t="shared" si="2"/>
        <v>#REF!</v>
      </c>
    </row>
    <row r="7" spans="1:13" ht="15.6" customHeight="1">
      <c r="A7" s="91">
        <v>1.2</v>
      </c>
      <c r="B7" s="94" t="s">
        <v>130</v>
      </c>
      <c r="C7" s="95"/>
      <c r="D7" s="95"/>
      <c r="E7" s="95">
        <f>[1]折、摊!G18</f>
        <v>0</v>
      </c>
      <c r="F7" s="95">
        <f>[1]折、摊!H18</f>
        <v>0</v>
      </c>
      <c r="G7" s="95">
        <f>[1]折、摊!I18</f>
        <v>0</v>
      </c>
      <c r="H7" s="95">
        <f>[1]折、摊!J18</f>
        <v>0</v>
      </c>
      <c r="I7" s="95">
        <f>[1]折、摊!K18</f>
        <v>0</v>
      </c>
      <c r="J7" s="95">
        <f>[1]折、摊!L18</f>
        <v>0</v>
      </c>
      <c r="K7" s="95">
        <f>[1]折、摊!M18</f>
        <v>0</v>
      </c>
      <c r="L7" s="95">
        <f>[1]折、摊!N18</f>
        <v>0</v>
      </c>
      <c r="M7" s="97">
        <f t="shared" si="2"/>
        <v>0</v>
      </c>
    </row>
    <row r="8" spans="1:13" ht="15.6" customHeight="1">
      <c r="A8" s="91">
        <v>1.3</v>
      </c>
      <c r="B8" s="94" t="s">
        <v>131</v>
      </c>
      <c r="C8" s="95" t="s">
        <v>132</v>
      </c>
      <c r="D8" s="95" t="s">
        <v>132</v>
      </c>
      <c r="E8" s="95" t="s">
        <v>132</v>
      </c>
      <c r="F8" s="95" t="s">
        <v>132</v>
      </c>
      <c r="G8" s="95" t="s">
        <v>132</v>
      </c>
      <c r="H8" s="95" t="s">
        <v>132</v>
      </c>
      <c r="I8" s="95" t="s">
        <v>132</v>
      </c>
      <c r="J8" s="95" t="s">
        <v>132</v>
      </c>
      <c r="K8" s="95" t="s">
        <v>132</v>
      </c>
      <c r="L8" s="95"/>
      <c r="M8" s="97">
        <f t="shared" si="2"/>
        <v>0</v>
      </c>
    </row>
    <row r="9" spans="1:13" s="78" customFormat="1" ht="15.6" customHeight="1">
      <c r="A9" s="96">
        <v>1.4</v>
      </c>
      <c r="B9" s="97" t="s">
        <v>133</v>
      </c>
      <c r="C9" s="95" t="s">
        <v>132</v>
      </c>
      <c r="D9" s="95" t="s">
        <v>132</v>
      </c>
      <c r="E9" s="95" t="s">
        <v>132</v>
      </c>
      <c r="F9" s="95" t="s">
        <v>132</v>
      </c>
      <c r="G9" s="95" t="s">
        <v>132</v>
      </c>
      <c r="H9" s="95" t="s">
        <v>132</v>
      </c>
      <c r="I9" s="95" t="s">
        <v>132</v>
      </c>
      <c r="J9" s="95" t="s">
        <v>132</v>
      </c>
      <c r="K9" s="95" t="s">
        <v>132</v>
      </c>
      <c r="L9" s="95" t="s">
        <v>132</v>
      </c>
      <c r="M9" s="97">
        <f t="shared" si="2"/>
        <v>0</v>
      </c>
    </row>
    <row r="10" spans="1:13" ht="15.6" customHeight="1">
      <c r="A10" s="96">
        <v>2</v>
      </c>
      <c r="B10" s="92" t="s">
        <v>134</v>
      </c>
      <c r="C10" s="93">
        <f t="shared" ref="C10:L10" si="3">SUM(C11:C16)</f>
        <v>0</v>
      </c>
      <c r="D10" s="93">
        <f t="shared" si="3"/>
        <v>0</v>
      </c>
      <c r="E10" s="93">
        <f t="shared" si="3"/>
        <v>0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7">
        <f t="shared" si="2"/>
        <v>0</v>
      </c>
    </row>
    <row r="11" spans="1:13" ht="15" customHeight="1">
      <c r="A11" s="91">
        <v>2.1</v>
      </c>
      <c r="B11" s="91" t="s">
        <v>135</v>
      </c>
      <c r="C11" s="95">
        <f>([1]计划!C6-[1]计划!C7)</f>
        <v>0</v>
      </c>
      <c r="D11" s="95">
        <f>([1]计划!D6-[1]计划!D7)</f>
        <v>0</v>
      </c>
      <c r="E11" s="95">
        <f>([1]计划!E6-[1]计划!E7)</f>
        <v>0</v>
      </c>
      <c r="F11" s="95">
        <f>([1]计划!F6-[1]计划!F7)</f>
        <v>0</v>
      </c>
      <c r="G11" s="95">
        <f>([1]计划!G6-[1]计划!G7)</f>
        <v>0</v>
      </c>
      <c r="H11" s="95">
        <f>([1]计划!H6-[1]计划!H7)</f>
        <v>0</v>
      </c>
      <c r="I11" s="95">
        <f>([1]计划!I6-[1]计划!I7)</f>
        <v>0</v>
      </c>
      <c r="J11" s="95">
        <f>([1]计划!J6-[1]计划!J7)</f>
        <v>0</v>
      </c>
      <c r="K11" s="95">
        <f>([1]计划!K6-[1]计划!K7)</f>
        <v>0</v>
      </c>
      <c r="L11" s="95">
        <f>([1]计划!L6-[1]计划!L7)</f>
        <v>0</v>
      </c>
      <c r="M11" s="97">
        <f t="shared" si="2"/>
        <v>0</v>
      </c>
    </row>
    <row r="12" spans="1:13" s="78" customFormat="1" ht="15" customHeight="1">
      <c r="A12" s="91">
        <v>2.2000000000000002</v>
      </c>
      <c r="B12" s="97" t="s">
        <v>136</v>
      </c>
      <c r="C12" s="95">
        <f>[1]计划!C8</f>
        <v>0</v>
      </c>
      <c r="D12" s="95">
        <f>[1]计划!D8</f>
        <v>0</v>
      </c>
      <c r="E12" s="95">
        <f>[1]计划!E8</f>
        <v>0</v>
      </c>
      <c r="F12" s="95">
        <f>[1]计划!F8</f>
        <v>0</v>
      </c>
      <c r="G12" s="95">
        <f>[1]计划!G8</f>
        <v>0</v>
      </c>
      <c r="H12" s="95">
        <f>[1]计划!H8</f>
        <v>0</v>
      </c>
      <c r="I12" s="95">
        <f>[1]计划!I8</f>
        <v>0</v>
      </c>
      <c r="J12" s="95">
        <f>[1]计划!J8</f>
        <v>0</v>
      </c>
      <c r="K12" s="95">
        <f>[1]计划!K8</f>
        <v>0</v>
      </c>
      <c r="L12" s="95">
        <f>[1]计划!L8</f>
        <v>0</v>
      </c>
      <c r="M12" s="97">
        <f t="shared" si="2"/>
        <v>0</v>
      </c>
    </row>
    <row r="13" spans="1:13" ht="15" customHeight="1">
      <c r="A13" s="91">
        <v>2.2999999999999998</v>
      </c>
      <c r="B13" s="94" t="s">
        <v>137</v>
      </c>
      <c r="C13" s="95">
        <f>[1]总成本!C22</f>
        <v>0</v>
      </c>
      <c r="D13" s="95">
        <f>[1]总成本!D22</f>
        <v>0</v>
      </c>
      <c r="E13" s="95">
        <f>[1]总成本!E22</f>
        <v>0</v>
      </c>
      <c r="F13" s="95">
        <f>[1]总成本!F22</f>
        <v>0</v>
      </c>
      <c r="G13" s="95">
        <f>[1]总成本!G22</f>
        <v>0</v>
      </c>
      <c r="H13" s="95">
        <f>[1]总成本!H22</f>
        <v>0</v>
      </c>
      <c r="I13" s="95">
        <f>[1]总成本!I22</f>
        <v>0</v>
      </c>
      <c r="J13" s="95">
        <f>[1]总成本!J22</f>
        <v>0</v>
      </c>
      <c r="K13" s="95">
        <f>[1]总成本!K22</f>
        <v>0</v>
      </c>
      <c r="L13" s="95">
        <f>[1]总成本!L22</f>
        <v>0</v>
      </c>
      <c r="M13" s="97">
        <f t="shared" si="2"/>
        <v>0</v>
      </c>
    </row>
    <row r="14" spans="1:13" ht="15" customHeight="1">
      <c r="A14" s="91">
        <v>2.4</v>
      </c>
      <c r="B14" s="94" t="s">
        <v>138</v>
      </c>
      <c r="C14" s="95">
        <f>[1]价格!D15</f>
        <v>0</v>
      </c>
      <c r="D14" s="95">
        <f>[1]价格!E15</f>
        <v>0</v>
      </c>
      <c r="E14" s="95">
        <f>[1]价格!F15</f>
        <v>0</v>
      </c>
      <c r="F14" s="95">
        <f>[1]价格!G15</f>
        <v>0</v>
      </c>
      <c r="G14" s="95">
        <f>[1]价格!H15</f>
        <v>0</v>
      </c>
      <c r="H14" s="95">
        <f>[1]价格!I15</f>
        <v>0</v>
      </c>
      <c r="I14" s="95">
        <f>[1]价格!J15</f>
        <v>0</v>
      </c>
      <c r="J14" s="95">
        <f>[1]价格!K15</f>
        <v>0</v>
      </c>
      <c r="K14" s="95">
        <f>[1]价格!L15</f>
        <v>0</v>
      </c>
      <c r="L14" s="95">
        <f>[1]价格!M15</f>
        <v>0</v>
      </c>
      <c r="M14" s="97">
        <f t="shared" si="2"/>
        <v>0</v>
      </c>
    </row>
    <row r="15" spans="1:13" ht="15" customHeight="1">
      <c r="A15" s="91">
        <v>2.5</v>
      </c>
      <c r="B15" s="94" t="s">
        <v>64</v>
      </c>
      <c r="C15" s="95">
        <f>[1]利润!C13</f>
        <v>0</v>
      </c>
      <c r="D15" s="95">
        <f>[1]利润!D13</f>
        <v>0</v>
      </c>
      <c r="E15" s="95">
        <f>[1]利润!E13</f>
        <v>0</v>
      </c>
      <c r="F15" s="95">
        <f>[1]利润!F13</f>
        <v>0</v>
      </c>
      <c r="G15" s="95">
        <f>[1]利润!G13</f>
        <v>0</v>
      </c>
      <c r="H15" s="95">
        <f>[1]利润!H13</f>
        <v>0</v>
      </c>
      <c r="I15" s="95">
        <f>[1]利润!I13</f>
        <v>0</v>
      </c>
      <c r="J15" s="95">
        <f>[1]利润!J13</f>
        <v>0</v>
      </c>
      <c r="K15" s="95">
        <f>[1]利润!K13</f>
        <v>0</v>
      </c>
      <c r="L15" s="95">
        <f>[1]利润!L13</f>
        <v>0</v>
      </c>
      <c r="M15" s="97">
        <f t="shared" si="2"/>
        <v>0</v>
      </c>
    </row>
    <row r="16" spans="1:13" ht="15" customHeight="1">
      <c r="A16" s="91">
        <v>2.6</v>
      </c>
      <c r="B16" s="94" t="s">
        <v>139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7">
        <f t="shared" si="2"/>
        <v>0</v>
      </c>
    </row>
    <row r="17" spans="1:18" ht="12">
      <c r="A17" s="91">
        <v>3</v>
      </c>
      <c r="B17" s="92" t="s">
        <v>140</v>
      </c>
      <c r="C17" s="93">
        <f t="shared" ref="C17:L17" si="4">C5-C10</f>
        <v>0</v>
      </c>
      <c r="D17" s="93">
        <f t="shared" si="4"/>
        <v>0</v>
      </c>
      <c r="E17" s="93" t="e">
        <f t="shared" si="4"/>
        <v>#REF!</v>
      </c>
      <c r="F17" s="93">
        <f t="shared" si="4"/>
        <v>0</v>
      </c>
      <c r="G17" s="93">
        <f t="shared" si="4"/>
        <v>25740000</v>
      </c>
      <c r="H17" s="93">
        <f t="shared" si="4"/>
        <v>132200000</v>
      </c>
      <c r="I17" s="93" t="e">
        <f t="shared" si="4"/>
        <v>#REF!</v>
      </c>
      <c r="J17" s="93" t="e">
        <f t="shared" si="4"/>
        <v>#REF!</v>
      </c>
      <c r="K17" s="93" t="e">
        <f t="shared" si="4"/>
        <v>#REF!</v>
      </c>
      <c r="L17" s="93">
        <f t="shared" si="4"/>
        <v>157940000</v>
      </c>
      <c r="M17" s="97" t="e">
        <f t="shared" si="2"/>
        <v>#REF!</v>
      </c>
    </row>
    <row r="18" spans="1:18" ht="12">
      <c r="A18" s="98">
        <v>4</v>
      </c>
      <c r="B18" s="94" t="s">
        <v>141</v>
      </c>
      <c r="C18" s="95">
        <f>C17</f>
        <v>0</v>
      </c>
      <c r="D18" s="95">
        <f t="shared" ref="D18:L18" si="5">C18+D17</f>
        <v>0</v>
      </c>
      <c r="E18" s="95" t="e">
        <f t="shared" si="5"/>
        <v>#REF!</v>
      </c>
      <c r="F18" s="95" t="e">
        <f t="shared" si="5"/>
        <v>#REF!</v>
      </c>
      <c r="G18" s="95" t="e">
        <f t="shared" si="5"/>
        <v>#REF!</v>
      </c>
      <c r="H18" s="95" t="e">
        <f t="shared" si="5"/>
        <v>#REF!</v>
      </c>
      <c r="I18" s="95" t="e">
        <f t="shared" si="5"/>
        <v>#REF!</v>
      </c>
      <c r="J18" s="95" t="e">
        <f t="shared" si="5"/>
        <v>#REF!</v>
      </c>
      <c r="K18" s="95" t="e">
        <f t="shared" si="5"/>
        <v>#REF!</v>
      </c>
      <c r="L18" s="95" t="e">
        <f t="shared" si="5"/>
        <v>#REF!</v>
      </c>
      <c r="M18" s="94" t="s">
        <v>132</v>
      </c>
    </row>
    <row r="19" spans="1:18" s="78" customFormat="1" ht="12">
      <c r="A19" s="98">
        <v>5</v>
      </c>
      <c r="B19" s="94" t="s">
        <v>142</v>
      </c>
      <c r="C19" s="95">
        <f t="shared" ref="C19:L19" si="6">C17+C15</f>
        <v>0</v>
      </c>
      <c r="D19" s="95">
        <f t="shared" si="6"/>
        <v>0</v>
      </c>
      <c r="E19" s="95" t="e">
        <f t="shared" si="6"/>
        <v>#REF!</v>
      </c>
      <c r="F19" s="95">
        <f t="shared" si="6"/>
        <v>0</v>
      </c>
      <c r="G19" s="95">
        <f t="shared" si="6"/>
        <v>25740000</v>
      </c>
      <c r="H19" s="95">
        <f t="shared" si="6"/>
        <v>132200000</v>
      </c>
      <c r="I19" s="95" t="e">
        <f t="shared" si="6"/>
        <v>#REF!</v>
      </c>
      <c r="J19" s="95" t="e">
        <f t="shared" si="6"/>
        <v>#REF!</v>
      </c>
      <c r="K19" s="95" t="e">
        <f t="shared" si="6"/>
        <v>#REF!</v>
      </c>
      <c r="L19" s="95">
        <f t="shared" si="6"/>
        <v>157940000</v>
      </c>
      <c r="M19" s="97" t="e">
        <f>SUM(C19:L19)</f>
        <v>#REF!</v>
      </c>
    </row>
    <row r="20" spans="1:18" s="78" customFormat="1" ht="12">
      <c r="A20" s="91">
        <v>6</v>
      </c>
      <c r="B20" s="94" t="s">
        <v>143</v>
      </c>
      <c r="C20" s="95">
        <f>C19</f>
        <v>0</v>
      </c>
      <c r="D20" s="95">
        <f t="shared" ref="D20:L20" si="7">C20+D19</f>
        <v>0</v>
      </c>
      <c r="E20" s="95" t="e">
        <f t="shared" si="7"/>
        <v>#REF!</v>
      </c>
      <c r="F20" s="95" t="e">
        <f t="shared" si="7"/>
        <v>#REF!</v>
      </c>
      <c r="G20" s="95" t="e">
        <f t="shared" si="7"/>
        <v>#REF!</v>
      </c>
      <c r="H20" s="95" t="e">
        <f t="shared" si="7"/>
        <v>#REF!</v>
      </c>
      <c r="I20" s="95" t="e">
        <f t="shared" si="7"/>
        <v>#REF!</v>
      </c>
      <c r="J20" s="95" t="e">
        <f t="shared" si="7"/>
        <v>#REF!</v>
      </c>
      <c r="K20" s="95" t="e">
        <f t="shared" si="7"/>
        <v>#REF!</v>
      </c>
      <c r="L20" s="95" t="e">
        <f t="shared" si="7"/>
        <v>#REF!</v>
      </c>
      <c r="M20" s="94" t="s">
        <v>132</v>
      </c>
    </row>
    <row r="21" spans="1:18" ht="12">
      <c r="A21" s="99"/>
      <c r="B21" s="100" t="s">
        <v>144</v>
      </c>
      <c r="C21" s="100"/>
      <c r="D21" s="100"/>
      <c r="E21" s="100" t="s">
        <v>145</v>
      </c>
      <c r="F21" s="100"/>
      <c r="G21" s="100"/>
      <c r="H21" s="100"/>
      <c r="I21" s="100" t="s">
        <v>146</v>
      </c>
      <c r="J21" s="100"/>
      <c r="K21" s="100"/>
      <c r="L21" s="100"/>
      <c r="M21" s="111"/>
    </row>
    <row r="22" spans="1:18" ht="12">
      <c r="A22" s="101"/>
      <c r="B22" s="102" t="s">
        <v>147</v>
      </c>
      <c r="C22" s="102"/>
      <c r="D22" s="103" t="s">
        <v>148</v>
      </c>
      <c r="E22" s="104" t="e">
        <f>IRR(C17:L17,0.15)</f>
        <v>#VALUE!</v>
      </c>
      <c r="F22" s="102"/>
      <c r="G22" s="102"/>
      <c r="H22" s="102"/>
      <c r="I22" s="104" t="e">
        <f>IRR(C19:L19,0.15)</f>
        <v>#VALUE!</v>
      </c>
      <c r="J22" s="102"/>
      <c r="K22" s="102"/>
      <c r="L22" s="102"/>
      <c r="M22" s="112"/>
    </row>
    <row r="23" spans="1:18" ht="12">
      <c r="A23" s="101"/>
      <c r="B23" s="102" t="s">
        <v>149</v>
      </c>
      <c r="C23" s="102"/>
      <c r="D23" s="102"/>
      <c r="E23" s="105" t="e">
        <f>NPV(0.12,C17:L17)</f>
        <v>#REF!</v>
      </c>
      <c r="F23" s="102"/>
      <c r="G23" s="102"/>
      <c r="H23" s="102"/>
      <c r="I23" s="105" t="e">
        <f>NPV(0.12,C19:L19)</f>
        <v>#REF!</v>
      </c>
      <c r="J23" s="102"/>
      <c r="K23" s="102"/>
      <c r="L23" s="102"/>
      <c r="M23" s="112"/>
      <c r="R23" s="79">
        <f>30.9-29.82</f>
        <v>1.0799999999999983</v>
      </c>
    </row>
    <row r="24" spans="1:18" ht="12">
      <c r="A24" s="106"/>
      <c r="B24" s="107" t="s">
        <v>150</v>
      </c>
      <c r="C24" s="107"/>
      <c r="D24" s="107"/>
      <c r="E24" s="108" t="e">
        <f>6-H18/I17</f>
        <v>#REF!</v>
      </c>
      <c r="F24" s="107"/>
      <c r="G24" s="107"/>
      <c r="H24" s="107"/>
      <c r="I24" s="108" t="e">
        <f>6-H20/I19</f>
        <v>#REF!</v>
      </c>
      <c r="J24" s="107"/>
      <c r="K24" s="107"/>
      <c r="L24" s="107"/>
      <c r="M24" s="113"/>
    </row>
  </sheetData>
  <mergeCells count="1">
    <mergeCell ref="C3:E3"/>
  </mergeCells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2" activePane="bottomRight" state="frozen"/>
      <selection pane="topRight"/>
      <selection pane="bottomLeft"/>
      <selection pane="bottomRight" activeCell="C23" sqref="C23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5.5" style="54" customWidth="1"/>
    <col min="5" max="7" width="15.5" style="54" hidden="1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152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187" t="str">
        <f>'[2]2021年'!C2:D2</f>
        <v>北汽福田戴姆勒</v>
      </c>
      <c r="D2" s="188"/>
      <c r="E2" s="187">
        <f>'[2]2021年'!E2:F2</f>
        <v>0</v>
      </c>
      <c r="F2" s="188"/>
      <c r="G2" s="187">
        <f>'[2]2021年'!G2:H2</f>
        <v>0</v>
      </c>
      <c r="H2" s="188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56"/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56"/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>
        <f>销量!C9</f>
        <v>0</v>
      </c>
      <c r="D6" s="25">
        <f>销量!D9</f>
        <v>0</v>
      </c>
      <c r="E6" s="25">
        <f>销量!E9</f>
        <v>0</v>
      </c>
      <c r="F6" s="25">
        <f>销量!F9</f>
        <v>0</v>
      </c>
      <c r="G6" s="25">
        <f>销量!G9</f>
        <v>0</v>
      </c>
      <c r="H6" s="60">
        <f t="shared" ref="H6:H15" si="0">+SUM(C6:G6)</f>
        <v>0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55">
        <v>1</v>
      </c>
      <c r="B7" s="59" t="s">
        <v>28</v>
      </c>
      <c r="C7" s="60">
        <f>C6*销量!C8</f>
        <v>0</v>
      </c>
      <c r="D7" s="60">
        <f>D6*销量!D8</f>
        <v>0</v>
      </c>
      <c r="E7" s="60">
        <f>E6*销量!E8</f>
        <v>0</v>
      </c>
      <c r="F7" s="60">
        <f>F6*销量!F8</f>
        <v>0</v>
      </c>
      <c r="G7" s="60">
        <f>G6*销量!G8</f>
        <v>0</v>
      </c>
      <c r="H7" s="60">
        <f t="shared" si="0"/>
        <v>0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55">
        <v>2</v>
      </c>
      <c r="B8" s="55" t="s">
        <v>30</v>
      </c>
      <c r="C8" s="60"/>
      <c r="D8" s="60"/>
      <c r="E8" s="60"/>
      <c r="F8" s="60"/>
      <c r="G8" s="60"/>
      <c r="H8" s="60">
        <f t="shared" si="0"/>
        <v>0</v>
      </c>
      <c r="I8" s="75"/>
      <c r="S8" s="55" t="s">
        <v>32</v>
      </c>
      <c r="AI8" s="58" t="s">
        <v>31</v>
      </c>
      <c r="AJ8" s="55" t="s">
        <v>32</v>
      </c>
      <c r="AK8" s="53" t="s">
        <v>27</v>
      </c>
    </row>
    <row r="9" spans="1:37">
      <c r="A9" s="55">
        <v>3</v>
      </c>
      <c r="B9" s="59" t="s">
        <v>33</v>
      </c>
      <c r="C9" s="60">
        <f>+C7-C8</f>
        <v>0</v>
      </c>
      <c r="D9" s="60">
        <f t="shared" ref="D9:G9" si="1">+D7-D8</f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0"/>
        <v>0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55">
        <v>4</v>
      </c>
      <c r="B10" s="58" t="s">
        <v>36</v>
      </c>
      <c r="C10" s="60" t="e">
        <f>C6*材料成本!#REF!</f>
        <v>#REF!</v>
      </c>
      <c r="D10" s="60" t="e">
        <f>D6*材料成本!#REF!</f>
        <v>#REF!</v>
      </c>
      <c r="E10" s="60">
        <f>E6*材料成本!F18</f>
        <v>0</v>
      </c>
      <c r="F10" s="60">
        <f>F6*材料成本!G18</f>
        <v>0</v>
      </c>
      <c r="G10" s="60">
        <f>G6*材料成本!H18</f>
        <v>0</v>
      </c>
      <c r="H10" s="60" t="e">
        <f t="shared" si="0"/>
        <v>#REF!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55">
        <v>5</v>
      </c>
      <c r="B11" s="58" t="s">
        <v>39</v>
      </c>
      <c r="C11" s="60">
        <f>+C6*C36</f>
        <v>0</v>
      </c>
      <c r="D11" s="60">
        <f>+D6*D36</f>
        <v>0</v>
      </c>
      <c r="E11" s="60">
        <f>+E6*E36</f>
        <v>0</v>
      </c>
      <c r="F11" s="60">
        <f>+F6*F36</f>
        <v>0</v>
      </c>
      <c r="G11" s="60">
        <f>+G6*G36</f>
        <v>0</v>
      </c>
      <c r="H11" s="60">
        <f t="shared" si="0"/>
        <v>0</v>
      </c>
      <c r="S11" s="58" t="s">
        <v>39</v>
      </c>
      <c r="AI11" s="58" t="s">
        <v>40</v>
      </c>
      <c r="AJ11" s="58" t="s">
        <v>39</v>
      </c>
    </row>
    <row r="12" spans="1:37">
      <c r="A12" s="55">
        <v>6</v>
      </c>
      <c r="B12" s="58" t="s">
        <v>41</v>
      </c>
      <c r="C12" s="60">
        <f>+C6*C37</f>
        <v>0</v>
      </c>
      <c r="D12" s="60">
        <f>+D6*D37</f>
        <v>0</v>
      </c>
      <c r="E12" s="60">
        <f>+E6*E37</f>
        <v>0</v>
      </c>
      <c r="F12" s="60">
        <f>+F6*F37</f>
        <v>0</v>
      </c>
      <c r="G12" s="60">
        <f>+G6*G37</f>
        <v>0</v>
      </c>
      <c r="H12" s="60">
        <f t="shared" si="0"/>
        <v>0</v>
      </c>
      <c r="S12" s="58" t="s">
        <v>41</v>
      </c>
      <c r="AI12" s="58" t="s">
        <v>42</v>
      </c>
      <c r="AJ12" s="58" t="s">
        <v>41</v>
      </c>
    </row>
    <row r="13" spans="1:37">
      <c r="A13" s="55">
        <v>7</v>
      </c>
      <c r="B13" s="58" t="s">
        <v>43</v>
      </c>
      <c r="C13" s="60">
        <f>+C6*C38</f>
        <v>0</v>
      </c>
      <c r="D13" s="60">
        <f t="shared" ref="D13:G13" si="2">+D6*D38</f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0"/>
        <v>0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55">
        <v>8</v>
      </c>
      <c r="B14" s="61" t="s">
        <v>45</v>
      </c>
      <c r="C14" s="60">
        <f>SUM(C11:C13)</f>
        <v>0</v>
      </c>
      <c r="D14" s="60">
        <f t="shared" ref="D14:G14" si="3">SUM(D11:D13)</f>
        <v>0</v>
      </c>
      <c r="E14" s="60">
        <f t="shared" si="3"/>
        <v>0</v>
      </c>
      <c r="F14" s="60">
        <f t="shared" si="3"/>
        <v>0</v>
      </c>
      <c r="G14" s="60">
        <f t="shared" si="3"/>
        <v>0</v>
      </c>
      <c r="H14" s="60">
        <f t="shared" si="0"/>
        <v>0</v>
      </c>
      <c r="S14" s="61" t="s">
        <v>45</v>
      </c>
      <c r="AI14" s="58" t="s">
        <v>46</v>
      </c>
      <c r="AJ14" s="61" t="s">
        <v>45</v>
      </c>
    </row>
    <row r="15" spans="1:37">
      <c r="A15" s="55">
        <v>9</v>
      </c>
      <c r="B15" s="61" t="s">
        <v>47</v>
      </c>
      <c r="C15" s="60" t="e">
        <f>+C9-C10-C14</f>
        <v>#REF!</v>
      </c>
      <c r="D15" s="60" t="e">
        <f t="shared" ref="D15:G15" si="4">+D9-D10-D14</f>
        <v>#REF!</v>
      </c>
      <c r="E15" s="60">
        <f t="shared" si="4"/>
        <v>0</v>
      </c>
      <c r="F15" s="60">
        <f t="shared" si="4"/>
        <v>0</v>
      </c>
      <c r="G15" s="60">
        <f t="shared" si="4"/>
        <v>0</v>
      </c>
      <c r="H15" s="60" t="e">
        <f t="shared" si="0"/>
        <v>#REF!</v>
      </c>
      <c r="S15" s="61" t="s">
        <v>47</v>
      </c>
      <c r="AI15" s="58" t="s">
        <v>48</v>
      </c>
      <c r="AJ15" s="61" t="s">
        <v>47</v>
      </c>
    </row>
    <row r="16" spans="1:37">
      <c r="A16" s="55">
        <v>10</v>
      </c>
      <c r="B16" s="58" t="s">
        <v>49</v>
      </c>
      <c r="C16" s="62" t="e">
        <f>+C15/C9</f>
        <v>#REF!</v>
      </c>
      <c r="D16" s="62" t="e">
        <f t="shared" ref="D16:H16" si="5">+D15/D9</f>
        <v>#REF!</v>
      </c>
      <c r="E16" s="62" t="e">
        <f t="shared" si="5"/>
        <v>#DIV/0!</v>
      </c>
      <c r="F16" s="62" t="e">
        <f t="shared" si="5"/>
        <v>#DIV/0!</v>
      </c>
      <c r="G16" s="62" t="e">
        <f t="shared" si="5"/>
        <v>#DIV/0!</v>
      </c>
      <c r="H16" s="62" t="e">
        <f t="shared" si="5"/>
        <v>#REF!</v>
      </c>
      <c r="S16" s="58" t="s">
        <v>49</v>
      </c>
      <c r="AI16" s="58" t="s">
        <v>50</v>
      </c>
      <c r="AJ16" s="58" t="s">
        <v>49</v>
      </c>
    </row>
    <row r="17" spans="1:37">
      <c r="A17" s="55">
        <v>11</v>
      </c>
      <c r="B17" s="58" t="s">
        <v>51</v>
      </c>
      <c r="C17" s="60" t="e">
        <f>C6*C43+C18</f>
        <v>#DIV/0!</v>
      </c>
      <c r="D17" s="60" t="e">
        <f>D6*D43+D18</f>
        <v>#DIV/0!</v>
      </c>
      <c r="E17" s="60" t="e">
        <f>E6*E43+E18</f>
        <v>#DIV/0!</v>
      </c>
      <c r="F17" s="60" t="e">
        <f>F6*F43+F18</f>
        <v>#DIV/0!</v>
      </c>
      <c r="G17" s="60" t="e">
        <f>G6*G43+G18</f>
        <v>#DIV/0!</v>
      </c>
      <c r="H17" s="60" t="e">
        <f>SUM(C17:G17)</f>
        <v>#DIV/0!</v>
      </c>
      <c r="I17" s="178"/>
      <c r="J17" s="179"/>
      <c r="K17" s="179"/>
      <c r="S17" s="58" t="s">
        <v>51</v>
      </c>
      <c r="AI17" s="58" t="s">
        <v>52</v>
      </c>
      <c r="AJ17" s="58" t="s">
        <v>51</v>
      </c>
    </row>
    <row r="18" spans="1:37" s="51" customFormat="1">
      <c r="A18" s="55">
        <v>12</v>
      </c>
      <c r="B18" s="63" t="s">
        <v>158</v>
      </c>
      <c r="C18" s="64" t="e">
        <f>$H$18/$H$6*C6</f>
        <v>#DIV/0!</v>
      </c>
      <c r="D18" s="64" t="e">
        <f>$H$18/$H$6*D6</f>
        <v>#DIV/0!</v>
      </c>
      <c r="E18" s="64" t="e">
        <f>$H$18/$H$6*E6</f>
        <v>#DIV/0!</v>
      </c>
      <c r="F18" s="64" t="e">
        <f>$H$18/$H$6*F6</f>
        <v>#DIV/0!</v>
      </c>
      <c r="G18" s="64" t="e">
        <f>$H$18/$H$6*G6</f>
        <v>#DIV/0!</v>
      </c>
      <c r="H18" s="64">
        <f>项目投资!D26</f>
        <v>461700</v>
      </c>
      <c r="I18" s="180" t="s">
        <v>159</v>
      </c>
      <c r="J18" s="180"/>
      <c r="K18" s="180"/>
    </row>
    <row r="19" spans="1:37">
      <c r="A19" s="55">
        <v>13</v>
      </c>
      <c r="B19" s="58" t="s">
        <v>53</v>
      </c>
      <c r="C19" s="60">
        <f>C6*C44</f>
        <v>0</v>
      </c>
      <c r="D19" s="60">
        <f>D6*D44</f>
        <v>0</v>
      </c>
      <c r="E19" s="60">
        <f>E6*E44</f>
        <v>0</v>
      </c>
      <c r="F19" s="60">
        <f>F6*F44</f>
        <v>0</v>
      </c>
      <c r="G19" s="60">
        <f>G6*G44</f>
        <v>0</v>
      </c>
      <c r="H19" s="60">
        <f>SUM(C19:G19)</f>
        <v>0</v>
      </c>
      <c r="I19" s="181"/>
      <c r="J19" s="179"/>
      <c r="K19" s="179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55">
        <v>14</v>
      </c>
      <c r="B20" s="58" t="s">
        <v>55</v>
      </c>
      <c r="C20" s="60">
        <f>C6*C45</f>
        <v>0</v>
      </c>
      <c r="D20" s="60">
        <f>D6*D45</f>
        <v>0</v>
      </c>
      <c r="E20" s="60">
        <f>E6*E45</f>
        <v>0</v>
      </c>
      <c r="F20" s="60">
        <f>F6*F45</f>
        <v>0</v>
      </c>
      <c r="G20" s="60">
        <f>G6*G45</f>
        <v>0</v>
      </c>
      <c r="H20" s="60">
        <f>SUM(C20:G20)</f>
        <v>0</v>
      </c>
      <c r="S20" s="58" t="s">
        <v>55</v>
      </c>
      <c r="AI20" s="58" t="s">
        <v>56</v>
      </c>
      <c r="AJ20" s="58" t="s">
        <v>55</v>
      </c>
    </row>
    <row r="21" spans="1:37">
      <c r="A21" s="55">
        <v>15</v>
      </c>
      <c r="B21" s="58" t="s">
        <v>57</v>
      </c>
      <c r="C21" s="65" t="e">
        <f>$H$21/$H$6*C6</f>
        <v>#DIV/0!</v>
      </c>
      <c r="D21" s="65" t="e">
        <f>$H$21/$H$6*D6</f>
        <v>#DIV/0!</v>
      </c>
      <c r="E21" s="65" t="e">
        <f>$H$21/$H$6*E6</f>
        <v>#DIV/0!</v>
      </c>
      <c r="F21" s="65" t="e">
        <f>$H$21/$H$6*F6</f>
        <v>#DIV/0!</v>
      </c>
      <c r="G21" s="65" t="e">
        <f>$H$21/$H$6*G6</f>
        <v>#DIV/0!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55">
        <v>16</v>
      </c>
      <c r="B22" s="58" t="s">
        <v>58</v>
      </c>
      <c r="C22" s="60">
        <f>C6*C47</f>
        <v>0</v>
      </c>
      <c r="D22" s="60">
        <f>D6*D47</f>
        <v>0</v>
      </c>
      <c r="E22" s="60">
        <f>E6*E47</f>
        <v>0</v>
      </c>
      <c r="F22" s="60">
        <f>F6*F47</f>
        <v>0</v>
      </c>
      <c r="G22" s="60">
        <f>G6*G47</f>
        <v>0</v>
      </c>
      <c r="H22" s="60">
        <f>+SUM(C22:G22)</f>
        <v>0</v>
      </c>
      <c r="S22" s="58" t="s">
        <v>58</v>
      </c>
      <c r="AI22" s="58" t="s">
        <v>59</v>
      </c>
      <c r="AJ22" s="58" t="s">
        <v>58</v>
      </c>
    </row>
    <row r="23" spans="1:37">
      <c r="A23" s="55">
        <v>17</v>
      </c>
      <c r="B23" s="61" t="s">
        <v>60</v>
      </c>
      <c r="C23" s="65" t="e">
        <f>+C22+C21+C20+C19+C17</f>
        <v>#DIV/0!</v>
      </c>
      <c r="D23" s="65" t="e">
        <f>+D22+D21+D20+D19+D17</f>
        <v>#DIV/0!</v>
      </c>
      <c r="E23" s="65" t="e">
        <f>+E22+E21+E20+E19+E17</f>
        <v>#DIV/0!</v>
      </c>
      <c r="F23" s="65" t="e">
        <f>+F22+F21+F20+F19+F17</f>
        <v>#DIV/0!</v>
      </c>
      <c r="G23" s="65" t="e">
        <f>+G22+G21+G20+G19+G17</f>
        <v>#DIV/0!</v>
      </c>
      <c r="H23" s="65" t="e">
        <f t="shared" ref="H23" si="6">+H22+H21+H20+H19+H17</f>
        <v>#DIV/0!</v>
      </c>
      <c r="S23" s="61" t="s">
        <v>60</v>
      </c>
      <c r="AI23" s="58" t="s">
        <v>61</v>
      </c>
      <c r="AJ23" s="61" t="s">
        <v>60</v>
      </c>
    </row>
    <row r="24" spans="1:37">
      <c r="A24" s="55">
        <v>18</v>
      </c>
      <c r="B24" s="66" t="s">
        <v>62</v>
      </c>
      <c r="C24" s="65" t="e">
        <f>+C15-C23</f>
        <v>#REF!</v>
      </c>
      <c r="D24" s="65" t="e">
        <f>+D15-D23</f>
        <v>#REF!</v>
      </c>
      <c r="E24" s="65" t="e">
        <f>+E15-E23</f>
        <v>#DIV/0!</v>
      </c>
      <c r="F24" s="65" t="e">
        <f>+F15-F23</f>
        <v>#DIV/0!</v>
      </c>
      <c r="G24" s="65" t="e">
        <f>+G15-G23</f>
        <v>#DIV/0!</v>
      </c>
      <c r="H24" s="65" t="e">
        <f t="shared" ref="H24" si="7">+H15-H23</f>
        <v>#REF!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55">
        <v>19</v>
      </c>
      <c r="B25" s="58" t="s">
        <v>160</v>
      </c>
      <c r="C25" s="65" t="e">
        <f>IF(C24&lt;0,0,C24*0.25)</f>
        <v>#REF!</v>
      </c>
      <c r="D25" s="65" t="e">
        <f>IF(D24&lt;0,0,D24*0.25)</f>
        <v>#REF!</v>
      </c>
      <c r="E25" s="65" t="e">
        <f>IF(E24&lt;0,0,E24*0.25)</f>
        <v>#DIV/0!</v>
      </c>
      <c r="F25" s="65" t="e">
        <f>IF(F24&lt;0,0,F24*0.25)</f>
        <v>#DIV/0!</v>
      </c>
      <c r="G25" s="65" t="e">
        <f>IF(G24&lt;0,0,G24*0.25)</f>
        <v>#DIV/0!</v>
      </c>
      <c r="H25" s="65" t="e">
        <f t="shared" ref="H25" si="8">IF(H24&lt;0,0,H24*0.25)</f>
        <v>#REF!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55">
        <v>20</v>
      </c>
      <c r="B26" s="58" t="s">
        <v>66</v>
      </c>
      <c r="C26" s="65" t="e">
        <f t="shared" ref="C26" si="9">C24-C25</f>
        <v>#REF!</v>
      </c>
      <c r="D26" s="65" t="e">
        <f>D24-D25</f>
        <v>#REF!</v>
      </c>
      <c r="E26" s="65" t="e">
        <f>E24-E25</f>
        <v>#DIV/0!</v>
      </c>
      <c r="F26" s="65" t="e">
        <f>F24-F25</f>
        <v>#DIV/0!</v>
      </c>
      <c r="G26" s="65" t="e">
        <f>G24-G25</f>
        <v>#DIV/0!</v>
      </c>
      <c r="H26" s="60" t="e">
        <f>+SUM(C26:G26)</f>
        <v>#REF!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55">
        <v>21</v>
      </c>
      <c r="B27" s="58" t="s">
        <v>70</v>
      </c>
      <c r="C27" s="67" t="e">
        <f t="shared" ref="C27:H27" si="10">C26/C7</f>
        <v>#REF!</v>
      </c>
      <c r="D27" s="67" t="e">
        <f t="shared" si="10"/>
        <v>#REF!</v>
      </c>
      <c r="E27" s="67" t="e">
        <f t="shared" si="10"/>
        <v>#DIV/0!</v>
      </c>
      <c r="F27" s="67" t="e">
        <f t="shared" si="10"/>
        <v>#DIV/0!</v>
      </c>
      <c r="G27" s="67" t="e">
        <f t="shared" si="10"/>
        <v>#DIV/0!</v>
      </c>
      <c r="H27" s="67" t="e">
        <f t="shared" si="10"/>
        <v>#REF!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68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68">
        <v>2</v>
      </c>
      <c r="B32" s="58" t="s">
        <v>162</v>
      </c>
      <c r="C32" s="60">
        <f>C31*1</f>
        <v>1521</v>
      </c>
      <c r="D32" s="60">
        <f t="shared" ref="D32:G32" si="11">D31*1</f>
        <v>2221</v>
      </c>
      <c r="E32" s="60">
        <f t="shared" si="11"/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68">
        <v>3</v>
      </c>
      <c r="B33" s="63" t="s">
        <v>80</v>
      </c>
      <c r="C33" s="60" t="e">
        <f>材料成本!#REF!</f>
        <v>#REF!</v>
      </c>
      <c r="D33" s="60" t="e">
        <f>材料成本!#REF!</f>
        <v>#REF!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68">
        <v>4</v>
      </c>
      <c r="B34" s="58" t="s">
        <v>82</v>
      </c>
      <c r="C34" s="70" t="e">
        <f>C32-C33</f>
        <v>#REF!</v>
      </c>
      <c r="D34" s="70" t="e">
        <f t="shared" ref="D34:G34" si="12">D32-D33</f>
        <v>#REF!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68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标准成本!E4</f>
        <v>65.555099999999996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68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标准成本!E6</f>
        <v>33.005699999999997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68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标准成本!E10</f>
        <v>97.344000000000008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68">
        <v>1</v>
      </c>
      <c r="B40" s="58" t="s">
        <v>91</v>
      </c>
      <c r="C40" s="65" t="e">
        <f>C34-C36-C37-C38</f>
        <v>#REF!</v>
      </c>
      <c r="D40" s="65" t="e">
        <f t="shared" ref="D40:G40" si="14">D34-D36-D37-D38</f>
        <v>#REF!</v>
      </c>
      <c r="E40" s="65">
        <f t="shared" si="14"/>
        <v>89.575200000000038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68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68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标准成本!E5</f>
        <v>61.448399999999999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68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标准成本!E9</f>
        <v>8.0612999999999992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68">
        <v>3</v>
      </c>
      <c r="B45" s="66" t="s">
        <v>97</v>
      </c>
      <c r="C45" s="64">
        <f>C32*0.034</f>
        <v>51.714000000000006</v>
      </c>
      <c r="D45" s="64">
        <f t="shared" ref="D45:F45" si="16">D32*0.034</f>
        <v>75.51400000000001</v>
      </c>
      <c r="E45" s="64">
        <f t="shared" si="16"/>
        <v>23.902000000000001</v>
      </c>
      <c r="F45" s="64">
        <f t="shared" si="16"/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68">
        <v>4</v>
      </c>
      <c r="B46" s="66" t="s">
        <v>98</v>
      </c>
      <c r="C46" s="71" t="e">
        <f>C21/C6</f>
        <v>#DIV/0!</v>
      </c>
      <c r="D46" s="71" t="e">
        <f>D21/D6</f>
        <v>#DIV/0!</v>
      </c>
      <c r="E46" s="71" t="e">
        <f>E21/E6</f>
        <v>#DIV/0!</v>
      </c>
      <c r="F46" s="71" t="e">
        <f>F21/F6</f>
        <v>#DIV/0!</v>
      </c>
      <c r="G46" s="71" t="e">
        <f>G21/G6</f>
        <v>#DIV/0!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68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 t="e">
        <f>C40-C43-C44-C45-C47-C46</f>
        <v>#REF!</v>
      </c>
      <c r="D48" s="65" t="e">
        <f>D40-D43-D44-D45-D47-D46</f>
        <v>#REF!</v>
      </c>
      <c r="E48" s="65" t="e">
        <f>E40-E43-E44-E45-E47-E46</f>
        <v>#DIV/0!</v>
      </c>
      <c r="F48" s="65" t="e">
        <f>F40-F43-F44-F45-F47-F46</f>
        <v>#DIV/0!</v>
      </c>
      <c r="G48" s="65" t="e">
        <f>G40-G43-G44-G45-G47-G46</f>
        <v>#DIV/0!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7">
    <mergeCell ref="A4:B4"/>
    <mergeCell ref="A5:B5"/>
    <mergeCell ref="H3:H5"/>
    <mergeCell ref="A1:B1"/>
    <mergeCell ref="C1:H1"/>
    <mergeCell ref="A2:B2"/>
    <mergeCell ref="A3:B3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8" activePane="bottomRight" state="frozen"/>
      <selection pane="topRight"/>
      <selection pane="bottomLeft"/>
      <selection pane="bottomRight" activeCell="K11" sqref="K11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5" width="15.5" style="54" customWidth="1"/>
    <col min="6" max="7" width="15.5" style="54" hidden="1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248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204" t="s">
        <v>268</v>
      </c>
      <c r="D2" s="204"/>
      <c r="E2" s="204"/>
      <c r="F2" s="204"/>
      <c r="G2" s="204"/>
      <c r="H2" s="204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167"/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167"/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>
        <f>销量!C10</f>
        <v>5000</v>
      </c>
      <c r="D6" s="25">
        <f>销量!D10</f>
        <v>5000</v>
      </c>
      <c r="E6" s="25">
        <f>销量!E10</f>
        <v>10000</v>
      </c>
      <c r="F6" s="25">
        <f>销量!F9</f>
        <v>0</v>
      </c>
      <c r="G6" s="25">
        <f>销量!G9</f>
        <v>0</v>
      </c>
      <c r="H6" s="60">
        <f t="shared" ref="H6:H15" si="0">+SUM(C6:G6)</f>
        <v>20000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166">
        <v>1</v>
      </c>
      <c r="B7" s="59" t="s">
        <v>28</v>
      </c>
      <c r="C7" s="60">
        <f>C6*销量!C8</f>
        <v>7605000</v>
      </c>
      <c r="D7" s="60">
        <f>D6*销量!D8</f>
        <v>11105000</v>
      </c>
      <c r="E7" s="60">
        <f>E6*销量!E8</f>
        <v>7030000</v>
      </c>
      <c r="F7" s="60">
        <f>F6*销量!F8</f>
        <v>0</v>
      </c>
      <c r="G7" s="60">
        <f>G6*销量!G8</f>
        <v>0</v>
      </c>
      <c r="H7" s="60">
        <f t="shared" si="0"/>
        <v>25740000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166">
        <v>2</v>
      </c>
      <c r="B8" s="166" t="s">
        <v>30</v>
      </c>
      <c r="C8" s="60"/>
      <c r="D8" s="60"/>
      <c r="E8" s="60"/>
      <c r="F8" s="60"/>
      <c r="G8" s="60"/>
      <c r="H8" s="60">
        <f t="shared" si="0"/>
        <v>0</v>
      </c>
      <c r="I8" s="75"/>
      <c r="S8" s="166" t="s">
        <v>32</v>
      </c>
      <c r="AI8" s="58" t="s">
        <v>31</v>
      </c>
      <c r="AJ8" s="166" t="s">
        <v>32</v>
      </c>
      <c r="AK8" s="53" t="s">
        <v>27</v>
      </c>
    </row>
    <row r="9" spans="1:37">
      <c r="A9" s="166">
        <v>3</v>
      </c>
      <c r="B9" s="59" t="s">
        <v>33</v>
      </c>
      <c r="C9" s="60">
        <f>+C7-C8</f>
        <v>7605000</v>
      </c>
      <c r="D9" s="60">
        <f t="shared" ref="D9:G9" si="1">+D7-D8</f>
        <v>11105000</v>
      </c>
      <c r="E9" s="60">
        <f t="shared" si="1"/>
        <v>7030000</v>
      </c>
      <c r="F9" s="60">
        <f t="shared" si="1"/>
        <v>0</v>
      </c>
      <c r="G9" s="60">
        <f t="shared" si="1"/>
        <v>0</v>
      </c>
      <c r="H9" s="60">
        <f t="shared" si="0"/>
        <v>25740000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166">
        <v>4</v>
      </c>
      <c r="B10" s="58" t="s">
        <v>36</v>
      </c>
      <c r="C10" s="60">
        <f>C6*材料成本!D18</f>
        <v>4000800.0000000005</v>
      </c>
      <c r="D10" s="60">
        <f>D6*材料成本!E18</f>
        <v>6688400</v>
      </c>
      <c r="E10" s="60">
        <f>E6*材料成本!F18</f>
        <v>4175200</v>
      </c>
      <c r="F10" s="60">
        <f>F6*材料成本!G18</f>
        <v>0</v>
      </c>
      <c r="G10" s="60">
        <f>G6*材料成本!H18</f>
        <v>0</v>
      </c>
      <c r="H10" s="60">
        <f t="shared" si="0"/>
        <v>14864400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166">
        <v>5</v>
      </c>
      <c r="B11" s="58" t="s">
        <v>39</v>
      </c>
      <c r="C11" s="60">
        <f>+C6*C36</f>
        <v>327775.5</v>
      </c>
      <c r="D11" s="60">
        <f>+D6*D36</f>
        <v>567411.5</v>
      </c>
      <c r="E11" s="60">
        <f>+E6*E36</f>
        <v>302993</v>
      </c>
      <c r="F11" s="60">
        <f>+F6*F36</f>
        <v>0</v>
      </c>
      <c r="G11" s="60">
        <f>+G6*G36</f>
        <v>0</v>
      </c>
      <c r="H11" s="60">
        <f t="shared" si="0"/>
        <v>1198180</v>
      </c>
      <c r="S11" s="58" t="s">
        <v>39</v>
      </c>
      <c r="AI11" s="58" t="s">
        <v>40</v>
      </c>
      <c r="AJ11" s="58" t="s">
        <v>39</v>
      </c>
    </row>
    <row r="12" spans="1:37">
      <c r="A12" s="166">
        <v>6</v>
      </c>
      <c r="B12" s="58" t="s">
        <v>41</v>
      </c>
      <c r="C12" s="60">
        <f>+C6*C37</f>
        <v>165028.5</v>
      </c>
      <c r="D12" s="60">
        <f>+D6*D37</f>
        <v>285680.5</v>
      </c>
      <c r="E12" s="60">
        <f>+E6*E37</f>
        <v>152551</v>
      </c>
      <c r="F12" s="60">
        <f>+F6*F37</f>
        <v>0</v>
      </c>
      <c r="G12" s="60">
        <f>+G6*G37</f>
        <v>0</v>
      </c>
      <c r="H12" s="60">
        <f t="shared" si="0"/>
        <v>603260</v>
      </c>
      <c r="S12" s="58" t="s">
        <v>41</v>
      </c>
      <c r="AI12" s="58" t="s">
        <v>42</v>
      </c>
      <c r="AJ12" s="58" t="s">
        <v>41</v>
      </c>
    </row>
    <row r="13" spans="1:37">
      <c r="A13" s="166">
        <v>7</v>
      </c>
      <c r="B13" s="58" t="s">
        <v>43</v>
      </c>
      <c r="C13" s="60">
        <f>+C6*C38</f>
        <v>486720.00000000006</v>
      </c>
      <c r="D13" s="60">
        <f t="shared" ref="D13:G13" si="2">+D6*D38</f>
        <v>842560</v>
      </c>
      <c r="E13" s="60">
        <f t="shared" si="2"/>
        <v>449920.00000000006</v>
      </c>
      <c r="F13" s="60">
        <f t="shared" si="2"/>
        <v>0</v>
      </c>
      <c r="G13" s="60">
        <f t="shared" si="2"/>
        <v>0</v>
      </c>
      <c r="H13" s="60">
        <f t="shared" si="0"/>
        <v>1779200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166">
        <v>8</v>
      </c>
      <c r="B14" s="61" t="s">
        <v>45</v>
      </c>
      <c r="C14" s="60">
        <f>SUM(C11:C13)</f>
        <v>979524</v>
      </c>
      <c r="D14" s="60">
        <f t="shared" ref="D14:G14" si="3">SUM(D11:D13)</f>
        <v>1695652</v>
      </c>
      <c r="E14" s="60">
        <f t="shared" si="3"/>
        <v>905464</v>
      </c>
      <c r="F14" s="60">
        <f t="shared" si="3"/>
        <v>0</v>
      </c>
      <c r="G14" s="60">
        <f t="shared" si="3"/>
        <v>0</v>
      </c>
      <c r="H14" s="60">
        <f t="shared" si="0"/>
        <v>3580640</v>
      </c>
      <c r="S14" s="61" t="s">
        <v>45</v>
      </c>
      <c r="AI14" s="58" t="s">
        <v>46</v>
      </c>
      <c r="AJ14" s="61" t="s">
        <v>45</v>
      </c>
    </row>
    <row r="15" spans="1:37">
      <c r="A15" s="166">
        <v>9</v>
      </c>
      <c r="B15" s="61" t="s">
        <v>47</v>
      </c>
      <c r="C15" s="60">
        <f>+C9-C10-C14</f>
        <v>2624675.9999999995</v>
      </c>
      <c r="D15" s="60">
        <f t="shared" ref="D15:G15" si="4">+D9-D10-D14</f>
        <v>2720948</v>
      </c>
      <c r="E15" s="60">
        <f t="shared" si="4"/>
        <v>1949336</v>
      </c>
      <c r="F15" s="60">
        <f t="shared" si="4"/>
        <v>0</v>
      </c>
      <c r="G15" s="60">
        <f t="shared" si="4"/>
        <v>0</v>
      </c>
      <c r="H15" s="60">
        <f t="shared" si="0"/>
        <v>7294960</v>
      </c>
      <c r="S15" s="61" t="s">
        <v>47</v>
      </c>
      <c r="AI15" s="58" t="s">
        <v>48</v>
      </c>
      <c r="AJ15" s="61" t="s">
        <v>47</v>
      </c>
    </row>
    <row r="16" spans="1:37">
      <c r="A16" s="166">
        <v>10</v>
      </c>
      <c r="B16" s="58" t="s">
        <v>49</v>
      </c>
      <c r="C16" s="62">
        <f>+C15/C9</f>
        <v>0.34512504930966464</v>
      </c>
      <c r="D16" s="62">
        <f t="shared" ref="D16:H16" si="5">+D15/D9</f>
        <v>0.24502008104457451</v>
      </c>
      <c r="E16" s="62">
        <f t="shared" si="5"/>
        <v>0.27728819345661448</v>
      </c>
      <c r="F16" s="62" t="e">
        <f t="shared" si="5"/>
        <v>#DIV/0!</v>
      </c>
      <c r="G16" s="62" t="e">
        <f t="shared" si="5"/>
        <v>#DIV/0!</v>
      </c>
      <c r="H16" s="62">
        <f t="shared" si="5"/>
        <v>0.28340947940947941</v>
      </c>
      <c r="S16" s="58" t="s">
        <v>49</v>
      </c>
      <c r="AI16" s="58" t="s">
        <v>50</v>
      </c>
      <c r="AJ16" s="58" t="s">
        <v>49</v>
      </c>
    </row>
    <row r="17" spans="1:37">
      <c r="A17" s="166">
        <v>11</v>
      </c>
      <c r="B17" s="58" t="s">
        <v>51</v>
      </c>
      <c r="C17" s="60">
        <f>C6*C43+C18</f>
        <v>422667</v>
      </c>
      <c r="D17" s="60">
        <f>D6*D43+D18</f>
        <v>647291</v>
      </c>
      <c r="E17" s="60">
        <f>E6*E43+E18</f>
        <v>514862</v>
      </c>
      <c r="F17" s="60">
        <f>F6*F43+F18</f>
        <v>0</v>
      </c>
      <c r="G17" s="60">
        <f>G6*G43+G18</f>
        <v>0</v>
      </c>
      <c r="H17" s="60">
        <f>SUM(C17:G17)</f>
        <v>1584820</v>
      </c>
      <c r="I17" s="75"/>
      <c r="S17" s="58" t="s">
        <v>51</v>
      </c>
      <c r="AI17" s="58" t="s">
        <v>52</v>
      </c>
      <c r="AJ17" s="58" t="s">
        <v>51</v>
      </c>
    </row>
    <row r="18" spans="1:37" s="51" customFormat="1">
      <c r="A18" s="166">
        <v>12</v>
      </c>
      <c r="B18" s="63" t="s">
        <v>158</v>
      </c>
      <c r="C18" s="64">
        <f>$H$18/$H$6*C6</f>
        <v>115425</v>
      </c>
      <c r="D18" s="64">
        <f>$H$18/$H$6*D6</f>
        <v>115425</v>
      </c>
      <c r="E18" s="64">
        <f>$H$18/$H$6*E6</f>
        <v>230850</v>
      </c>
      <c r="F18" s="64">
        <f>$H$18/$H$6*F6</f>
        <v>0</v>
      </c>
      <c r="G18" s="64">
        <f>$H$18/$H$6*G6</f>
        <v>0</v>
      </c>
      <c r="H18" s="64">
        <f>项目投资!D26</f>
        <v>461700</v>
      </c>
      <c r="I18" s="76" t="s">
        <v>159</v>
      </c>
      <c r="J18" s="76"/>
      <c r="K18" s="76"/>
    </row>
    <row r="19" spans="1:37">
      <c r="A19" s="166">
        <v>13</v>
      </c>
      <c r="B19" s="58" t="s">
        <v>53</v>
      </c>
      <c r="C19" s="60">
        <f>C6*C44</f>
        <v>40306.499999999993</v>
      </c>
      <c r="D19" s="60">
        <f>D6*D44</f>
        <v>69774.5</v>
      </c>
      <c r="E19" s="60">
        <f>E6*E44</f>
        <v>37259</v>
      </c>
      <c r="F19" s="60">
        <f>F6*F44</f>
        <v>0</v>
      </c>
      <c r="G19" s="60">
        <f>G6*G44</f>
        <v>0</v>
      </c>
      <c r="H19" s="60">
        <f>SUM(C19:G19)</f>
        <v>147340</v>
      </c>
      <c r="I19" s="51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166">
        <v>14</v>
      </c>
      <c r="B20" s="58" t="s">
        <v>55</v>
      </c>
      <c r="C20" s="60">
        <f>C6*C45</f>
        <v>206855.99999999997</v>
      </c>
      <c r="D20" s="60">
        <f>D6*D45</f>
        <v>302055.99999999994</v>
      </c>
      <c r="E20" s="60">
        <f>E6*E45</f>
        <v>191215.99999999997</v>
      </c>
      <c r="F20" s="60">
        <f>F6*F45</f>
        <v>0</v>
      </c>
      <c r="G20" s="60">
        <f>G6*G45</f>
        <v>0</v>
      </c>
      <c r="H20" s="60">
        <f>SUM(C20:G20)</f>
        <v>700127.99999999988</v>
      </c>
      <c r="S20" s="58" t="s">
        <v>55</v>
      </c>
      <c r="AI20" s="58" t="s">
        <v>56</v>
      </c>
      <c r="AJ20" s="58" t="s">
        <v>55</v>
      </c>
    </row>
    <row r="21" spans="1:37">
      <c r="A21" s="166">
        <v>15</v>
      </c>
      <c r="B21" s="58" t="s">
        <v>57</v>
      </c>
      <c r="C21" s="65">
        <f>$H$21/$H$6*C6</f>
        <v>15000</v>
      </c>
      <c r="D21" s="65">
        <f>$H$21/$H$6*D6</f>
        <v>15000</v>
      </c>
      <c r="E21" s="65">
        <f>$H$21/$H$6*E6</f>
        <v>30000</v>
      </c>
      <c r="F21" s="65">
        <f>$H$21/$H$6*F6</f>
        <v>0</v>
      </c>
      <c r="G21" s="65">
        <f>$H$21/$H$6*G6</f>
        <v>0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166">
        <v>16</v>
      </c>
      <c r="B22" s="58" t="s">
        <v>58</v>
      </c>
      <c r="C22" s="60">
        <f>C6*C47</f>
        <v>228149.99999999997</v>
      </c>
      <c r="D22" s="60">
        <f>D6*D47</f>
        <v>228149.99999999997</v>
      </c>
      <c r="E22" s="60">
        <f>E6*E47</f>
        <v>456299.99999999994</v>
      </c>
      <c r="F22" s="60">
        <f>F6*F47</f>
        <v>0</v>
      </c>
      <c r="G22" s="60">
        <f>G6*G47</f>
        <v>0</v>
      </c>
      <c r="H22" s="60">
        <f>+SUM(C22:G22)</f>
        <v>912599.99999999988</v>
      </c>
      <c r="S22" s="58" t="s">
        <v>58</v>
      </c>
      <c r="AI22" s="58" t="s">
        <v>59</v>
      </c>
      <c r="AJ22" s="58" t="s">
        <v>58</v>
      </c>
    </row>
    <row r="23" spans="1:37">
      <c r="A23" s="166">
        <v>17</v>
      </c>
      <c r="B23" s="61" t="s">
        <v>60</v>
      </c>
      <c r="C23" s="65">
        <f>+C22+C21+C20+C19+C17</f>
        <v>912979.5</v>
      </c>
      <c r="D23" s="65">
        <f>+D22+D21+D20+D19+D17</f>
        <v>1262271.5</v>
      </c>
      <c r="E23" s="65">
        <f>+E22+E21+E20+E19+E17</f>
        <v>1229637</v>
      </c>
      <c r="F23" s="65">
        <f>+F22+F21+F20+F19+F17</f>
        <v>0</v>
      </c>
      <c r="G23" s="65">
        <f>+G22+G21+G20+G19+G17</f>
        <v>0</v>
      </c>
      <c r="H23" s="65">
        <f t="shared" ref="H23" si="6">+H22+H21+H20+H19+H17</f>
        <v>3404888</v>
      </c>
      <c r="S23" s="61" t="s">
        <v>60</v>
      </c>
      <c r="AI23" s="58" t="s">
        <v>61</v>
      </c>
      <c r="AJ23" s="61" t="s">
        <v>60</v>
      </c>
    </row>
    <row r="24" spans="1:37">
      <c r="A24" s="166">
        <v>18</v>
      </c>
      <c r="B24" s="66" t="s">
        <v>62</v>
      </c>
      <c r="C24" s="65">
        <f>+C15-C23</f>
        <v>1711696.4999999995</v>
      </c>
      <c r="D24" s="65">
        <f>+D15-D23</f>
        <v>1458676.5</v>
      </c>
      <c r="E24" s="65">
        <f>+E15-E23</f>
        <v>719699</v>
      </c>
      <c r="F24" s="65">
        <f>+F15-F23</f>
        <v>0</v>
      </c>
      <c r="G24" s="65">
        <f>+G15-G23</f>
        <v>0</v>
      </c>
      <c r="H24" s="65">
        <f t="shared" ref="H24" si="7">+H15-H23</f>
        <v>3890072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166">
        <v>19</v>
      </c>
      <c r="B25" s="58" t="s">
        <v>160</v>
      </c>
      <c r="C25" s="65">
        <f>IF(C24&lt;0,0,C24*0.25)</f>
        <v>427924.12499999988</v>
      </c>
      <c r="D25" s="65">
        <f>IF(D24&lt;0,0,D24*0.25)</f>
        <v>364669.125</v>
      </c>
      <c r="E25" s="65">
        <f>IF(E24&lt;0,0,E24*0.25)</f>
        <v>179924.75</v>
      </c>
      <c r="F25" s="65">
        <f>IF(F24&lt;0,0,F24*0.25)</f>
        <v>0</v>
      </c>
      <c r="G25" s="65">
        <f>IF(G24&lt;0,0,G24*0.25)</f>
        <v>0</v>
      </c>
      <c r="H25" s="65">
        <f t="shared" ref="H25" si="8">IF(H24&lt;0,0,H24*0.25)</f>
        <v>972518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166">
        <v>20</v>
      </c>
      <c r="B26" s="58" t="s">
        <v>66</v>
      </c>
      <c r="C26" s="65">
        <f t="shared" ref="C26" si="9">C24-C25</f>
        <v>1283772.3749999995</v>
      </c>
      <c r="D26" s="65">
        <f>D24-D25</f>
        <v>1094007.375</v>
      </c>
      <c r="E26" s="65">
        <f>E24-E25</f>
        <v>539774.25</v>
      </c>
      <c r="F26" s="65">
        <f>F24-F25</f>
        <v>0</v>
      </c>
      <c r="G26" s="65">
        <f>G24-G25</f>
        <v>0</v>
      </c>
      <c r="H26" s="60">
        <f>+SUM(C26:G26)</f>
        <v>2917553.9999999995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166">
        <v>21</v>
      </c>
      <c r="B27" s="58" t="s">
        <v>70</v>
      </c>
      <c r="C27" s="67">
        <f t="shared" ref="C27:H27" si="10">C26/C7</f>
        <v>0.1688063609467455</v>
      </c>
      <c r="D27" s="67">
        <f t="shared" si="10"/>
        <v>9.8514846915803686E-2</v>
      </c>
      <c r="E27" s="67">
        <f t="shared" si="10"/>
        <v>7.6781543385490758E-2</v>
      </c>
      <c r="F27" s="67" t="e">
        <f t="shared" si="10"/>
        <v>#DIV/0!</v>
      </c>
      <c r="G27" s="67" t="e">
        <f t="shared" si="10"/>
        <v>#DIV/0!</v>
      </c>
      <c r="H27" s="67">
        <f t="shared" si="10"/>
        <v>0.11334708624708623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166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166">
        <v>2</v>
      </c>
      <c r="B32" s="58" t="s">
        <v>162</v>
      </c>
      <c r="C32" s="60">
        <f>C9/C6</f>
        <v>1521</v>
      </c>
      <c r="D32" s="60">
        <f>D9/D6</f>
        <v>2221</v>
      </c>
      <c r="E32" s="60">
        <f t="shared" ref="E32:G32" si="11">E31*1</f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166">
        <v>3</v>
      </c>
      <c r="B33" s="63" t="s">
        <v>80</v>
      </c>
      <c r="C33" s="60">
        <f>材料成本!D18</f>
        <v>800.16000000000008</v>
      </c>
      <c r="D33" s="60">
        <f>材料成本!E18</f>
        <v>1337.68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166">
        <v>4</v>
      </c>
      <c r="B34" s="58" t="s">
        <v>82</v>
      </c>
      <c r="C34" s="70">
        <f>C32-C33</f>
        <v>720.83999999999992</v>
      </c>
      <c r="D34" s="70">
        <f t="shared" ref="D34:G34" si="12">D32-D33</f>
        <v>883.31999999999994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166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标准成本!E30</f>
        <v>30.299299999999999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166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标准成本!E32</f>
        <v>15.255100000000001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166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标准成本!E36</f>
        <v>44.992000000000004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166">
        <v>1</v>
      </c>
      <c r="B40" s="58" t="s">
        <v>91</v>
      </c>
      <c r="C40" s="65">
        <f>C34-C36-C37-C38</f>
        <v>524.93519999999978</v>
      </c>
      <c r="D40" s="65">
        <f t="shared" ref="D40:G40" si="14">D34-D36-D37-D38</f>
        <v>544.18959999999993</v>
      </c>
      <c r="E40" s="65">
        <f t="shared" si="14"/>
        <v>194.93360000000001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166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166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标准成本!E31</f>
        <v>28.401199999999999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166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标准成本!E35</f>
        <v>3.7259000000000002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166">
        <v>3</v>
      </c>
      <c r="B45" s="66" t="s">
        <v>97</v>
      </c>
      <c r="C45" s="64">
        <f>C32*0.0272</f>
        <v>41.371199999999995</v>
      </c>
      <c r="D45" s="64">
        <f>D32*0.0272</f>
        <v>60.411199999999994</v>
      </c>
      <c r="E45" s="64">
        <f>E32*0.0272</f>
        <v>19.121599999999997</v>
      </c>
      <c r="F45" s="64">
        <f t="shared" ref="F45" si="16">F32*0.034</f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166">
        <v>4</v>
      </c>
      <c r="B46" s="66" t="s">
        <v>98</v>
      </c>
      <c r="C46" s="71">
        <f>C21/C6</f>
        <v>3</v>
      </c>
      <c r="D46" s="71">
        <f>D21/D6</f>
        <v>3</v>
      </c>
      <c r="E46" s="71">
        <f>E21/E6</f>
        <v>3</v>
      </c>
      <c r="F46" s="71" t="e">
        <f>F21/F6</f>
        <v>#DIV/0!</v>
      </c>
      <c r="G46" s="71" t="e">
        <f>G21/G6</f>
        <v>#DIV/0!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166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>
        <f>C40-C43-C44-C45-C47-C46</f>
        <v>365.42429999999979</v>
      </c>
      <c r="D48" s="65">
        <f>D40-D43-D44-D45-D47-D46</f>
        <v>314.82029999999992</v>
      </c>
      <c r="E48" s="65">
        <f>E40-E43-E44-E45-E47-E46</f>
        <v>95.054900000000032</v>
      </c>
      <c r="F48" s="65" t="e">
        <f>F40-F43-F44-F45-F47-F46</f>
        <v>#DIV/0!</v>
      </c>
      <c r="G48" s="65" t="e">
        <f>G40-G43-G44-G45-G47-G46</f>
        <v>#DIV/0!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8" activePane="bottomRight" state="frozen"/>
      <selection pane="topRight"/>
      <selection pane="bottomLeft"/>
      <selection pane="bottomRight" activeCell="E53" sqref="E53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4" width="15" style="54" customWidth="1"/>
    <col min="5" max="7" width="15.5" style="54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249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204" t="s">
        <v>268</v>
      </c>
      <c r="D2" s="204"/>
      <c r="E2" s="204"/>
      <c r="F2" s="204"/>
      <c r="G2" s="204"/>
      <c r="H2" s="204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167"/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167"/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>
        <f>销量!C11</f>
        <v>20000</v>
      </c>
      <c r="D6" s="25">
        <f>销量!D11</f>
        <v>30000</v>
      </c>
      <c r="E6" s="25">
        <f>销量!E11</f>
        <v>50000</v>
      </c>
      <c r="F6" s="25">
        <f>销量!F9</f>
        <v>0</v>
      </c>
      <c r="G6" s="25">
        <f>销量!G9</f>
        <v>0</v>
      </c>
      <c r="H6" s="60">
        <f t="shared" ref="H6:H15" si="0">+SUM(C6:G6)</f>
        <v>100000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166">
        <v>1</v>
      </c>
      <c r="B7" s="59" t="s">
        <v>28</v>
      </c>
      <c r="C7" s="60">
        <f>C6*销量!C8</f>
        <v>30420000</v>
      </c>
      <c r="D7" s="60">
        <f>D6*销量!D8</f>
        <v>66630000</v>
      </c>
      <c r="E7" s="60">
        <f>E6*销量!E8</f>
        <v>35150000</v>
      </c>
      <c r="F7" s="60">
        <f>F6*销量!F8</f>
        <v>0</v>
      </c>
      <c r="G7" s="60">
        <f>G6*销量!G8</f>
        <v>0</v>
      </c>
      <c r="H7" s="60">
        <f t="shared" si="0"/>
        <v>132200000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166">
        <v>2</v>
      </c>
      <c r="B8" s="166" t="s">
        <v>30</v>
      </c>
      <c r="C8" s="60">
        <f>C7*(1-销量!$L$8)</f>
        <v>2965950.0000000009</v>
      </c>
      <c r="D8" s="60">
        <f>D7*(1-销量!$L$8)</f>
        <v>6496425.0000000019</v>
      </c>
      <c r="E8" s="60">
        <f>E7*(1-销量!$L$8)</f>
        <v>3427125.0000000009</v>
      </c>
      <c r="F8" s="60"/>
      <c r="G8" s="60"/>
      <c r="H8" s="60">
        <f t="shared" si="0"/>
        <v>12889500.000000004</v>
      </c>
      <c r="I8" s="75"/>
      <c r="S8" s="166" t="s">
        <v>32</v>
      </c>
      <c r="AI8" s="58" t="s">
        <v>31</v>
      </c>
      <c r="AJ8" s="166" t="s">
        <v>32</v>
      </c>
      <c r="AK8" s="53" t="s">
        <v>27</v>
      </c>
    </row>
    <row r="9" spans="1:37">
      <c r="A9" s="166">
        <v>3</v>
      </c>
      <c r="B9" s="59" t="s">
        <v>33</v>
      </c>
      <c r="C9" s="60">
        <f>+C7-C8</f>
        <v>27454050</v>
      </c>
      <c r="D9" s="60">
        <f t="shared" ref="D9:G9" si="1">+D7-D8</f>
        <v>60133575</v>
      </c>
      <c r="E9" s="60">
        <f t="shared" si="1"/>
        <v>31722875</v>
      </c>
      <c r="F9" s="60">
        <f t="shared" si="1"/>
        <v>0</v>
      </c>
      <c r="G9" s="60">
        <f t="shared" si="1"/>
        <v>0</v>
      </c>
      <c r="H9" s="60">
        <f t="shared" si="0"/>
        <v>119310500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166">
        <v>4</v>
      </c>
      <c r="B10" s="58" t="s">
        <v>36</v>
      </c>
      <c r="C10" s="60">
        <f>C6*材料成本!D18</f>
        <v>16003200.000000002</v>
      </c>
      <c r="D10" s="60">
        <f>D6*材料成本!E18</f>
        <v>40130400</v>
      </c>
      <c r="E10" s="60">
        <f>E6*材料成本!F18</f>
        <v>20876000</v>
      </c>
      <c r="F10" s="60">
        <f>F6*材料成本!G18</f>
        <v>0</v>
      </c>
      <c r="G10" s="60">
        <f>G6*材料成本!H18</f>
        <v>0</v>
      </c>
      <c r="H10" s="60">
        <f t="shared" si="0"/>
        <v>77009600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166">
        <v>5</v>
      </c>
      <c r="B11" s="58" t="s">
        <v>39</v>
      </c>
      <c r="C11" s="60">
        <f>+C6*C36</f>
        <v>1311102</v>
      </c>
      <c r="D11" s="60">
        <f>+D6*D36</f>
        <v>3404469</v>
      </c>
      <c r="E11" s="60">
        <f>+E6*E36</f>
        <v>1514965</v>
      </c>
      <c r="F11" s="60">
        <f>+F6*F36</f>
        <v>0</v>
      </c>
      <c r="G11" s="60">
        <f>+G6*G36</f>
        <v>0</v>
      </c>
      <c r="H11" s="60">
        <f t="shared" si="0"/>
        <v>6230536</v>
      </c>
      <c r="S11" s="58" t="s">
        <v>39</v>
      </c>
      <c r="AI11" s="58" t="s">
        <v>40</v>
      </c>
      <c r="AJ11" s="58" t="s">
        <v>39</v>
      </c>
    </row>
    <row r="12" spans="1:37">
      <c r="A12" s="166">
        <v>6</v>
      </c>
      <c r="B12" s="58" t="s">
        <v>41</v>
      </c>
      <c r="C12" s="60">
        <f>+C6*C37</f>
        <v>660114</v>
      </c>
      <c r="D12" s="60">
        <f>+D6*D37</f>
        <v>1714083</v>
      </c>
      <c r="E12" s="60">
        <f>+E6*E37</f>
        <v>762755</v>
      </c>
      <c r="F12" s="60">
        <f>+F6*F37</f>
        <v>0</v>
      </c>
      <c r="G12" s="60">
        <f>+G6*G37</f>
        <v>0</v>
      </c>
      <c r="H12" s="60">
        <f t="shared" si="0"/>
        <v>3136952</v>
      </c>
      <c r="S12" s="58" t="s">
        <v>41</v>
      </c>
      <c r="AI12" s="58" t="s">
        <v>42</v>
      </c>
      <c r="AJ12" s="58" t="s">
        <v>41</v>
      </c>
    </row>
    <row r="13" spans="1:37">
      <c r="A13" s="166">
        <v>7</v>
      </c>
      <c r="B13" s="58" t="s">
        <v>43</v>
      </c>
      <c r="C13" s="60">
        <f>+C6*C38</f>
        <v>1946880.0000000002</v>
      </c>
      <c r="D13" s="60">
        <f t="shared" ref="D13:G13" si="2">+D6*D38</f>
        <v>5055360</v>
      </c>
      <c r="E13" s="60">
        <f t="shared" si="2"/>
        <v>2249600</v>
      </c>
      <c r="F13" s="60">
        <f t="shared" si="2"/>
        <v>0</v>
      </c>
      <c r="G13" s="60">
        <f t="shared" si="2"/>
        <v>0</v>
      </c>
      <c r="H13" s="60">
        <f t="shared" si="0"/>
        <v>9251840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166">
        <v>8</v>
      </c>
      <c r="B14" s="61" t="s">
        <v>45</v>
      </c>
      <c r="C14" s="60">
        <f>SUM(C11:C13)</f>
        <v>3918096</v>
      </c>
      <c r="D14" s="60">
        <f t="shared" ref="D14:G14" si="3">SUM(D11:D13)</f>
        <v>10173912</v>
      </c>
      <c r="E14" s="60">
        <f t="shared" si="3"/>
        <v>4527320</v>
      </c>
      <c r="F14" s="60">
        <f t="shared" si="3"/>
        <v>0</v>
      </c>
      <c r="G14" s="60">
        <f t="shared" si="3"/>
        <v>0</v>
      </c>
      <c r="H14" s="60">
        <f t="shared" si="0"/>
        <v>18619328</v>
      </c>
      <c r="S14" s="61" t="s">
        <v>45</v>
      </c>
      <c r="AI14" s="58" t="s">
        <v>46</v>
      </c>
      <c r="AJ14" s="61" t="s">
        <v>45</v>
      </c>
    </row>
    <row r="15" spans="1:37">
      <c r="A15" s="166">
        <v>9</v>
      </c>
      <c r="B15" s="61" t="s">
        <v>47</v>
      </c>
      <c r="C15" s="60">
        <f>+C9-C10-C14</f>
        <v>7532753.9999999981</v>
      </c>
      <c r="D15" s="60">
        <f t="shared" ref="D15:G15" si="4">+D9-D10-D14</f>
        <v>9829263</v>
      </c>
      <c r="E15" s="60">
        <f t="shared" si="4"/>
        <v>6319555</v>
      </c>
      <c r="F15" s="60">
        <f t="shared" si="4"/>
        <v>0</v>
      </c>
      <c r="G15" s="60">
        <f t="shared" si="4"/>
        <v>0</v>
      </c>
      <c r="H15" s="60">
        <f t="shared" si="0"/>
        <v>23681572</v>
      </c>
      <c r="S15" s="61" t="s">
        <v>47</v>
      </c>
      <c r="AI15" s="58" t="s">
        <v>48</v>
      </c>
      <c r="AJ15" s="61" t="s">
        <v>47</v>
      </c>
    </row>
    <row r="16" spans="1:37">
      <c r="A16" s="166">
        <v>10</v>
      </c>
      <c r="B16" s="58" t="s">
        <v>49</v>
      </c>
      <c r="C16" s="62">
        <f>+C15/C9</f>
        <v>0.27437678593868658</v>
      </c>
      <c r="D16" s="62">
        <f t="shared" ref="D16:H16" si="5">+D15/D9</f>
        <v>0.16345715351199391</v>
      </c>
      <c r="E16" s="62">
        <f t="shared" si="5"/>
        <v>0.19921129468876955</v>
      </c>
      <c r="F16" s="62" t="e">
        <f t="shared" si="5"/>
        <v>#DIV/0!</v>
      </c>
      <c r="G16" s="62" t="e">
        <f t="shared" si="5"/>
        <v>#DIV/0!</v>
      </c>
      <c r="H16" s="62">
        <f t="shared" si="5"/>
        <v>0.19848690601413957</v>
      </c>
      <c r="S16" s="58" t="s">
        <v>49</v>
      </c>
      <c r="AI16" s="58" t="s">
        <v>50</v>
      </c>
      <c r="AJ16" s="58" t="s">
        <v>49</v>
      </c>
    </row>
    <row r="17" spans="1:37">
      <c r="A17" s="166">
        <v>11</v>
      </c>
      <c r="B17" s="58" t="s">
        <v>51</v>
      </c>
      <c r="C17" s="60">
        <f>C6*C43+C18</f>
        <v>1321308</v>
      </c>
      <c r="D17" s="60">
        <f>D6*D43+D18</f>
        <v>3329706</v>
      </c>
      <c r="E17" s="60">
        <f>E6*E43+E18</f>
        <v>1650910</v>
      </c>
      <c r="F17" s="60">
        <f>F6*F43+F18</f>
        <v>0</v>
      </c>
      <c r="G17" s="60">
        <f>G6*G43+G18</f>
        <v>0</v>
      </c>
      <c r="H17" s="60">
        <f>SUM(C17:G17)</f>
        <v>6301924</v>
      </c>
      <c r="I17" s="75"/>
      <c r="S17" s="58" t="s">
        <v>51</v>
      </c>
      <c r="AI17" s="58" t="s">
        <v>52</v>
      </c>
      <c r="AJ17" s="58" t="s">
        <v>51</v>
      </c>
    </row>
    <row r="18" spans="1:37" s="51" customFormat="1">
      <c r="A18" s="166">
        <v>12</v>
      </c>
      <c r="B18" s="63" t="s">
        <v>158</v>
      </c>
      <c r="C18" s="64">
        <f>$H$18/$H$6*C6</f>
        <v>92340</v>
      </c>
      <c r="D18" s="64">
        <f>$H$18/$H$6*D6</f>
        <v>138510</v>
      </c>
      <c r="E18" s="64">
        <f>$H$18/$H$6*E6</f>
        <v>230850</v>
      </c>
      <c r="F18" s="64">
        <f>$H$18/$H$6*F6</f>
        <v>0</v>
      </c>
      <c r="G18" s="64">
        <f>$H$18/$H$6*G6</f>
        <v>0</v>
      </c>
      <c r="H18" s="64">
        <f>项目投资!D26</f>
        <v>461700</v>
      </c>
      <c r="I18" s="76" t="s">
        <v>159</v>
      </c>
      <c r="J18" s="76"/>
      <c r="K18" s="76"/>
    </row>
    <row r="19" spans="1:37">
      <c r="A19" s="166">
        <v>13</v>
      </c>
      <c r="B19" s="58" t="s">
        <v>53</v>
      </c>
      <c r="C19" s="60">
        <f>C6*C44</f>
        <v>161225.99999999997</v>
      </c>
      <c r="D19" s="60">
        <f>D6*D44</f>
        <v>418647</v>
      </c>
      <c r="E19" s="60">
        <f>E6*E44</f>
        <v>186295</v>
      </c>
      <c r="F19" s="60">
        <f>F6*F44</f>
        <v>0</v>
      </c>
      <c r="G19" s="60">
        <f>G6*G44</f>
        <v>0</v>
      </c>
      <c r="H19" s="60">
        <f>SUM(C19:G19)</f>
        <v>766168</v>
      </c>
      <c r="I19" s="51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166">
        <v>14</v>
      </c>
      <c r="B20" s="58" t="s">
        <v>55</v>
      </c>
      <c r="C20" s="60">
        <f>C6*C45</f>
        <v>746750.16</v>
      </c>
      <c r="D20" s="60">
        <f>D6*D45</f>
        <v>1635633.24</v>
      </c>
      <c r="E20" s="60">
        <f>E6*E45</f>
        <v>956079.99999999988</v>
      </c>
      <c r="F20" s="60">
        <f>F6*F45</f>
        <v>0</v>
      </c>
      <c r="G20" s="60">
        <f>G6*G45</f>
        <v>0</v>
      </c>
      <c r="H20" s="60">
        <f>SUM(C20:G20)</f>
        <v>3338463.4</v>
      </c>
      <c r="S20" s="58" t="s">
        <v>55</v>
      </c>
      <c r="AI20" s="58" t="s">
        <v>56</v>
      </c>
      <c r="AJ20" s="58" t="s">
        <v>55</v>
      </c>
    </row>
    <row r="21" spans="1:37">
      <c r="A21" s="166">
        <v>15</v>
      </c>
      <c r="B21" s="58" t="s">
        <v>57</v>
      </c>
      <c r="C21" s="65">
        <f>$H$21/$H$6*C6</f>
        <v>12000</v>
      </c>
      <c r="D21" s="65">
        <f>$H$21/$H$6*D6</f>
        <v>18000</v>
      </c>
      <c r="E21" s="65">
        <f>$H$21/$H$6*E6</f>
        <v>30000</v>
      </c>
      <c r="F21" s="65">
        <f>$H$21/$H$6*F6</f>
        <v>0</v>
      </c>
      <c r="G21" s="65">
        <f>$H$21/$H$6*G6</f>
        <v>0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166">
        <v>16</v>
      </c>
      <c r="B22" s="58" t="s">
        <v>58</v>
      </c>
      <c r="C22" s="60">
        <f>C6*C47</f>
        <v>912599.99999999988</v>
      </c>
      <c r="D22" s="60">
        <f>D6*D47</f>
        <v>1368899.9999999998</v>
      </c>
      <c r="E22" s="60">
        <f>E6*E47</f>
        <v>2281500</v>
      </c>
      <c r="F22" s="60">
        <f>F6*F47</f>
        <v>0</v>
      </c>
      <c r="G22" s="60">
        <f>G6*G47</f>
        <v>0</v>
      </c>
      <c r="H22" s="60">
        <f>+SUM(C22:G22)</f>
        <v>4563000</v>
      </c>
      <c r="S22" s="58" t="s">
        <v>58</v>
      </c>
      <c r="AI22" s="58" t="s">
        <v>59</v>
      </c>
      <c r="AJ22" s="58" t="s">
        <v>58</v>
      </c>
    </row>
    <row r="23" spans="1:37">
      <c r="A23" s="166">
        <v>17</v>
      </c>
      <c r="B23" s="61" t="s">
        <v>60</v>
      </c>
      <c r="C23" s="65">
        <f>+C22+C21+C20+C19+C17</f>
        <v>3153884.16</v>
      </c>
      <c r="D23" s="65">
        <f>+D22+D21+D20+D19+D17</f>
        <v>6770886.2400000002</v>
      </c>
      <c r="E23" s="65">
        <f>+E22+E21+E20+E19+E17</f>
        <v>5104785</v>
      </c>
      <c r="F23" s="65">
        <f>+F22+F21+F20+F19+F17</f>
        <v>0</v>
      </c>
      <c r="G23" s="65">
        <f>+G22+G21+G20+G19+G17</f>
        <v>0</v>
      </c>
      <c r="H23" s="65">
        <f t="shared" ref="H23" si="6">+H22+H21+H20+H19+H17</f>
        <v>15029555.4</v>
      </c>
      <c r="S23" s="61" t="s">
        <v>60</v>
      </c>
      <c r="AI23" s="58" t="s">
        <v>61</v>
      </c>
      <c r="AJ23" s="61" t="s">
        <v>60</v>
      </c>
    </row>
    <row r="24" spans="1:37">
      <c r="A24" s="166">
        <v>18</v>
      </c>
      <c r="B24" s="66" t="s">
        <v>62</v>
      </c>
      <c r="C24" s="65">
        <f>+C15-C23</f>
        <v>4378869.839999998</v>
      </c>
      <c r="D24" s="65">
        <f>+D15-D23</f>
        <v>3058376.76</v>
      </c>
      <c r="E24" s="65">
        <f>+E15-E23</f>
        <v>1214770</v>
      </c>
      <c r="F24" s="65">
        <f>+F15-F23</f>
        <v>0</v>
      </c>
      <c r="G24" s="65">
        <f>+G15-G23</f>
        <v>0</v>
      </c>
      <c r="H24" s="65">
        <f t="shared" ref="H24" si="7">+H15-H23</f>
        <v>8652016.5999999996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166">
        <v>19</v>
      </c>
      <c r="B25" s="58" t="s">
        <v>160</v>
      </c>
      <c r="C25" s="65">
        <f>IF(C24&lt;0,0,C24*0.25)</f>
        <v>1094717.4599999995</v>
      </c>
      <c r="D25" s="65">
        <f>IF(D24&lt;0,0,D24*0.25)</f>
        <v>764594.19</v>
      </c>
      <c r="E25" s="65">
        <f>IF(E24&lt;0,0,E24*0.25)</f>
        <v>303692.5</v>
      </c>
      <c r="F25" s="65">
        <f>IF(F24&lt;0,0,F24*0.25)</f>
        <v>0</v>
      </c>
      <c r="G25" s="65">
        <f>IF(G24&lt;0,0,G24*0.25)</f>
        <v>0</v>
      </c>
      <c r="H25" s="65">
        <f t="shared" ref="H25" si="8">IF(H24&lt;0,0,H24*0.25)</f>
        <v>2163004.15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166">
        <v>20</v>
      </c>
      <c r="B26" s="58" t="s">
        <v>66</v>
      </c>
      <c r="C26" s="65">
        <f t="shared" ref="C26" si="9">C24-C25</f>
        <v>3284152.3799999985</v>
      </c>
      <c r="D26" s="65">
        <f>D24-D25</f>
        <v>2293782.5699999998</v>
      </c>
      <c r="E26" s="65">
        <f>E24-E25</f>
        <v>911077.5</v>
      </c>
      <c r="F26" s="65">
        <f>F24-F25</f>
        <v>0</v>
      </c>
      <c r="G26" s="65">
        <f>G24-G25</f>
        <v>0</v>
      </c>
      <c r="H26" s="60">
        <f>+SUM(C26:G26)</f>
        <v>6489012.4499999983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166">
        <v>21</v>
      </c>
      <c r="B27" s="58" t="s">
        <v>70</v>
      </c>
      <c r="C27" s="67">
        <f t="shared" ref="C27:H27" si="10">C26/C7</f>
        <v>0.10796030177514788</v>
      </c>
      <c r="D27" s="67">
        <f t="shared" si="10"/>
        <v>3.4425672669968481E-2</v>
      </c>
      <c r="E27" s="67">
        <f t="shared" si="10"/>
        <v>2.5919701280227594E-2</v>
      </c>
      <c r="F27" s="67" t="e">
        <f t="shared" si="10"/>
        <v>#DIV/0!</v>
      </c>
      <c r="G27" s="67" t="e">
        <f t="shared" si="10"/>
        <v>#DIV/0!</v>
      </c>
      <c r="H27" s="67">
        <f t="shared" si="10"/>
        <v>4.908481429652041E-2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166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166">
        <v>2</v>
      </c>
      <c r="B32" s="58" t="s">
        <v>162</v>
      </c>
      <c r="C32" s="60">
        <f>C9/C6</f>
        <v>1372.7025000000001</v>
      </c>
      <c r="D32" s="60">
        <f>D9/D6</f>
        <v>2004.4525000000001</v>
      </c>
      <c r="E32" s="60">
        <f t="shared" ref="E32:G32" si="11">E31*1</f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166">
        <v>3</v>
      </c>
      <c r="B33" s="63" t="s">
        <v>80</v>
      </c>
      <c r="C33" s="60">
        <f>材料成本!D18</f>
        <v>800.16000000000008</v>
      </c>
      <c r="D33" s="60">
        <f>材料成本!E18</f>
        <v>1337.68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166">
        <v>4</v>
      </c>
      <c r="B34" s="58" t="s">
        <v>82</v>
      </c>
      <c r="C34" s="70">
        <f>C32-C33</f>
        <v>572.54250000000002</v>
      </c>
      <c r="D34" s="70">
        <f t="shared" ref="D34:G34" si="12">D32-D33</f>
        <v>666.77250000000004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166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标准成本!E30</f>
        <v>30.299299999999999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166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标准成本!E32</f>
        <v>15.255100000000001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166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标准成本!E36</f>
        <v>44.992000000000004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166">
        <v>1</v>
      </c>
      <c r="B40" s="58" t="s">
        <v>91</v>
      </c>
      <c r="C40" s="65">
        <f>C34-C36-C37-C38</f>
        <v>376.63770000000005</v>
      </c>
      <c r="D40" s="65">
        <f t="shared" ref="D40:G40" si="14">D34-D36-D37-D38</f>
        <v>327.64210000000003</v>
      </c>
      <c r="E40" s="65">
        <f t="shared" si="14"/>
        <v>194.93360000000001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166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166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标准成本!E31</f>
        <v>28.401199999999999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166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标准成本!E35</f>
        <v>3.7259000000000002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166">
        <v>3</v>
      </c>
      <c r="B45" s="66" t="s">
        <v>97</v>
      </c>
      <c r="C45" s="64">
        <f>C32*0.0272</f>
        <v>37.337508</v>
      </c>
      <c r="D45" s="64">
        <f>D32*0.0272</f>
        <v>54.521107999999998</v>
      </c>
      <c r="E45" s="64">
        <f>E32*0.0272</f>
        <v>19.121599999999997</v>
      </c>
      <c r="F45" s="64">
        <f t="shared" ref="F45" si="16">F32*0.034</f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166">
        <v>4</v>
      </c>
      <c r="B46" s="66" t="s">
        <v>98</v>
      </c>
      <c r="C46" s="71">
        <f>C21/C6</f>
        <v>0.6</v>
      </c>
      <c r="D46" s="71">
        <f>D21/D6</f>
        <v>0.6</v>
      </c>
      <c r="E46" s="71">
        <f>E21/E6</f>
        <v>0.6</v>
      </c>
      <c r="F46" s="71" t="e">
        <f>F21/F6</f>
        <v>#DIV/0!</v>
      </c>
      <c r="G46" s="71" t="e">
        <f>G21/G6</f>
        <v>#DIV/0!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166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>
        <f>C40-C43-C44-C45-C47-C46</f>
        <v>223.56049200000004</v>
      </c>
      <c r="D48" s="65">
        <f>D40-D43-D44-D45-D47-D46</f>
        <v>106.56289200000003</v>
      </c>
      <c r="E48" s="65">
        <f>E40-E43-E44-E45-E47-E46</f>
        <v>97.454900000000038</v>
      </c>
      <c r="F48" s="65" t="e">
        <f>F40-F43-F44-F45-F47-F46</f>
        <v>#DIV/0!</v>
      </c>
      <c r="G48" s="65" t="e">
        <f>G40-G43-G44-G45-G47-G46</f>
        <v>#DIV/0!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41" activePane="bottomRight" state="frozen"/>
      <selection pane="topRight"/>
      <selection pane="bottomLeft"/>
      <selection pane="bottomRight" activeCell="D52" sqref="D52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5" width="15.5" style="54" customWidth="1"/>
    <col min="6" max="7" width="15.5" style="54" hidden="1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250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204" t="s">
        <v>268</v>
      </c>
      <c r="D2" s="204"/>
      <c r="E2" s="204"/>
      <c r="F2" s="204"/>
      <c r="G2" s="204"/>
      <c r="H2" s="204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167"/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167"/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>
        <f>销量!C12</f>
        <v>20000</v>
      </c>
      <c r="D6" s="25">
        <f>销量!D12</f>
        <v>30000</v>
      </c>
      <c r="E6" s="25">
        <f>销量!E12</f>
        <v>50000</v>
      </c>
      <c r="F6" s="25">
        <f>销量!F9</f>
        <v>0</v>
      </c>
      <c r="G6" s="25">
        <f>销量!G9</f>
        <v>0</v>
      </c>
      <c r="H6" s="60">
        <f t="shared" ref="H6:H15" si="0">+SUM(C6:G6)</f>
        <v>100000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166">
        <v>1</v>
      </c>
      <c r="B7" s="59" t="s">
        <v>28</v>
      </c>
      <c r="C7" s="60">
        <f>C6*销量!C8</f>
        <v>30420000</v>
      </c>
      <c r="D7" s="60">
        <f>D6*销量!D8</f>
        <v>66630000</v>
      </c>
      <c r="E7" s="60">
        <f>E6*销量!E8</f>
        <v>35150000</v>
      </c>
      <c r="F7" s="60">
        <f>F6*销量!F8</f>
        <v>0</v>
      </c>
      <c r="G7" s="60">
        <f>G6*销量!G8</f>
        <v>0</v>
      </c>
      <c r="H7" s="60">
        <f t="shared" si="0"/>
        <v>132200000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166">
        <v>2</v>
      </c>
      <c r="B8" s="166" t="s">
        <v>30</v>
      </c>
      <c r="C8" s="60">
        <f>C7*(1-销量!$L$9)</f>
        <v>4338652.5</v>
      </c>
      <c r="D8" s="60">
        <f>D7*(1-销量!$L$9)</f>
        <v>9503103.75</v>
      </c>
      <c r="E8" s="60">
        <f>E7*(1-销量!$L$9)</f>
        <v>5013268.75</v>
      </c>
      <c r="F8" s="60"/>
      <c r="G8" s="60"/>
      <c r="H8" s="60">
        <f t="shared" si="0"/>
        <v>18855025</v>
      </c>
      <c r="I8" s="75"/>
      <c r="S8" s="166" t="s">
        <v>32</v>
      </c>
      <c r="AI8" s="58" t="s">
        <v>31</v>
      </c>
      <c r="AJ8" s="166" t="s">
        <v>32</v>
      </c>
      <c r="AK8" s="53" t="s">
        <v>27</v>
      </c>
    </row>
    <row r="9" spans="1:37">
      <c r="A9" s="166">
        <v>3</v>
      </c>
      <c r="B9" s="59" t="s">
        <v>33</v>
      </c>
      <c r="C9" s="60">
        <f>+C7-C8</f>
        <v>26081347.5</v>
      </c>
      <c r="D9" s="60">
        <f t="shared" ref="D9:G9" si="1">+D7-D8</f>
        <v>57126896.25</v>
      </c>
      <c r="E9" s="60">
        <f t="shared" si="1"/>
        <v>30136731.25</v>
      </c>
      <c r="F9" s="60">
        <f t="shared" si="1"/>
        <v>0</v>
      </c>
      <c r="G9" s="60">
        <f t="shared" si="1"/>
        <v>0</v>
      </c>
      <c r="H9" s="60">
        <f t="shared" si="0"/>
        <v>113344975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166">
        <v>4</v>
      </c>
      <c r="B10" s="58" t="s">
        <v>36</v>
      </c>
      <c r="C10" s="60">
        <f>C6*材料成本!D18</f>
        <v>16003200.000000002</v>
      </c>
      <c r="D10" s="60">
        <f>D6*材料成本!E18</f>
        <v>40130400</v>
      </c>
      <c r="E10" s="60">
        <f>E6*材料成本!F18</f>
        <v>20876000</v>
      </c>
      <c r="F10" s="60">
        <f>F6*材料成本!G18</f>
        <v>0</v>
      </c>
      <c r="G10" s="60">
        <f>G6*材料成本!H18</f>
        <v>0</v>
      </c>
      <c r="H10" s="60">
        <f t="shared" si="0"/>
        <v>77009600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166">
        <v>5</v>
      </c>
      <c r="B11" s="58" t="s">
        <v>39</v>
      </c>
      <c r="C11" s="60">
        <f>+C6*C36</f>
        <v>1311102</v>
      </c>
      <c r="D11" s="60">
        <f>+D6*D36</f>
        <v>3404469</v>
      </c>
      <c r="E11" s="60">
        <f>+E6*E36</f>
        <v>1514965</v>
      </c>
      <c r="F11" s="60">
        <f>+F6*F36</f>
        <v>0</v>
      </c>
      <c r="G11" s="60">
        <f>+G6*G36</f>
        <v>0</v>
      </c>
      <c r="H11" s="60">
        <f t="shared" si="0"/>
        <v>6230536</v>
      </c>
      <c r="S11" s="58" t="s">
        <v>39</v>
      </c>
      <c r="AI11" s="58" t="s">
        <v>40</v>
      </c>
      <c r="AJ11" s="58" t="s">
        <v>39</v>
      </c>
    </row>
    <row r="12" spans="1:37">
      <c r="A12" s="166">
        <v>6</v>
      </c>
      <c r="B12" s="58" t="s">
        <v>41</v>
      </c>
      <c r="C12" s="60">
        <f>+C6*C37</f>
        <v>660114</v>
      </c>
      <c r="D12" s="60">
        <f>+D6*D37</f>
        <v>1714083</v>
      </c>
      <c r="E12" s="60">
        <f>+E6*E37</f>
        <v>762755</v>
      </c>
      <c r="F12" s="60">
        <f>+F6*F37</f>
        <v>0</v>
      </c>
      <c r="G12" s="60">
        <f>+G6*G37</f>
        <v>0</v>
      </c>
      <c r="H12" s="60">
        <f t="shared" si="0"/>
        <v>3136952</v>
      </c>
      <c r="S12" s="58" t="s">
        <v>41</v>
      </c>
      <c r="AI12" s="58" t="s">
        <v>42</v>
      </c>
      <c r="AJ12" s="58" t="s">
        <v>41</v>
      </c>
    </row>
    <row r="13" spans="1:37">
      <c r="A13" s="166">
        <v>7</v>
      </c>
      <c r="B13" s="58" t="s">
        <v>43</v>
      </c>
      <c r="C13" s="60">
        <f>+C6*C38</f>
        <v>1946880.0000000002</v>
      </c>
      <c r="D13" s="60">
        <f t="shared" ref="D13:G13" si="2">+D6*D38</f>
        <v>5055360</v>
      </c>
      <c r="E13" s="60">
        <f t="shared" si="2"/>
        <v>2249600</v>
      </c>
      <c r="F13" s="60">
        <f t="shared" si="2"/>
        <v>0</v>
      </c>
      <c r="G13" s="60">
        <f t="shared" si="2"/>
        <v>0</v>
      </c>
      <c r="H13" s="60">
        <f t="shared" si="0"/>
        <v>9251840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166">
        <v>8</v>
      </c>
      <c r="B14" s="61" t="s">
        <v>45</v>
      </c>
      <c r="C14" s="60">
        <f>SUM(C11:C13)</f>
        <v>3918096</v>
      </c>
      <c r="D14" s="60">
        <f t="shared" ref="D14:G14" si="3">SUM(D11:D13)</f>
        <v>10173912</v>
      </c>
      <c r="E14" s="60">
        <f t="shared" si="3"/>
        <v>4527320</v>
      </c>
      <c r="F14" s="60">
        <f t="shared" si="3"/>
        <v>0</v>
      </c>
      <c r="G14" s="60">
        <f t="shared" si="3"/>
        <v>0</v>
      </c>
      <c r="H14" s="60">
        <f t="shared" si="0"/>
        <v>18619328</v>
      </c>
      <c r="S14" s="61" t="s">
        <v>45</v>
      </c>
      <c r="AI14" s="58" t="s">
        <v>46</v>
      </c>
      <c r="AJ14" s="61" t="s">
        <v>45</v>
      </c>
    </row>
    <row r="15" spans="1:37">
      <c r="A15" s="166">
        <v>9</v>
      </c>
      <c r="B15" s="61" t="s">
        <v>47</v>
      </c>
      <c r="C15" s="60">
        <f>+C9-C10-C14</f>
        <v>6160051.4999999981</v>
      </c>
      <c r="D15" s="60">
        <f t="shared" ref="D15:G15" si="4">+D9-D10-D14</f>
        <v>6822584.25</v>
      </c>
      <c r="E15" s="60">
        <f t="shared" si="4"/>
        <v>4733411.25</v>
      </c>
      <c r="F15" s="60">
        <f t="shared" si="4"/>
        <v>0</v>
      </c>
      <c r="G15" s="60">
        <f t="shared" si="4"/>
        <v>0</v>
      </c>
      <c r="H15" s="60">
        <f t="shared" si="0"/>
        <v>17716047</v>
      </c>
      <c r="S15" s="61" t="s">
        <v>47</v>
      </c>
      <c r="AI15" s="58" t="s">
        <v>48</v>
      </c>
      <c r="AJ15" s="61" t="s">
        <v>47</v>
      </c>
    </row>
    <row r="16" spans="1:37">
      <c r="A16" s="166">
        <v>10</v>
      </c>
      <c r="B16" s="58" t="s">
        <v>49</v>
      </c>
      <c r="C16" s="62">
        <f>+C15/C9</f>
        <v>0.23618609046177533</v>
      </c>
      <c r="D16" s="62">
        <f t="shared" ref="D16:H16" si="5">+D15/D9</f>
        <v>0.11942858264420413</v>
      </c>
      <c r="E16" s="62">
        <f t="shared" si="5"/>
        <v>0.15706452072502056</v>
      </c>
      <c r="F16" s="62" t="e">
        <f t="shared" si="5"/>
        <v>#DIV/0!</v>
      </c>
      <c r="G16" s="62" t="e">
        <f t="shared" si="5"/>
        <v>#DIV/0!</v>
      </c>
      <c r="H16" s="62">
        <f t="shared" si="5"/>
        <v>0.15630200633067323</v>
      </c>
      <c r="S16" s="58" t="s">
        <v>49</v>
      </c>
      <c r="AI16" s="58" t="s">
        <v>50</v>
      </c>
      <c r="AJ16" s="58" t="s">
        <v>49</v>
      </c>
    </row>
    <row r="17" spans="1:37">
      <c r="A17" s="166">
        <v>11</v>
      </c>
      <c r="B17" s="58" t="s">
        <v>51</v>
      </c>
      <c r="C17" s="60">
        <f>C6*C43+C18</f>
        <v>1321308</v>
      </c>
      <c r="D17" s="60">
        <f>D6*D43+D18</f>
        <v>3329706</v>
      </c>
      <c r="E17" s="60">
        <f>E6*E43+E18</f>
        <v>1650910</v>
      </c>
      <c r="F17" s="60">
        <f>F6*F43+F18</f>
        <v>0</v>
      </c>
      <c r="G17" s="60">
        <f>G6*G43+G18</f>
        <v>0</v>
      </c>
      <c r="H17" s="60">
        <f>SUM(C17:G17)</f>
        <v>6301924</v>
      </c>
      <c r="I17" s="75"/>
      <c r="S17" s="58" t="s">
        <v>51</v>
      </c>
      <c r="AI17" s="58" t="s">
        <v>52</v>
      </c>
      <c r="AJ17" s="58" t="s">
        <v>51</v>
      </c>
    </row>
    <row r="18" spans="1:37" s="51" customFormat="1">
      <c r="A18" s="166">
        <v>12</v>
      </c>
      <c r="B18" s="63" t="s">
        <v>158</v>
      </c>
      <c r="C18" s="64">
        <f>$H$18/$H$6*C6</f>
        <v>92340</v>
      </c>
      <c r="D18" s="64">
        <f>$H$18/$H$6*D6</f>
        <v>138510</v>
      </c>
      <c r="E18" s="64">
        <f>$H$18/$H$6*E6</f>
        <v>230850</v>
      </c>
      <c r="F18" s="64">
        <f>$H$18/$H$6*F6</f>
        <v>0</v>
      </c>
      <c r="G18" s="64">
        <f>$H$18/$H$6*G6</f>
        <v>0</v>
      </c>
      <c r="H18" s="64">
        <f>项目投资!D26</f>
        <v>461700</v>
      </c>
      <c r="I18" s="76" t="s">
        <v>159</v>
      </c>
      <c r="J18" s="76"/>
      <c r="K18" s="76"/>
    </row>
    <row r="19" spans="1:37">
      <c r="A19" s="166">
        <v>13</v>
      </c>
      <c r="B19" s="58" t="s">
        <v>53</v>
      </c>
      <c r="C19" s="60">
        <f>C6*C44</f>
        <v>161225.99999999997</v>
      </c>
      <c r="D19" s="60">
        <f>D6*D44</f>
        <v>418647</v>
      </c>
      <c r="E19" s="60">
        <f>E6*E44</f>
        <v>186295</v>
      </c>
      <c r="F19" s="60">
        <f>F6*F44</f>
        <v>0</v>
      </c>
      <c r="G19" s="60">
        <f>G6*G44</f>
        <v>0</v>
      </c>
      <c r="H19" s="60">
        <f>SUM(C19:G19)</f>
        <v>766168</v>
      </c>
      <c r="I19" s="51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166">
        <v>14</v>
      </c>
      <c r="B20" s="58" t="s">
        <v>55</v>
      </c>
      <c r="C20" s="60">
        <f>C6*C45</f>
        <v>709412.652</v>
      </c>
      <c r="D20" s="60">
        <f>D6*D45</f>
        <v>1553851.578</v>
      </c>
      <c r="E20" s="60">
        <f>E6*E45</f>
        <v>956079.99999999988</v>
      </c>
      <c r="F20" s="60">
        <f>F6*F45</f>
        <v>0</v>
      </c>
      <c r="G20" s="60">
        <f>G6*G45</f>
        <v>0</v>
      </c>
      <c r="H20" s="60">
        <f>SUM(C20:G20)</f>
        <v>3219344.23</v>
      </c>
      <c r="S20" s="58" t="s">
        <v>55</v>
      </c>
      <c r="AI20" s="58" t="s">
        <v>56</v>
      </c>
      <c r="AJ20" s="58" t="s">
        <v>55</v>
      </c>
    </row>
    <row r="21" spans="1:37">
      <c r="A21" s="166">
        <v>15</v>
      </c>
      <c r="B21" s="58" t="s">
        <v>57</v>
      </c>
      <c r="C21" s="65">
        <f>$H$21/$H$6*C6</f>
        <v>12000</v>
      </c>
      <c r="D21" s="65">
        <f>$H$21/$H$6*D6</f>
        <v>18000</v>
      </c>
      <c r="E21" s="65">
        <f>$H$21/$H$6*E6</f>
        <v>30000</v>
      </c>
      <c r="F21" s="65">
        <f>$H$21/$H$6*F6</f>
        <v>0</v>
      </c>
      <c r="G21" s="65">
        <f>$H$21/$H$6*G6</f>
        <v>0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166">
        <v>16</v>
      </c>
      <c r="B22" s="58" t="s">
        <v>58</v>
      </c>
      <c r="C22" s="60">
        <f>C6*C47</f>
        <v>912599.99999999988</v>
      </c>
      <c r="D22" s="60">
        <f>D6*D47</f>
        <v>1368899.9999999998</v>
      </c>
      <c r="E22" s="60">
        <f>E6*E47</f>
        <v>2281500</v>
      </c>
      <c r="F22" s="60">
        <f>F6*F47</f>
        <v>0</v>
      </c>
      <c r="G22" s="60">
        <f>G6*G47</f>
        <v>0</v>
      </c>
      <c r="H22" s="60">
        <f>+SUM(C22:G22)</f>
        <v>4563000</v>
      </c>
      <c r="S22" s="58" t="s">
        <v>58</v>
      </c>
      <c r="AI22" s="58" t="s">
        <v>59</v>
      </c>
      <c r="AJ22" s="58" t="s">
        <v>58</v>
      </c>
    </row>
    <row r="23" spans="1:37">
      <c r="A23" s="166">
        <v>17</v>
      </c>
      <c r="B23" s="61" t="s">
        <v>60</v>
      </c>
      <c r="C23" s="65">
        <f>+C22+C21+C20+C19+C17</f>
        <v>3116546.6519999998</v>
      </c>
      <c r="D23" s="65">
        <f>+D22+D21+D20+D19+D17</f>
        <v>6689104.5779999997</v>
      </c>
      <c r="E23" s="65">
        <f>+E22+E21+E20+E19+E17</f>
        <v>5104785</v>
      </c>
      <c r="F23" s="65">
        <f>+F22+F21+F20+F19+F17</f>
        <v>0</v>
      </c>
      <c r="G23" s="65">
        <f>+G22+G21+G20+G19+G17</f>
        <v>0</v>
      </c>
      <c r="H23" s="65">
        <f t="shared" ref="H23" si="6">+H22+H21+H20+H19+H17</f>
        <v>14910436.23</v>
      </c>
      <c r="S23" s="61" t="s">
        <v>60</v>
      </c>
      <c r="AI23" s="58" t="s">
        <v>61</v>
      </c>
      <c r="AJ23" s="61" t="s">
        <v>60</v>
      </c>
    </row>
    <row r="24" spans="1:37">
      <c r="A24" s="166">
        <v>18</v>
      </c>
      <c r="B24" s="66" t="s">
        <v>62</v>
      </c>
      <c r="C24" s="65">
        <f>+C15-C23</f>
        <v>3043504.8479999984</v>
      </c>
      <c r="D24" s="65">
        <f>+D15-D23</f>
        <v>133479.67200000025</v>
      </c>
      <c r="E24" s="65">
        <f>+E15-E23</f>
        <v>-371373.75</v>
      </c>
      <c r="F24" s="65">
        <f>+F15-F23</f>
        <v>0</v>
      </c>
      <c r="G24" s="65">
        <f>+G15-G23</f>
        <v>0</v>
      </c>
      <c r="H24" s="65">
        <f t="shared" ref="H24" si="7">+H15-H23</f>
        <v>2805610.7699999996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166">
        <v>19</v>
      </c>
      <c r="B25" s="58" t="s">
        <v>160</v>
      </c>
      <c r="C25" s="65">
        <f>IF(C24&lt;0,0,C24*0.25)</f>
        <v>760876.21199999959</v>
      </c>
      <c r="D25" s="65">
        <f>IF(D24&lt;0,0,D24*0.25)</f>
        <v>33369.918000000063</v>
      </c>
      <c r="E25" s="65">
        <f>IF(E24&lt;0,0,E24*0.25)</f>
        <v>0</v>
      </c>
      <c r="F25" s="65">
        <f>IF(F24&lt;0,0,F24*0.25)</f>
        <v>0</v>
      </c>
      <c r="G25" s="65">
        <f>IF(G24&lt;0,0,G24*0.25)</f>
        <v>0</v>
      </c>
      <c r="H25" s="65">
        <f t="shared" ref="H25" si="8">IF(H24&lt;0,0,H24*0.25)</f>
        <v>701402.69249999989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166">
        <v>20</v>
      </c>
      <c r="B26" s="58" t="s">
        <v>66</v>
      </c>
      <c r="C26" s="65">
        <f t="shared" ref="C26" si="9">C24-C25</f>
        <v>2282628.635999999</v>
      </c>
      <c r="D26" s="65">
        <f>D24-D25</f>
        <v>100109.75400000019</v>
      </c>
      <c r="E26" s="65">
        <f>E24-E25</f>
        <v>-371373.75</v>
      </c>
      <c r="F26" s="65">
        <f>F24-F25</f>
        <v>0</v>
      </c>
      <c r="G26" s="65">
        <f>G24-G25</f>
        <v>0</v>
      </c>
      <c r="H26" s="60">
        <f>+SUM(C26:G26)</f>
        <v>2011364.6399999992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166">
        <v>21</v>
      </c>
      <c r="B27" s="58" t="s">
        <v>70</v>
      </c>
      <c r="C27" s="67">
        <f t="shared" ref="C27:H27" si="10">C26/C7</f>
        <v>7.5037101775147899E-2</v>
      </c>
      <c r="D27" s="67">
        <f t="shared" si="10"/>
        <v>1.5024726699684856E-3</v>
      </c>
      <c r="E27" s="67">
        <f t="shared" si="10"/>
        <v>-1.0565398293029871E-2</v>
      </c>
      <c r="F27" s="67" t="e">
        <f t="shared" si="10"/>
        <v>#DIV/0!</v>
      </c>
      <c r="G27" s="67" t="e">
        <f t="shared" si="10"/>
        <v>#DIV/0!</v>
      </c>
      <c r="H27" s="67">
        <f t="shared" si="10"/>
        <v>1.5214558547655061E-2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166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166">
        <v>2</v>
      </c>
      <c r="B32" s="58" t="s">
        <v>162</v>
      </c>
      <c r="C32" s="60">
        <f>C9/C6</f>
        <v>1304.0673750000001</v>
      </c>
      <c r="D32" s="60">
        <f>D9/D6</f>
        <v>1904.229875</v>
      </c>
      <c r="E32" s="60">
        <f t="shared" ref="E32:G32" si="11">E31*1</f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166">
        <v>3</v>
      </c>
      <c r="B33" s="63" t="s">
        <v>80</v>
      </c>
      <c r="C33" s="60">
        <f>材料成本!D18</f>
        <v>800.16000000000008</v>
      </c>
      <c r="D33" s="60">
        <f>材料成本!E18</f>
        <v>1337.68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166">
        <v>4</v>
      </c>
      <c r="B34" s="58" t="s">
        <v>82</v>
      </c>
      <c r="C34" s="70">
        <f>C32-C33</f>
        <v>503.907375</v>
      </c>
      <c r="D34" s="70">
        <f t="shared" ref="D34:G34" si="12">D32-D33</f>
        <v>566.54987499999993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166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标准成本!E30</f>
        <v>30.299299999999999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166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标准成本!E32</f>
        <v>15.255100000000001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166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标准成本!E36</f>
        <v>44.992000000000004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166">
        <v>1</v>
      </c>
      <c r="B40" s="58" t="s">
        <v>91</v>
      </c>
      <c r="C40" s="65">
        <f>C34-C36-C37-C38</f>
        <v>308.00257500000004</v>
      </c>
      <c r="D40" s="65">
        <f t="shared" ref="D40:G40" si="14">D34-D36-D37-D38</f>
        <v>227.41947499999992</v>
      </c>
      <c r="E40" s="65">
        <f t="shared" si="14"/>
        <v>194.93360000000001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166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166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标准成本!E31</f>
        <v>28.401199999999999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166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标准成本!E35</f>
        <v>3.7259000000000002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166">
        <v>3</v>
      </c>
      <c r="B45" s="66" t="s">
        <v>97</v>
      </c>
      <c r="C45" s="64">
        <f>C32*0.0272</f>
        <v>35.470632600000002</v>
      </c>
      <c r="D45" s="64">
        <f>D32*0.0272</f>
        <v>51.795052599999998</v>
      </c>
      <c r="E45" s="64">
        <f>E32*0.0272</f>
        <v>19.121599999999997</v>
      </c>
      <c r="F45" s="64">
        <f t="shared" ref="F45" si="16">F32*0.034</f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166">
        <v>4</v>
      </c>
      <c r="B46" s="66" t="s">
        <v>98</v>
      </c>
      <c r="C46" s="71">
        <f>C21/C6</f>
        <v>0.6</v>
      </c>
      <c r="D46" s="71">
        <f>D21/D6</f>
        <v>0.6</v>
      </c>
      <c r="E46" s="71">
        <f>E21/E6</f>
        <v>0.6</v>
      </c>
      <c r="F46" s="71" t="e">
        <f>F21/F6</f>
        <v>#DIV/0!</v>
      </c>
      <c r="G46" s="71" t="e">
        <f>G21/G6</f>
        <v>#DIV/0!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166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>
        <f>C40-C43-C44-C45-C47-C46</f>
        <v>156.79224240000005</v>
      </c>
      <c r="D48" s="65">
        <f>D40-D43-D44-D45-D47-D46</f>
        <v>9.0663223999999349</v>
      </c>
      <c r="E48" s="65">
        <f>E40-E43-E44-E45-E47-E46</f>
        <v>97.454900000000038</v>
      </c>
      <c r="F48" s="65" t="e">
        <f>F40-F43-F44-F45-F47-F46</f>
        <v>#DIV/0!</v>
      </c>
      <c r="G48" s="65" t="e">
        <f>G40-G43-G44-G45-G47-G46</f>
        <v>#DIV/0!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38" activePane="bottomRight" state="frozen"/>
      <selection pane="topRight"/>
      <selection pane="bottomLeft"/>
      <selection pane="bottomRight" activeCell="H51" sqref="H51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5" width="15.5" style="54" customWidth="1"/>
    <col min="6" max="7" width="15.5" style="54" hidden="1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251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204" t="s">
        <v>268</v>
      </c>
      <c r="D2" s="204"/>
      <c r="E2" s="204"/>
      <c r="F2" s="204"/>
      <c r="G2" s="204"/>
      <c r="H2" s="204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168">
        <f>销量!G5</f>
        <v>0</v>
      </c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168">
        <f>销量!G6</f>
        <v>0</v>
      </c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>
        <f>销量!C13</f>
        <v>20000</v>
      </c>
      <c r="D6" s="25">
        <f>销量!D13</f>
        <v>30000</v>
      </c>
      <c r="E6" s="25">
        <f>销量!E13</f>
        <v>50000</v>
      </c>
      <c r="F6" s="25">
        <f>销量!F9</f>
        <v>0</v>
      </c>
      <c r="G6" s="25">
        <f>销量!G9</f>
        <v>0</v>
      </c>
      <c r="H6" s="60">
        <f t="shared" ref="H6:H15" si="0">+SUM(C6:G6)</f>
        <v>100000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166">
        <v>1</v>
      </c>
      <c r="B7" s="59" t="s">
        <v>28</v>
      </c>
      <c r="C7" s="60">
        <f>C6*销量!C8</f>
        <v>30420000</v>
      </c>
      <c r="D7" s="60">
        <f>D6*销量!D8</f>
        <v>66630000</v>
      </c>
      <c r="E7" s="60">
        <f>E6*销量!E8</f>
        <v>35150000</v>
      </c>
      <c r="F7" s="60">
        <f>F6*销量!F8</f>
        <v>0</v>
      </c>
      <c r="G7" s="60">
        <f>G6*销量!G8</f>
        <v>0</v>
      </c>
      <c r="H7" s="60">
        <f t="shared" si="0"/>
        <v>132200000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166">
        <v>2</v>
      </c>
      <c r="B8" s="166" t="s">
        <v>30</v>
      </c>
      <c r="C8" s="60">
        <f>C7*(1-销量!$L$10)</f>
        <v>5642719.8750000037</v>
      </c>
      <c r="D8" s="60">
        <f>D7*(1-销量!$L$10)</f>
        <v>12359448.562500007</v>
      </c>
      <c r="E8" s="60">
        <f>E7*(1-销量!$L$10)</f>
        <v>6520105.3125000047</v>
      </c>
      <c r="F8" s="60"/>
      <c r="G8" s="60"/>
      <c r="H8" s="60">
        <f t="shared" si="0"/>
        <v>24522273.750000015</v>
      </c>
      <c r="I8" s="75"/>
      <c r="S8" s="166" t="s">
        <v>32</v>
      </c>
      <c r="AI8" s="58" t="s">
        <v>31</v>
      </c>
      <c r="AJ8" s="166" t="s">
        <v>32</v>
      </c>
      <c r="AK8" s="53" t="s">
        <v>27</v>
      </c>
    </row>
    <row r="9" spans="1:37">
      <c r="A9" s="166">
        <v>3</v>
      </c>
      <c r="B9" s="59" t="s">
        <v>33</v>
      </c>
      <c r="C9" s="60">
        <f>+C7-C8</f>
        <v>24777280.124999996</v>
      </c>
      <c r="D9" s="60">
        <f t="shared" ref="D9:G9" si="1">+D7-D8</f>
        <v>54270551.437499993</v>
      </c>
      <c r="E9" s="60">
        <f t="shared" si="1"/>
        <v>28629894.687499996</v>
      </c>
      <c r="F9" s="60">
        <f t="shared" si="1"/>
        <v>0</v>
      </c>
      <c r="G9" s="60">
        <f t="shared" si="1"/>
        <v>0</v>
      </c>
      <c r="H9" s="60">
        <f t="shared" si="0"/>
        <v>107677726.24999999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166">
        <v>4</v>
      </c>
      <c r="B10" s="58" t="s">
        <v>36</v>
      </c>
      <c r="C10" s="60">
        <f>C6*材料成本!D18</f>
        <v>16003200.000000002</v>
      </c>
      <c r="D10" s="60">
        <f>D6*材料成本!E18</f>
        <v>40130400</v>
      </c>
      <c r="E10" s="60">
        <f>E6*材料成本!F18</f>
        <v>20876000</v>
      </c>
      <c r="F10" s="60">
        <f>F6*材料成本!G18</f>
        <v>0</v>
      </c>
      <c r="G10" s="60">
        <f>G6*材料成本!H18</f>
        <v>0</v>
      </c>
      <c r="H10" s="60">
        <f t="shared" si="0"/>
        <v>77009600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166">
        <v>5</v>
      </c>
      <c r="B11" s="58" t="s">
        <v>39</v>
      </c>
      <c r="C11" s="60">
        <f>+C6*C36</f>
        <v>1311102</v>
      </c>
      <c r="D11" s="60">
        <f>+D6*D36</f>
        <v>3404469</v>
      </c>
      <c r="E11" s="60">
        <f>+E6*E36</f>
        <v>1514965</v>
      </c>
      <c r="F11" s="60">
        <f>+F6*F36</f>
        <v>0</v>
      </c>
      <c r="G11" s="60">
        <f>+G6*G36</f>
        <v>0</v>
      </c>
      <c r="H11" s="60">
        <f t="shared" si="0"/>
        <v>6230536</v>
      </c>
      <c r="S11" s="58" t="s">
        <v>39</v>
      </c>
      <c r="AI11" s="58" t="s">
        <v>40</v>
      </c>
      <c r="AJ11" s="58" t="s">
        <v>39</v>
      </c>
    </row>
    <row r="12" spans="1:37">
      <c r="A12" s="166">
        <v>6</v>
      </c>
      <c r="B12" s="58" t="s">
        <v>41</v>
      </c>
      <c r="C12" s="60">
        <f>+C6*C37</f>
        <v>660114</v>
      </c>
      <c r="D12" s="60">
        <f>+D6*D37</f>
        <v>1714083</v>
      </c>
      <c r="E12" s="60">
        <f>+E6*E37</f>
        <v>762755</v>
      </c>
      <c r="F12" s="60">
        <f>+F6*F37</f>
        <v>0</v>
      </c>
      <c r="G12" s="60">
        <f>+G6*G37</f>
        <v>0</v>
      </c>
      <c r="H12" s="60">
        <f t="shared" si="0"/>
        <v>3136952</v>
      </c>
      <c r="S12" s="58" t="s">
        <v>41</v>
      </c>
      <c r="AI12" s="58" t="s">
        <v>42</v>
      </c>
      <c r="AJ12" s="58" t="s">
        <v>41</v>
      </c>
    </row>
    <row r="13" spans="1:37">
      <c r="A13" s="166">
        <v>7</v>
      </c>
      <c r="B13" s="58" t="s">
        <v>43</v>
      </c>
      <c r="C13" s="60">
        <f>+C6*C38</f>
        <v>1946880.0000000002</v>
      </c>
      <c r="D13" s="60">
        <f t="shared" ref="D13:G13" si="2">+D6*D38</f>
        <v>5055360</v>
      </c>
      <c r="E13" s="60">
        <f t="shared" si="2"/>
        <v>2249600</v>
      </c>
      <c r="F13" s="60">
        <f t="shared" si="2"/>
        <v>0</v>
      </c>
      <c r="G13" s="60">
        <f t="shared" si="2"/>
        <v>0</v>
      </c>
      <c r="H13" s="60">
        <f t="shared" si="0"/>
        <v>9251840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166">
        <v>8</v>
      </c>
      <c r="B14" s="61" t="s">
        <v>45</v>
      </c>
      <c r="C14" s="60">
        <f>SUM(C11:C13)</f>
        <v>3918096</v>
      </c>
      <c r="D14" s="60">
        <f t="shared" ref="D14:G14" si="3">SUM(D11:D13)</f>
        <v>10173912</v>
      </c>
      <c r="E14" s="60">
        <f t="shared" si="3"/>
        <v>4527320</v>
      </c>
      <c r="F14" s="60">
        <f t="shared" si="3"/>
        <v>0</v>
      </c>
      <c r="G14" s="60">
        <f t="shared" si="3"/>
        <v>0</v>
      </c>
      <c r="H14" s="60">
        <f t="shared" si="0"/>
        <v>18619328</v>
      </c>
      <c r="S14" s="61" t="s">
        <v>45</v>
      </c>
      <c r="AI14" s="58" t="s">
        <v>46</v>
      </c>
      <c r="AJ14" s="61" t="s">
        <v>45</v>
      </c>
    </row>
    <row r="15" spans="1:37">
      <c r="A15" s="166">
        <v>9</v>
      </c>
      <c r="B15" s="61" t="s">
        <v>47</v>
      </c>
      <c r="C15" s="60">
        <f>+C9-C10-C14</f>
        <v>4855984.1249999944</v>
      </c>
      <c r="D15" s="60">
        <f t="shared" ref="D15:G15" si="4">+D9-D10-D14</f>
        <v>3966239.4374999925</v>
      </c>
      <c r="E15" s="60">
        <f t="shared" si="4"/>
        <v>3226574.6874999963</v>
      </c>
      <c r="F15" s="60">
        <f t="shared" si="4"/>
        <v>0</v>
      </c>
      <c r="G15" s="60">
        <f t="shared" si="4"/>
        <v>0</v>
      </c>
      <c r="H15" s="60">
        <f t="shared" si="0"/>
        <v>12048798.249999983</v>
      </c>
      <c r="S15" s="61" t="s">
        <v>47</v>
      </c>
      <c r="AI15" s="58" t="s">
        <v>48</v>
      </c>
      <c r="AJ15" s="61" t="s">
        <v>47</v>
      </c>
    </row>
    <row r="16" spans="1:37">
      <c r="A16" s="166">
        <v>10</v>
      </c>
      <c r="B16" s="58" t="s">
        <v>49</v>
      </c>
      <c r="C16" s="62">
        <f>+C15/C9</f>
        <v>0.19598535838081602</v>
      </c>
      <c r="D16" s="62">
        <f t="shared" ref="D16:H16" si="5">+D15/D9</f>
        <v>7.3082718572846331E-2</v>
      </c>
      <c r="E16" s="62">
        <f t="shared" si="5"/>
        <v>0.11269949550002153</v>
      </c>
      <c r="F16" s="62" t="e">
        <f t="shared" si="5"/>
        <v>#DIV/0!</v>
      </c>
      <c r="G16" s="62" t="e">
        <f t="shared" si="5"/>
        <v>#DIV/0!</v>
      </c>
      <c r="H16" s="62">
        <f t="shared" si="5"/>
        <v>0.11189684876912959</v>
      </c>
      <c r="S16" s="58" t="s">
        <v>49</v>
      </c>
      <c r="AI16" s="58" t="s">
        <v>50</v>
      </c>
      <c r="AJ16" s="58" t="s">
        <v>49</v>
      </c>
    </row>
    <row r="17" spans="1:37">
      <c r="A17" s="166">
        <v>11</v>
      </c>
      <c r="B17" s="58" t="s">
        <v>51</v>
      </c>
      <c r="C17" s="60">
        <f>C6*C43+C18</f>
        <v>1321308</v>
      </c>
      <c r="D17" s="60">
        <f>D6*D43+D18</f>
        <v>3329706</v>
      </c>
      <c r="E17" s="60">
        <f>E6*E43+E18</f>
        <v>1650910</v>
      </c>
      <c r="F17" s="60">
        <f>F6*F43+F18</f>
        <v>0</v>
      </c>
      <c r="G17" s="60">
        <f>G6*G43+G18</f>
        <v>0</v>
      </c>
      <c r="H17" s="60">
        <f>SUM(C17:G17)</f>
        <v>6301924</v>
      </c>
      <c r="I17" s="75"/>
      <c r="S17" s="58" t="s">
        <v>51</v>
      </c>
      <c r="AI17" s="58" t="s">
        <v>52</v>
      </c>
      <c r="AJ17" s="58" t="s">
        <v>51</v>
      </c>
    </row>
    <row r="18" spans="1:37" s="51" customFormat="1">
      <c r="A18" s="166">
        <v>12</v>
      </c>
      <c r="B18" s="63" t="s">
        <v>158</v>
      </c>
      <c r="C18" s="64">
        <f>$H$18/$H$6*C6</f>
        <v>92340</v>
      </c>
      <c r="D18" s="64">
        <f>$H$18/$H$6*D6</f>
        <v>138510</v>
      </c>
      <c r="E18" s="64">
        <f>$H$18/$H$6*E6</f>
        <v>230850</v>
      </c>
      <c r="F18" s="64">
        <f>$H$18/$H$6*F6</f>
        <v>0</v>
      </c>
      <c r="G18" s="64">
        <f>$H$18/$H$6*G6</f>
        <v>0</v>
      </c>
      <c r="H18" s="64">
        <f>项目投资!D26</f>
        <v>461700</v>
      </c>
      <c r="I18" s="76" t="s">
        <v>159</v>
      </c>
      <c r="J18" s="76"/>
      <c r="K18" s="76"/>
    </row>
    <row r="19" spans="1:37">
      <c r="A19" s="166">
        <v>13</v>
      </c>
      <c r="B19" s="58" t="s">
        <v>53</v>
      </c>
      <c r="C19" s="60">
        <f>C6*C44</f>
        <v>161225.99999999997</v>
      </c>
      <c r="D19" s="60">
        <f>D6*D44</f>
        <v>418647</v>
      </c>
      <c r="E19" s="60">
        <f>E6*E44</f>
        <v>186295</v>
      </c>
      <c r="F19" s="60">
        <f>F6*F44</f>
        <v>0</v>
      </c>
      <c r="G19" s="60">
        <f>G6*G44</f>
        <v>0</v>
      </c>
      <c r="H19" s="60">
        <f>SUM(C19:G19)</f>
        <v>766168</v>
      </c>
      <c r="I19" s="51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166">
        <v>14</v>
      </c>
      <c r="B20" s="58" t="s">
        <v>55</v>
      </c>
      <c r="C20" s="60">
        <f>C6*C45</f>
        <v>673942.01939999987</v>
      </c>
      <c r="D20" s="60">
        <f>D6*D45</f>
        <v>1476158.9990999997</v>
      </c>
      <c r="E20" s="60">
        <f>E6*E45</f>
        <v>956079.99999999988</v>
      </c>
      <c r="F20" s="60">
        <f>F6*F45</f>
        <v>0</v>
      </c>
      <c r="G20" s="60">
        <f>G6*G45</f>
        <v>0</v>
      </c>
      <c r="H20" s="60">
        <f>SUM(C20:G20)</f>
        <v>3106181.0184999993</v>
      </c>
      <c r="S20" s="58" t="s">
        <v>55</v>
      </c>
      <c r="AI20" s="58" t="s">
        <v>56</v>
      </c>
      <c r="AJ20" s="58" t="s">
        <v>55</v>
      </c>
    </row>
    <row r="21" spans="1:37">
      <c r="A21" s="166">
        <v>15</v>
      </c>
      <c r="B21" s="58" t="s">
        <v>57</v>
      </c>
      <c r="C21" s="65">
        <f>$H$21/$H$6*C6</f>
        <v>12000</v>
      </c>
      <c r="D21" s="65">
        <f>$H$21/$H$6*D6</f>
        <v>18000</v>
      </c>
      <c r="E21" s="65">
        <f>$H$21/$H$6*E6</f>
        <v>30000</v>
      </c>
      <c r="F21" s="65">
        <f>$H$21/$H$6*F6</f>
        <v>0</v>
      </c>
      <c r="G21" s="65">
        <f>$H$21/$H$6*G6</f>
        <v>0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166">
        <v>16</v>
      </c>
      <c r="B22" s="58" t="s">
        <v>58</v>
      </c>
      <c r="C22" s="60">
        <f>C6*C47</f>
        <v>912599.99999999988</v>
      </c>
      <c r="D22" s="60">
        <f>D6*D47</f>
        <v>1368899.9999999998</v>
      </c>
      <c r="E22" s="60">
        <f>E6*E47</f>
        <v>2281500</v>
      </c>
      <c r="F22" s="60">
        <f>F6*F47</f>
        <v>0</v>
      </c>
      <c r="G22" s="60">
        <f>G6*G47</f>
        <v>0</v>
      </c>
      <c r="H22" s="60">
        <f>+SUM(C22:G22)</f>
        <v>4563000</v>
      </c>
      <c r="S22" s="58" t="s">
        <v>58</v>
      </c>
      <c r="AI22" s="58" t="s">
        <v>59</v>
      </c>
      <c r="AJ22" s="58" t="s">
        <v>58</v>
      </c>
    </row>
    <row r="23" spans="1:37">
      <c r="A23" s="166">
        <v>17</v>
      </c>
      <c r="B23" s="61" t="s">
        <v>60</v>
      </c>
      <c r="C23" s="65">
        <f>+C22+C21+C20+C19+C17</f>
        <v>3081076.0193999996</v>
      </c>
      <c r="D23" s="65">
        <f>+D22+D21+D20+D19+D17</f>
        <v>6611411.9990999997</v>
      </c>
      <c r="E23" s="65">
        <f>+E22+E21+E20+E19+E17</f>
        <v>5104785</v>
      </c>
      <c r="F23" s="65">
        <f>+F22+F21+F20+F19+F17</f>
        <v>0</v>
      </c>
      <c r="G23" s="65">
        <f>+G22+G21+G20+G19+G17</f>
        <v>0</v>
      </c>
      <c r="H23" s="65">
        <f t="shared" ref="H23" si="6">+H22+H21+H20+H19+H17</f>
        <v>14797273.0185</v>
      </c>
      <c r="S23" s="61" t="s">
        <v>60</v>
      </c>
      <c r="AI23" s="58" t="s">
        <v>61</v>
      </c>
      <c r="AJ23" s="61" t="s">
        <v>60</v>
      </c>
    </row>
    <row r="24" spans="1:37">
      <c r="A24" s="166">
        <v>18</v>
      </c>
      <c r="B24" s="66" t="s">
        <v>62</v>
      </c>
      <c r="C24" s="65">
        <f>+C15-C23</f>
        <v>1774908.1055999948</v>
      </c>
      <c r="D24" s="65">
        <f>+D15-D23</f>
        <v>-2645172.5616000071</v>
      </c>
      <c r="E24" s="65">
        <f>+E15-E23</f>
        <v>-1878210.3125000037</v>
      </c>
      <c r="F24" s="65">
        <f>+F15-F23</f>
        <v>0</v>
      </c>
      <c r="G24" s="65">
        <f>+G15-G23</f>
        <v>0</v>
      </c>
      <c r="H24" s="65">
        <f t="shared" ref="H24" si="7">+H15-H23</f>
        <v>-2748474.768500017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166">
        <v>19</v>
      </c>
      <c r="B25" s="58" t="s">
        <v>160</v>
      </c>
      <c r="C25" s="65">
        <f>IF(C24&lt;0,0,C24*0.25)</f>
        <v>443727.02639999869</v>
      </c>
      <c r="D25" s="65">
        <f>IF(D24&lt;0,0,D24*0.25)</f>
        <v>0</v>
      </c>
      <c r="E25" s="65">
        <f>IF(E24&lt;0,0,E24*0.25)</f>
        <v>0</v>
      </c>
      <c r="F25" s="65">
        <f>IF(F24&lt;0,0,F24*0.25)</f>
        <v>0</v>
      </c>
      <c r="G25" s="65">
        <f>IF(G24&lt;0,0,G24*0.25)</f>
        <v>0</v>
      </c>
      <c r="H25" s="65">
        <f t="shared" ref="H25" si="8">IF(H24&lt;0,0,H24*0.25)</f>
        <v>0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166">
        <v>20</v>
      </c>
      <c r="B26" s="58" t="s">
        <v>66</v>
      </c>
      <c r="C26" s="65">
        <f t="shared" ref="C26" si="9">C24-C25</f>
        <v>1331181.0791999961</v>
      </c>
      <c r="D26" s="65">
        <f>D24-D25</f>
        <v>-2645172.5616000071</v>
      </c>
      <c r="E26" s="65">
        <f>E24-E25</f>
        <v>-1878210.3125000037</v>
      </c>
      <c r="F26" s="65">
        <f>F24-F25</f>
        <v>0</v>
      </c>
      <c r="G26" s="65">
        <f>G24-G25</f>
        <v>0</v>
      </c>
      <c r="H26" s="60">
        <f>+SUM(C26:G26)</f>
        <v>-3192201.794900015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166">
        <v>21</v>
      </c>
      <c r="B27" s="58" t="s">
        <v>70</v>
      </c>
      <c r="C27" s="67">
        <f t="shared" ref="C27:H27" si="10">C26/C7</f>
        <v>4.3760061775147803E-2</v>
      </c>
      <c r="D27" s="67">
        <f t="shared" si="10"/>
        <v>-3.9699423106708799E-2</v>
      </c>
      <c r="E27" s="67">
        <f t="shared" si="10"/>
        <v>-5.3434148293029976E-2</v>
      </c>
      <c r="F27" s="67" t="e">
        <f t="shared" si="10"/>
        <v>#DIV/0!</v>
      </c>
      <c r="G27" s="67" t="e">
        <f t="shared" si="10"/>
        <v>#DIV/0!</v>
      </c>
      <c r="H27" s="67">
        <f t="shared" si="10"/>
        <v>-2.4146760929652157E-2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166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166">
        <v>2</v>
      </c>
      <c r="B32" s="58" t="s">
        <v>162</v>
      </c>
      <c r="C32" s="60">
        <f>C9/C6</f>
        <v>1238.8640062499999</v>
      </c>
      <c r="D32" s="60">
        <f>D9/D6</f>
        <v>1809.0183812499997</v>
      </c>
      <c r="E32" s="60">
        <f t="shared" ref="E32:G32" si="11">E31*1</f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166">
        <v>3</v>
      </c>
      <c r="B33" s="63" t="s">
        <v>80</v>
      </c>
      <c r="C33" s="60">
        <f>材料成本!D18</f>
        <v>800.16000000000008</v>
      </c>
      <c r="D33" s="60">
        <f>材料成本!E18</f>
        <v>1337.68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166">
        <v>4</v>
      </c>
      <c r="B34" s="58" t="s">
        <v>82</v>
      </c>
      <c r="C34" s="70">
        <f>C32-C33</f>
        <v>438.70400624999979</v>
      </c>
      <c r="D34" s="70">
        <f t="shared" ref="D34:G34" si="12">D32-D33</f>
        <v>471.33838124999966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166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标准成本!E30</f>
        <v>30.299299999999999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166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标准成本!E32</f>
        <v>15.255100000000001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166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标准成本!E36</f>
        <v>44.992000000000004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166">
        <v>1</v>
      </c>
      <c r="B40" s="58" t="s">
        <v>91</v>
      </c>
      <c r="C40" s="65">
        <f>C34-C36-C37-C38</f>
        <v>242.79920624999983</v>
      </c>
      <c r="D40" s="65">
        <f t="shared" ref="D40:G40" si="14">D34-D36-D37-D38</f>
        <v>132.20798124999965</v>
      </c>
      <c r="E40" s="65">
        <f t="shared" si="14"/>
        <v>194.93360000000001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166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166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标准成本!E31</f>
        <v>28.401199999999999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166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标准成本!E35</f>
        <v>3.7259000000000002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166">
        <v>3</v>
      </c>
      <c r="B45" s="66" t="s">
        <v>97</v>
      </c>
      <c r="C45" s="64">
        <f>C32*0.0272</f>
        <v>33.697100969999994</v>
      </c>
      <c r="D45" s="64">
        <f>D32*0.0272</f>
        <v>49.205299969999992</v>
      </c>
      <c r="E45" s="64">
        <f>E32*0.0272</f>
        <v>19.121599999999997</v>
      </c>
      <c r="F45" s="64">
        <f t="shared" ref="F45" si="16">F32*0.034</f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166">
        <v>4</v>
      </c>
      <c r="B46" s="66" t="s">
        <v>98</v>
      </c>
      <c r="C46" s="71">
        <f>C21/C6</f>
        <v>0.6</v>
      </c>
      <c r="D46" s="71">
        <f>D21/D6</f>
        <v>0.6</v>
      </c>
      <c r="E46" s="71">
        <f>E21/E6</f>
        <v>0.6</v>
      </c>
      <c r="F46" s="71" t="e">
        <f>F21/F6</f>
        <v>#DIV/0!</v>
      </c>
      <c r="G46" s="71" t="e">
        <f>G21/G6</f>
        <v>#DIV/0!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166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>
        <f>C40-C43-C44-C45-C47-C46</f>
        <v>93.362405279999876</v>
      </c>
      <c r="D48" s="65">
        <f>D40-D43-D44-D45-D47-D46</f>
        <v>-83.555418720000333</v>
      </c>
      <c r="E48" s="65">
        <f>E40-E43-E44-E45-E47-E46</f>
        <v>97.454900000000038</v>
      </c>
      <c r="F48" s="65" t="e">
        <f>F40-F43-F44-F45-F47-F46</f>
        <v>#DIV/0!</v>
      </c>
      <c r="G48" s="65" t="e">
        <f>G40-G43-G44-G45-G47-G46</f>
        <v>#DIV/0!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pane xSplit="2" ySplit="7" topLeftCell="C29" activePane="bottomRight" state="frozen"/>
      <selection pane="topRight"/>
      <selection pane="bottomLeft"/>
      <selection pane="bottomRight" activeCell="F38" sqref="F38"/>
    </sheetView>
  </sheetViews>
  <sheetFormatPr defaultColWidth="9" defaultRowHeight="16.5"/>
  <cols>
    <col min="1" max="1" width="5.125" style="53" customWidth="1"/>
    <col min="2" max="2" width="17.5" style="53" customWidth="1"/>
    <col min="3" max="3" width="13.25" style="54" customWidth="1"/>
    <col min="4" max="7" width="15.5" style="54" customWidth="1"/>
    <col min="8" max="8" width="18.75" style="54" customWidth="1"/>
    <col min="9" max="9" width="12.375" style="53" customWidth="1"/>
    <col min="10" max="10" width="10.125" style="53" customWidth="1"/>
    <col min="11" max="17" width="9" style="53" customWidth="1"/>
    <col min="18" max="34" width="9" style="53"/>
    <col min="35" max="35" width="4.375" style="53" customWidth="1"/>
    <col min="36" max="36" width="13.875" style="53" customWidth="1"/>
    <col min="37" max="16384" width="9" style="53"/>
  </cols>
  <sheetData>
    <row r="1" spans="1:37">
      <c r="A1" s="197" t="s">
        <v>151</v>
      </c>
      <c r="B1" s="197"/>
      <c r="C1" s="201" t="s">
        <v>251</v>
      </c>
      <c r="D1" s="202"/>
      <c r="E1" s="202"/>
      <c r="F1" s="202"/>
      <c r="G1" s="202"/>
      <c r="H1" s="203"/>
    </row>
    <row r="2" spans="1:37">
      <c r="A2" s="197" t="s">
        <v>153</v>
      </c>
      <c r="B2" s="197"/>
      <c r="C2" s="204" t="s">
        <v>268</v>
      </c>
      <c r="D2" s="204"/>
      <c r="E2" s="204"/>
      <c r="F2" s="204"/>
      <c r="G2" s="204"/>
      <c r="H2" s="204"/>
    </row>
    <row r="3" spans="1:37">
      <c r="A3" s="197" t="s">
        <v>154</v>
      </c>
      <c r="B3" s="197"/>
      <c r="C3" s="168" t="str">
        <f>销量!C5</f>
        <v>驾驶员座椅</v>
      </c>
      <c r="D3" s="168" t="str">
        <f>销量!D5</f>
        <v>驾驶员座椅</v>
      </c>
      <c r="E3" s="168" t="str">
        <f>销量!E5</f>
        <v>副驾驶员座椅</v>
      </c>
      <c r="F3" s="168">
        <f>销量!F5</f>
        <v>0</v>
      </c>
      <c r="G3" s="168">
        <f>销量!G5</f>
        <v>0</v>
      </c>
      <c r="H3" s="198" t="s">
        <v>25</v>
      </c>
    </row>
    <row r="4" spans="1:37">
      <c r="A4" s="197" t="s">
        <v>155</v>
      </c>
      <c r="B4" s="197"/>
      <c r="C4" s="168" t="str">
        <f>销量!C6</f>
        <v>H668100000001</v>
      </c>
      <c r="D4" s="168" t="str">
        <f>销量!D6</f>
        <v>H668100000002</v>
      </c>
      <c r="E4" s="168" t="str">
        <f>销量!E6</f>
        <v>H668100000011</v>
      </c>
      <c r="F4" s="168">
        <f>销量!F6</f>
        <v>0</v>
      </c>
      <c r="G4" s="168">
        <f>销量!G6</f>
        <v>0</v>
      </c>
      <c r="H4" s="199"/>
    </row>
    <row r="5" spans="1:37">
      <c r="A5" s="197" t="s">
        <v>156</v>
      </c>
      <c r="B5" s="197"/>
      <c r="C5" s="57"/>
      <c r="D5" s="57"/>
      <c r="E5" s="57"/>
      <c r="F5" s="57"/>
      <c r="G5" s="57"/>
      <c r="H5" s="200"/>
      <c r="AK5" s="53" t="s">
        <v>26</v>
      </c>
    </row>
    <row r="6" spans="1:37" ht="17.25">
      <c r="A6" s="58" t="s">
        <v>19</v>
      </c>
      <c r="B6" s="59" t="s">
        <v>157</v>
      </c>
      <c r="C6" s="25" t="e">
        <f>销量!#REF!</f>
        <v>#REF!</v>
      </c>
      <c r="D6" s="25" t="e">
        <f>销量!#REF!</f>
        <v>#REF!</v>
      </c>
      <c r="E6" s="25" t="e">
        <f>销量!#REF!</f>
        <v>#REF!</v>
      </c>
      <c r="F6" s="25">
        <f>销量!F9</f>
        <v>0</v>
      </c>
      <c r="G6" s="25">
        <f>销量!G9</f>
        <v>0</v>
      </c>
      <c r="H6" s="60" t="e">
        <f t="shared" ref="H6:H15" si="0">+SUM(C6:G6)</f>
        <v>#REF!</v>
      </c>
      <c r="S6" s="59" t="s">
        <v>3</v>
      </c>
      <c r="AI6" s="58" t="s">
        <v>19</v>
      </c>
      <c r="AJ6" s="59" t="s">
        <v>3</v>
      </c>
      <c r="AK6" s="53" t="s">
        <v>27</v>
      </c>
    </row>
    <row r="7" spans="1:37">
      <c r="A7" s="183">
        <v>1</v>
      </c>
      <c r="B7" s="59" t="s">
        <v>28</v>
      </c>
      <c r="C7" s="60" t="e">
        <f>C6*销量!C8</f>
        <v>#REF!</v>
      </c>
      <c r="D7" s="60" t="e">
        <f>D6*销量!D8</f>
        <v>#REF!</v>
      </c>
      <c r="E7" s="60" t="e">
        <f>E6*销量!E8</f>
        <v>#REF!</v>
      </c>
      <c r="F7" s="60">
        <f>F6*销量!F8</f>
        <v>0</v>
      </c>
      <c r="G7" s="60">
        <f>G6*销量!G8</f>
        <v>0</v>
      </c>
      <c r="H7" s="60" t="e">
        <f t="shared" si="0"/>
        <v>#REF!</v>
      </c>
      <c r="I7" s="54"/>
      <c r="S7" s="59" t="s">
        <v>28</v>
      </c>
      <c r="AI7" s="58" t="s">
        <v>29</v>
      </c>
      <c r="AJ7" s="59" t="s">
        <v>28</v>
      </c>
      <c r="AK7" s="53" t="s">
        <v>27</v>
      </c>
    </row>
    <row r="8" spans="1:37">
      <c r="A8" s="183">
        <v>2</v>
      </c>
      <c r="B8" s="183" t="s">
        <v>30</v>
      </c>
      <c r="C8" s="60" t="e">
        <f>C7*(1-销量!$L$10)</f>
        <v>#REF!</v>
      </c>
      <c r="D8" s="60" t="e">
        <f>D7*(1-销量!$L$10)</f>
        <v>#REF!</v>
      </c>
      <c r="E8" s="60" t="e">
        <f>E7*(1-销量!$L$10)</f>
        <v>#REF!</v>
      </c>
      <c r="F8" s="60"/>
      <c r="G8" s="60"/>
      <c r="H8" s="60" t="e">
        <f t="shared" si="0"/>
        <v>#REF!</v>
      </c>
      <c r="I8" s="75"/>
      <c r="S8" s="183" t="s">
        <v>32</v>
      </c>
      <c r="AI8" s="58" t="s">
        <v>31</v>
      </c>
      <c r="AJ8" s="183" t="s">
        <v>32</v>
      </c>
      <c r="AK8" s="53" t="s">
        <v>27</v>
      </c>
    </row>
    <row r="9" spans="1:37">
      <c r="A9" s="183">
        <v>3</v>
      </c>
      <c r="B9" s="59" t="s">
        <v>33</v>
      </c>
      <c r="C9" s="60" t="e">
        <f>+C7-C8</f>
        <v>#REF!</v>
      </c>
      <c r="D9" s="60" t="e">
        <f t="shared" ref="D9:G9" si="1">+D7-D8</f>
        <v>#REF!</v>
      </c>
      <c r="E9" s="60" t="e">
        <f t="shared" si="1"/>
        <v>#REF!</v>
      </c>
      <c r="F9" s="60">
        <f t="shared" si="1"/>
        <v>0</v>
      </c>
      <c r="G9" s="60">
        <f t="shared" si="1"/>
        <v>0</v>
      </c>
      <c r="H9" s="60" t="e">
        <f t="shared" si="0"/>
        <v>#REF!</v>
      </c>
      <c r="S9" s="59" t="s">
        <v>33</v>
      </c>
      <c r="AI9" s="58" t="s">
        <v>34</v>
      </c>
      <c r="AJ9" s="59" t="s">
        <v>33</v>
      </c>
      <c r="AK9" s="53" t="s">
        <v>35</v>
      </c>
    </row>
    <row r="10" spans="1:37">
      <c r="A10" s="183">
        <v>4</v>
      </c>
      <c r="B10" s="58" t="s">
        <v>36</v>
      </c>
      <c r="C10" s="60" t="e">
        <f>C6*材料成本!#REF!</f>
        <v>#REF!</v>
      </c>
      <c r="D10" s="60" t="e">
        <f>D6*材料成本!#REF!</f>
        <v>#REF!</v>
      </c>
      <c r="E10" s="60" t="e">
        <f>E6*材料成本!F18</f>
        <v>#REF!</v>
      </c>
      <c r="F10" s="60">
        <f>F6*材料成本!G18</f>
        <v>0</v>
      </c>
      <c r="G10" s="60">
        <f>G6*材料成本!H18</f>
        <v>0</v>
      </c>
      <c r="H10" s="60" t="e">
        <f t="shared" si="0"/>
        <v>#REF!</v>
      </c>
      <c r="S10" s="58" t="s">
        <v>36</v>
      </c>
      <c r="AI10" s="58" t="s">
        <v>37</v>
      </c>
      <c r="AJ10" s="58" t="s">
        <v>36</v>
      </c>
      <c r="AK10" s="53" t="s">
        <v>38</v>
      </c>
    </row>
    <row r="11" spans="1:37">
      <c r="A11" s="183">
        <v>5</v>
      </c>
      <c r="B11" s="58" t="s">
        <v>39</v>
      </c>
      <c r="C11" s="60" t="e">
        <f>+C6*C36</f>
        <v>#REF!</v>
      </c>
      <c r="D11" s="60" t="e">
        <f>+D6*D36</f>
        <v>#REF!</v>
      </c>
      <c r="E11" s="60" t="e">
        <f>+E6*E36</f>
        <v>#REF!</v>
      </c>
      <c r="F11" s="60">
        <f>+F6*F36</f>
        <v>0</v>
      </c>
      <c r="G11" s="60">
        <f>+G6*G36</f>
        <v>0</v>
      </c>
      <c r="H11" s="60" t="e">
        <f t="shared" si="0"/>
        <v>#REF!</v>
      </c>
      <c r="S11" s="58" t="s">
        <v>39</v>
      </c>
      <c r="AI11" s="58" t="s">
        <v>40</v>
      </c>
      <c r="AJ11" s="58" t="s">
        <v>39</v>
      </c>
    </row>
    <row r="12" spans="1:37">
      <c r="A12" s="183">
        <v>6</v>
      </c>
      <c r="B12" s="58" t="s">
        <v>41</v>
      </c>
      <c r="C12" s="60" t="e">
        <f>+C6*C37</f>
        <v>#REF!</v>
      </c>
      <c r="D12" s="60" t="e">
        <f>+D6*D37</f>
        <v>#REF!</v>
      </c>
      <c r="E12" s="60" t="e">
        <f>+E6*E37</f>
        <v>#REF!</v>
      </c>
      <c r="F12" s="60">
        <f>+F6*F37</f>
        <v>0</v>
      </c>
      <c r="G12" s="60">
        <f>+G6*G37</f>
        <v>0</v>
      </c>
      <c r="H12" s="60" t="e">
        <f t="shared" si="0"/>
        <v>#REF!</v>
      </c>
      <c r="S12" s="58" t="s">
        <v>41</v>
      </c>
      <c r="AI12" s="58" t="s">
        <v>42</v>
      </c>
      <c r="AJ12" s="58" t="s">
        <v>41</v>
      </c>
    </row>
    <row r="13" spans="1:37">
      <c r="A13" s="183">
        <v>7</v>
      </c>
      <c r="B13" s="58" t="s">
        <v>43</v>
      </c>
      <c r="C13" s="60" t="e">
        <f>+C6*C38</f>
        <v>#REF!</v>
      </c>
      <c r="D13" s="60" t="e">
        <f t="shared" ref="D13:G13" si="2">+D6*D38</f>
        <v>#REF!</v>
      </c>
      <c r="E13" s="60" t="e">
        <f t="shared" si="2"/>
        <v>#REF!</v>
      </c>
      <c r="F13" s="60">
        <f t="shared" si="2"/>
        <v>0</v>
      </c>
      <c r="G13" s="60">
        <f t="shared" si="2"/>
        <v>0</v>
      </c>
      <c r="H13" s="60" t="e">
        <f t="shared" si="0"/>
        <v>#REF!</v>
      </c>
      <c r="S13" s="58" t="s">
        <v>43</v>
      </c>
      <c r="AI13" s="58" t="s">
        <v>44</v>
      </c>
      <c r="AJ13" s="58" t="s">
        <v>43</v>
      </c>
      <c r="AK13" s="53" t="s">
        <v>27</v>
      </c>
    </row>
    <row r="14" spans="1:37">
      <c r="A14" s="183">
        <v>8</v>
      </c>
      <c r="B14" s="61" t="s">
        <v>45</v>
      </c>
      <c r="C14" s="60" t="e">
        <f>SUM(C11:C13)</f>
        <v>#REF!</v>
      </c>
      <c r="D14" s="60" t="e">
        <f t="shared" ref="D14:G14" si="3">SUM(D11:D13)</f>
        <v>#REF!</v>
      </c>
      <c r="E14" s="60" t="e">
        <f t="shared" si="3"/>
        <v>#REF!</v>
      </c>
      <c r="F14" s="60">
        <f t="shared" si="3"/>
        <v>0</v>
      </c>
      <c r="G14" s="60">
        <f t="shared" si="3"/>
        <v>0</v>
      </c>
      <c r="H14" s="60" t="e">
        <f t="shared" si="0"/>
        <v>#REF!</v>
      </c>
      <c r="S14" s="61" t="s">
        <v>45</v>
      </c>
      <c r="AI14" s="58" t="s">
        <v>46</v>
      </c>
      <c r="AJ14" s="61" t="s">
        <v>45</v>
      </c>
    </row>
    <row r="15" spans="1:37">
      <c r="A15" s="183">
        <v>9</v>
      </c>
      <c r="B15" s="61" t="s">
        <v>47</v>
      </c>
      <c r="C15" s="60" t="e">
        <f>+C9-C10-C14</f>
        <v>#REF!</v>
      </c>
      <c r="D15" s="60" t="e">
        <f t="shared" ref="D15:G15" si="4">+D9-D10-D14</f>
        <v>#REF!</v>
      </c>
      <c r="E15" s="60" t="e">
        <f t="shared" si="4"/>
        <v>#REF!</v>
      </c>
      <c r="F15" s="60">
        <f t="shared" si="4"/>
        <v>0</v>
      </c>
      <c r="G15" s="60">
        <f t="shared" si="4"/>
        <v>0</v>
      </c>
      <c r="H15" s="60" t="e">
        <f t="shared" si="0"/>
        <v>#REF!</v>
      </c>
      <c r="S15" s="61" t="s">
        <v>47</v>
      </c>
      <c r="AI15" s="58" t="s">
        <v>48</v>
      </c>
      <c r="AJ15" s="61" t="s">
        <v>47</v>
      </c>
    </row>
    <row r="16" spans="1:37">
      <c r="A16" s="183">
        <v>10</v>
      </c>
      <c r="B16" s="58" t="s">
        <v>49</v>
      </c>
      <c r="C16" s="62" t="e">
        <f>+C15/C9</f>
        <v>#REF!</v>
      </c>
      <c r="D16" s="62" t="e">
        <f t="shared" ref="D16:H16" si="5">+D15/D9</f>
        <v>#REF!</v>
      </c>
      <c r="E16" s="62" t="e">
        <f t="shared" si="5"/>
        <v>#REF!</v>
      </c>
      <c r="F16" s="62" t="e">
        <f t="shared" si="5"/>
        <v>#DIV/0!</v>
      </c>
      <c r="G16" s="62" t="e">
        <f t="shared" si="5"/>
        <v>#DIV/0!</v>
      </c>
      <c r="H16" s="62" t="e">
        <f t="shared" si="5"/>
        <v>#REF!</v>
      </c>
      <c r="S16" s="58" t="s">
        <v>49</v>
      </c>
      <c r="AI16" s="58" t="s">
        <v>50</v>
      </c>
      <c r="AJ16" s="58" t="s">
        <v>49</v>
      </c>
    </row>
    <row r="17" spans="1:37">
      <c r="A17" s="183">
        <v>11</v>
      </c>
      <c r="B17" s="58" t="s">
        <v>51</v>
      </c>
      <c r="C17" s="60" t="e">
        <f>C6*C43+C18</f>
        <v>#REF!</v>
      </c>
      <c r="D17" s="60" t="e">
        <f>D6*D43+D18</f>
        <v>#REF!</v>
      </c>
      <c r="E17" s="60" t="e">
        <f>E6*E43+E18</f>
        <v>#REF!</v>
      </c>
      <c r="F17" s="60" t="e">
        <f>F6*F43+F18</f>
        <v>#REF!</v>
      </c>
      <c r="G17" s="60" t="e">
        <f>G6*G43+G18</f>
        <v>#REF!</v>
      </c>
      <c r="H17" s="60" t="e">
        <f>SUM(C17:G17)</f>
        <v>#REF!</v>
      </c>
      <c r="I17" s="75"/>
      <c r="S17" s="58" t="s">
        <v>51</v>
      </c>
      <c r="AI17" s="58" t="s">
        <v>52</v>
      </c>
      <c r="AJ17" s="58" t="s">
        <v>51</v>
      </c>
    </row>
    <row r="18" spans="1:37" s="51" customFormat="1">
      <c r="A18" s="183">
        <v>12</v>
      </c>
      <c r="B18" s="63" t="s">
        <v>158</v>
      </c>
      <c r="C18" s="64" t="e">
        <f>$H$18/$H$6*C6</f>
        <v>#REF!</v>
      </c>
      <c r="D18" s="64" t="e">
        <f>$H$18/$H$6*D6</f>
        <v>#REF!</v>
      </c>
      <c r="E18" s="64" t="e">
        <f>$H$18/$H$6*E6</f>
        <v>#REF!</v>
      </c>
      <c r="F18" s="64" t="e">
        <f>$H$18/$H$6*F6</f>
        <v>#REF!</v>
      </c>
      <c r="G18" s="64" t="e">
        <f>$H$18/$H$6*G6</f>
        <v>#REF!</v>
      </c>
      <c r="H18" s="64">
        <f>项目投资!D26</f>
        <v>461700</v>
      </c>
      <c r="I18" s="76" t="s">
        <v>159</v>
      </c>
      <c r="J18" s="76"/>
      <c r="K18" s="76"/>
    </row>
    <row r="19" spans="1:37">
      <c r="A19" s="183">
        <v>13</v>
      </c>
      <c r="B19" s="58" t="s">
        <v>53</v>
      </c>
      <c r="C19" s="60" t="e">
        <f>C6*C44</f>
        <v>#REF!</v>
      </c>
      <c r="D19" s="60" t="e">
        <f>D6*D44</f>
        <v>#REF!</v>
      </c>
      <c r="E19" s="60" t="e">
        <f>E6*E44</f>
        <v>#REF!</v>
      </c>
      <c r="F19" s="60">
        <f>F6*F44</f>
        <v>0</v>
      </c>
      <c r="G19" s="60">
        <f>G6*G44</f>
        <v>0</v>
      </c>
      <c r="H19" s="60" t="e">
        <f>SUM(C19:G19)</f>
        <v>#REF!</v>
      </c>
      <c r="I19" s="51"/>
      <c r="S19" s="58" t="s">
        <v>53</v>
      </c>
      <c r="AI19" s="58" t="s">
        <v>54</v>
      </c>
      <c r="AJ19" s="58" t="s">
        <v>53</v>
      </c>
      <c r="AK19" s="53" t="s">
        <v>27</v>
      </c>
    </row>
    <row r="20" spans="1:37">
      <c r="A20" s="183">
        <v>14</v>
      </c>
      <c r="B20" s="58" t="s">
        <v>55</v>
      </c>
      <c r="C20" s="60" t="e">
        <f>C6*C45</f>
        <v>#REF!</v>
      </c>
      <c r="D20" s="60" t="e">
        <f>D6*D45</f>
        <v>#REF!</v>
      </c>
      <c r="E20" s="60" t="e">
        <f>E6*E45</f>
        <v>#REF!</v>
      </c>
      <c r="F20" s="60">
        <f>F6*F45</f>
        <v>0</v>
      </c>
      <c r="G20" s="60">
        <f>G6*G45</f>
        <v>0</v>
      </c>
      <c r="H20" s="60" t="e">
        <f>SUM(C20:G20)</f>
        <v>#REF!</v>
      </c>
      <c r="S20" s="58" t="s">
        <v>55</v>
      </c>
      <c r="AI20" s="58" t="s">
        <v>56</v>
      </c>
      <c r="AJ20" s="58" t="s">
        <v>55</v>
      </c>
    </row>
    <row r="21" spans="1:37">
      <c r="A21" s="183">
        <v>15</v>
      </c>
      <c r="B21" s="58" t="s">
        <v>57</v>
      </c>
      <c r="C21" s="65" t="e">
        <f>$H$21/$H$6*C6</f>
        <v>#REF!</v>
      </c>
      <c r="D21" s="65" t="e">
        <f>$H$21/$H$6*D6</f>
        <v>#REF!</v>
      </c>
      <c r="E21" s="65" t="e">
        <f>$H$21/$H$6*E6</f>
        <v>#REF!</v>
      </c>
      <c r="F21" s="65" t="e">
        <f>$H$21/$H$6*F6</f>
        <v>#REF!</v>
      </c>
      <c r="G21" s="65" t="e">
        <f>$H$21/$H$6*G6</f>
        <v>#REF!</v>
      </c>
      <c r="H21" s="60">
        <f>项目投资!D27</f>
        <v>60000</v>
      </c>
      <c r="S21" s="58" t="s">
        <v>57</v>
      </c>
      <c r="AI21" s="58"/>
      <c r="AJ21" s="58"/>
    </row>
    <row r="22" spans="1:37">
      <c r="A22" s="183">
        <v>16</v>
      </c>
      <c r="B22" s="58" t="s">
        <v>58</v>
      </c>
      <c r="C22" s="60" t="e">
        <f>C6*C47</f>
        <v>#REF!</v>
      </c>
      <c r="D22" s="60" t="e">
        <f>D6*D47</f>
        <v>#REF!</v>
      </c>
      <c r="E22" s="60" t="e">
        <f>E6*E47</f>
        <v>#REF!</v>
      </c>
      <c r="F22" s="60">
        <f>F6*F47</f>
        <v>0</v>
      </c>
      <c r="G22" s="60">
        <f>G6*G47</f>
        <v>0</v>
      </c>
      <c r="H22" s="60" t="e">
        <f>+SUM(C22:G22)</f>
        <v>#REF!</v>
      </c>
      <c r="S22" s="58" t="s">
        <v>58</v>
      </c>
      <c r="AI22" s="58" t="s">
        <v>59</v>
      </c>
      <c r="AJ22" s="58" t="s">
        <v>58</v>
      </c>
    </row>
    <row r="23" spans="1:37">
      <c r="A23" s="183">
        <v>17</v>
      </c>
      <c r="B23" s="61" t="s">
        <v>60</v>
      </c>
      <c r="C23" s="65" t="e">
        <f>+C22+C21+C20+C19+C17</f>
        <v>#REF!</v>
      </c>
      <c r="D23" s="65" t="e">
        <f>+D22+D21+D20+D19+D17</f>
        <v>#REF!</v>
      </c>
      <c r="E23" s="65" t="e">
        <f>+E22+E21+E20+E19+E17</f>
        <v>#REF!</v>
      </c>
      <c r="F23" s="65" t="e">
        <f>+F22+F21+F20+F19+F17</f>
        <v>#REF!</v>
      </c>
      <c r="G23" s="65" t="e">
        <f>+G22+G21+G20+G19+G17</f>
        <v>#REF!</v>
      </c>
      <c r="H23" s="65" t="e">
        <f t="shared" ref="H23" si="6">+H22+H21+H20+H19+H17</f>
        <v>#REF!</v>
      </c>
      <c r="S23" s="61" t="s">
        <v>60</v>
      </c>
      <c r="AI23" s="58" t="s">
        <v>61</v>
      </c>
      <c r="AJ23" s="61" t="s">
        <v>60</v>
      </c>
    </row>
    <row r="24" spans="1:37">
      <c r="A24" s="183">
        <v>18</v>
      </c>
      <c r="B24" s="66" t="s">
        <v>62</v>
      </c>
      <c r="C24" s="65" t="e">
        <f>+C15-C23</f>
        <v>#REF!</v>
      </c>
      <c r="D24" s="65" t="e">
        <f>+D15-D23</f>
        <v>#REF!</v>
      </c>
      <c r="E24" s="65" t="e">
        <f>+E15-E23</f>
        <v>#REF!</v>
      </c>
      <c r="F24" s="65" t="e">
        <f>+F15-F23</f>
        <v>#REF!</v>
      </c>
      <c r="G24" s="65" t="e">
        <f>+G15-G23</f>
        <v>#REF!</v>
      </c>
      <c r="H24" s="65" t="e">
        <f t="shared" ref="H24" si="7">+H15-H23</f>
        <v>#REF!</v>
      </c>
      <c r="J24" s="77"/>
      <c r="S24" s="58" t="s">
        <v>62</v>
      </c>
      <c r="AI24" s="58" t="s">
        <v>63</v>
      </c>
      <c r="AJ24" s="58" t="s">
        <v>62</v>
      </c>
    </row>
    <row r="25" spans="1:37">
      <c r="A25" s="183">
        <v>19</v>
      </c>
      <c r="B25" s="58" t="s">
        <v>160</v>
      </c>
      <c r="C25" s="65" t="e">
        <f>IF(C24&lt;0,0,C24*0.25)</f>
        <v>#REF!</v>
      </c>
      <c r="D25" s="65" t="e">
        <f>IF(D24&lt;0,0,D24*0.25)</f>
        <v>#REF!</v>
      </c>
      <c r="E25" s="65" t="e">
        <f>IF(E24&lt;0,0,E24*0.25)</f>
        <v>#REF!</v>
      </c>
      <c r="F25" s="65" t="e">
        <f>IF(F24&lt;0,0,F24*0.25)</f>
        <v>#REF!</v>
      </c>
      <c r="G25" s="65" t="e">
        <f>IF(G24&lt;0,0,G24*0.25)</f>
        <v>#REF!</v>
      </c>
      <c r="H25" s="65" t="e">
        <f t="shared" ref="H25" si="8">IF(H24&lt;0,0,H24*0.25)</f>
        <v>#REF!</v>
      </c>
      <c r="I25" s="73"/>
      <c r="J25" s="73"/>
      <c r="K25" s="73"/>
      <c r="S25" s="58" t="s">
        <v>64</v>
      </c>
      <c r="AI25" s="58" t="s">
        <v>65</v>
      </c>
      <c r="AJ25" s="58" t="s">
        <v>64</v>
      </c>
    </row>
    <row r="26" spans="1:37">
      <c r="A26" s="183">
        <v>20</v>
      </c>
      <c r="B26" s="58" t="s">
        <v>66</v>
      </c>
      <c r="C26" s="65" t="e">
        <f t="shared" ref="C26" si="9">C24-C25</f>
        <v>#REF!</v>
      </c>
      <c r="D26" s="65" t="e">
        <f>D24-D25</f>
        <v>#REF!</v>
      </c>
      <c r="E26" s="65" t="e">
        <f>E24-E25</f>
        <v>#REF!</v>
      </c>
      <c r="F26" s="65" t="e">
        <f>F24-F25</f>
        <v>#REF!</v>
      </c>
      <c r="G26" s="65" t="e">
        <f>G24-G25</f>
        <v>#REF!</v>
      </c>
      <c r="H26" s="60" t="e">
        <f>+SUM(C26:G26)</f>
        <v>#REF!</v>
      </c>
      <c r="I26" s="73"/>
      <c r="J26" s="73"/>
      <c r="K26" s="73"/>
      <c r="S26" s="58" t="s">
        <v>66</v>
      </c>
      <c r="AI26" s="58" t="s">
        <v>67</v>
      </c>
      <c r="AJ26" s="58" t="s">
        <v>66</v>
      </c>
    </row>
    <row r="27" spans="1:37">
      <c r="A27" s="183">
        <v>21</v>
      </c>
      <c r="B27" s="58" t="s">
        <v>70</v>
      </c>
      <c r="C27" s="67" t="e">
        <f t="shared" ref="C27:H27" si="10">C26/C7</f>
        <v>#REF!</v>
      </c>
      <c r="D27" s="67" t="e">
        <f t="shared" si="10"/>
        <v>#REF!</v>
      </c>
      <c r="E27" s="67" t="e">
        <f t="shared" si="10"/>
        <v>#REF!</v>
      </c>
      <c r="F27" s="67" t="e">
        <f t="shared" si="10"/>
        <v>#REF!</v>
      </c>
      <c r="G27" s="67" t="e">
        <f t="shared" si="10"/>
        <v>#REF!</v>
      </c>
      <c r="H27" s="67" t="e">
        <f t="shared" si="10"/>
        <v>#REF!</v>
      </c>
      <c r="I27" s="73"/>
      <c r="J27" s="73"/>
      <c r="K27" s="73"/>
      <c r="S27" s="58" t="s">
        <v>70</v>
      </c>
      <c r="AI27" s="58" t="s">
        <v>69</v>
      </c>
      <c r="AJ27" s="58" t="s">
        <v>70</v>
      </c>
    </row>
    <row r="28" spans="1:37">
      <c r="I28" s="73"/>
      <c r="J28" s="73"/>
      <c r="K28" s="73"/>
      <c r="S28" s="58"/>
    </row>
    <row r="29" spans="1:37">
      <c r="A29" s="53" t="s">
        <v>71</v>
      </c>
      <c r="H29" s="54" t="s">
        <v>161</v>
      </c>
      <c r="I29" s="73"/>
      <c r="J29" s="73"/>
      <c r="K29" s="73"/>
      <c r="S29" s="58"/>
      <c r="AI29" s="53" t="s">
        <v>71</v>
      </c>
    </row>
    <row r="30" spans="1:37">
      <c r="A30" s="58" t="s">
        <v>76</v>
      </c>
      <c r="B30" s="61" t="s">
        <v>77</v>
      </c>
      <c r="C30" s="65"/>
      <c r="D30" s="65"/>
      <c r="E30" s="65"/>
      <c r="F30" s="65"/>
      <c r="G30" s="65"/>
      <c r="H30" s="65"/>
      <c r="I30" s="73"/>
      <c r="J30" s="73"/>
      <c r="K30" s="73"/>
      <c r="M30" s="73"/>
      <c r="S30" s="61" t="s">
        <v>77</v>
      </c>
      <c r="AI30" s="58" t="s">
        <v>78</v>
      </c>
      <c r="AJ30" s="61" t="s">
        <v>77</v>
      </c>
    </row>
    <row r="31" spans="1:37">
      <c r="A31" s="183">
        <v>1</v>
      </c>
      <c r="B31" s="63" t="s">
        <v>79</v>
      </c>
      <c r="C31" s="69">
        <f>销量!C8</f>
        <v>1521</v>
      </c>
      <c r="D31" s="69">
        <f>销量!D8</f>
        <v>2221</v>
      </c>
      <c r="E31" s="69">
        <f>销量!E8</f>
        <v>703</v>
      </c>
      <c r="F31" s="69">
        <f>销量!F8</f>
        <v>0</v>
      </c>
      <c r="G31" s="69">
        <f>销量!G8</f>
        <v>0</v>
      </c>
      <c r="H31" s="65"/>
      <c r="I31" s="73"/>
      <c r="J31" s="73"/>
      <c r="K31" s="73"/>
      <c r="M31" s="73"/>
      <c r="S31" s="58" t="s">
        <v>79</v>
      </c>
      <c r="AI31" s="58" t="s">
        <v>29</v>
      </c>
      <c r="AJ31" s="58" t="s">
        <v>79</v>
      </c>
    </row>
    <row r="32" spans="1:37">
      <c r="A32" s="183">
        <v>2</v>
      </c>
      <c r="B32" s="58" t="s">
        <v>162</v>
      </c>
      <c r="C32" s="60" t="e">
        <f>C9/C6</f>
        <v>#REF!</v>
      </c>
      <c r="D32" s="60" t="e">
        <f>D9/D6</f>
        <v>#REF!</v>
      </c>
      <c r="E32" s="60">
        <f t="shared" ref="E32:G32" si="11">E31*1</f>
        <v>703</v>
      </c>
      <c r="F32" s="60">
        <f t="shared" si="11"/>
        <v>0</v>
      </c>
      <c r="G32" s="60">
        <f t="shared" si="11"/>
        <v>0</v>
      </c>
      <c r="H32" s="65"/>
      <c r="I32" s="73"/>
      <c r="J32" s="73"/>
      <c r="K32" s="73"/>
      <c r="L32" s="73"/>
      <c r="M32" s="73"/>
      <c r="N32" s="73"/>
      <c r="O32" s="73"/>
      <c r="AI32" s="58"/>
      <c r="AJ32" s="58"/>
    </row>
    <row r="33" spans="1:36">
      <c r="A33" s="183">
        <v>3</v>
      </c>
      <c r="B33" s="63" t="s">
        <v>80</v>
      </c>
      <c r="C33" s="60" t="e">
        <f>材料成本!#REF!</f>
        <v>#REF!</v>
      </c>
      <c r="D33" s="60" t="e">
        <f>材料成本!#REF!</f>
        <v>#REF!</v>
      </c>
      <c r="E33" s="60">
        <f>材料成本!F18</f>
        <v>417.52</v>
      </c>
      <c r="F33" s="60">
        <f>材料成本!G18</f>
        <v>0</v>
      </c>
      <c r="G33" s="60">
        <f>材料成本!H18</f>
        <v>0</v>
      </c>
      <c r="H33" s="65"/>
      <c r="J33" s="73"/>
      <c r="K33" s="73"/>
      <c r="L33" s="73"/>
      <c r="M33" s="73"/>
      <c r="N33" s="73"/>
      <c r="O33" s="73"/>
      <c r="S33" s="58" t="s">
        <v>80</v>
      </c>
      <c r="AI33" s="58" t="s">
        <v>31</v>
      </c>
      <c r="AJ33" s="58" t="s">
        <v>80</v>
      </c>
    </row>
    <row r="34" spans="1:36" ht="17.25" customHeight="1">
      <c r="A34" s="183">
        <v>4</v>
      </c>
      <c r="B34" s="58" t="s">
        <v>82</v>
      </c>
      <c r="C34" s="70" t="e">
        <f>C32-C33</f>
        <v>#REF!</v>
      </c>
      <c r="D34" s="70" t="e">
        <f t="shared" ref="D34:G34" si="12">D32-D33</f>
        <v>#REF!</v>
      </c>
      <c r="E34" s="70">
        <f t="shared" si="12"/>
        <v>285.48</v>
      </c>
      <c r="F34" s="70">
        <f t="shared" si="12"/>
        <v>0</v>
      </c>
      <c r="G34" s="70">
        <f t="shared" si="12"/>
        <v>0</v>
      </c>
      <c r="H34" s="65"/>
      <c r="J34" s="73"/>
      <c r="K34" s="73"/>
      <c r="L34" s="73"/>
      <c r="M34" s="73"/>
      <c r="N34" s="73"/>
      <c r="O34" s="73"/>
      <c r="S34" s="58" t="s">
        <v>82</v>
      </c>
      <c r="AI34" s="58" t="s">
        <v>81</v>
      </c>
      <c r="AJ34" s="58" t="s">
        <v>82</v>
      </c>
    </row>
    <row r="35" spans="1:36">
      <c r="A35" s="58" t="s">
        <v>78</v>
      </c>
      <c r="B35" s="61" t="s">
        <v>10</v>
      </c>
      <c r="C35" s="65"/>
      <c r="D35" s="65"/>
      <c r="E35" s="65"/>
      <c r="F35" s="65"/>
      <c r="G35" s="65"/>
      <c r="H35" s="65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61" t="s">
        <v>10</v>
      </c>
      <c r="AI35" s="58" t="s">
        <v>84</v>
      </c>
      <c r="AJ35" s="61" t="s">
        <v>10</v>
      </c>
    </row>
    <row r="36" spans="1:36">
      <c r="A36" s="183">
        <v>1</v>
      </c>
      <c r="B36" s="58" t="s">
        <v>85</v>
      </c>
      <c r="C36" s="64">
        <f>标准成本!E4</f>
        <v>65.555099999999996</v>
      </c>
      <c r="D36" s="64">
        <f>标准成本!E17</f>
        <v>113.4823</v>
      </c>
      <c r="E36" s="64">
        <f>标准成本!E4</f>
        <v>65.555099999999996</v>
      </c>
      <c r="F36" s="64">
        <f>标准成本!E17</f>
        <v>113.4823</v>
      </c>
      <c r="G36" s="64">
        <f t="shared" ref="G36:G38" si="13">F36</f>
        <v>113.4823</v>
      </c>
      <c r="H36" s="69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58" t="s">
        <v>85</v>
      </c>
      <c r="AI36" s="58" t="s">
        <v>81</v>
      </c>
      <c r="AJ36" s="58" t="s">
        <v>85</v>
      </c>
    </row>
    <row r="37" spans="1:36">
      <c r="A37" s="183">
        <v>2</v>
      </c>
      <c r="B37" s="58" t="s">
        <v>86</v>
      </c>
      <c r="C37" s="64">
        <f>标准成本!E6</f>
        <v>33.005699999999997</v>
      </c>
      <c r="D37" s="64">
        <f>标准成本!E19</f>
        <v>57.136099999999999</v>
      </c>
      <c r="E37" s="64">
        <f>标准成本!E6</f>
        <v>33.005699999999997</v>
      </c>
      <c r="F37" s="64">
        <f>标准成本!E19</f>
        <v>57.136099999999999</v>
      </c>
      <c r="G37" s="64">
        <f t="shared" si="13"/>
        <v>57.136099999999999</v>
      </c>
      <c r="H37" s="69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58" t="s">
        <v>86</v>
      </c>
      <c r="AI37" s="58" t="s">
        <v>34</v>
      </c>
      <c r="AJ37" s="58" t="s">
        <v>86</v>
      </c>
    </row>
    <row r="38" spans="1:36">
      <c r="A38" s="183">
        <v>3</v>
      </c>
      <c r="B38" s="58" t="s">
        <v>87</v>
      </c>
      <c r="C38" s="64">
        <f>标准成本!E10</f>
        <v>97.344000000000008</v>
      </c>
      <c r="D38" s="64">
        <f>标准成本!E23</f>
        <v>168.512</v>
      </c>
      <c r="E38" s="64">
        <f>标准成本!E10</f>
        <v>97.344000000000008</v>
      </c>
      <c r="F38" s="64">
        <f>标准成本!E23</f>
        <v>168.512</v>
      </c>
      <c r="G38" s="64">
        <f t="shared" si="13"/>
        <v>168.512</v>
      </c>
      <c r="H38" s="69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58" t="s">
        <v>87</v>
      </c>
      <c r="AI38" s="58" t="s">
        <v>40</v>
      </c>
      <c r="AJ38" s="58" t="s">
        <v>87</v>
      </c>
    </row>
    <row r="39" spans="1:36">
      <c r="A39" s="58" t="s">
        <v>84</v>
      </c>
      <c r="B39" s="61" t="s">
        <v>89</v>
      </c>
      <c r="C39" s="65"/>
      <c r="D39" s="65"/>
      <c r="E39" s="65"/>
      <c r="F39" s="65"/>
      <c r="G39" s="65"/>
      <c r="H39" s="65"/>
      <c r="S39" s="61" t="s">
        <v>89</v>
      </c>
      <c r="AI39" s="58" t="s">
        <v>88</v>
      </c>
      <c r="AJ39" s="61" t="s">
        <v>89</v>
      </c>
    </row>
    <row r="40" spans="1:36">
      <c r="A40" s="183">
        <v>1</v>
      </c>
      <c r="B40" s="58" t="s">
        <v>91</v>
      </c>
      <c r="C40" s="65" t="e">
        <f>C34-C36-C37-C38</f>
        <v>#REF!</v>
      </c>
      <c r="D40" s="65" t="e">
        <f t="shared" ref="D40:G40" si="14">D34-D36-D37-D38</f>
        <v>#REF!</v>
      </c>
      <c r="E40" s="65">
        <f t="shared" si="14"/>
        <v>89.575200000000038</v>
      </c>
      <c r="F40" s="65">
        <f t="shared" si="14"/>
        <v>-339.13040000000001</v>
      </c>
      <c r="G40" s="65">
        <f t="shared" si="14"/>
        <v>-339.13040000000001</v>
      </c>
      <c r="H40" s="65"/>
      <c r="S40" s="58" t="s">
        <v>91</v>
      </c>
      <c r="AI40" s="58" t="s">
        <v>29</v>
      </c>
      <c r="AJ40" s="58" t="s">
        <v>91</v>
      </c>
    </row>
    <row r="41" spans="1:36">
      <c r="A41" s="183">
        <v>2</v>
      </c>
      <c r="B41" s="58" t="s">
        <v>92</v>
      </c>
      <c r="C41" s="65"/>
      <c r="D41" s="65"/>
      <c r="E41" s="65"/>
      <c r="F41" s="65"/>
      <c r="G41" s="65"/>
      <c r="H41" s="65"/>
      <c r="S41" s="58" t="s">
        <v>92</v>
      </c>
      <c r="AI41" s="58" t="s">
        <v>31</v>
      </c>
      <c r="AJ41" s="58" t="s">
        <v>92</v>
      </c>
    </row>
    <row r="42" spans="1:36">
      <c r="A42" s="58" t="s">
        <v>88</v>
      </c>
      <c r="B42" s="61" t="s">
        <v>94</v>
      </c>
      <c r="C42" s="65"/>
      <c r="D42" s="65"/>
      <c r="E42" s="65"/>
      <c r="F42" s="65"/>
      <c r="G42" s="65"/>
      <c r="H42" s="65"/>
      <c r="S42" s="61" t="s">
        <v>94</v>
      </c>
      <c r="AI42" s="58" t="s">
        <v>93</v>
      </c>
      <c r="AJ42" s="61" t="s">
        <v>94</v>
      </c>
    </row>
    <row r="43" spans="1:36">
      <c r="A43" s="183">
        <v>1</v>
      </c>
      <c r="B43" s="66" t="s">
        <v>95</v>
      </c>
      <c r="C43" s="64">
        <f>标准成本!E5</f>
        <v>61.448399999999999</v>
      </c>
      <c r="D43" s="64">
        <f>标准成本!E18</f>
        <v>106.3732</v>
      </c>
      <c r="E43" s="64">
        <f>标准成本!E5</f>
        <v>61.448399999999999</v>
      </c>
      <c r="F43" s="64">
        <f>标准成本!E18</f>
        <v>106.3732</v>
      </c>
      <c r="G43" s="64">
        <f t="shared" ref="G43:G45" si="15">F43</f>
        <v>106.3732</v>
      </c>
      <c r="H43" s="65"/>
      <c r="S43" s="58" t="s">
        <v>95</v>
      </c>
      <c r="AI43" s="58" t="s">
        <v>29</v>
      </c>
      <c r="AJ43" s="58" t="s">
        <v>95</v>
      </c>
    </row>
    <row r="44" spans="1:36">
      <c r="A44" s="183">
        <v>2</v>
      </c>
      <c r="B44" s="66" t="s">
        <v>96</v>
      </c>
      <c r="C44" s="64">
        <f>标准成本!E9</f>
        <v>8.0612999999999992</v>
      </c>
      <c r="D44" s="64">
        <f>标准成本!E22</f>
        <v>13.9549</v>
      </c>
      <c r="E44" s="64">
        <f>标准成本!E9</f>
        <v>8.0612999999999992</v>
      </c>
      <c r="F44" s="64">
        <f>标准成本!E22</f>
        <v>13.9549</v>
      </c>
      <c r="G44" s="64">
        <f t="shared" si="15"/>
        <v>13.9549</v>
      </c>
      <c r="H44" s="65"/>
      <c r="S44" s="58" t="s">
        <v>96</v>
      </c>
      <c r="AI44" s="58" t="s">
        <v>31</v>
      </c>
      <c r="AJ44" s="58" t="s">
        <v>96</v>
      </c>
    </row>
    <row r="45" spans="1:36">
      <c r="A45" s="183">
        <v>3</v>
      </c>
      <c r="B45" s="66" t="s">
        <v>97</v>
      </c>
      <c r="C45" s="64" t="e">
        <f>C32*0.034</f>
        <v>#REF!</v>
      </c>
      <c r="D45" s="64" t="e">
        <f t="shared" ref="D45:F45" si="16">D32*0.034</f>
        <v>#REF!</v>
      </c>
      <c r="E45" s="64">
        <f t="shared" si="16"/>
        <v>23.902000000000001</v>
      </c>
      <c r="F45" s="64">
        <f t="shared" si="16"/>
        <v>0</v>
      </c>
      <c r="G45" s="64">
        <f t="shared" si="15"/>
        <v>0</v>
      </c>
      <c r="H45" s="65"/>
      <c r="S45" s="58" t="s">
        <v>97</v>
      </c>
      <c r="AI45" s="58" t="s">
        <v>81</v>
      </c>
      <c r="AJ45" s="58" t="s">
        <v>97</v>
      </c>
    </row>
    <row r="46" spans="1:36" s="52" customFormat="1">
      <c r="A46" s="183">
        <v>4</v>
      </c>
      <c r="B46" s="66" t="s">
        <v>98</v>
      </c>
      <c r="C46" s="71" t="e">
        <f>C21/C6</f>
        <v>#REF!</v>
      </c>
      <c r="D46" s="71" t="e">
        <f>D21/D6</f>
        <v>#REF!</v>
      </c>
      <c r="E46" s="71" t="e">
        <f>E21/E6</f>
        <v>#REF!</v>
      </c>
      <c r="F46" s="71" t="e">
        <f>F21/F6</f>
        <v>#REF!</v>
      </c>
      <c r="G46" s="71" t="e">
        <f>G21/G6</f>
        <v>#REF!</v>
      </c>
      <c r="H46" s="71"/>
      <c r="S46" s="66" t="s">
        <v>100</v>
      </c>
      <c r="AI46" s="66" t="s">
        <v>37</v>
      </c>
      <c r="AJ46" s="66" t="s">
        <v>100</v>
      </c>
    </row>
    <row r="47" spans="1:36" s="52" customFormat="1">
      <c r="A47" s="183">
        <v>5</v>
      </c>
      <c r="B47" s="66" t="s">
        <v>100</v>
      </c>
      <c r="C47" s="71">
        <f>标准成本!E11</f>
        <v>45.629999999999995</v>
      </c>
      <c r="D47" s="71">
        <f>C47</f>
        <v>45.629999999999995</v>
      </c>
      <c r="E47" s="71">
        <f>D47</f>
        <v>45.629999999999995</v>
      </c>
      <c r="F47" s="71">
        <f>E47</f>
        <v>45.629999999999995</v>
      </c>
      <c r="G47" s="71">
        <f>F47</f>
        <v>45.629999999999995</v>
      </c>
      <c r="H47" s="71"/>
      <c r="S47" s="66" t="s">
        <v>100</v>
      </c>
      <c r="AI47" s="66" t="s">
        <v>37</v>
      </c>
      <c r="AJ47" s="66" t="s">
        <v>100</v>
      </c>
    </row>
    <row r="48" spans="1:36">
      <c r="A48" s="58" t="s">
        <v>93</v>
      </c>
      <c r="B48" s="61" t="s">
        <v>111</v>
      </c>
      <c r="C48" s="65" t="e">
        <f>C40-C43-C44-C45-C47-C46</f>
        <v>#REF!</v>
      </c>
      <c r="D48" s="65" t="e">
        <f>D40-D43-D44-D45-D47-D46</f>
        <v>#REF!</v>
      </c>
      <c r="E48" s="65" t="e">
        <f>E40-E43-E44-E45-E47-E46</f>
        <v>#REF!</v>
      </c>
      <c r="F48" s="65" t="e">
        <f>F40-F43-F44-F45-F47-F46</f>
        <v>#REF!</v>
      </c>
      <c r="G48" s="65" t="e">
        <f>G40-G43-G44-G45-G47-G46</f>
        <v>#REF!</v>
      </c>
      <c r="H48" s="65"/>
      <c r="S48" s="61" t="s">
        <v>111</v>
      </c>
      <c r="AI48" s="58" t="s">
        <v>110</v>
      </c>
      <c r="AJ48" s="61" t="s">
        <v>111</v>
      </c>
    </row>
    <row r="51" spans="2:13">
      <c r="C51" s="72"/>
      <c r="D51" s="72"/>
      <c r="E51" s="72"/>
      <c r="F51" s="72"/>
      <c r="G51" s="72"/>
    </row>
    <row r="54" spans="2:13">
      <c r="B54" s="73"/>
      <c r="C54" s="74"/>
      <c r="D54" s="74"/>
      <c r="E54" s="74"/>
      <c r="F54" s="74"/>
      <c r="G54" s="74"/>
      <c r="H54" s="74"/>
      <c r="I54" s="73"/>
      <c r="J54" s="73"/>
      <c r="K54" s="73"/>
      <c r="L54" s="73"/>
      <c r="M54" s="73"/>
    </row>
    <row r="55" spans="2:13">
      <c r="B55" s="73"/>
      <c r="C55" s="74"/>
      <c r="D55" s="74"/>
      <c r="E55" s="74"/>
      <c r="F55" s="74"/>
      <c r="G55" s="74"/>
      <c r="H55" s="74"/>
      <c r="I55" s="73"/>
      <c r="J55" s="73"/>
      <c r="K55" s="73"/>
      <c r="L55" s="73"/>
      <c r="M55" s="73"/>
    </row>
    <row r="56" spans="2:13">
      <c r="B56" s="73"/>
      <c r="C56" s="74"/>
      <c r="D56" s="74"/>
      <c r="E56" s="74"/>
      <c r="F56" s="74"/>
      <c r="G56" s="74"/>
      <c r="H56" s="74"/>
      <c r="I56" s="73"/>
      <c r="J56" s="73"/>
      <c r="K56" s="73"/>
      <c r="L56" s="73"/>
      <c r="M56" s="73"/>
    </row>
    <row r="57" spans="2:13">
      <c r="B57" s="73"/>
      <c r="C57" s="74"/>
      <c r="D57" s="74"/>
      <c r="E57" s="74"/>
      <c r="F57" s="74"/>
      <c r="G57" s="74"/>
      <c r="H57" s="74"/>
      <c r="I57" s="73"/>
      <c r="J57" s="73"/>
      <c r="K57" s="73"/>
      <c r="L57" s="73"/>
      <c r="M57" s="73"/>
    </row>
    <row r="58" spans="2:13">
      <c r="B58" s="73"/>
      <c r="C58" s="74"/>
      <c r="D58" s="74"/>
      <c r="E58" s="74"/>
      <c r="F58" s="74"/>
      <c r="G58" s="74"/>
      <c r="H58" s="74"/>
      <c r="I58" s="73"/>
      <c r="J58" s="73"/>
      <c r="K58" s="73"/>
      <c r="L58" s="73"/>
      <c r="M58" s="73"/>
    </row>
    <row r="59" spans="2:13">
      <c r="B59" s="73"/>
      <c r="C59" s="74"/>
      <c r="D59" s="74"/>
      <c r="E59" s="74"/>
      <c r="F59" s="74"/>
      <c r="G59" s="74"/>
      <c r="H59" s="74"/>
      <c r="I59" s="73"/>
      <c r="J59" s="73"/>
      <c r="K59" s="73"/>
      <c r="L59" s="73"/>
      <c r="M59" s="73"/>
    </row>
    <row r="60" spans="2:13">
      <c r="B60" s="73"/>
      <c r="C60" s="74"/>
      <c r="D60" s="74"/>
      <c r="E60" s="74"/>
      <c r="F60" s="74"/>
      <c r="G60" s="74"/>
      <c r="H60" s="74"/>
      <c r="I60" s="73"/>
      <c r="J60" s="73"/>
      <c r="K60" s="73"/>
      <c r="L60" s="73"/>
      <c r="M60" s="73"/>
    </row>
    <row r="61" spans="2:13">
      <c r="B61" s="73"/>
      <c r="C61" s="74"/>
      <c r="D61" s="74"/>
      <c r="E61" s="74"/>
      <c r="F61" s="74"/>
      <c r="G61" s="74"/>
      <c r="H61" s="74"/>
      <c r="I61" s="73"/>
      <c r="J61" s="73"/>
      <c r="K61" s="73"/>
      <c r="L61" s="73"/>
      <c r="M61" s="73"/>
    </row>
    <row r="62" spans="2:13">
      <c r="B62" s="73"/>
      <c r="C62" s="74"/>
      <c r="D62" s="74"/>
      <c r="E62" s="74"/>
      <c r="F62" s="74"/>
      <c r="G62" s="74"/>
      <c r="H62" s="74"/>
      <c r="I62" s="73"/>
      <c r="J62" s="73"/>
      <c r="K62" s="73"/>
      <c r="L62" s="73"/>
      <c r="M62" s="73"/>
    </row>
    <row r="63" spans="2:13">
      <c r="B63" s="73"/>
      <c r="C63" s="74"/>
      <c r="D63" s="74"/>
      <c r="E63" s="74"/>
      <c r="F63" s="74"/>
      <c r="G63" s="74"/>
      <c r="H63" s="74"/>
      <c r="I63" s="73"/>
      <c r="J63" s="73"/>
      <c r="K63" s="73"/>
      <c r="L63" s="73"/>
      <c r="M63" s="73"/>
    </row>
    <row r="64" spans="2:13">
      <c r="B64" s="73"/>
      <c r="C64" s="74"/>
      <c r="D64" s="74"/>
      <c r="E64" s="74"/>
      <c r="F64" s="74"/>
      <c r="G64" s="74"/>
      <c r="H64" s="74"/>
      <c r="I64" s="73"/>
      <c r="J64" s="73"/>
      <c r="K64" s="73"/>
      <c r="L64" s="73"/>
      <c r="M64" s="73"/>
    </row>
    <row r="65" spans="2:13">
      <c r="B65" s="73"/>
      <c r="C65" s="74"/>
      <c r="D65" s="74"/>
      <c r="E65" s="74"/>
      <c r="F65" s="74"/>
      <c r="G65" s="74"/>
      <c r="H65" s="74"/>
      <c r="I65" s="73"/>
      <c r="J65" s="73"/>
      <c r="K65" s="73"/>
      <c r="L65" s="73"/>
      <c r="M65" s="73"/>
    </row>
    <row r="66" spans="2:13">
      <c r="B66" s="73"/>
      <c r="C66" s="74"/>
      <c r="D66" s="74"/>
      <c r="E66" s="74"/>
      <c r="F66" s="74"/>
      <c r="G66" s="74"/>
      <c r="H66" s="74"/>
      <c r="I66" s="73"/>
      <c r="J66" s="73"/>
      <c r="K66" s="73"/>
      <c r="L66" s="73"/>
      <c r="M66" s="73"/>
    </row>
    <row r="67" spans="2:13">
      <c r="B67" s="73"/>
      <c r="C67" s="74"/>
      <c r="D67" s="74"/>
      <c r="E67" s="74"/>
      <c r="F67" s="74"/>
      <c r="G67" s="74"/>
      <c r="H67" s="74"/>
      <c r="I67" s="73"/>
    </row>
    <row r="68" spans="2:13">
      <c r="B68" s="73"/>
      <c r="C68" s="74"/>
      <c r="D68" s="74"/>
      <c r="E68" s="74"/>
      <c r="F68" s="74"/>
      <c r="G68" s="74"/>
      <c r="H68" s="74"/>
      <c r="I68" s="73"/>
    </row>
    <row r="69" spans="2:13">
      <c r="B69" s="73"/>
      <c r="C69" s="74"/>
      <c r="D69" s="74"/>
      <c r="E69" s="74"/>
      <c r="F69" s="74"/>
      <c r="G69" s="74"/>
      <c r="H69" s="74"/>
      <c r="I69" s="73"/>
    </row>
    <row r="70" spans="2:13">
      <c r="B70" s="73"/>
      <c r="C70" s="74"/>
      <c r="D70" s="74"/>
      <c r="E70" s="74"/>
      <c r="F70" s="74"/>
      <c r="G70" s="74"/>
      <c r="H70" s="74"/>
      <c r="I70" s="73"/>
    </row>
    <row r="71" spans="2:13">
      <c r="B71" s="73"/>
      <c r="C71" s="74"/>
      <c r="D71" s="74"/>
      <c r="E71" s="74"/>
      <c r="F71" s="74"/>
      <c r="G71" s="74"/>
      <c r="H71" s="74"/>
      <c r="I71" s="73"/>
    </row>
    <row r="72" spans="2:13">
      <c r="B72" s="73"/>
      <c r="C72" s="74"/>
      <c r="D72" s="74"/>
      <c r="E72" s="74"/>
      <c r="F72" s="74"/>
      <c r="G72" s="74"/>
      <c r="H72" s="74"/>
      <c r="I72" s="73"/>
    </row>
    <row r="73" spans="2:13">
      <c r="B73" s="73"/>
      <c r="C73" s="74"/>
      <c r="D73" s="74"/>
      <c r="E73" s="74"/>
      <c r="F73" s="74"/>
      <c r="G73" s="74"/>
      <c r="H73" s="74"/>
      <c r="I73" s="73"/>
    </row>
    <row r="74" spans="2:13">
      <c r="B74" s="73"/>
      <c r="C74" s="74"/>
      <c r="D74" s="74"/>
      <c r="E74" s="74"/>
      <c r="F74" s="74"/>
      <c r="G74" s="74"/>
      <c r="H74" s="74"/>
      <c r="I74" s="73"/>
    </row>
  </sheetData>
  <mergeCells count="8">
    <mergeCell ref="A1:B1"/>
    <mergeCell ref="C1:H1"/>
    <mergeCell ref="A2:B2"/>
    <mergeCell ref="C2:H2"/>
    <mergeCell ref="A3:B3"/>
    <mergeCell ref="H3:H5"/>
    <mergeCell ref="A4:B4"/>
    <mergeCell ref="A5:B5"/>
  </mergeCells>
  <phoneticPr fontId="3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2021年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'2021年'!Print_Area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李伟青</cp:lastModifiedBy>
  <dcterms:created xsi:type="dcterms:W3CDTF">2006-09-13T11:21:00Z</dcterms:created>
  <dcterms:modified xsi:type="dcterms:W3CDTF">2021-07-14T06:15:17Z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