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691"/>
  </bookViews>
  <sheets>
    <sheet name="月度付款  " sheetId="22" r:id="rId1"/>
    <sheet name="月付款明细 " sheetId="24" r:id="rId2"/>
    <sheet name="Sheet1" sheetId="21" r:id="rId3"/>
  </sheets>
  <externalReferences>
    <externalReference r:id="rId4"/>
  </externalReferences>
  <definedNames>
    <definedName name="_xlnm._FilterDatabase" localSheetId="0" hidden="1">'月度付款  '!$A$4:$O$58</definedName>
    <definedName name="_xlnm._FilterDatabase" localSheetId="1" hidden="1">'月付款明细 '!$A$2:$CN$56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E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N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三包费、10-12厂房租赁费</t>
        </r>
      </text>
    </comment>
    <comment ref="BE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卖广亿螺母，货款中扣除</t>
        </r>
      </text>
    </comment>
    <comment ref="B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三包费、10-12厂房租赁费</t>
        </r>
      </text>
    </comment>
    <comment ref="B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10-12厂房租赁费</t>
        </r>
      </text>
    </comment>
    <comment ref="B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B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冲销2020.7-9厂房租赁费</t>
        </r>
      </text>
    </comment>
    <comment ref="B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N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冲销2020.7-9厂房租赁费
</t>
        </r>
      </text>
    </comment>
    <comment ref="B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H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考核款</t>
        </r>
      </text>
    </comment>
    <comment ref="BN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其中5500考核款，700元三包费</t>
        </r>
      </text>
    </comment>
    <comment ref="J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
</t>
        </r>
      </text>
    </comment>
    <comment ref="BE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C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  <comment ref="BE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
</t>
        </r>
      </text>
    </comment>
    <comment ref="BN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三包费.10-12厂房租赁费</t>
        </r>
      </text>
    </comment>
    <comment ref="BW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月末盘亏</t>
        </r>
      </text>
    </comment>
  </commentList>
</comments>
</file>

<file path=xl/sharedStrings.xml><?xml version="1.0" encoding="utf-8"?>
<sst xmlns="http://schemas.openxmlformats.org/spreadsheetml/2006/main" count="256" uniqueCount="162">
  <si>
    <t>2021年08月供应商付款明细</t>
  </si>
  <si>
    <t>单位：潍坊光华荣昌汽车技术有限公司</t>
  </si>
  <si>
    <t>单位：元</t>
  </si>
  <si>
    <t>序号</t>
  </si>
  <si>
    <t>供应商代码</t>
  </si>
  <si>
    <t>供应商名称</t>
  </si>
  <si>
    <t>截止1月份应付余额</t>
  </si>
  <si>
    <t>挂 账</t>
  </si>
  <si>
    <t>合计金额</t>
  </si>
  <si>
    <t>截止2月底应付金额</t>
  </si>
  <si>
    <t>付款计划</t>
  </si>
  <si>
    <t>备注</t>
  </si>
  <si>
    <t>21.02月份挂账金额</t>
  </si>
  <si>
    <t>21.03月份挂账金额</t>
  </si>
  <si>
    <t>21.04月份挂账金额</t>
  </si>
  <si>
    <t>21.05月份挂账金额</t>
  </si>
  <si>
    <t>21.06月份挂账金额</t>
  </si>
  <si>
    <t>21.07月份挂账金额</t>
  </si>
  <si>
    <t>青岛福基纺织有限公司</t>
  </si>
  <si>
    <t>承兑</t>
  </si>
  <si>
    <t>文安县德实汽车配件有限公司</t>
  </si>
  <si>
    <t>黄骅市广亿汽车部件有限公司</t>
  </si>
  <si>
    <t>L2026a</t>
  </si>
  <si>
    <t>旷达汽车饰件系统有限公司</t>
  </si>
  <si>
    <t>山东金达汽车部件制造有限公司</t>
  </si>
  <si>
    <t>1913050A</t>
  </si>
  <si>
    <t>黄骅市恒伟五金制品有限公司</t>
  </si>
  <si>
    <t>L4896</t>
  </si>
  <si>
    <t>湘乡简美新材料科技有限公司</t>
  </si>
  <si>
    <t>潍坊振晟汽车零部件有限公司</t>
  </si>
  <si>
    <t>l4309</t>
  </si>
  <si>
    <t>吉林省德邦汽车电子有限公司</t>
  </si>
  <si>
    <t>慈溪市维克多自控元件有限公司</t>
  </si>
  <si>
    <t>黄骅市亚征汽车配件有限公司</t>
  </si>
  <si>
    <t>江苏力乐汽车部件股份有限公司</t>
  </si>
  <si>
    <t>黄骅市鑫祺汽车配件有限公司</t>
  </si>
  <si>
    <t>黄骅市长生汽车灯镜有限公司</t>
  </si>
  <si>
    <t>海兴中盛弹簧有限公司</t>
  </si>
  <si>
    <t>黄骅市建昌塑料制品有限公司</t>
  </si>
  <si>
    <t>L3016</t>
  </si>
  <si>
    <t>北京祥瑞祥远运输有限责任公司</t>
  </si>
  <si>
    <t>浙江万里安全器材制造有限公司</t>
  </si>
  <si>
    <t>1913025A</t>
  </si>
  <si>
    <t>河北新强力机械制造有限公司</t>
  </si>
  <si>
    <t>黄骅市雍丰塑料制品有限公司</t>
  </si>
  <si>
    <t>黄骅市致远摩托车配件有限公司</t>
  </si>
  <si>
    <t>北京浦东三浦标准件有限公司</t>
  </si>
  <si>
    <t>常州华阳万联汽车附件有限公司</t>
  </si>
  <si>
    <t>1913247A</t>
  </si>
  <si>
    <t>沧州志鹏聚氨酯制品有限公司</t>
  </si>
  <si>
    <t>L4382</t>
  </si>
  <si>
    <t>诸城市仁德物流有限公司</t>
  </si>
  <si>
    <t>日照联成工程机械有限公司</t>
  </si>
  <si>
    <t>保定市京苑汽车装饰配件厂</t>
  </si>
  <si>
    <t>L1091</t>
  </si>
  <si>
    <t>湖南精正设备制造有限公司</t>
  </si>
  <si>
    <t>黄骅市泰行汽车配件有限公司</t>
  </si>
  <si>
    <t>黄骅市京港机电设备有限公司</t>
  </si>
  <si>
    <t>黄骅汇铭汽车部件有限公司</t>
  </si>
  <si>
    <t>山东万澳汽车附件科技有限公司</t>
  </si>
  <si>
    <t>北京瑞隆祥模具有限公司</t>
  </si>
  <si>
    <t>诸城市黄海剑杆织布厂</t>
  </si>
  <si>
    <t>黄骅市常郭镇街西纸箱厂</t>
  </si>
  <si>
    <t>L4876</t>
  </si>
  <si>
    <t>青岛华瑞利工贸有限公司</t>
  </si>
  <si>
    <t>河北岳钢数控设备有限公司</t>
  </si>
  <si>
    <t>黄骅天丰汽车配件有限公司</t>
  </si>
  <si>
    <t>L2037</t>
  </si>
  <si>
    <t>廊坊华文机电设备有限公司</t>
  </si>
  <si>
    <t>L2036</t>
  </si>
  <si>
    <t>厦门市三友和机械有限公司</t>
  </si>
  <si>
    <t>1932389A</t>
  </si>
  <si>
    <t>溧阳鑫岩汽车零部件有限公司</t>
  </si>
  <si>
    <t>深州市卓伦橡塑磨具有限公司</t>
  </si>
  <si>
    <t>L1172</t>
  </si>
  <si>
    <t>合肥光码科技有限公司</t>
  </si>
  <si>
    <t>黄骅同辉汽车配件有限公司</t>
  </si>
  <si>
    <t>L3002</t>
  </si>
  <si>
    <t>北京华伟唐运输服务有限公</t>
  </si>
  <si>
    <t>黄骅再兴汽车配件有限公司</t>
  </si>
  <si>
    <t>苏州苏宁标准件有限公司</t>
  </si>
  <si>
    <t>L1171</t>
  </si>
  <si>
    <t>北京鹏宇兴业精密模具制造有限</t>
  </si>
  <si>
    <t>L1031</t>
  </si>
  <si>
    <t>江阴长青工艺品有限公司</t>
  </si>
  <si>
    <t>黄骅万昌五金制品有限公司</t>
  </si>
  <si>
    <t>北京旺博林包装材料有限公司</t>
  </si>
  <si>
    <t>L4991</t>
  </si>
  <si>
    <t>黄骅市洪昌运输队</t>
  </si>
  <si>
    <t>合计</t>
  </si>
  <si>
    <t xml:space="preserve">经办人：                                          部门批准：                                                财务审核：                                                财务经理：                                                              总经理：  </t>
  </si>
  <si>
    <t>付款明细</t>
  </si>
  <si>
    <t>19.4月</t>
  </si>
  <si>
    <t>4月扣点</t>
  </si>
  <si>
    <t>4月考核</t>
  </si>
  <si>
    <t>19.5月</t>
  </si>
  <si>
    <t>5月扣点</t>
  </si>
  <si>
    <t>5月考核</t>
  </si>
  <si>
    <t>19.6月</t>
  </si>
  <si>
    <t>6月扣点</t>
  </si>
  <si>
    <t>6月考核</t>
  </si>
  <si>
    <t>19.7月</t>
  </si>
  <si>
    <t>7月扣点</t>
  </si>
  <si>
    <t>7月考核</t>
  </si>
  <si>
    <t>19.8月</t>
  </si>
  <si>
    <t>8月扣点</t>
  </si>
  <si>
    <t>8月考核</t>
  </si>
  <si>
    <t>19.9月</t>
  </si>
  <si>
    <t>9月扣点</t>
  </si>
  <si>
    <t>9月考核</t>
  </si>
  <si>
    <t>19.10月</t>
  </si>
  <si>
    <t>10月扣点</t>
  </si>
  <si>
    <t>10月考核</t>
  </si>
  <si>
    <t>19.11月</t>
  </si>
  <si>
    <t>11月扣点</t>
  </si>
  <si>
    <t>11月考核</t>
  </si>
  <si>
    <t>19.12月</t>
  </si>
  <si>
    <t>12月扣点</t>
  </si>
  <si>
    <t>12月考核</t>
  </si>
  <si>
    <t>20.1月</t>
  </si>
  <si>
    <t>1月扣点</t>
  </si>
  <si>
    <t>1月考核</t>
  </si>
  <si>
    <t>20.2月</t>
  </si>
  <si>
    <t>2月扣点</t>
  </si>
  <si>
    <t>2月考核</t>
  </si>
  <si>
    <t>20.3月</t>
  </si>
  <si>
    <t>3月扣点</t>
  </si>
  <si>
    <t>3月考核</t>
  </si>
  <si>
    <t>20.4月</t>
  </si>
  <si>
    <t>20.5月</t>
  </si>
  <si>
    <t>20.6月</t>
  </si>
  <si>
    <t>20.7月</t>
  </si>
  <si>
    <t>20.8月</t>
  </si>
  <si>
    <t>20.9月</t>
  </si>
  <si>
    <t>20.10月</t>
  </si>
  <si>
    <t>20.11月</t>
  </si>
  <si>
    <t>20.12月</t>
  </si>
  <si>
    <t>21.01月</t>
  </si>
  <si>
    <t>21.01扣点</t>
  </si>
  <si>
    <t>21.01考核</t>
  </si>
  <si>
    <t>21.02月</t>
  </si>
  <si>
    <t>21.02扣点</t>
  </si>
  <si>
    <t>21.02考核</t>
  </si>
  <si>
    <t>21.03月</t>
  </si>
  <si>
    <t>21.03扣点</t>
  </si>
  <si>
    <t>21.03考核</t>
  </si>
  <si>
    <t>21.04月</t>
  </si>
  <si>
    <t>21.04扣点</t>
  </si>
  <si>
    <t>21.04考核</t>
  </si>
  <si>
    <t>21.05月</t>
  </si>
  <si>
    <t>21.05扣点</t>
  </si>
  <si>
    <t>21.05考核</t>
  </si>
  <si>
    <t>21.06月</t>
  </si>
  <si>
    <t>21.06扣点</t>
  </si>
  <si>
    <t>21.06考核</t>
  </si>
  <si>
    <t>21.07月</t>
  </si>
  <si>
    <t>21.07扣点</t>
  </si>
  <si>
    <t>21.07考核</t>
  </si>
  <si>
    <t>21.08月</t>
  </si>
  <si>
    <t>21.08扣点</t>
  </si>
  <si>
    <t>21.08考核</t>
  </si>
  <si>
    <t>诸城市新汇众物流有限公司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</si>
</sst>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00_);[Red]\(#,##0.00\)"/>
    <numFmt numFmtId="178" formatCode="_-* #,##0.00_-;\-* #,##0.00_-;_-* &quot;-&quot;??_-;_-@_-"/>
  </numFmts>
  <fonts count="5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0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Arial"/>
      <charset val="134"/>
    </font>
    <font>
      <sz val="9"/>
      <name val="微软雅黑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9"/>
      <color rgb="FFFF0000"/>
      <name val="微软雅黑"/>
      <charset val="134"/>
    </font>
    <font>
      <sz val="10"/>
      <color indexed="0"/>
      <name val="Arial"/>
      <charset val="0"/>
    </font>
    <font>
      <sz val="9"/>
      <color indexed="0"/>
      <name val="微软雅黑"/>
      <charset val="0"/>
    </font>
    <font>
      <sz val="10"/>
      <color rgb="FFFF0000"/>
      <name val="Arial"/>
      <charset val="0"/>
    </font>
    <font>
      <sz val="9"/>
      <color rgb="FFFF0000"/>
      <name val="微软雅黑"/>
      <charset val="0"/>
    </font>
    <font>
      <sz val="9"/>
      <name val="微软雅黑"/>
      <charset val="0"/>
    </font>
    <font>
      <sz val="9"/>
      <color rgb="FF000000"/>
      <name val="微软雅黑"/>
      <charset val="134"/>
    </font>
    <font>
      <b/>
      <sz val="10"/>
      <name val="Arial"/>
      <charset val="134"/>
    </font>
    <font>
      <sz val="9"/>
      <color rgb="FF000000"/>
      <name val="宋体"/>
      <charset val="134"/>
      <scheme val="major"/>
    </font>
    <font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Arial"/>
      <charset val="134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48" fillId="21" borderId="13" applyNumberFormat="0" applyAlignment="0" applyProtection="0">
      <alignment vertical="center"/>
    </xf>
    <xf numFmtId="0" fontId="50" fillId="25" borderId="18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0" borderId="0"/>
    <xf numFmtId="43" fontId="34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4" fillId="0" borderId="1" xfId="5" applyNumberFormat="1" applyFont="1" applyFill="1" applyBorder="1" applyAlignment="1">
      <alignment horizontal="center" vertical="center" wrapText="1" shrinkToFit="1"/>
    </xf>
    <xf numFmtId="4" fontId="4" fillId="0" borderId="1" xfId="5" applyNumberFormat="1" applyFont="1" applyFill="1" applyBorder="1" applyAlignment="1">
      <alignment horizontal="center" vertical="center" shrinkToFit="1"/>
    </xf>
    <xf numFmtId="4" fontId="4" fillId="2" borderId="1" xfId="5" applyNumberFormat="1" applyFont="1" applyFill="1" applyBorder="1" applyAlignment="1">
      <alignment horizontal="center" vertical="center" wrapText="1" shrinkToFit="1"/>
    </xf>
    <xf numFmtId="4" fontId="4" fillId="2" borderId="1" xfId="5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/>
    </xf>
    <xf numFmtId="4" fontId="2" fillId="0" borderId="1" xfId="5" applyNumberFormat="1" applyFont="1" applyFill="1" applyBorder="1" applyAlignment="1">
      <alignment horizontal="left" shrinkToFit="1"/>
    </xf>
    <xf numFmtId="4" fontId="2" fillId="2" borderId="1" xfId="5" applyNumberFormat="1" applyFont="1" applyFill="1" applyBorder="1" applyAlignment="1">
      <alignment horizontal="left" shrinkToFit="1"/>
    </xf>
    <xf numFmtId="4" fontId="1" fillId="0" borderId="1" xfId="5" applyNumberFormat="1" applyFont="1" applyFill="1" applyBorder="1" applyAlignment="1">
      <alignment horizontal="left" vertical="center"/>
    </xf>
    <xf numFmtId="4" fontId="2" fillId="2" borderId="1" xfId="5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6" fillId="0" borderId="1" xfId="49" applyNumberFormat="1" applyFont="1" applyFill="1" applyBorder="1" applyAlignment="1">
      <alignment horizontal="left" vertical="center"/>
    </xf>
    <xf numFmtId="0" fontId="6" fillId="4" borderId="1" xfId="49" applyFont="1" applyFill="1" applyBorder="1" applyAlignment="1">
      <alignment horizontal="left" vertical="center"/>
    </xf>
    <xf numFmtId="0" fontId="5" fillId="4" borderId="1" xfId="0" applyFont="1" applyFill="1" applyBorder="1" applyAlignment="1"/>
    <xf numFmtId="0" fontId="6" fillId="0" borderId="1" xfId="49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4" fontId="1" fillId="2" borderId="1" xfId="5" applyNumberFormat="1" applyFont="1" applyFill="1" applyBorder="1" applyAlignment="1">
      <alignment horizontal="left" vertical="center"/>
    </xf>
    <xf numFmtId="0" fontId="7" fillId="2" borderId="1" xfId="0" applyFont="1" applyFill="1" applyBorder="1">
      <alignment vertical="center"/>
    </xf>
    <xf numFmtId="4" fontId="4" fillId="2" borderId="5" xfId="5" applyNumberFormat="1" applyFont="1" applyFill="1" applyBorder="1" applyAlignment="1">
      <alignment horizontal="center" vertical="center" wrapText="1" shrinkToFit="1"/>
    </xf>
    <xf numFmtId="0" fontId="1" fillId="2" borderId="5" xfId="0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43" fontId="1" fillId="0" borderId="6" xfId="0" applyNumberFormat="1" applyFont="1" applyFill="1" applyBorder="1" applyAlignment="1">
      <alignment horizontal="left" vertical="center"/>
    </xf>
    <xf numFmtId="4" fontId="4" fillId="3" borderId="1" xfId="5" applyNumberFormat="1" applyFont="1" applyFill="1" applyBorder="1" applyAlignment="1">
      <alignment horizontal="center" vertical="center" wrapText="1" shrinkToFit="1"/>
    </xf>
    <xf numFmtId="43" fontId="2" fillId="3" borderId="1" xfId="0" applyNumberFormat="1" applyFont="1" applyFill="1" applyBorder="1">
      <alignment vertical="center"/>
    </xf>
    <xf numFmtId="43" fontId="1" fillId="0" borderId="1" xfId="0" applyNumberFormat="1" applyFont="1" applyFill="1" applyBorder="1" applyAlignment="1">
      <alignment horizontal="left" vertical="center"/>
    </xf>
    <xf numFmtId="43" fontId="1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2" fillId="0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7" xfId="49" applyFont="1" applyFill="1" applyBorder="1" applyAlignment="1">
      <alignment horizontal="left" vertical="center"/>
    </xf>
    <xf numFmtId="10" fontId="13" fillId="0" borderId="7" xfId="49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/>
    </xf>
    <xf numFmtId="10" fontId="15" fillId="0" borderId="8" xfId="49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/>
    </xf>
    <xf numFmtId="10" fontId="15" fillId="0" borderId="6" xfId="49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left" vertical="center"/>
    </xf>
    <xf numFmtId="4" fontId="17" fillId="0" borderId="1" xfId="5" applyNumberFormat="1" applyFont="1" applyFill="1" applyBorder="1" applyAlignment="1">
      <alignment horizontal="left" shrinkToFit="1"/>
    </xf>
    <xf numFmtId="0" fontId="18" fillId="0" borderId="1" xfId="8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left" vertical="center"/>
    </xf>
    <xf numFmtId="4" fontId="20" fillId="0" borderId="1" xfId="5" applyNumberFormat="1" applyFont="1" applyFill="1" applyBorder="1" applyAlignment="1">
      <alignment horizontal="left" shrinkToFit="1"/>
    </xf>
    <xf numFmtId="0" fontId="19" fillId="0" borderId="1" xfId="8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/>
    <xf numFmtId="0" fontId="22" fillId="0" borderId="1" xfId="0" applyFont="1" applyFill="1" applyBorder="1" applyAlignment="1"/>
    <xf numFmtId="0" fontId="23" fillId="0" borderId="1" xfId="0" applyNumberFormat="1" applyFont="1" applyFill="1" applyBorder="1" applyAlignment="1">
      <alignment horizontal="left"/>
    </xf>
    <xf numFmtId="0" fontId="24" fillId="0" borderId="1" xfId="0" applyFont="1" applyFill="1" applyBorder="1" applyAlignment="1"/>
    <xf numFmtId="0" fontId="23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5" fillId="0" borderId="1" xfId="0" applyFont="1" applyFill="1" applyBorder="1" applyAlignment="1"/>
    <xf numFmtId="0" fontId="21" fillId="0" borderId="1" xfId="0" applyNumberFormat="1" applyFont="1" applyFill="1" applyBorder="1" applyAlignment="1">
      <alignment horizontal="left"/>
    </xf>
    <xf numFmtId="0" fontId="26" fillId="0" borderId="1" xfId="0" applyNumberFormat="1" applyFont="1" applyFill="1" applyBorder="1" applyAlignment="1">
      <alignment horizontal="left" vertical="center"/>
    </xf>
    <xf numFmtId="178" fontId="27" fillId="0" borderId="1" xfId="0" applyNumberFormat="1" applyFont="1" applyFill="1" applyBorder="1" applyAlignment="1">
      <alignment horizontal="center" vertical="center" wrapText="1"/>
    </xf>
    <xf numFmtId="4" fontId="17" fillId="4" borderId="1" xfId="5" applyNumberFormat="1" applyFont="1" applyFill="1" applyBorder="1" applyAlignment="1">
      <alignment horizontal="left" shrinkToFit="1"/>
    </xf>
    <xf numFmtId="0" fontId="17" fillId="0" borderId="1" xfId="5" applyNumberFormat="1" applyFont="1" applyFill="1" applyBorder="1" applyAlignment="1">
      <alignment horizontal="left" shrinkToFit="1"/>
    </xf>
    <xf numFmtId="0" fontId="22" fillId="4" borderId="1" xfId="0" applyFont="1" applyFill="1" applyBorder="1" applyAlignment="1"/>
    <xf numFmtId="0" fontId="26" fillId="0" borderId="1" xfId="49" applyFont="1" applyFill="1" applyBorder="1" applyAlignment="1">
      <alignment horizontal="left" vertical="center"/>
    </xf>
    <xf numFmtId="0" fontId="26" fillId="4" borderId="1" xfId="49" applyFont="1" applyFill="1" applyBorder="1" applyAlignment="1">
      <alignment horizontal="left" vertical="center"/>
    </xf>
    <xf numFmtId="0" fontId="28" fillId="0" borderId="1" xfId="49" applyFont="1" applyFill="1" applyBorder="1" applyAlignment="1">
      <alignment horizontal="center" vertical="center"/>
    </xf>
    <xf numFmtId="0" fontId="26" fillId="0" borderId="3" xfId="49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177" fontId="13" fillId="0" borderId="9" xfId="0" applyNumberFormat="1" applyFont="1" applyFill="1" applyBorder="1" applyAlignment="1">
      <alignment horizontal="center" vertical="center" wrapText="1"/>
    </xf>
    <xf numFmtId="177" fontId="13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58" fontId="9" fillId="0" borderId="0" xfId="0" applyNumberFormat="1" applyFo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B05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493;&#22346;&#20809;&#21326;&#33635;&#26124;&#20379;&#24212;&#21830;&#22238;&#27454;&#35745;&#21010;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付款  "/>
      <sheetName val="月付款明细 "/>
      <sheetName val="Sheet1"/>
    </sheetNames>
    <sheetDataSet>
      <sheetData sheetId="0"/>
      <sheetData sheetId="1">
        <row r="64">
          <cell r="BC64">
            <v>6423300</v>
          </cell>
          <cell r="BD64">
            <v>626700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8"/>
  <sheetViews>
    <sheetView tabSelected="1" workbookViewId="0">
      <pane xSplit="3" ySplit="4" topLeftCell="D5" activePane="bottomRight" state="frozenSplit"/>
      <selection/>
      <selection pane="topRight"/>
      <selection pane="bottomLeft"/>
      <selection pane="bottomRight" activeCell="P62" sqref="P62"/>
    </sheetView>
  </sheetViews>
  <sheetFormatPr defaultColWidth="9" defaultRowHeight="16.5"/>
  <cols>
    <col min="1" max="1" width="6.875" customWidth="1"/>
    <col min="2" max="2" width="9" hidden="1" customWidth="1"/>
    <col min="3" max="3" width="22.5" style="47" customWidth="1"/>
    <col min="4" max="4" width="9.75" customWidth="1"/>
    <col min="5" max="10" width="12.625" customWidth="1"/>
    <col min="11" max="12" width="12" customWidth="1"/>
    <col min="13" max="14" width="9" customWidth="1"/>
    <col min="15" max="15" width="10.5" customWidth="1"/>
  </cols>
  <sheetData>
    <row r="1" s="42" customFormat="1" ht="21" spans="1:14">
      <c r="A1" s="48" t="s">
        <v>0</v>
      </c>
      <c r="B1" s="48"/>
      <c r="C1" s="49"/>
      <c r="D1" s="48"/>
      <c r="E1" s="50"/>
      <c r="F1" s="50"/>
      <c r="G1" s="50"/>
      <c r="H1" s="50"/>
      <c r="I1" s="50"/>
      <c r="J1" s="50"/>
      <c r="K1" s="50"/>
      <c r="L1" s="50"/>
      <c r="M1" s="50"/>
      <c r="N1" s="48"/>
    </row>
    <row r="2" s="43" customFormat="1" spans="1:14">
      <c r="A2" s="51" t="s">
        <v>1</v>
      </c>
      <c r="B2" s="51"/>
      <c r="C2" s="51"/>
      <c r="D2" s="52"/>
      <c r="E2" s="53"/>
      <c r="F2" s="53"/>
      <c r="G2" s="53"/>
      <c r="H2" s="53"/>
      <c r="I2" s="53"/>
      <c r="J2" s="53"/>
      <c r="K2" s="53"/>
      <c r="L2" s="53"/>
      <c r="M2" s="53"/>
      <c r="N2" s="51" t="s">
        <v>2</v>
      </c>
    </row>
    <row r="3" s="43" customFormat="1" spans="1:14">
      <c r="A3" s="54" t="s">
        <v>3</v>
      </c>
      <c r="B3" s="55" t="s">
        <v>4</v>
      </c>
      <c r="C3" s="54" t="s">
        <v>5</v>
      </c>
      <c r="D3" s="56" t="s">
        <v>6</v>
      </c>
      <c r="E3" s="57" t="s">
        <v>7</v>
      </c>
      <c r="F3" s="58"/>
      <c r="G3" s="58"/>
      <c r="H3" s="58"/>
      <c r="I3" s="58"/>
      <c r="J3" s="58"/>
      <c r="K3" s="91" t="s">
        <v>8</v>
      </c>
      <c r="L3" s="91" t="s">
        <v>9</v>
      </c>
      <c r="M3" s="92" t="s">
        <v>10</v>
      </c>
      <c r="N3" s="93" t="s">
        <v>11</v>
      </c>
    </row>
    <row r="4" s="43" customFormat="1" ht="33" spans="1:15">
      <c r="A4" s="54"/>
      <c r="B4" s="59"/>
      <c r="C4" s="54"/>
      <c r="D4" s="60"/>
      <c r="E4" s="61" t="s">
        <v>12</v>
      </c>
      <c r="F4" s="61" t="s">
        <v>13</v>
      </c>
      <c r="G4" s="61" t="s">
        <v>14</v>
      </c>
      <c r="H4" s="61" t="s">
        <v>15</v>
      </c>
      <c r="I4" s="61" t="s">
        <v>16</v>
      </c>
      <c r="J4" s="57" t="s">
        <v>17</v>
      </c>
      <c r="K4" s="94"/>
      <c r="L4" s="94"/>
      <c r="M4" s="95"/>
      <c r="N4" s="93"/>
      <c r="O4" s="96">
        <v>44420</v>
      </c>
    </row>
    <row r="5" ht="14.25" spans="1:15">
      <c r="A5" s="62">
        <f t="shared" ref="A5:A56" si="0">ROW()-4</f>
        <v>1</v>
      </c>
      <c r="B5" s="63">
        <v>1937320</v>
      </c>
      <c r="C5" s="64" t="s">
        <v>18</v>
      </c>
      <c r="D5" s="65">
        <v>2854056.62</v>
      </c>
      <c r="E5" s="66">
        <v>2094104.38</v>
      </c>
      <c r="F5" s="66">
        <v>699006.04</v>
      </c>
      <c r="G5" s="66">
        <v>1557984.35</v>
      </c>
      <c r="H5" s="66">
        <v>1201490.6</v>
      </c>
      <c r="I5" s="66">
        <v>685173.96</v>
      </c>
      <c r="J5" s="66">
        <v>619714.1</v>
      </c>
      <c r="K5" s="66">
        <f t="shared" ref="K5:K56" si="1">D5+E5+F5+G5+H5+I5+J5</f>
        <v>9711530.05</v>
      </c>
      <c r="L5" s="66">
        <f>D5+E5</f>
        <v>4948161</v>
      </c>
      <c r="M5" s="66">
        <v>100</v>
      </c>
      <c r="N5" s="97" t="s">
        <v>19</v>
      </c>
      <c r="O5">
        <v>100</v>
      </c>
    </row>
    <row r="6" s="44" customFormat="1" ht="14.25" spans="1:15">
      <c r="A6" s="67">
        <f t="shared" si="0"/>
        <v>2</v>
      </c>
      <c r="B6" s="68">
        <v>1913289</v>
      </c>
      <c r="C6" s="69" t="s">
        <v>20</v>
      </c>
      <c r="D6" s="70">
        <v>1788888.62</v>
      </c>
      <c r="E6" s="71">
        <v>1174494.96</v>
      </c>
      <c r="F6" s="71">
        <v>332129.6</v>
      </c>
      <c r="G6" s="71">
        <v>1141322.7</v>
      </c>
      <c r="H6" s="71">
        <v>746609.63</v>
      </c>
      <c r="I6" s="71">
        <v>775890.29</v>
      </c>
      <c r="J6" s="71">
        <v>644007.7</v>
      </c>
      <c r="K6" s="71">
        <f t="shared" si="1"/>
        <v>6603343.5</v>
      </c>
      <c r="L6" s="71">
        <f>D6+E6</f>
        <v>2963383.58</v>
      </c>
      <c r="M6" s="71">
        <v>150</v>
      </c>
      <c r="N6" s="98"/>
      <c r="O6" s="44">
        <v>80</v>
      </c>
    </row>
    <row r="7" s="44" customFormat="1" ht="14.25" spans="1:15">
      <c r="A7" s="67">
        <f t="shared" si="0"/>
        <v>3</v>
      </c>
      <c r="B7" s="68">
        <v>1913006</v>
      </c>
      <c r="C7" s="69" t="s">
        <v>21</v>
      </c>
      <c r="D7" s="70">
        <v>488109.33</v>
      </c>
      <c r="E7" s="71">
        <v>1394089.55</v>
      </c>
      <c r="F7" s="71">
        <v>287849.93</v>
      </c>
      <c r="G7" s="71">
        <v>891834.04</v>
      </c>
      <c r="H7" s="71">
        <v>737686.75</v>
      </c>
      <c r="I7" s="71">
        <v>678283.07</v>
      </c>
      <c r="J7" s="71">
        <v>531319.64</v>
      </c>
      <c r="K7" s="71">
        <f t="shared" si="1"/>
        <v>5009172.31</v>
      </c>
      <c r="L7" s="71">
        <f>D7+E7</f>
        <v>1882198.88</v>
      </c>
      <c r="M7" s="71">
        <v>120</v>
      </c>
      <c r="N7" s="98"/>
      <c r="O7" s="44">
        <v>50</v>
      </c>
    </row>
    <row r="8" ht="14.25" hidden="1" spans="1:14">
      <c r="A8" s="62">
        <f t="shared" si="0"/>
        <v>4</v>
      </c>
      <c r="B8" s="72" t="s">
        <v>22</v>
      </c>
      <c r="C8" s="73" t="s">
        <v>23</v>
      </c>
      <c r="D8" s="65">
        <v>1085504.44</v>
      </c>
      <c r="E8" s="66">
        <v>0</v>
      </c>
      <c r="F8" s="66">
        <v>489164.12</v>
      </c>
      <c r="G8" s="66">
        <v>140665.79</v>
      </c>
      <c r="H8" s="66">
        <v>192135.01</v>
      </c>
      <c r="I8" s="66">
        <v>0</v>
      </c>
      <c r="J8" s="66">
        <v>90854.78</v>
      </c>
      <c r="K8" s="66">
        <f t="shared" si="1"/>
        <v>1998324.14</v>
      </c>
      <c r="L8" s="66">
        <f>D8+E8</f>
        <v>1085504.44</v>
      </c>
      <c r="M8" s="66">
        <v>50</v>
      </c>
      <c r="N8" s="99" t="s">
        <v>19</v>
      </c>
    </row>
    <row r="9" s="45" customFormat="1" ht="14.25" spans="1:15">
      <c r="A9" s="67">
        <f t="shared" si="0"/>
        <v>5</v>
      </c>
      <c r="B9" s="74">
        <v>1937655</v>
      </c>
      <c r="C9" s="75" t="s">
        <v>24</v>
      </c>
      <c r="D9" s="70">
        <v>255111.43</v>
      </c>
      <c r="E9" s="71"/>
      <c r="F9" s="71">
        <v>174748.1</v>
      </c>
      <c r="G9" s="71">
        <v>425795.69</v>
      </c>
      <c r="H9" s="71">
        <v>796938.18</v>
      </c>
      <c r="I9" s="71">
        <v>305789.61</v>
      </c>
      <c r="J9" s="71">
        <v>331613.21</v>
      </c>
      <c r="K9" s="71">
        <f t="shared" si="1"/>
        <v>2289996.22</v>
      </c>
      <c r="L9" s="71">
        <f>D9+E9+F9</f>
        <v>429859.53</v>
      </c>
      <c r="M9" s="71">
        <v>30</v>
      </c>
      <c r="N9" s="98"/>
      <c r="O9" s="100">
        <v>30</v>
      </c>
    </row>
    <row r="10" s="44" customFormat="1" ht="14.25" spans="1:15">
      <c r="A10" s="67">
        <f t="shared" si="0"/>
        <v>6</v>
      </c>
      <c r="B10" s="68" t="s">
        <v>25</v>
      </c>
      <c r="C10" s="69" t="s">
        <v>26</v>
      </c>
      <c r="D10" s="70">
        <v>101452.46</v>
      </c>
      <c r="E10" s="71">
        <v>150692.61</v>
      </c>
      <c r="F10" s="71">
        <v>44971.81</v>
      </c>
      <c r="G10" s="71">
        <v>94192.73</v>
      </c>
      <c r="H10" s="71">
        <v>129907.92</v>
      </c>
      <c r="I10" s="71">
        <v>64740.58</v>
      </c>
      <c r="J10" s="71">
        <v>50896.27</v>
      </c>
      <c r="K10" s="71">
        <f t="shared" si="1"/>
        <v>636854.38</v>
      </c>
      <c r="L10" s="71">
        <f>D10+E10</f>
        <v>252145.07</v>
      </c>
      <c r="M10" s="71">
        <v>20</v>
      </c>
      <c r="N10" s="98"/>
      <c r="O10" s="44">
        <v>20</v>
      </c>
    </row>
    <row r="11" s="44" customFormat="1" ht="14.25" spans="1:15">
      <c r="A11" s="67">
        <f t="shared" si="0"/>
        <v>7</v>
      </c>
      <c r="B11" s="76" t="s">
        <v>27</v>
      </c>
      <c r="C11" s="75" t="s">
        <v>28</v>
      </c>
      <c r="D11" s="70">
        <v>41365.11</v>
      </c>
      <c r="E11" s="71">
        <v>65695.91</v>
      </c>
      <c r="F11" s="71">
        <v>97659.23</v>
      </c>
      <c r="G11" s="71">
        <v>239344.75</v>
      </c>
      <c r="H11" s="71">
        <v>197524.02</v>
      </c>
      <c r="I11" s="71">
        <v>0</v>
      </c>
      <c r="J11" s="71">
        <v>108052.93</v>
      </c>
      <c r="K11" s="71">
        <f t="shared" si="1"/>
        <v>749641.95</v>
      </c>
      <c r="L11" s="71">
        <f>D11+E11+F11</f>
        <v>204720.25</v>
      </c>
      <c r="M11" s="71">
        <v>20</v>
      </c>
      <c r="N11" s="98"/>
      <c r="O11" s="44">
        <v>10</v>
      </c>
    </row>
    <row r="12" ht="14.25" spans="1:15">
      <c r="A12" s="62">
        <f t="shared" si="0"/>
        <v>8</v>
      </c>
      <c r="B12" s="77">
        <v>1937680</v>
      </c>
      <c r="C12" s="78" t="s">
        <v>29</v>
      </c>
      <c r="D12" s="65">
        <v>46116.55</v>
      </c>
      <c r="E12" s="66">
        <v>57339.27</v>
      </c>
      <c r="F12" s="66">
        <v>1123.22</v>
      </c>
      <c r="G12" s="66">
        <v>69245.01</v>
      </c>
      <c r="H12" s="66">
        <v>62086.24</v>
      </c>
      <c r="I12" s="66">
        <v>23080.59</v>
      </c>
      <c r="J12" s="66">
        <v>39924.46</v>
      </c>
      <c r="K12" s="66">
        <f t="shared" si="1"/>
        <v>298915.34</v>
      </c>
      <c r="L12" s="66">
        <f t="shared" ref="L12:L28" si="2">D12+E12</f>
        <v>103455.82</v>
      </c>
      <c r="M12" s="66">
        <v>10</v>
      </c>
      <c r="N12" s="101"/>
      <c r="O12">
        <v>10</v>
      </c>
    </row>
    <row r="13" ht="14.25" spans="1:15">
      <c r="A13" s="62">
        <f t="shared" si="0"/>
        <v>9</v>
      </c>
      <c r="B13" s="77" t="s">
        <v>30</v>
      </c>
      <c r="C13" s="78" t="s">
        <v>31</v>
      </c>
      <c r="D13" s="65">
        <v>59824.09</v>
      </c>
      <c r="E13" s="66">
        <v>31628.7</v>
      </c>
      <c r="F13" s="66">
        <v>0</v>
      </c>
      <c r="G13" s="66">
        <v>18433.13</v>
      </c>
      <c r="H13" s="66">
        <v>38137.5</v>
      </c>
      <c r="I13" s="66">
        <v>17392.1</v>
      </c>
      <c r="J13" s="66">
        <v>21835.63</v>
      </c>
      <c r="K13" s="66">
        <f t="shared" si="1"/>
        <v>187251.15</v>
      </c>
      <c r="L13" s="66">
        <f t="shared" si="2"/>
        <v>91452.79</v>
      </c>
      <c r="M13" s="66">
        <v>5</v>
      </c>
      <c r="N13" s="101"/>
      <c r="O13" s="102">
        <v>5</v>
      </c>
    </row>
    <row r="14" ht="14.25" spans="1:15">
      <c r="A14" s="62">
        <f t="shared" si="0"/>
        <v>10</v>
      </c>
      <c r="B14" s="79">
        <v>1933714</v>
      </c>
      <c r="C14" s="78" t="s">
        <v>32</v>
      </c>
      <c r="D14" s="65">
        <v>15110</v>
      </c>
      <c r="E14" s="66">
        <v>8470</v>
      </c>
      <c r="F14" s="66">
        <v>7040</v>
      </c>
      <c r="G14" s="66">
        <v>1650</v>
      </c>
      <c r="H14" s="66">
        <v>6600</v>
      </c>
      <c r="I14" s="66">
        <v>3575</v>
      </c>
      <c r="J14" s="66">
        <v>3905</v>
      </c>
      <c r="K14" s="66">
        <f t="shared" si="1"/>
        <v>46350</v>
      </c>
      <c r="L14" s="66">
        <f t="shared" si="2"/>
        <v>23580</v>
      </c>
      <c r="M14" s="66">
        <v>2</v>
      </c>
      <c r="N14" s="101"/>
      <c r="O14" s="46">
        <v>2</v>
      </c>
    </row>
    <row r="15" s="44" customFormat="1" ht="14.25" spans="1:15">
      <c r="A15" s="67">
        <f t="shared" si="0"/>
        <v>11</v>
      </c>
      <c r="B15" s="68">
        <v>1913027</v>
      </c>
      <c r="C15" s="69" t="s">
        <v>33</v>
      </c>
      <c r="D15" s="70">
        <v>9213.61</v>
      </c>
      <c r="E15" s="71">
        <v>7749.21</v>
      </c>
      <c r="F15" s="71">
        <v>1784.73</v>
      </c>
      <c r="G15" s="71">
        <v>5791.18</v>
      </c>
      <c r="H15" s="71">
        <v>8189.69</v>
      </c>
      <c r="I15" s="71">
        <v>2827.68</v>
      </c>
      <c r="J15" s="71">
        <v>4265.9</v>
      </c>
      <c r="K15" s="71">
        <f t="shared" si="1"/>
        <v>39822</v>
      </c>
      <c r="L15" s="71">
        <f t="shared" si="2"/>
        <v>16962.82</v>
      </c>
      <c r="M15" s="71">
        <v>1</v>
      </c>
      <c r="N15" s="98"/>
      <c r="O15" s="44">
        <v>1</v>
      </c>
    </row>
    <row r="16" ht="14.25" hidden="1" spans="1:14">
      <c r="A16" s="62">
        <f t="shared" si="0"/>
        <v>12</v>
      </c>
      <c r="B16" s="63">
        <v>1932313</v>
      </c>
      <c r="C16" s="64" t="s">
        <v>34</v>
      </c>
      <c r="D16" s="65">
        <v>1066320.93</v>
      </c>
      <c r="E16" s="66">
        <v>596680.91</v>
      </c>
      <c r="F16" s="66">
        <v>250820.78</v>
      </c>
      <c r="G16" s="66">
        <v>850302.78</v>
      </c>
      <c r="H16" s="66">
        <v>796097.45</v>
      </c>
      <c r="I16" s="66">
        <v>476354.28</v>
      </c>
      <c r="J16" s="66">
        <v>457570.19</v>
      </c>
      <c r="K16" s="66">
        <f t="shared" si="1"/>
        <v>4494147.32</v>
      </c>
      <c r="L16" s="66">
        <f t="shared" si="2"/>
        <v>1663001.84</v>
      </c>
      <c r="M16" s="66">
        <v>100</v>
      </c>
      <c r="N16" s="101"/>
    </row>
    <row r="17" ht="14.25" hidden="1" spans="1:15">
      <c r="A17" s="62">
        <f t="shared" si="0"/>
        <v>13</v>
      </c>
      <c r="B17" s="63">
        <v>1913017</v>
      </c>
      <c r="C17" s="64" t="s">
        <v>35</v>
      </c>
      <c r="D17" s="65">
        <v>632019.8</v>
      </c>
      <c r="E17" s="66">
        <v>410613.55</v>
      </c>
      <c r="F17" s="66">
        <v>125430.74</v>
      </c>
      <c r="G17" s="66">
        <v>426066.02</v>
      </c>
      <c r="H17" s="66">
        <v>270171.25</v>
      </c>
      <c r="I17" s="66">
        <v>270576.56</v>
      </c>
      <c r="J17" s="66">
        <v>250998.99</v>
      </c>
      <c r="K17" s="66">
        <f t="shared" si="1"/>
        <v>2385876.91</v>
      </c>
      <c r="L17" s="66">
        <f t="shared" si="2"/>
        <v>1042633.35</v>
      </c>
      <c r="M17" s="66">
        <v>50</v>
      </c>
      <c r="N17" s="101"/>
      <c r="O17" s="103"/>
    </row>
    <row r="18" ht="14.25" hidden="1" spans="1:14">
      <c r="A18" s="62">
        <f t="shared" si="0"/>
        <v>14</v>
      </c>
      <c r="B18" s="63">
        <v>1913005</v>
      </c>
      <c r="C18" s="64" t="s">
        <v>36</v>
      </c>
      <c r="D18" s="65">
        <v>381823.44</v>
      </c>
      <c r="E18" s="66">
        <v>475567.35</v>
      </c>
      <c r="F18" s="66">
        <v>167799.93</v>
      </c>
      <c r="G18" s="66">
        <v>358348.2</v>
      </c>
      <c r="H18" s="66">
        <v>471978.72</v>
      </c>
      <c r="I18" s="66">
        <v>220326.83</v>
      </c>
      <c r="J18" s="66">
        <v>252913.03</v>
      </c>
      <c r="K18" s="66">
        <f t="shared" si="1"/>
        <v>2328757.5</v>
      </c>
      <c r="L18" s="66">
        <f t="shared" si="2"/>
        <v>857390.79</v>
      </c>
      <c r="M18" s="66">
        <v>40</v>
      </c>
      <c r="N18" s="101"/>
    </row>
    <row r="19" ht="14.25" hidden="1" spans="1:14">
      <c r="A19" s="62">
        <f t="shared" si="0"/>
        <v>15</v>
      </c>
      <c r="B19" s="63">
        <v>1913023</v>
      </c>
      <c r="C19" s="64" t="s">
        <v>37</v>
      </c>
      <c r="D19" s="65">
        <v>674975.82</v>
      </c>
      <c r="E19" s="66">
        <v>106651.48</v>
      </c>
      <c r="F19" s="66">
        <v>93111.52</v>
      </c>
      <c r="G19" s="66">
        <v>142082.93</v>
      </c>
      <c r="H19" s="66">
        <v>125148.82</v>
      </c>
      <c r="I19" s="66">
        <v>52198.1</v>
      </c>
      <c r="J19" s="66">
        <v>56750.2</v>
      </c>
      <c r="K19" s="66">
        <f t="shared" si="1"/>
        <v>1250918.87</v>
      </c>
      <c r="L19" s="66">
        <f t="shared" si="2"/>
        <v>781627.3</v>
      </c>
      <c r="M19" s="66">
        <v>20</v>
      </c>
      <c r="N19" s="101"/>
    </row>
    <row r="20" ht="14.25" hidden="1" spans="1:14">
      <c r="A20" s="62">
        <f t="shared" si="0"/>
        <v>16</v>
      </c>
      <c r="B20" s="63">
        <v>1913101</v>
      </c>
      <c r="C20" s="64" t="s">
        <v>38</v>
      </c>
      <c r="D20" s="65">
        <v>351024.04</v>
      </c>
      <c r="E20" s="66">
        <v>0</v>
      </c>
      <c r="F20" s="66">
        <v>157653.7</v>
      </c>
      <c r="G20" s="66">
        <v>136352.32</v>
      </c>
      <c r="H20" s="66">
        <v>92937.76</v>
      </c>
      <c r="I20" s="66">
        <v>0</v>
      </c>
      <c r="J20" s="66">
        <v>126687.45</v>
      </c>
      <c r="K20" s="66">
        <f t="shared" si="1"/>
        <v>864655.27</v>
      </c>
      <c r="L20" s="66">
        <f t="shared" si="2"/>
        <v>351024.04</v>
      </c>
      <c r="M20" s="66">
        <v>15</v>
      </c>
      <c r="N20" s="101"/>
    </row>
    <row r="21" ht="14.25" hidden="1" spans="1:15">
      <c r="A21" s="62">
        <f t="shared" si="0"/>
        <v>17</v>
      </c>
      <c r="B21" s="63" t="s">
        <v>39</v>
      </c>
      <c r="C21" s="80" t="s">
        <v>40</v>
      </c>
      <c r="D21" s="65">
        <v>331290.72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f t="shared" si="1"/>
        <v>331290.72</v>
      </c>
      <c r="L21" s="66">
        <f t="shared" si="2"/>
        <v>331290.72</v>
      </c>
      <c r="M21" s="66"/>
      <c r="N21" s="101"/>
      <c r="O21" s="103"/>
    </row>
    <row r="22" ht="14.25" hidden="1" spans="1:14">
      <c r="A22" s="62">
        <f t="shared" si="0"/>
        <v>18</v>
      </c>
      <c r="B22" s="79">
        <v>1937685</v>
      </c>
      <c r="C22" s="73" t="s">
        <v>41</v>
      </c>
      <c r="D22" s="65">
        <v>307949.52</v>
      </c>
      <c r="E22" s="66">
        <v>0</v>
      </c>
      <c r="F22" s="66">
        <v>9586.92</v>
      </c>
      <c r="G22" s="66">
        <v>66026.51</v>
      </c>
      <c r="H22" s="66">
        <v>65704.26</v>
      </c>
      <c r="I22" s="66">
        <v>27299.62</v>
      </c>
      <c r="J22" s="66">
        <v>29851.07</v>
      </c>
      <c r="K22" s="66">
        <f t="shared" si="1"/>
        <v>506417.9</v>
      </c>
      <c r="L22" s="66">
        <f t="shared" si="2"/>
        <v>307949.52</v>
      </c>
      <c r="M22" s="66">
        <v>15</v>
      </c>
      <c r="N22" s="101"/>
    </row>
    <row r="23" ht="14.25" hidden="1" spans="1:14">
      <c r="A23" s="62">
        <f t="shared" si="0"/>
        <v>19</v>
      </c>
      <c r="B23" s="63" t="s">
        <v>42</v>
      </c>
      <c r="C23" s="64" t="s">
        <v>43</v>
      </c>
      <c r="D23" s="65">
        <v>159057.21</v>
      </c>
      <c r="E23" s="66">
        <v>81968.66</v>
      </c>
      <c r="F23" s="66">
        <v>44420.62</v>
      </c>
      <c r="G23" s="66">
        <v>50841.19</v>
      </c>
      <c r="H23" s="81">
        <v>0</v>
      </c>
      <c r="I23" s="66">
        <v>0</v>
      </c>
      <c r="J23" s="66">
        <v>0</v>
      </c>
      <c r="K23" s="66">
        <f t="shared" si="1"/>
        <v>336287.68</v>
      </c>
      <c r="L23" s="66">
        <f t="shared" si="2"/>
        <v>241025.87</v>
      </c>
      <c r="M23" s="66">
        <v>10</v>
      </c>
      <c r="N23" s="101"/>
    </row>
    <row r="24" ht="14.25" hidden="1" spans="1:14">
      <c r="A24" s="62">
        <f t="shared" si="0"/>
        <v>20</v>
      </c>
      <c r="B24" s="63">
        <v>1913045</v>
      </c>
      <c r="C24" s="64" t="s">
        <v>44</v>
      </c>
      <c r="D24" s="65">
        <v>118773.03</v>
      </c>
      <c r="E24" s="66">
        <v>106680.9</v>
      </c>
      <c r="F24" s="66">
        <v>44989.49</v>
      </c>
      <c r="G24" s="66">
        <v>107447.99</v>
      </c>
      <c r="H24" s="66">
        <v>100362.1</v>
      </c>
      <c r="I24" s="66">
        <v>67842.66</v>
      </c>
      <c r="J24" s="66">
        <v>68979.77</v>
      </c>
      <c r="K24" s="66">
        <f t="shared" si="1"/>
        <v>615075.94</v>
      </c>
      <c r="L24" s="66">
        <f t="shared" si="2"/>
        <v>225453.93</v>
      </c>
      <c r="M24" s="66">
        <v>10</v>
      </c>
      <c r="N24" s="101"/>
    </row>
    <row r="25" ht="14.25" hidden="1" spans="1:15">
      <c r="A25" s="62">
        <f t="shared" si="0"/>
        <v>21</v>
      </c>
      <c r="B25" s="63">
        <v>1913665</v>
      </c>
      <c r="C25" s="82" t="s">
        <v>45</v>
      </c>
      <c r="D25" s="65">
        <v>214122.13</v>
      </c>
      <c r="E25" s="66"/>
      <c r="F25" s="66"/>
      <c r="G25" s="66"/>
      <c r="H25" s="66">
        <v>127102.62</v>
      </c>
      <c r="I25" s="66">
        <v>56765.12</v>
      </c>
      <c r="J25" s="66">
        <v>82191.26</v>
      </c>
      <c r="K25" s="66">
        <f t="shared" si="1"/>
        <v>480181.13</v>
      </c>
      <c r="L25" s="66">
        <f t="shared" si="2"/>
        <v>214122.13</v>
      </c>
      <c r="M25" s="66">
        <v>10</v>
      </c>
      <c r="N25" s="101"/>
      <c r="O25" s="103"/>
    </row>
    <row r="26" ht="14.25" hidden="1" spans="1:15">
      <c r="A26" s="62">
        <f t="shared" si="0"/>
        <v>22</v>
      </c>
      <c r="B26" s="63">
        <v>1911127</v>
      </c>
      <c r="C26" s="64" t="s">
        <v>46</v>
      </c>
      <c r="D26" s="65">
        <v>201102.59</v>
      </c>
      <c r="E26" s="66">
        <v>0</v>
      </c>
      <c r="F26" s="66">
        <v>95510.86</v>
      </c>
      <c r="G26" s="66">
        <v>109984.26</v>
      </c>
      <c r="H26" s="66">
        <v>62962.59</v>
      </c>
      <c r="I26" s="66">
        <v>55475.31</v>
      </c>
      <c r="J26" s="66">
        <v>42847.36</v>
      </c>
      <c r="K26" s="66">
        <f t="shared" si="1"/>
        <v>567882.97</v>
      </c>
      <c r="L26" s="66">
        <f t="shared" si="2"/>
        <v>201102.59</v>
      </c>
      <c r="M26" s="66">
        <v>10</v>
      </c>
      <c r="N26" s="101"/>
      <c r="O26" s="103"/>
    </row>
    <row r="27" ht="14.25" hidden="1" spans="1:15">
      <c r="A27" s="62">
        <f t="shared" si="0"/>
        <v>23</v>
      </c>
      <c r="B27" s="63">
        <v>1932347</v>
      </c>
      <c r="C27" s="64" t="s">
        <v>47</v>
      </c>
      <c r="D27" s="65">
        <v>192415.68</v>
      </c>
      <c r="E27" s="66"/>
      <c r="F27" s="66">
        <v>147930</v>
      </c>
      <c r="G27" s="66">
        <v>352540.16</v>
      </c>
      <c r="H27" s="66">
        <v>309459.72</v>
      </c>
      <c r="I27" s="66">
        <v>0</v>
      </c>
      <c r="J27" s="66">
        <v>491432.92</v>
      </c>
      <c r="K27" s="66">
        <f t="shared" si="1"/>
        <v>1493778.48</v>
      </c>
      <c r="L27" s="66">
        <f t="shared" si="2"/>
        <v>192415.68</v>
      </c>
      <c r="M27" s="66">
        <v>20</v>
      </c>
      <c r="N27" s="99" t="s">
        <v>19</v>
      </c>
      <c r="O27" s="103"/>
    </row>
    <row r="28" ht="14.25" hidden="1" spans="1:15">
      <c r="A28" s="62">
        <f t="shared" si="0"/>
        <v>24</v>
      </c>
      <c r="B28" s="63" t="s">
        <v>48</v>
      </c>
      <c r="C28" s="64" t="s">
        <v>49</v>
      </c>
      <c r="D28" s="65">
        <v>173139.03</v>
      </c>
      <c r="E28" s="66">
        <v>0</v>
      </c>
      <c r="F28" s="66">
        <v>0</v>
      </c>
      <c r="G28" s="66">
        <v>5420.1</v>
      </c>
      <c r="H28" s="66">
        <v>0</v>
      </c>
      <c r="I28" s="66">
        <v>0</v>
      </c>
      <c r="J28" s="66">
        <v>0</v>
      </c>
      <c r="K28" s="66">
        <f t="shared" si="1"/>
        <v>178559.13</v>
      </c>
      <c r="L28" s="66">
        <f t="shared" si="2"/>
        <v>173139.03</v>
      </c>
      <c r="M28" s="66"/>
      <c r="N28" s="101"/>
      <c r="O28" s="103"/>
    </row>
    <row r="29" s="46" customFormat="1" ht="14.25" hidden="1" spans="1:15">
      <c r="A29" s="62">
        <f t="shared" si="0"/>
        <v>25</v>
      </c>
      <c r="B29" s="63" t="s">
        <v>50</v>
      </c>
      <c r="C29" s="82" t="s">
        <v>51</v>
      </c>
      <c r="D29" s="65">
        <v>60100.1</v>
      </c>
      <c r="E29" s="66"/>
      <c r="F29" s="66"/>
      <c r="G29" s="66"/>
      <c r="H29" s="66">
        <v>112922</v>
      </c>
      <c r="I29" s="66">
        <v>106837</v>
      </c>
      <c r="J29" s="66">
        <v>69245</v>
      </c>
      <c r="K29" s="66">
        <f t="shared" si="1"/>
        <v>349104.1</v>
      </c>
      <c r="L29" s="66">
        <f>D29+E29+H29</f>
        <v>173022.1</v>
      </c>
      <c r="M29" s="66">
        <v>10</v>
      </c>
      <c r="N29" s="101"/>
      <c r="O29" s="103"/>
    </row>
    <row r="30" s="46" customFormat="1" ht="14.25" hidden="1" spans="1:15">
      <c r="A30" s="62">
        <f t="shared" si="0"/>
        <v>26</v>
      </c>
      <c r="B30" s="79">
        <v>1937678</v>
      </c>
      <c r="C30" s="73" t="s">
        <v>52</v>
      </c>
      <c r="D30" s="65">
        <v>99379.26</v>
      </c>
      <c r="E30" s="66">
        <v>63195.97</v>
      </c>
      <c r="F30" s="66">
        <v>27347.65</v>
      </c>
      <c r="G30" s="66">
        <v>108677.08</v>
      </c>
      <c r="H30" s="66">
        <v>101679.3</v>
      </c>
      <c r="I30" s="66">
        <v>55281.13</v>
      </c>
      <c r="J30" s="66">
        <v>55232.17</v>
      </c>
      <c r="K30" s="66">
        <f t="shared" si="1"/>
        <v>510792.56</v>
      </c>
      <c r="L30" s="66">
        <f t="shared" ref="L30:L35" si="3">D30+E30</f>
        <v>162575.23</v>
      </c>
      <c r="M30" s="66">
        <v>10</v>
      </c>
      <c r="N30" s="101"/>
      <c r="O30"/>
    </row>
    <row r="31" s="46" customFormat="1" ht="14.25" hidden="1" spans="1:15">
      <c r="A31" s="62">
        <f t="shared" si="0"/>
        <v>27</v>
      </c>
      <c r="B31" s="63">
        <v>1913218</v>
      </c>
      <c r="C31" s="64" t="s">
        <v>53</v>
      </c>
      <c r="D31" s="65">
        <v>95018.77</v>
      </c>
      <c r="E31" s="66">
        <v>0</v>
      </c>
      <c r="F31" s="66">
        <v>45564.29</v>
      </c>
      <c r="G31" s="66">
        <v>0</v>
      </c>
      <c r="H31" s="66">
        <v>0</v>
      </c>
      <c r="I31" s="66">
        <v>0</v>
      </c>
      <c r="J31" s="66">
        <v>0</v>
      </c>
      <c r="K31" s="66">
        <f t="shared" si="1"/>
        <v>140583.06</v>
      </c>
      <c r="L31" s="66">
        <f t="shared" si="3"/>
        <v>95018.77</v>
      </c>
      <c r="M31" s="66">
        <v>5</v>
      </c>
      <c r="N31" s="101"/>
      <c r="O31"/>
    </row>
    <row r="32" s="46" customFormat="1" ht="14.25" hidden="1" spans="1:14">
      <c r="A32" s="62">
        <f t="shared" si="0"/>
        <v>28</v>
      </c>
      <c r="B32" s="63" t="s">
        <v>54</v>
      </c>
      <c r="C32" s="83" t="s">
        <v>55</v>
      </c>
      <c r="D32" s="65">
        <v>88420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f t="shared" si="1"/>
        <v>88420</v>
      </c>
      <c r="L32" s="66">
        <f t="shared" si="3"/>
        <v>88420</v>
      </c>
      <c r="M32" s="66"/>
      <c r="N32" s="101"/>
    </row>
    <row r="33" s="46" customFormat="1" ht="14.25" hidden="1" spans="1:14">
      <c r="A33" s="62">
        <f t="shared" si="0"/>
        <v>29</v>
      </c>
      <c r="B33" s="63">
        <v>1913001</v>
      </c>
      <c r="C33" s="64" t="s">
        <v>56</v>
      </c>
      <c r="D33" s="65">
        <v>49752.17</v>
      </c>
      <c r="E33" s="66">
        <v>0</v>
      </c>
      <c r="F33" s="66">
        <v>41576.48</v>
      </c>
      <c r="G33" s="66">
        <v>38066.65</v>
      </c>
      <c r="H33" s="66">
        <v>12167.9</v>
      </c>
      <c r="I33" s="66">
        <v>7455.68</v>
      </c>
      <c r="J33" s="66">
        <v>29609.58</v>
      </c>
      <c r="K33" s="66">
        <f t="shared" si="1"/>
        <v>178628.46</v>
      </c>
      <c r="L33" s="66">
        <f t="shared" si="3"/>
        <v>49752.17</v>
      </c>
      <c r="M33" s="66">
        <v>2</v>
      </c>
      <c r="N33" s="104"/>
    </row>
    <row r="34" s="46" customFormat="1" ht="14.25" hidden="1" spans="1:14">
      <c r="A34" s="62">
        <f t="shared" si="0"/>
        <v>30</v>
      </c>
      <c r="B34" s="63">
        <v>1937015</v>
      </c>
      <c r="C34" s="64" t="s">
        <v>57</v>
      </c>
      <c r="D34" s="65">
        <v>48364.73</v>
      </c>
      <c r="E34" s="66">
        <v>0</v>
      </c>
      <c r="F34" s="66">
        <v>0</v>
      </c>
      <c r="G34" s="66">
        <v>14492.76</v>
      </c>
      <c r="H34" s="66">
        <v>0</v>
      </c>
      <c r="I34" s="66">
        <v>15091.13</v>
      </c>
      <c r="J34" s="66">
        <v>0</v>
      </c>
      <c r="K34" s="66">
        <f t="shared" si="1"/>
        <v>77948.62</v>
      </c>
      <c r="L34" s="66">
        <f t="shared" si="3"/>
        <v>48364.73</v>
      </c>
      <c r="M34" s="66">
        <v>2</v>
      </c>
      <c r="N34" s="101"/>
    </row>
    <row r="35" s="46" customFormat="1" ht="14.25" hidden="1" spans="1:14">
      <c r="A35" s="62">
        <f t="shared" si="0"/>
        <v>31</v>
      </c>
      <c r="B35" s="63">
        <v>1913717</v>
      </c>
      <c r="C35" s="83" t="s">
        <v>58</v>
      </c>
      <c r="D35" s="65">
        <v>47598.38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f t="shared" si="1"/>
        <v>47598.38</v>
      </c>
      <c r="L35" s="66">
        <f t="shared" si="3"/>
        <v>47598.38</v>
      </c>
      <c r="M35" s="66">
        <v>2</v>
      </c>
      <c r="N35" s="101"/>
    </row>
    <row r="36" s="46" customFormat="1" ht="14.25" hidden="1" spans="1:15">
      <c r="A36" s="62">
        <f t="shared" si="0"/>
        <v>32</v>
      </c>
      <c r="B36" s="79">
        <v>1937687</v>
      </c>
      <c r="C36" s="73" t="s">
        <v>59</v>
      </c>
      <c r="D36" s="65">
        <v>-3887.42999999999</v>
      </c>
      <c r="E36" s="66"/>
      <c r="F36" s="66">
        <v>34513.16</v>
      </c>
      <c r="G36" s="66">
        <v>90694.41</v>
      </c>
      <c r="H36" s="66">
        <v>55644.77</v>
      </c>
      <c r="I36" s="66">
        <v>69489.32</v>
      </c>
      <c r="J36" s="66">
        <v>57355.82</v>
      </c>
      <c r="K36" s="66">
        <f t="shared" si="1"/>
        <v>303810.05</v>
      </c>
      <c r="L36" s="66">
        <f>D36+E36+F36</f>
        <v>30625.73</v>
      </c>
      <c r="M36" s="66"/>
      <c r="N36" s="101"/>
      <c r="O36" s="103"/>
    </row>
    <row r="37" s="46" customFormat="1" ht="14.25" hidden="1" spans="1:15">
      <c r="A37" s="62">
        <f t="shared" si="0"/>
        <v>33</v>
      </c>
      <c r="B37" s="63">
        <v>1911138</v>
      </c>
      <c r="C37" s="64" t="s">
        <v>60</v>
      </c>
      <c r="D37" s="65">
        <v>24280.75</v>
      </c>
      <c r="E37" s="66">
        <v>2180.9</v>
      </c>
      <c r="F37" s="66">
        <v>610.65</v>
      </c>
      <c r="G37" s="66">
        <v>0</v>
      </c>
      <c r="H37" s="66">
        <v>3271.35</v>
      </c>
      <c r="I37" s="66">
        <v>0</v>
      </c>
      <c r="J37" s="66">
        <v>2966.02</v>
      </c>
      <c r="K37" s="66">
        <f t="shared" si="1"/>
        <v>33309.67</v>
      </c>
      <c r="L37" s="66">
        <f>D37+E37</f>
        <v>26461.65</v>
      </c>
      <c r="M37" s="66">
        <v>1</v>
      </c>
      <c r="N37" s="101"/>
      <c r="O37" s="103"/>
    </row>
    <row r="38" ht="14.25" hidden="1" spans="1:15">
      <c r="A38" s="62">
        <f t="shared" si="0"/>
        <v>34</v>
      </c>
      <c r="B38" s="63">
        <v>1937338</v>
      </c>
      <c r="C38" s="64" t="s">
        <v>61</v>
      </c>
      <c r="D38" s="65">
        <v>23466.84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f t="shared" si="1"/>
        <v>23466.84</v>
      </c>
      <c r="L38" s="66">
        <f>D38+E38</f>
        <v>23466.84</v>
      </c>
      <c r="M38" s="66"/>
      <c r="N38" s="101"/>
      <c r="O38" s="46"/>
    </row>
    <row r="39" ht="14.25" hidden="1" spans="1:14">
      <c r="A39" s="62">
        <f t="shared" si="0"/>
        <v>35</v>
      </c>
      <c r="B39" s="63">
        <v>1913078</v>
      </c>
      <c r="C39" s="64" t="s">
        <v>62</v>
      </c>
      <c r="D39" s="65">
        <v>21560.46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f t="shared" si="1"/>
        <v>21560.46</v>
      </c>
      <c r="L39" s="66">
        <f>D39+E39</f>
        <v>21560.46</v>
      </c>
      <c r="M39" s="66"/>
      <c r="N39" s="101"/>
    </row>
    <row r="40" ht="14.25" hidden="1" spans="1:15">
      <c r="A40" s="62">
        <f t="shared" si="0"/>
        <v>36</v>
      </c>
      <c r="B40" s="72" t="s">
        <v>63</v>
      </c>
      <c r="C40" s="84" t="s">
        <v>64</v>
      </c>
      <c r="D40" s="65">
        <v>19585.99</v>
      </c>
      <c r="E40" s="66">
        <v>0</v>
      </c>
      <c r="F40" s="66">
        <v>0</v>
      </c>
      <c r="G40" s="66">
        <v>0</v>
      </c>
      <c r="H40" s="66">
        <v>134503.4</v>
      </c>
      <c r="I40" s="66">
        <v>0</v>
      </c>
      <c r="J40" s="66">
        <v>0</v>
      </c>
      <c r="K40" s="66">
        <f t="shared" si="1"/>
        <v>154089.39</v>
      </c>
      <c r="L40" s="66">
        <f>D40+E40</f>
        <v>19585.99</v>
      </c>
      <c r="M40" s="66"/>
      <c r="N40" s="101"/>
      <c r="O40" s="103"/>
    </row>
    <row r="41" ht="14.25" hidden="1" spans="1:14">
      <c r="A41" s="62">
        <f t="shared" si="0"/>
        <v>37</v>
      </c>
      <c r="B41" s="63">
        <v>1913092</v>
      </c>
      <c r="C41" s="64" t="s">
        <v>65</v>
      </c>
      <c r="D41" s="65">
        <v>16944.14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f t="shared" si="1"/>
        <v>16944.14</v>
      </c>
      <c r="L41" s="66">
        <f t="shared" ref="L35:L56" si="4">D41+E41</f>
        <v>16944.14</v>
      </c>
      <c r="M41" s="66"/>
      <c r="N41" s="101"/>
    </row>
    <row r="42" ht="14.25" hidden="1" spans="1:14">
      <c r="A42" s="62">
        <f t="shared" si="0"/>
        <v>38</v>
      </c>
      <c r="B42" s="63">
        <v>1913032</v>
      </c>
      <c r="C42" s="64" t="s">
        <v>66</v>
      </c>
      <c r="D42" s="65">
        <v>12844.09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f t="shared" si="1"/>
        <v>12844.09</v>
      </c>
      <c r="L42" s="66">
        <f t="shared" si="4"/>
        <v>12844.09</v>
      </c>
      <c r="M42" s="66"/>
      <c r="N42" s="101"/>
    </row>
    <row r="43" ht="14.25" hidden="1" spans="1:14">
      <c r="A43" s="62">
        <f t="shared" si="0"/>
        <v>39</v>
      </c>
      <c r="B43" s="63" t="s">
        <v>67</v>
      </c>
      <c r="C43" s="83" t="s">
        <v>68</v>
      </c>
      <c r="D43" s="65">
        <v>11063.25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f t="shared" si="1"/>
        <v>11063.25</v>
      </c>
      <c r="L43" s="66">
        <f t="shared" si="4"/>
        <v>11063.25</v>
      </c>
      <c r="M43" s="66"/>
      <c r="N43" s="101"/>
    </row>
    <row r="44" ht="14.25" hidden="1" spans="1:14">
      <c r="A44" s="62">
        <f t="shared" si="0"/>
        <v>40</v>
      </c>
      <c r="B44" s="63" t="s">
        <v>69</v>
      </c>
      <c r="C44" s="83" t="s">
        <v>70</v>
      </c>
      <c r="D44" s="65">
        <v>8615.38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f t="shared" si="1"/>
        <v>8615.38</v>
      </c>
      <c r="L44" s="66">
        <f t="shared" si="4"/>
        <v>8615.38</v>
      </c>
      <c r="M44" s="66"/>
      <c r="N44" s="101"/>
    </row>
    <row r="45" ht="14.25" hidden="1" spans="1:14">
      <c r="A45" s="62">
        <f t="shared" si="0"/>
        <v>41</v>
      </c>
      <c r="B45" s="63" t="s">
        <v>71</v>
      </c>
      <c r="C45" s="85" t="s">
        <v>72</v>
      </c>
      <c r="D45" s="65">
        <v>8199.87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f t="shared" si="1"/>
        <v>8199.87</v>
      </c>
      <c r="L45" s="66">
        <f t="shared" si="4"/>
        <v>8199.87</v>
      </c>
      <c r="M45" s="66"/>
      <c r="N45" s="101"/>
    </row>
    <row r="46" ht="14.25" hidden="1" spans="1:14">
      <c r="A46" s="62">
        <f t="shared" si="0"/>
        <v>42</v>
      </c>
      <c r="B46" s="63">
        <v>1913200</v>
      </c>
      <c r="C46" s="64" t="s">
        <v>73</v>
      </c>
      <c r="D46" s="65">
        <v>4892.46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f t="shared" si="1"/>
        <v>4892.46</v>
      </c>
      <c r="L46" s="66">
        <f t="shared" si="4"/>
        <v>4892.46</v>
      </c>
      <c r="M46" s="66"/>
      <c r="N46" s="101"/>
    </row>
    <row r="47" ht="14.25" hidden="1" spans="1:14">
      <c r="A47" s="62">
        <f t="shared" si="0"/>
        <v>43</v>
      </c>
      <c r="B47" s="63" t="s">
        <v>74</v>
      </c>
      <c r="C47" s="64" t="s">
        <v>75</v>
      </c>
      <c r="D47" s="65">
        <v>4246.56</v>
      </c>
      <c r="E47" s="66">
        <v>0</v>
      </c>
      <c r="F47" s="66">
        <v>7937.12</v>
      </c>
      <c r="G47" s="66">
        <v>0</v>
      </c>
      <c r="H47" s="66">
        <v>0</v>
      </c>
      <c r="I47" s="66">
        <v>0</v>
      </c>
      <c r="J47" s="66">
        <v>0</v>
      </c>
      <c r="K47" s="66">
        <f t="shared" si="1"/>
        <v>12183.68</v>
      </c>
      <c r="L47" s="66">
        <f t="shared" si="4"/>
        <v>4246.56</v>
      </c>
      <c r="M47" s="66"/>
      <c r="N47" s="101"/>
    </row>
    <row r="48" ht="14.25" hidden="1" spans="1:14">
      <c r="A48" s="62">
        <f t="shared" si="0"/>
        <v>44</v>
      </c>
      <c r="B48" s="63">
        <v>1913010</v>
      </c>
      <c r="C48" s="64" t="s">
        <v>76</v>
      </c>
      <c r="D48" s="65">
        <v>2893.18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f t="shared" si="1"/>
        <v>2893.18</v>
      </c>
      <c r="L48" s="66">
        <f t="shared" si="4"/>
        <v>2893.18</v>
      </c>
      <c r="M48" s="66"/>
      <c r="N48" s="101"/>
    </row>
    <row r="49" ht="14.25" hidden="1" spans="1:14">
      <c r="A49" s="62">
        <f t="shared" si="0"/>
        <v>45</v>
      </c>
      <c r="B49" s="63" t="s">
        <v>77</v>
      </c>
      <c r="C49" s="83" t="s">
        <v>78</v>
      </c>
      <c r="D49" s="65">
        <v>2200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f t="shared" si="1"/>
        <v>2200</v>
      </c>
      <c r="L49" s="66">
        <f t="shared" si="4"/>
        <v>2200</v>
      </c>
      <c r="M49" s="66"/>
      <c r="N49" s="101"/>
    </row>
    <row r="50" ht="14.25" hidden="1" spans="1:14">
      <c r="A50" s="62">
        <f t="shared" si="0"/>
        <v>46</v>
      </c>
      <c r="B50" s="63">
        <v>1913659</v>
      </c>
      <c r="C50" s="64" t="s">
        <v>79</v>
      </c>
      <c r="D50" s="65">
        <v>2025.85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f t="shared" si="1"/>
        <v>2025.85</v>
      </c>
      <c r="L50" s="66">
        <f t="shared" si="4"/>
        <v>2025.85</v>
      </c>
      <c r="M50" s="66"/>
      <c r="N50" s="101"/>
    </row>
    <row r="51" ht="14.25" hidden="1" spans="1:14">
      <c r="A51" s="62">
        <f t="shared" si="0"/>
        <v>47</v>
      </c>
      <c r="B51" s="63">
        <v>1937004</v>
      </c>
      <c r="C51" s="64" t="s">
        <v>80</v>
      </c>
      <c r="D51" s="65">
        <v>1633.99</v>
      </c>
      <c r="E51" s="66">
        <v>0</v>
      </c>
      <c r="F51" s="66">
        <v>1429.88</v>
      </c>
      <c r="G51" s="66">
        <v>0</v>
      </c>
      <c r="H51" s="66">
        <v>0</v>
      </c>
      <c r="I51" s="66">
        <v>0</v>
      </c>
      <c r="J51" s="66">
        <v>0</v>
      </c>
      <c r="K51" s="66">
        <f t="shared" si="1"/>
        <v>3063.87</v>
      </c>
      <c r="L51" s="66">
        <f t="shared" si="4"/>
        <v>1633.99</v>
      </c>
      <c r="M51" s="66"/>
      <c r="N51" s="101"/>
    </row>
    <row r="52" s="46" customFormat="1" ht="14.25" hidden="1" spans="1:14">
      <c r="A52" s="62">
        <f t="shared" si="0"/>
        <v>48</v>
      </c>
      <c r="B52" s="63" t="s">
        <v>81</v>
      </c>
      <c r="C52" s="83" t="s">
        <v>82</v>
      </c>
      <c r="D52" s="65">
        <v>1050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f t="shared" si="1"/>
        <v>1050</v>
      </c>
      <c r="L52" s="66">
        <f t="shared" si="4"/>
        <v>1050</v>
      </c>
      <c r="M52" s="66"/>
      <c r="N52" s="101"/>
    </row>
    <row r="53" s="46" customFormat="1" ht="14.25" hidden="1" spans="1:14">
      <c r="A53" s="62">
        <f t="shared" si="0"/>
        <v>49</v>
      </c>
      <c r="B53" s="63" t="s">
        <v>83</v>
      </c>
      <c r="C53" s="83" t="s">
        <v>84</v>
      </c>
      <c r="D53" s="65">
        <v>900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f t="shared" si="1"/>
        <v>900</v>
      </c>
      <c r="L53" s="66">
        <f t="shared" si="4"/>
        <v>900</v>
      </c>
      <c r="M53" s="66"/>
      <c r="N53" s="101"/>
    </row>
    <row r="54" s="46" customFormat="1" ht="14.25" hidden="1" spans="1:14">
      <c r="A54" s="62">
        <f t="shared" si="0"/>
        <v>50</v>
      </c>
      <c r="B54" s="63">
        <v>1913273</v>
      </c>
      <c r="C54" s="64" t="s">
        <v>85</v>
      </c>
      <c r="D54" s="65">
        <v>532.5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f t="shared" si="1"/>
        <v>532.5</v>
      </c>
      <c r="L54" s="66">
        <f t="shared" si="4"/>
        <v>532.5</v>
      </c>
      <c r="M54" s="66"/>
      <c r="N54" s="101"/>
    </row>
    <row r="55" s="46" customFormat="1" ht="14.25" hidden="1" spans="1:14">
      <c r="A55" s="62">
        <f t="shared" si="0"/>
        <v>51</v>
      </c>
      <c r="B55" s="63">
        <v>1911101</v>
      </c>
      <c r="C55" s="83" t="s">
        <v>86</v>
      </c>
      <c r="D55" s="65">
        <v>70.8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f t="shared" si="1"/>
        <v>70.8</v>
      </c>
      <c r="L55" s="66">
        <f t="shared" si="4"/>
        <v>70.8</v>
      </c>
      <c r="M55" s="66"/>
      <c r="N55" s="101"/>
    </row>
    <row r="56" s="46" customFormat="1" ht="14.25" hidden="1" spans="1:14">
      <c r="A56" s="62">
        <f t="shared" si="0"/>
        <v>52</v>
      </c>
      <c r="B56" s="63" t="s">
        <v>87</v>
      </c>
      <c r="C56" s="86" t="s">
        <v>88</v>
      </c>
      <c r="D56" s="65"/>
      <c r="E56" s="66">
        <v>0</v>
      </c>
      <c r="F56" s="66">
        <v>78000</v>
      </c>
      <c r="G56" s="66">
        <v>0</v>
      </c>
      <c r="H56" s="66">
        <v>0</v>
      </c>
      <c r="I56" s="66">
        <v>0</v>
      </c>
      <c r="J56" s="66">
        <v>0</v>
      </c>
      <c r="K56" s="66">
        <f t="shared" si="1"/>
        <v>78000</v>
      </c>
      <c r="L56" s="66">
        <f t="shared" si="4"/>
        <v>0</v>
      </c>
      <c r="M56" s="66"/>
      <c r="N56" s="101"/>
    </row>
    <row r="57" ht="14.25" hidden="1" spans="1:14">
      <c r="A57" s="87"/>
      <c r="B57" s="87"/>
      <c r="C57" s="88" t="s">
        <v>89</v>
      </c>
      <c r="D57" s="65">
        <f>SUM(D5:D56)</f>
        <v>12200518.29</v>
      </c>
      <c r="E57" s="65">
        <f t="shared" ref="E57:M57" si="5">SUM(E5:E56)</f>
        <v>6827804.31</v>
      </c>
      <c r="F57" s="65">
        <f t="shared" si="5"/>
        <v>3509710.57</v>
      </c>
      <c r="G57" s="65">
        <f t="shared" si="5"/>
        <v>7443602.73</v>
      </c>
      <c r="H57" s="65">
        <f t="shared" si="5"/>
        <v>6959419.55</v>
      </c>
      <c r="I57" s="65">
        <f t="shared" si="5"/>
        <v>4037745.62</v>
      </c>
      <c r="J57" s="65">
        <f t="shared" si="5"/>
        <v>4521020.45</v>
      </c>
      <c r="K57" s="65">
        <f t="shared" si="5"/>
        <v>45499821.52</v>
      </c>
      <c r="L57" s="66">
        <f t="shared" si="5"/>
        <v>19448165.09</v>
      </c>
      <c r="M57" s="66">
        <f t="shared" si="5"/>
        <v>840</v>
      </c>
      <c r="N57" s="101"/>
    </row>
    <row r="58" s="43" customFormat="1" hidden="1" spans="1:14">
      <c r="A58" s="89" t="s">
        <v>90</v>
      </c>
      <c r="B58" s="89"/>
      <c r="C58" s="89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89"/>
    </row>
  </sheetData>
  <autoFilter ref="A4:O58">
    <filterColumn colId="14">
      <filters>
        <filter val="10"/>
        <filter val="20"/>
        <filter val="30"/>
        <filter val="50"/>
        <filter val="80"/>
        <filter val="100"/>
        <filter val="1"/>
        <filter val="2"/>
        <filter val="5"/>
      </filters>
    </filterColumn>
    <extLst/>
  </autoFilter>
  <sortState ref="A5:O56">
    <sortCondition ref="O5:O56" descending="1"/>
  </sortState>
  <mergeCells count="10">
    <mergeCell ref="A1:N1"/>
    <mergeCell ref="E3:J3"/>
    <mergeCell ref="A3:A4"/>
    <mergeCell ref="B3:B4"/>
    <mergeCell ref="C3:C4"/>
    <mergeCell ref="D3:D4"/>
    <mergeCell ref="K3:K4"/>
    <mergeCell ref="L3:L4"/>
    <mergeCell ref="M3:M4"/>
    <mergeCell ref="N3:N4"/>
  </mergeCells>
  <conditionalFormatting sqref="C54">
    <cfRule type="duplicateValues" dxfId="0" priority="1"/>
  </conditionalFormatting>
  <conditionalFormatting sqref="C5:C6">
    <cfRule type="duplicateValues" dxfId="0" priority="3"/>
  </conditionalFormatting>
  <conditionalFormatting sqref="C7:C41 C55">
    <cfRule type="duplicateValues" dxfId="0" priority="2"/>
  </conditionalFormatting>
  <pageMargins left="0.275" right="0" top="0.393055555555556" bottom="0" header="0.0777777777777778" footer="0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63"/>
  <sheetViews>
    <sheetView zoomScale="115" zoomScaleNormal="115" workbookViewId="0">
      <pane xSplit="3" ySplit="2" topLeftCell="CE21" activePane="bottomRight" state="frozenSplit"/>
      <selection/>
      <selection pane="topRight"/>
      <selection pane="bottomLeft"/>
      <selection pane="bottomRight" activeCell="A41" sqref="$A41:$XFD41"/>
    </sheetView>
  </sheetViews>
  <sheetFormatPr defaultColWidth="9" defaultRowHeight="11.25"/>
  <cols>
    <col min="1" max="1" width="5.625" style="1" customWidth="1"/>
    <col min="2" max="2" width="12.5" style="1" customWidth="1"/>
    <col min="3" max="3" width="24.625" style="2" customWidth="1"/>
    <col min="4" max="6" width="9" style="1" hidden="1" customWidth="1"/>
    <col min="7" max="7" width="11.625" style="3" hidden="1" customWidth="1"/>
    <col min="8" max="15" width="9" style="3" hidden="1" customWidth="1"/>
    <col min="16" max="16" width="10.375" style="1" hidden="1" customWidth="1"/>
    <col min="17" max="18" width="9" style="1" hidden="1" customWidth="1"/>
    <col min="19" max="19" width="12" style="1" hidden="1" customWidth="1"/>
    <col min="20" max="20" width="10.375" style="1" hidden="1" customWidth="1"/>
    <col min="21" max="21" width="9" style="1" hidden="1" customWidth="1"/>
    <col min="22" max="22" width="12" style="1" hidden="1" customWidth="1"/>
    <col min="23" max="23" width="11.625" style="1" hidden="1" customWidth="1"/>
    <col min="24" max="45" width="9" style="1" hidden="1" customWidth="1"/>
    <col min="46" max="46" width="10.125" style="1" hidden="1" customWidth="1"/>
    <col min="47" max="48" width="9" style="1" hidden="1" customWidth="1"/>
    <col min="49" max="49" width="9.25" style="1" hidden="1" customWidth="1"/>
    <col min="50" max="51" width="9" style="1" hidden="1" customWidth="1"/>
    <col min="52" max="52" width="9.25" style="1" customWidth="1"/>
    <col min="53" max="54" width="9" style="1" customWidth="1"/>
    <col min="55" max="55" width="12" style="1" customWidth="1"/>
    <col min="56" max="56" width="10.375" style="1" customWidth="1"/>
    <col min="57" max="57" width="9" style="1" customWidth="1"/>
    <col min="58" max="58" width="12" style="4" customWidth="1"/>
    <col min="59" max="59" width="9.5" style="4" customWidth="1"/>
    <col min="60" max="60" width="8.625" style="4" customWidth="1"/>
    <col min="61" max="61" width="12" style="4" customWidth="1"/>
    <col min="62" max="62" width="10.375" style="4" customWidth="1"/>
    <col min="63" max="63" width="8.625" style="4" customWidth="1"/>
    <col min="64" max="64" width="12" style="4" customWidth="1"/>
    <col min="65" max="65" width="10.375" style="4" customWidth="1"/>
    <col min="66" max="66" width="9.5" style="4" customWidth="1"/>
    <col min="67" max="67" width="12" style="4" customWidth="1"/>
    <col min="68" max="68" width="10.375" style="4" customWidth="1"/>
    <col min="69" max="69" width="8.625" style="4" customWidth="1"/>
    <col min="70" max="70" width="12" style="4" customWidth="1"/>
    <col min="71" max="71" width="10.375" style="4" customWidth="1"/>
    <col min="72" max="72" width="8.625" style="4" customWidth="1"/>
    <col min="73" max="73" width="12" style="4" customWidth="1"/>
    <col min="74" max="75" width="8.625" style="4" customWidth="1"/>
    <col min="76" max="76" width="12" style="4" customWidth="1"/>
    <col min="77" max="77" width="10.375" style="4" customWidth="1"/>
    <col min="78" max="78" width="8.625" style="4" customWidth="1"/>
    <col min="79" max="79" width="12" style="4" customWidth="1"/>
    <col min="80" max="81" width="8.625" style="4" customWidth="1"/>
    <col min="82" max="82" width="12" style="4" customWidth="1"/>
    <col min="83" max="83" width="10.375" style="4" customWidth="1"/>
    <col min="84" max="84" width="8.625" style="4" customWidth="1"/>
    <col min="85" max="85" width="12" style="4" customWidth="1"/>
    <col min="86" max="90" width="8.625" style="4" customWidth="1"/>
    <col min="91" max="91" width="12.875" style="1" customWidth="1"/>
    <col min="92" max="16384" width="9" style="1"/>
  </cols>
  <sheetData>
    <row r="1" s="1" customFormat="1" spans="1:90">
      <c r="A1" s="5" t="s">
        <v>3</v>
      </c>
      <c r="B1" s="5" t="s">
        <v>4</v>
      </c>
      <c r="C1" s="5" t="s">
        <v>5</v>
      </c>
      <c r="D1" s="6" t="s">
        <v>91</v>
      </c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7"/>
      <c r="Q1" s="7"/>
      <c r="R1" s="7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</row>
    <row r="2" s="1" customFormat="1" spans="1:90">
      <c r="A2" s="5"/>
      <c r="B2" s="5"/>
      <c r="C2" s="5"/>
      <c r="D2" s="9" t="s">
        <v>92</v>
      </c>
      <c r="E2" s="10" t="s">
        <v>93</v>
      </c>
      <c r="F2" s="9" t="s">
        <v>94</v>
      </c>
      <c r="G2" s="11" t="s">
        <v>95</v>
      </c>
      <c r="H2" s="12" t="s">
        <v>96</v>
      </c>
      <c r="I2" s="11" t="s">
        <v>97</v>
      </c>
      <c r="J2" s="11" t="s">
        <v>98</v>
      </c>
      <c r="K2" s="12" t="s">
        <v>99</v>
      </c>
      <c r="L2" s="11" t="s">
        <v>100</v>
      </c>
      <c r="M2" s="11" t="s">
        <v>101</v>
      </c>
      <c r="N2" s="12" t="s">
        <v>102</v>
      </c>
      <c r="O2" s="11" t="s">
        <v>103</v>
      </c>
      <c r="P2" s="11" t="s">
        <v>104</v>
      </c>
      <c r="Q2" s="12" t="s">
        <v>105</v>
      </c>
      <c r="R2" s="11" t="s">
        <v>106</v>
      </c>
      <c r="S2" s="11" t="s">
        <v>107</v>
      </c>
      <c r="T2" s="12" t="s">
        <v>108</v>
      </c>
      <c r="U2" s="11" t="s">
        <v>109</v>
      </c>
      <c r="V2" s="11" t="s">
        <v>110</v>
      </c>
      <c r="W2" s="12" t="s">
        <v>111</v>
      </c>
      <c r="X2" s="11" t="s">
        <v>112</v>
      </c>
      <c r="Y2" s="11" t="s">
        <v>113</v>
      </c>
      <c r="Z2" s="12" t="s">
        <v>114</v>
      </c>
      <c r="AA2" s="11" t="s">
        <v>115</v>
      </c>
      <c r="AB2" s="11" t="s">
        <v>116</v>
      </c>
      <c r="AC2" s="12" t="s">
        <v>117</v>
      </c>
      <c r="AD2" s="11" t="s">
        <v>118</v>
      </c>
      <c r="AE2" s="11" t="s">
        <v>119</v>
      </c>
      <c r="AF2" s="12" t="s">
        <v>120</v>
      </c>
      <c r="AG2" s="11" t="s">
        <v>121</v>
      </c>
      <c r="AH2" s="11" t="s">
        <v>122</v>
      </c>
      <c r="AI2" s="12" t="s">
        <v>123</v>
      </c>
      <c r="AJ2" s="11" t="s">
        <v>124</v>
      </c>
      <c r="AK2" s="11" t="s">
        <v>125</v>
      </c>
      <c r="AL2" s="11" t="s">
        <v>126</v>
      </c>
      <c r="AM2" s="11" t="s">
        <v>127</v>
      </c>
      <c r="AN2" s="11" t="s">
        <v>128</v>
      </c>
      <c r="AO2" s="11" t="s">
        <v>93</v>
      </c>
      <c r="AP2" s="11" t="s">
        <v>94</v>
      </c>
      <c r="AQ2" s="11" t="s">
        <v>129</v>
      </c>
      <c r="AR2" s="11" t="s">
        <v>96</v>
      </c>
      <c r="AS2" s="11" t="s">
        <v>97</v>
      </c>
      <c r="AT2" s="11" t="s">
        <v>130</v>
      </c>
      <c r="AU2" s="11" t="s">
        <v>99</v>
      </c>
      <c r="AV2" s="11" t="s">
        <v>100</v>
      </c>
      <c r="AW2" s="34" t="s">
        <v>131</v>
      </c>
      <c r="AX2" s="11" t="s">
        <v>102</v>
      </c>
      <c r="AY2" s="11" t="s">
        <v>103</v>
      </c>
      <c r="AZ2" s="11" t="s">
        <v>132</v>
      </c>
      <c r="BA2" s="11" t="s">
        <v>105</v>
      </c>
      <c r="BB2" s="11" t="s">
        <v>106</v>
      </c>
      <c r="BC2" s="11" t="s">
        <v>133</v>
      </c>
      <c r="BD2" s="11" t="s">
        <v>108</v>
      </c>
      <c r="BE2" s="11" t="s">
        <v>109</v>
      </c>
      <c r="BF2" s="38" t="s">
        <v>134</v>
      </c>
      <c r="BG2" s="38" t="s">
        <v>111</v>
      </c>
      <c r="BH2" s="38" t="s">
        <v>112</v>
      </c>
      <c r="BI2" s="38" t="s">
        <v>135</v>
      </c>
      <c r="BJ2" s="38" t="s">
        <v>114</v>
      </c>
      <c r="BK2" s="38" t="s">
        <v>115</v>
      </c>
      <c r="BL2" s="38" t="s">
        <v>136</v>
      </c>
      <c r="BM2" s="38" t="s">
        <v>117</v>
      </c>
      <c r="BN2" s="38" t="s">
        <v>118</v>
      </c>
      <c r="BO2" s="38" t="s">
        <v>137</v>
      </c>
      <c r="BP2" s="38" t="s">
        <v>138</v>
      </c>
      <c r="BQ2" s="38" t="s">
        <v>139</v>
      </c>
      <c r="BR2" s="38" t="s">
        <v>140</v>
      </c>
      <c r="BS2" s="38" t="s">
        <v>141</v>
      </c>
      <c r="BT2" s="38" t="s">
        <v>142</v>
      </c>
      <c r="BU2" s="38" t="s">
        <v>143</v>
      </c>
      <c r="BV2" s="38" t="s">
        <v>144</v>
      </c>
      <c r="BW2" s="38" t="s">
        <v>145</v>
      </c>
      <c r="BX2" s="38" t="s">
        <v>146</v>
      </c>
      <c r="BY2" s="38" t="s">
        <v>147</v>
      </c>
      <c r="BZ2" s="38" t="s">
        <v>148</v>
      </c>
      <c r="CA2" s="38" t="s">
        <v>149</v>
      </c>
      <c r="CB2" s="38" t="s">
        <v>150</v>
      </c>
      <c r="CC2" s="38" t="s">
        <v>151</v>
      </c>
      <c r="CD2" s="38" t="s">
        <v>152</v>
      </c>
      <c r="CE2" s="38" t="s">
        <v>153</v>
      </c>
      <c r="CF2" s="38" t="s">
        <v>154</v>
      </c>
      <c r="CG2" s="38" t="s">
        <v>155</v>
      </c>
      <c r="CH2" s="38" t="s">
        <v>156</v>
      </c>
      <c r="CI2" s="38" t="s">
        <v>157</v>
      </c>
      <c r="CJ2" s="38" t="s">
        <v>158</v>
      </c>
      <c r="CK2" s="38" t="s">
        <v>159</v>
      </c>
      <c r="CL2" s="38" t="s">
        <v>160</v>
      </c>
    </row>
    <row r="3" spans="1:91">
      <c r="A3" s="13">
        <f>ROW()-2</f>
        <v>1</v>
      </c>
      <c r="B3" s="13">
        <v>1911127</v>
      </c>
      <c r="C3" s="13" t="s">
        <v>46</v>
      </c>
      <c r="D3" s="14"/>
      <c r="E3" s="14"/>
      <c r="F3" s="14"/>
      <c r="G3" s="15">
        <v>19400</v>
      </c>
      <c r="H3" s="15">
        <v>600</v>
      </c>
      <c r="I3" s="15"/>
      <c r="J3" s="15">
        <v>47500</v>
      </c>
      <c r="K3" s="15"/>
      <c r="L3" s="15"/>
      <c r="M3" s="31">
        <v>100000</v>
      </c>
      <c r="N3" s="31"/>
      <c r="O3" s="31"/>
      <c r="P3" s="31"/>
      <c r="Q3" s="31"/>
      <c r="R3" s="31"/>
      <c r="S3" s="33">
        <v>97000</v>
      </c>
      <c r="T3" s="33">
        <v>3000</v>
      </c>
      <c r="U3" s="31"/>
      <c r="V3" s="31"/>
      <c r="W3" s="31"/>
      <c r="X3" s="31"/>
      <c r="Y3" s="31">
        <f>29100+6900</f>
        <v>36000</v>
      </c>
      <c r="Z3" s="31">
        <v>900</v>
      </c>
      <c r="AA3" s="31"/>
      <c r="AB3" s="31">
        <v>100000</v>
      </c>
      <c r="AC3" s="31">
        <v>0</v>
      </c>
      <c r="AD3" s="31"/>
      <c r="AE3" s="31">
        <v>47500</v>
      </c>
      <c r="AF3" s="31">
        <v>2500</v>
      </c>
      <c r="AG3" s="31"/>
      <c r="AH3" s="31"/>
      <c r="AI3" s="31"/>
      <c r="AJ3" s="31"/>
      <c r="AK3" s="31">
        <v>50000</v>
      </c>
      <c r="AL3" s="31"/>
      <c r="AM3" s="31"/>
      <c r="AN3" s="31">
        <f>97000+48500</f>
        <v>145500</v>
      </c>
      <c r="AO3" s="31">
        <f>3000+1500</f>
        <v>4500</v>
      </c>
      <c r="AP3" s="31"/>
      <c r="AQ3" s="31"/>
      <c r="AR3" s="31"/>
      <c r="AS3" s="31"/>
      <c r="AT3" s="31">
        <v>97000</v>
      </c>
      <c r="AU3" s="31">
        <v>3000</v>
      </c>
      <c r="AV3" s="31"/>
      <c r="AW3" s="35">
        <v>90000</v>
      </c>
      <c r="AX3" s="31">
        <v>10000</v>
      </c>
      <c r="AY3" s="31"/>
      <c r="AZ3" s="36"/>
      <c r="BA3" s="36"/>
      <c r="BB3" s="36"/>
      <c r="BC3" s="36">
        <v>97000</v>
      </c>
      <c r="BD3" s="36">
        <v>3000</v>
      </c>
      <c r="BE3" s="36"/>
      <c r="BF3" s="39">
        <v>97000</v>
      </c>
      <c r="BG3" s="39">
        <v>3000</v>
      </c>
      <c r="BH3" s="39"/>
      <c r="BI3" s="39">
        <v>0</v>
      </c>
      <c r="BJ3" s="39">
        <v>0</v>
      </c>
      <c r="BK3" s="39"/>
      <c r="BL3" s="39">
        <v>48500</v>
      </c>
      <c r="BM3" s="39">
        <v>1500</v>
      </c>
      <c r="BN3" s="39"/>
      <c r="BO3" s="39">
        <v>97000</v>
      </c>
      <c r="BP3" s="39">
        <v>3000</v>
      </c>
      <c r="BQ3" s="39"/>
      <c r="BR3" s="39">
        <v>97000</v>
      </c>
      <c r="BS3" s="39">
        <v>3000</v>
      </c>
      <c r="BT3" s="39"/>
      <c r="BU3" s="39"/>
      <c r="BV3" s="39"/>
      <c r="BW3" s="39"/>
      <c r="BX3" s="39">
        <v>97000</v>
      </c>
      <c r="BY3" s="39">
        <v>3000</v>
      </c>
      <c r="BZ3" s="39"/>
      <c r="CA3" s="39"/>
      <c r="CB3" s="39"/>
      <c r="CC3" s="39"/>
      <c r="CD3" s="39">
        <v>97000</v>
      </c>
      <c r="CE3" s="39">
        <v>3000</v>
      </c>
      <c r="CF3" s="39"/>
      <c r="CG3" s="39">
        <v>100000</v>
      </c>
      <c r="CH3" s="39">
        <v>0</v>
      </c>
      <c r="CI3" s="39"/>
      <c r="CJ3" s="39"/>
      <c r="CK3" s="39"/>
      <c r="CL3" s="39"/>
      <c r="CM3" s="41">
        <f>SUM(BU3:CL3)</f>
        <v>300000</v>
      </c>
    </row>
    <row r="4" spans="1:91">
      <c r="A4" s="13">
        <f>ROW()-2</f>
        <v>2</v>
      </c>
      <c r="B4" s="13">
        <v>1911138</v>
      </c>
      <c r="C4" s="13" t="s">
        <v>60</v>
      </c>
      <c r="D4" s="14"/>
      <c r="E4" s="14"/>
      <c r="F4" s="14"/>
      <c r="G4" s="15"/>
      <c r="H4" s="15"/>
      <c r="I4" s="15"/>
      <c r="J4" s="15"/>
      <c r="K4" s="15"/>
      <c r="L4" s="15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>
        <v>0</v>
      </c>
      <c r="AC4" s="31">
        <v>0</v>
      </c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5"/>
      <c r="AX4" s="31"/>
      <c r="AY4" s="31"/>
      <c r="AZ4" s="36"/>
      <c r="BA4" s="36"/>
      <c r="BB4" s="36"/>
      <c r="BC4" s="36">
        <v>0</v>
      </c>
      <c r="BD4" s="36">
        <v>0</v>
      </c>
      <c r="BE4" s="36"/>
      <c r="BF4" s="39"/>
      <c r="BG4" s="39"/>
      <c r="BH4" s="39"/>
      <c r="BI4" s="39">
        <v>0</v>
      </c>
      <c r="BJ4" s="39">
        <v>0</v>
      </c>
      <c r="BK4" s="39"/>
      <c r="BL4" s="39">
        <v>0</v>
      </c>
      <c r="BM4" s="39">
        <v>0</v>
      </c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>
        <v>29100</v>
      </c>
      <c r="BY4" s="39">
        <v>900</v>
      </c>
      <c r="BZ4" s="39"/>
      <c r="CA4" s="39">
        <v>9700</v>
      </c>
      <c r="CB4" s="39">
        <v>300</v>
      </c>
      <c r="CC4" s="39"/>
      <c r="CD4" s="39">
        <v>0</v>
      </c>
      <c r="CE4" s="39">
        <v>0</v>
      </c>
      <c r="CF4" s="39"/>
      <c r="CG4" s="39">
        <v>0</v>
      </c>
      <c r="CH4" s="39">
        <v>0</v>
      </c>
      <c r="CI4" s="39"/>
      <c r="CJ4" s="39"/>
      <c r="CK4" s="39"/>
      <c r="CL4" s="39"/>
      <c r="CM4" s="41">
        <f t="shared" ref="CM4:CM49" si="0">SUM(BU4:CL4)</f>
        <v>40000</v>
      </c>
    </row>
    <row r="5" spans="1:91">
      <c r="A5" s="13">
        <f t="shared" ref="A5:A12" si="1">ROW()-2</f>
        <v>3</v>
      </c>
      <c r="B5" s="13">
        <v>1913001</v>
      </c>
      <c r="C5" s="13" t="s">
        <v>56</v>
      </c>
      <c r="D5" s="14"/>
      <c r="E5" s="14"/>
      <c r="F5" s="14"/>
      <c r="G5" s="15">
        <v>29100</v>
      </c>
      <c r="H5" s="15">
        <v>900</v>
      </c>
      <c r="I5" s="15"/>
      <c r="J5" s="15">
        <v>76000</v>
      </c>
      <c r="K5" s="15">
        <v>4000</v>
      </c>
      <c r="L5" s="15"/>
      <c r="M5" s="31"/>
      <c r="N5" s="31"/>
      <c r="O5" s="31"/>
      <c r="P5" s="31"/>
      <c r="Q5" s="31"/>
      <c r="R5" s="31"/>
      <c r="S5" s="31">
        <v>48500</v>
      </c>
      <c r="T5" s="33">
        <v>1500</v>
      </c>
      <c r="U5" s="31"/>
      <c r="V5" s="31">
        <v>48500</v>
      </c>
      <c r="W5" s="31">
        <v>1500</v>
      </c>
      <c r="X5" s="31"/>
      <c r="Y5" s="31"/>
      <c r="Z5" s="31"/>
      <c r="AA5" s="31"/>
      <c r="AB5" s="31">
        <v>50000</v>
      </c>
      <c r="AC5" s="31">
        <v>0</v>
      </c>
      <c r="AD5" s="31"/>
      <c r="AE5" s="31">
        <v>47500</v>
      </c>
      <c r="AF5" s="31">
        <v>2500</v>
      </c>
      <c r="AG5" s="31"/>
      <c r="AH5" s="31"/>
      <c r="AI5" s="31"/>
      <c r="AJ5" s="31"/>
      <c r="AK5" s="31"/>
      <c r="AL5" s="31"/>
      <c r="AM5" s="31"/>
      <c r="AN5" s="31">
        <v>83145.28</v>
      </c>
      <c r="AO5" s="31"/>
      <c r="AP5" s="31"/>
      <c r="AQ5" s="31">
        <v>48500</v>
      </c>
      <c r="AR5" s="31">
        <v>1500</v>
      </c>
      <c r="AS5" s="31"/>
      <c r="AT5" s="31">
        <v>48500</v>
      </c>
      <c r="AU5" s="31">
        <v>1500</v>
      </c>
      <c r="AV5" s="31"/>
      <c r="AW5" s="35"/>
      <c r="AX5" s="31"/>
      <c r="AY5" s="31"/>
      <c r="AZ5" s="36"/>
      <c r="BA5" s="36"/>
      <c r="BB5" s="36"/>
      <c r="BC5" s="36">
        <v>0</v>
      </c>
      <c r="BD5" s="36">
        <v>0</v>
      </c>
      <c r="BE5" s="36"/>
      <c r="BF5" s="39">
        <v>19400</v>
      </c>
      <c r="BG5" s="39">
        <v>600</v>
      </c>
      <c r="BH5" s="39"/>
      <c r="BI5" s="39">
        <v>97000</v>
      </c>
      <c r="BJ5" s="39">
        <v>3000</v>
      </c>
      <c r="BK5" s="39"/>
      <c r="BL5" s="39">
        <v>29100</v>
      </c>
      <c r="BM5" s="39">
        <v>900</v>
      </c>
      <c r="BN5" s="39">
        <v>245</v>
      </c>
      <c r="BO5" s="39">
        <v>77600</v>
      </c>
      <c r="BP5" s="39">
        <v>2400</v>
      </c>
      <c r="BQ5" s="39"/>
      <c r="BR5" s="39">
        <v>58200</v>
      </c>
      <c r="BS5" s="39">
        <v>1800</v>
      </c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>
        <v>38800</v>
      </c>
      <c r="CE5" s="39">
        <v>1200</v>
      </c>
      <c r="CF5" s="39"/>
      <c r="CG5" s="39">
        <v>0</v>
      </c>
      <c r="CH5" s="39">
        <v>0</v>
      </c>
      <c r="CI5" s="39"/>
      <c r="CJ5" s="39"/>
      <c r="CK5" s="39"/>
      <c r="CL5" s="39"/>
      <c r="CM5" s="41">
        <f t="shared" si="0"/>
        <v>40000</v>
      </c>
    </row>
    <row r="6" spans="1:91">
      <c r="A6" s="13">
        <f t="shared" si="1"/>
        <v>4</v>
      </c>
      <c r="B6" s="13">
        <v>1913005</v>
      </c>
      <c r="C6" s="13" t="s">
        <v>36</v>
      </c>
      <c r="D6" s="14"/>
      <c r="E6" s="14"/>
      <c r="F6" s="14"/>
      <c r="G6" s="15">
        <v>194000</v>
      </c>
      <c r="H6" s="15">
        <v>6000</v>
      </c>
      <c r="I6" s="15"/>
      <c r="J6" s="15">
        <v>950000</v>
      </c>
      <c r="K6" s="15">
        <v>50000</v>
      </c>
      <c r="L6" s="15"/>
      <c r="M6" s="31">
        <v>500000</v>
      </c>
      <c r="N6" s="31"/>
      <c r="O6" s="31"/>
      <c r="P6" s="31">
        <v>97000</v>
      </c>
      <c r="Q6" s="31">
        <v>3000</v>
      </c>
      <c r="R6" s="31"/>
      <c r="S6" s="31">
        <v>970000</v>
      </c>
      <c r="T6" s="33">
        <v>30000</v>
      </c>
      <c r="U6" s="31"/>
      <c r="V6" s="31"/>
      <c r="W6" s="31"/>
      <c r="X6" s="31"/>
      <c r="Y6" s="31">
        <f>500000+300000</f>
        <v>800000</v>
      </c>
      <c r="Z6" s="31"/>
      <c r="AA6" s="31"/>
      <c r="AB6" s="31">
        <v>500000</v>
      </c>
      <c r="AC6" s="31">
        <v>0</v>
      </c>
      <c r="AD6" s="31"/>
      <c r="AE6" s="31">
        <v>285000</v>
      </c>
      <c r="AF6" s="31">
        <v>15000</v>
      </c>
      <c r="AG6" s="31"/>
      <c r="AH6" s="31"/>
      <c r="AI6" s="31"/>
      <c r="AJ6" s="31"/>
      <c r="AK6" s="31">
        <v>300000</v>
      </c>
      <c r="AL6" s="31"/>
      <c r="AM6" s="31"/>
      <c r="AN6" s="31">
        <f>500000+485000</f>
        <v>985000</v>
      </c>
      <c r="AO6" s="31">
        <v>15000</v>
      </c>
      <c r="AP6" s="31"/>
      <c r="AQ6" s="31"/>
      <c r="AR6" s="31"/>
      <c r="AS6" s="31"/>
      <c r="AT6" s="31">
        <v>1067000</v>
      </c>
      <c r="AU6" s="31">
        <v>33000</v>
      </c>
      <c r="AV6" s="31"/>
      <c r="AW6" s="35">
        <v>1800000</v>
      </c>
      <c r="AX6" s="31">
        <v>0</v>
      </c>
      <c r="AY6" s="31"/>
      <c r="AZ6" s="36"/>
      <c r="BA6" s="36"/>
      <c r="BB6" s="36"/>
      <c r="BC6" s="36">
        <v>0</v>
      </c>
      <c r="BD6" s="36">
        <v>200000</v>
      </c>
      <c r="BE6" s="36">
        <v>9645</v>
      </c>
      <c r="BF6" s="39">
        <v>388000</v>
      </c>
      <c r="BG6" s="39">
        <v>12000</v>
      </c>
      <c r="BH6" s="39">
        <v>2242.5</v>
      </c>
      <c r="BI6" s="39">
        <v>776000</v>
      </c>
      <c r="BJ6" s="39">
        <v>24000</v>
      </c>
      <c r="BK6" s="39"/>
      <c r="BL6" s="39">
        <v>291000</v>
      </c>
      <c r="BM6" s="39">
        <v>9000</v>
      </c>
      <c r="BN6" s="39">
        <f>1121.25+9645</f>
        <v>10766.25</v>
      </c>
      <c r="BO6" s="39">
        <v>194000</v>
      </c>
      <c r="BP6" s="39">
        <v>6000</v>
      </c>
      <c r="BQ6" s="39"/>
      <c r="BR6" s="39">
        <v>194000</v>
      </c>
      <c r="BS6" s="39">
        <v>6000</v>
      </c>
      <c r="BT6" s="39"/>
      <c r="BU6" s="39">
        <v>194000</v>
      </c>
      <c r="BV6" s="39">
        <v>6000</v>
      </c>
      <c r="BW6" s="39"/>
      <c r="BX6" s="39"/>
      <c r="BY6" s="39"/>
      <c r="BZ6" s="39"/>
      <c r="CA6" s="39">
        <v>485000</v>
      </c>
      <c r="CB6" s="39">
        <v>15000</v>
      </c>
      <c r="CC6" s="39"/>
      <c r="CD6" s="39">
        <v>291000</v>
      </c>
      <c r="CE6" s="39">
        <v>9000</v>
      </c>
      <c r="CF6" s="39"/>
      <c r="CG6" s="39">
        <v>291000</v>
      </c>
      <c r="CH6" s="39">
        <v>9000</v>
      </c>
      <c r="CI6" s="39"/>
      <c r="CJ6" s="39"/>
      <c r="CK6" s="39"/>
      <c r="CL6" s="39"/>
      <c r="CM6" s="41">
        <f t="shared" si="0"/>
        <v>1300000</v>
      </c>
    </row>
    <row r="7" spans="1:91">
      <c r="A7" s="13">
        <f t="shared" si="1"/>
        <v>5</v>
      </c>
      <c r="B7" s="13">
        <v>1913006</v>
      </c>
      <c r="C7" s="13" t="s">
        <v>21</v>
      </c>
      <c r="D7" s="14"/>
      <c r="E7" s="14"/>
      <c r="F7" s="14"/>
      <c r="G7" s="15">
        <v>97000</v>
      </c>
      <c r="H7" s="15">
        <v>3000</v>
      </c>
      <c r="I7" s="15"/>
      <c r="J7" s="15">
        <v>617500</v>
      </c>
      <c r="K7" s="15">
        <v>32500</v>
      </c>
      <c r="L7" s="15"/>
      <c r="M7" s="31">
        <f>400000+97000</f>
        <v>497000</v>
      </c>
      <c r="N7" s="31">
        <v>3000</v>
      </c>
      <c r="O7" s="31"/>
      <c r="P7" s="31"/>
      <c r="Q7" s="31"/>
      <c r="R7" s="31"/>
      <c r="S7" s="31">
        <v>776000</v>
      </c>
      <c r="T7" s="33">
        <v>24000</v>
      </c>
      <c r="U7" s="31"/>
      <c r="V7" s="31">
        <v>100000</v>
      </c>
      <c r="W7" s="31"/>
      <c r="X7" s="31"/>
      <c r="Y7" s="31">
        <v>500000</v>
      </c>
      <c r="Z7" s="31"/>
      <c r="AA7" s="31"/>
      <c r="AB7" s="31">
        <v>450000</v>
      </c>
      <c r="AC7" s="31">
        <v>0</v>
      </c>
      <c r="AD7" s="31"/>
      <c r="AE7" s="31">
        <f>475000+46400+380000</f>
        <v>901400</v>
      </c>
      <c r="AF7" s="31">
        <f>20000+25000</f>
        <v>45000</v>
      </c>
      <c r="AG7" s="31"/>
      <c r="AH7" s="31"/>
      <c r="AI7" s="31"/>
      <c r="AJ7" s="31"/>
      <c r="AK7" s="31">
        <f>200000+291000</f>
        <v>491000</v>
      </c>
      <c r="AL7" s="31">
        <v>9000</v>
      </c>
      <c r="AM7" s="31"/>
      <c r="AN7" s="31">
        <v>500000</v>
      </c>
      <c r="AO7" s="31"/>
      <c r="AP7" s="31"/>
      <c r="AQ7" s="31">
        <f>500000+291000</f>
        <v>791000</v>
      </c>
      <c r="AR7" s="31">
        <v>9000</v>
      </c>
      <c r="AS7" s="31"/>
      <c r="AT7" s="31">
        <v>200000</v>
      </c>
      <c r="AU7" s="31"/>
      <c r="AV7" s="31"/>
      <c r="AW7" s="35">
        <f>87300+1800000</f>
        <v>1887300</v>
      </c>
      <c r="AX7" s="31">
        <v>2700</v>
      </c>
      <c r="AY7" s="31"/>
      <c r="AZ7" s="36"/>
      <c r="BA7" s="36"/>
      <c r="BB7" s="36"/>
      <c r="BC7" s="36">
        <v>291000</v>
      </c>
      <c r="BD7" s="36">
        <v>209000</v>
      </c>
      <c r="BE7" s="36">
        <v>4350</v>
      </c>
      <c r="BF7" s="39">
        <v>388000</v>
      </c>
      <c r="BG7" s="39">
        <v>12000</v>
      </c>
      <c r="BH7" s="39">
        <v>832</v>
      </c>
      <c r="BI7" s="39">
        <f>291000+194000</f>
        <v>485000</v>
      </c>
      <c r="BJ7" s="39">
        <f>9000+6000</f>
        <v>15000</v>
      </c>
      <c r="BK7" s="39">
        <v>1575</v>
      </c>
      <c r="BL7" s="39">
        <v>485000</v>
      </c>
      <c r="BM7" s="39">
        <v>15000</v>
      </c>
      <c r="BN7" s="39">
        <f>6973.76+4350</f>
        <v>11323.76</v>
      </c>
      <c r="BO7" s="39">
        <f>485000+776000</f>
        <v>1261000</v>
      </c>
      <c r="BP7" s="39">
        <f>15000+24000</f>
        <v>39000</v>
      </c>
      <c r="BQ7" s="39"/>
      <c r="BR7" s="39">
        <v>679000</v>
      </c>
      <c r="BS7" s="39">
        <v>21000</v>
      </c>
      <c r="BT7" s="39"/>
      <c r="BU7" s="39">
        <v>485000</v>
      </c>
      <c r="BV7" s="39">
        <v>15000</v>
      </c>
      <c r="BW7" s="39"/>
      <c r="BX7" s="39">
        <v>1485000</v>
      </c>
      <c r="BY7" s="39">
        <v>15000</v>
      </c>
      <c r="BZ7" s="39"/>
      <c r="CA7" s="39">
        <f>485000+339500</f>
        <v>824500</v>
      </c>
      <c r="CB7" s="39">
        <f>15000+10500</f>
        <v>25500</v>
      </c>
      <c r="CC7" s="39"/>
      <c r="CD7" s="39">
        <v>1500000</v>
      </c>
      <c r="CE7" s="39">
        <v>0</v>
      </c>
      <c r="CF7" s="39"/>
      <c r="CG7" s="39">
        <f>679000+97000</f>
        <v>776000</v>
      </c>
      <c r="CH7" s="39">
        <f>21000+3000</f>
        <v>24000</v>
      </c>
      <c r="CI7" s="39"/>
      <c r="CJ7" s="39"/>
      <c r="CK7" s="39"/>
      <c r="CL7" s="39"/>
      <c r="CM7" s="41">
        <f t="shared" si="0"/>
        <v>5150000</v>
      </c>
    </row>
    <row r="8" spans="1:91">
      <c r="A8" s="13">
        <f t="shared" si="1"/>
        <v>6</v>
      </c>
      <c r="B8" s="13">
        <v>1913017</v>
      </c>
      <c r="C8" s="13" t="s">
        <v>35</v>
      </c>
      <c r="D8" s="14">
        <v>48500</v>
      </c>
      <c r="E8" s="14">
        <v>1500</v>
      </c>
      <c r="F8" s="14"/>
      <c r="G8" s="15"/>
      <c r="H8" s="15"/>
      <c r="I8" s="15"/>
      <c r="J8" s="15">
        <v>427500</v>
      </c>
      <c r="K8" s="15">
        <v>22500</v>
      </c>
      <c r="L8" s="15"/>
      <c r="M8" s="31">
        <v>100000</v>
      </c>
      <c r="N8" s="31"/>
      <c r="O8" s="31"/>
      <c r="P8" s="31"/>
      <c r="Q8" s="31"/>
      <c r="R8" s="31"/>
      <c r="S8" s="31">
        <v>291000</v>
      </c>
      <c r="T8" s="33">
        <v>9000</v>
      </c>
      <c r="U8" s="31">
        <v>948</v>
      </c>
      <c r="V8" s="31">
        <v>19400</v>
      </c>
      <c r="W8" s="31">
        <v>600</v>
      </c>
      <c r="X8" s="31"/>
      <c r="Y8" s="31">
        <v>500000</v>
      </c>
      <c r="Z8" s="31"/>
      <c r="AA8" s="31"/>
      <c r="AB8" s="31">
        <v>300000</v>
      </c>
      <c r="AC8" s="31">
        <v>0</v>
      </c>
      <c r="AD8" s="31"/>
      <c r="AE8" s="31">
        <v>400000</v>
      </c>
      <c r="AF8" s="31">
        <v>12000</v>
      </c>
      <c r="AG8" s="31"/>
      <c r="AH8" s="31"/>
      <c r="AI8" s="31"/>
      <c r="AJ8" s="31"/>
      <c r="AK8" s="31">
        <v>194000</v>
      </c>
      <c r="AL8" s="31">
        <v>6000</v>
      </c>
      <c r="AM8" s="31"/>
      <c r="AN8" s="31">
        <f>291000+194000</f>
        <v>485000</v>
      </c>
      <c r="AO8" s="31">
        <f>9000+6000</f>
        <v>15000</v>
      </c>
      <c r="AP8" s="31"/>
      <c r="AQ8" s="31">
        <f>97000+48500</f>
        <v>145500</v>
      </c>
      <c r="AR8" s="31">
        <f>3000+1500</f>
        <v>4500</v>
      </c>
      <c r="AS8" s="31"/>
      <c r="AT8" s="31">
        <v>200000</v>
      </c>
      <c r="AU8" s="31"/>
      <c r="AV8" s="31"/>
      <c r="AW8" s="35">
        <f>48500+540000</f>
        <v>588500</v>
      </c>
      <c r="AX8" s="31">
        <f>1500</f>
        <v>1500</v>
      </c>
      <c r="AY8" s="31"/>
      <c r="AZ8" s="36"/>
      <c r="BA8" s="36"/>
      <c r="BB8" s="36"/>
      <c r="BC8" s="36">
        <v>291000</v>
      </c>
      <c r="BD8" s="36">
        <v>69000</v>
      </c>
      <c r="BE8" s="36">
        <v>2445</v>
      </c>
      <c r="BF8" s="39">
        <v>388000</v>
      </c>
      <c r="BG8" s="39">
        <v>12000</v>
      </c>
      <c r="BH8" s="39"/>
      <c r="BI8" s="39">
        <v>0</v>
      </c>
      <c r="BJ8" s="39">
        <v>0</v>
      </c>
      <c r="BK8" s="39"/>
      <c r="BL8" s="39">
        <v>145500</v>
      </c>
      <c r="BM8" s="39">
        <v>4500</v>
      </c>
      <c r="BN8" s="39">
        <v>2445</v>
      </c>
      <c r="BO8" s="39">
        <v>291000</v>
      </c>
      <c r="BP8" s="39">
        <v>9000</v>
      </c>
      <c r="BQ8" s="39"/>
      <c r="BR8" s="39">
        <f>485000+145500</f>
        <v>630500</v>
      </c>
      <c r="BS8" s="39">
        <f>15000+4500</f>
        <v>19500</v>
      </c>
      <c r="BT8" s="39"/>
      <c r="BU8" s="39">
        <v>388000</v>
      </c>
      <c r="BV8" s="39">
        <v>12000</v>
      </c>
      <c r="BW8" s="39"/>
      <c r="BX8" s="39">
        <f>291000+194000</f>
        <v>485000</v>
      </c>
      <c r="BY8" s="39">
        <f>9000+6000</f>
        <v>15000</v>
      </c>
      <c r="BZ8" s="39"/>
      <c r="CA8" s="39"/>
      <c r="CB8" s="39"/>
      <c r="CC8" s="39"/>
      <c r="CD8" s="39">
        <v>582000</v>
      </c>
      <c r="CE8" s="39">
        <v>18000</v>
      </c>
      <c r="CF8" s="39"/>
      <c r="CG8" s="39">
        <v>500000</v>
      </c>
      <c r="CH8" s="39">
        <v>0</v>
      </c>
      <c r="CI8" s="39"/>
      <c r="CJ8" s="39"/>
      <c r="CK8" s="39"/>
      <c r="CL8" s="39"/>
      <c r="CM8" s="41">
        <f t="shared" si="0"/>
        <v>2000000</v>
      </c>
    </row>
    <row r="9" spans="1:91">
      <c r="A9" s="13">
        <f t="shared" si="1"/>
        <v>7</v>
      </c>
      <c r="B9" s="13">
        <v>1913023</v>
      </c>
      <c r="C9" s="13" t="s">
        <v>37</v>
      </c>
      <c r="D9" s="14"/>
      <c r="E9" s="14"/>
      <c r="F9" s="14"/>
      <c r="G9" s="15"/>
      <c r="H9" s="15"/>
      <c r="I9" s="15"/>
      <c r="J9" s="15"/>
      <c r="K9" s="15"/>
      <c r="L9" s="1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0</v>
      </c>
      <c r="AC9" s="31">
        <v>0</v>
      </c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>
        <v>19400</v>
      </c>
      <c r="AU9" s="31">
        <v>600</v>
      </c>
      <c r="AV9" s="31"/>
      <c r="AW9" s="35"/>
      <c r="AX9" s="31"/>
      <c r="AY9" s="31"/>
      <c r="AZ9" s="36"/>
      <c r="BA9" s="36"/>
      <c r="BB9" s="36"/>
      <c r="BC9" s="36">
        <v>9700</v>
      </c>
      <c r="BD9" s="36">
        <v>300</v>
      </c>
      <c r="BE9" s="36">
        <v>2400</v>
      </c>
      <c r="BF9" s="39"/>
      <c r="BG9" s="39"/>
      <c r="BH9" s="39"/>
      <c r="BI9" s="39">
        <v>0</v>
      </c>
      <c r="BJ9" s="39">
        <v>0</v>
      </c>
      <c r="BK9" s="39"/>
      <c r="BL9" s="39">
        <v>9700</v>
      </c>
      <c r="BM9" s="39">
        <v>300</v>
      </c>
      <c r="BN9" s="39"/>
      <c r="BO9" s="39"/>
      <c r="BP9" s="39"/>
      <c r="BQ9" s="39"/>
      <c r="BR9" s="39">
        <v>48500</v>
      </c>
      <c r="BS9" s="39">
        <v>1500</v>
      </c>
      <c r="BT9" s="39"/>
      <c r="BU9" s="39"/>
      <c r="BV9" s="39"/>
      <c r="BW9" s="39"/>
      <c r="BX9" s="39">
        <v>97000</v>
      </c>
      <c r="BY9" s="39">
        <v>3000</v>
      </c>
      <c r="BZ9" s="39"/>
      <c r="CA9" s="39"/>
      <c r="CB9" s="39"/>
      <c r="CC9" s="39"/>
      <c r="CD9" s="39">
        <v>145500</v>
      </c>
      <c r="CE9" s="39">
        <v>4500</v>
      </c>
      <c r="CF9" s="39"/>
      <c r="CG9" s="39">
        <v>100000</v>
      </c>
      <c r="CH9" s="39">
        <v>0</v>
      </c>
      <c r="CI9" s="39"/>
      <c r="CJ9" s="39"/>
      <c r="CK9" s="39"/>
      <c r="CL9" s="39"/>
      <c r="CM9" s="41">
        <f t="shared" si="0"/>
        <v>350000</v>
      </c>
    </row>
    <row r="10" spans="1:91">
      <c r="A10" s="13">
        <f t="shared" si="1"/>
        <v>8</v>
      </c>
      <c r="B10" s="13" t="s">
        <v>42</v>
      </c>
      <c r="C10" s="13" t="s">
        <v>43</v>
      </c>
      <c r="D10" s="14"/>
      <c r="E10" s="14"/>
      <c r="F10" s="14"/>
      <c r="G10" s="15">
        <v>50000</v>
      </c>
      <c r="H10" s="15"/>
      <c r="I10" s="15"/>
      <c r="J10" s="15">
        <v>261900</v>
      </c>
      <c r="K10" s="15">
        <v>8100</v>
      </c>
      <c r="L10" s="15"/>
      <c r="M10" s="31">
        <v>100000</v>
      </c>
      <c r="N10" s="31"/>
      <c r="O10" s="31"/>
      <c r="P10" s="31"/>
      <c r="Q10" s="31"/>
      <c r="R10" s="31"/>
      <c r="S10" s="31">
        <v>194000</v>
      </c>
      <c r="T10" s="33">
        <v>6000</v>
      </c>
      <c r="U10" s="31">
        <v>360</v>
      </c>
      <c r="V10" s="31"/>
      <c r="W10" s="31"/>
      <c r="X10" s="31"/>
      <c r="Y10" s="31">
        <v>100000</v>
      </c>
      <c r="Z10" s="31"/>
      <c r="AA10" s="31"/>
      <c r="AB10" s="31">
        <v>100000</v>
      </c>
      <c r="AC10" s="31">
        <v>0</v>
      </c>
      <c r="AD10" s="31"/>
      <c r="AE10" s="31">
        <v>190000</v>
      </c>
      <c r="AF10" s="31">
        <v>10000</v>
      </c>
      <c r="AG10" s="31"/>
      <c r="AH10" s="31"/>
      <c r="AI10" s="31"/>
      <c r="AJ10" s="31"/>
      <c r="AK10" s="31">
        <v>100000</v>
      </c>
      <c r="AL10" s="31"/>
      <c r="AM10" s="31"/>
      <c r="AN10" s="31">
        <v>97000</v>
      </c>
      <c r="AO10" s="31">
        <v>3000</v>
      </c>
      <c r="AP10" s="31"/>
      <c r="AQ10" s="31">
        <v>97000</v>
      </c>
      <c r="AR10" s="31">
        <v>3000</v>
      </c>
      <c r="AS10" s="31"/>
      <c r="AT10" s="31">
        <v>97000</v>
      </c>
      <c r="AU10" s="31">
        <v>3000</v>
      </c>
      <c r="AV10" s="31"/>
      <c r="AW10" s="35"/>
      <c r="AX10" s="31"/>
      <c r="AY10" s="31"/>
      <c r="AZ10" s="36"/>
      <c r="BA10" s="36"/>
      <c r="BB10" s="36"/>
      <c r="BC10" s="36">
        <v>291000</v>
      </c>
      <c r="BD10" s="36">
        <v>9000</v>
      </c>
      <c r="BE10" s="36"/>
      <c r="BF10" s="39">
        <v>291000</v>
      </c>
      <c r="BG10" s="39">
        <v>9000</v>
      </c>
      <c r="BH10" s="39"/>
      <c r="BI10" s="39">
        <v>194000</v>
      </c>
      <c r="BJ10" s="39">
        <v>6000</v>
      </c>
      <c r="BK10" s="39"/>
      <c r="BL10" s="39">
        <v>29100</v>
      </c>
      <c r="BM10" s="39">
        <v>900</v>
      </c>
      <c r="BN10" s="39"/>
      <c r="BO10" s="39">
        <v>77600</v>
      </c>
      <c r="BP10" s="39">
        <v>2400</v>
      </c>
      <c r="BQ10" s="39"/>
      <c r="BR10" s="39">
        <v>77600</v>
      </c>
      <c r="BS10" s="39">
        <v>2400</v>
      </c>
      <c r="BT10" s="39"/>
      <c r="BU10" s="39"/>
      <c r="BV10" s="39"/>
      <c r="BW10" s="39"/>
      <c r="BX10" s="39">
        <v>77600</v>
      </c>
      <c r="BY10" s="39">
        <v>2400</v>
      </c>
      <c r="BZ10" s="39"/>
      <c r="CA10" s="39"/>
      <c r="CB10" s="39"/>
      <c r="CC10" s="39"/>
      <c r="CD10" s="39">
        <v>77600</v>
      </c>
      <c r="CE10" s="39">
        <v>2400</v>
      </c>
      <c r="CF10" s="39"/>
      <c r="CG10" s="39">
        <v>100000</v>
      </c>
      <c r="CH10" s="39">
        <v>0</v>
      </c>
      <c r="CI10" s="39"/>
      <c r="CJ10" s="39"/>
      <c r="CK10" s="39"/>
      <c r="CL10" s="39"/>
      <c r="CM10" s="41">
        <f t="shared" si="0"/>
        <v>260000</v>
      </c>
    </row>
    <row r="11" spans="1:91">
      <c r="A11" s="13">
        <f t="shared" si="1"/>
        <v>9</v>
      </c>
      <c r="B11" s="13">
        <v>1913027</v>
      </c>
      <c r="C11" s="13" t="s">
        <v>33</v>
      </c>
      <c r="D11" s="14"/>
      <c r="E11" s="14"/>
      <c r="F11" s="14"/>
      <c r="G11" s="15"/>
      <c r="H11" s="15"/>
      <c r="I11" s="15"/>
      <c r="J11" s="15">
        <v>28500</v>
      </c>
      <c r="K11" s="15">
        <v>1500</v>
      </c>
      <c r="L11" s="15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19400</v>
      </c>
      <c r="AC11" s="31">
        <v>600</v>
      </c>
      <c r="AD11" s="31"/>
      <c r="AE11" s="31">
        <v>47500</v>
      </c>
      <c r="AF11" s="31">
        <v>2500</v>
      </c>
      <c r="AG11" s="31"/>
      <c r="AH11" s="31"/>
      <c r="AI11" s="31"/>
      <c r="AJ11" s="31"/>
      <c r="AK11" s="31">
        <v>9700</v>
      </c>
      <c r="AL11" s="31">
        <v>300</v>
      </c>
      <c r="AM11" s="31"/>
      <c r="AN11" s="31"/>
      <c r="AO11" s="31"/>
      <c r="AP11" s="31"/>
      <c r="AQ11" s="31"/>
      <c r="AR11" s="31"/>
      <c r="AS11" s="31"/>
      <c r="AT11" s="31">
        <v>9700</v>
      </c>
      <c r="AU11" s="31">
        <v>300</v>
      </c>
      <c r="AV11" s="31"/>
      <c r="AW11" s="35"/>
      <c r="AX11" s="31"/>
      <c r="AY11" s="31"/>
      <c r="AZ11" s="36"/>
      <c r="BA11" s="36"/>
      <c r="BB11" s="36"/>
      <c r="BC11" s="36">
        <v>19400</v>
      </c>
      <c r="BD11" s="36">
        <v>600</v>
      </c>
      <c r="BE11" s="36"/>
      <c r="BF11" s="39"/>
      <c r="BG11" s="39"/>
      <c r="BH11" s="39"/>
      <c r="BI11" s="39">
        <v>0</v>
      </c>
      <c r="BJ11" s="39">
        <v>0</v>
      </c>
      <c r="BK11" s="39"/>
      <c r="BL11" s="39">
        <v>0</v>
      </c>
      <c r="BM11" s="39">
        <v>0</v>
      </c>
      <c r="BN11" s="39"/>
      <c r="BO11" s="39">
        <v>19400</v>
      </c>
      <c r="BP11" s="39">
        <v>600</v>
      </c>
      <c r="BQ11" s="39"/>
      <c r="BR11" s="39">
        <v>9700</v>
      </c>
      <c r="BS11" s="39">
        <v>300</v>
      </c>
      <c r="BT11" s="39"/>
      <c r="BU11" s="39"/>
      <c r="BV11" s="39"/>
      <c r="BW11" s="39"/>
      <c r="BX11" s="39"/>
      <c r="BY11" s="39"/>
      <c r="BZ11" s="39"/>
      <c r="CA11" s="39">
        <v>19400</v>
      </c>
      <c r="CB11" s="39">
        <v>600</v>
      </c>
      <c r="CC11" s="39"/>
      <c r="CD11" s="39">
        <v>0</v>
      </c>
      <c r="CE11" s="39">
        <v>0</v>
      </c>
      <c r="CF11" s="39"/>
      <c r="CG11" s="39">
        <v>0</v>
      </c>
      <c r="CH11" s="39">
        <v>0</v>
      </c>
      <c r="CI11" s="39"/>
      <c r="CJ11" s="39"/>
      <c r="CK11" s="39"/>
      <c r="CL11" s="39"/>
      <c r="CM11" s="41">
        <f t="shared" si="0"/>
        <v>20000</v>
      </c>
    </row>
    <row r="12" spans="1:91">
      <c r="A12" s="13">
        <f t="shared" si="1"/>
        <v>10</v>
      </c>
      <c r="B12" s="13">
        <v>1913032</v>
      </c>
      <c r="C12" s="13" t="s">
        <v>66</v>
      </c>
      <c r="D12" s="14"/>
      <c r="E12" s="14"/>
      <c r="F12" s="14"/>
      <c r="G12" s="15"/>
      <c r="H12" s="15"/>
      <c r="I12" s="15"/>
      <c r="J12" s="15"/>
      <c r="K12" s="15"/>
      <c r="L12" s="15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>
        <v>0</v>
      </c>
      <c r="AC12" s="31">
        <v>0</v>
      </c>
      <c r="AD12" s="31"/>
      <c r="AE12" s="31">
        <v>47500</v>
      </c>
      <c r="AF12" s="31">
        <v>2500</v>
      </c>
      <c r="AG12" s="31"/>
      <c r="AH12" s="31"/>
      <c r="AI12" s="31"/>
      <c r="AJ12" s="31"/>
      <c r="AK12" s="31">
        <v>9700</v>
      </c>
      <c r="AL12" s="31">
        <v>300</v>
      </c>
      <c r="AM12" s="31"/>
      <c r="AN12" s="31"/>
      <c r="AO12" s="31"/>
      <c r="AP12" s="31"/>
      <c r="AQ12" s="31"/>
      <c r="AR12" s="31"/>
      <c r="AS12" s="31"/>
      <c r="AT12" s="31">
        <v>9700</v>
      </c>
      <c r="AU12" s="31">
        <v>300</v>
      </c>
      <c r="AV12" s="31"/>
      <c r="AW12" s="35"/>
      <c r="AX12" s="31"/>
      <c r="AY12" s="31"/>
      <c r="AZ12" s="36"/>
      <c r="BA12" s="36"/>
      <c r="BB12" s="36"/>
      <c r="BC12" s="36">
        <v>9700</v>
      </c>
      <c r="BD12" s="36">
        <v>300</v>
      </c>
      <c r="BE12" s="36"/>
      <c r="BF12" s="39"/>
      <c r="BG12" s="39"/>
      <c r="BH12" s="39"/>
      <c r="BI12" s="39">
        <v>0</v>
      </c>
      <c r="BJ12" s="39">
        <v>0</v>
      </c>
      <c r="BK12" s="39"/>
      <c r="BL12" s="39">
        <v>0</v>
      </c>
      <c r="BM12" s="39">
        <v>0</v>
      </c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>
        <v>0</v>
      </c>
      <c r="CE12" s="39">
        <v>0</v>
      </c>
      <c r="CF12" s="39"/>
      <c r="CG12" s="39">
        <v>0</v>
      </c>
      <c r="CH12" s="39">
        <v>0</v>
      </c>
      <c r="CI12" s="39"/>
      <c r="CJ12" s="39"/>
      <c r="CK12" s="39"/>
      <c r="CL12" s="39"/>
      <c r="CM12" s="41">
        <f t="shared" si="0"/>
        <v>0</v>
      </c>
    </row>
    <row r="13" spans="1:91">
      <c r="A13" s="13">
        <f t="shared" ref="A13:A22" si="2">ROW()-2</f>
        <v>11</v>
      </c>
      <c r="B13" s="13">
        <v>1913045</v>
      </c>
      <c r="C13" s="13" t="s">
        <v>44</v>
      </c>
      <c r="D13" s="14"/>
      <c r="E13" s="14"/>
      <c r="F13" s="14"/>
      <c r="G13" s="15">
        <v>100000</v>
      </c>
      <c r="H13" s="15"/>
      <c r="I13" s="15"/>
      <c r="J13" s="15">
        <v>237500</v>
      </c>
      <c r="K13" s="15">
        <v>12500</v>
      </c>
      <c r="L13" s="15"/>
      <c r="M13" s="31">
        <v>100000</v>
      </c>
      <c r="N13" s="31"/>
      <c r="O13" s="31"/>
      <c r="P13" s="31"/>
      <c r="Q13" s="31"/>
      <c r="R13" s="31"/>
      <c r="S13" s="31">
        <v>194000</v>
      </c>
      <c r="T13" s="33">
        <v>6000</v>
      </c>
      <c r="U13" s="31"/>
      <c r="V13" s="31">
        <f>10000+20000</f>
        <v>30000</v>
      </c>
      <c r="W13" s="31"/>
      <c r="X13" s="31"/>
      <c r="Y13" s="31">
        <f>100000+100000</f>
        <v>200000</v>
      </c>
      <c r="Z13" s="31"/>
      <c r="AA13" s="31"/>
      <c r="AB13" s="31">
        <v>200000</v>
      </c>
      <c r="AC13" s="31">
        <v>0</v>
      </c>
      <c r="AD13" s="31"/>
      <c r="AE13" s="31">
        <v>195000</v>
      </c>
      <c r="AF13" s="31">
        <v>8000</v>
      </c>
      <c r="AG13" s="31"/>
      <c r="AH13" s="31"/>
      <c r="AI13" s="31"/>
      <c r="AJ13" s="31"/>
      <c r="AK13" s="31">
        <v>100000</v>
      </c>
      <c r="AL13" s="31"/>
      <c r="AM13" s="31"/>
      <c r="AN13" s="31">
        <f>150000+97000</f>
        <v>247000</v>
      </c>
      <c r="AO13" s="31">
        <v>3000</v>
      </c>
      <c r="AP13" s="31"/>
      <c r="AQ13" s="31"/>
      <c r="AR13" s="31"/>
      <c r="AS13" s="31"/>
      <c r="AT13" s="31">
        <v>97000</v>
      </c>
      <c r="AU13" s="31">
        <v>3000</v>
      </c>
      <c r="AV13" s="31"/>
      <c r="AW13" s="35">
        <v>450000</v>
      </c>
      <c r="AX13" s="31">
        <v>50000</v>
      </c>
      <c r="AY13" s="31"/>
      <c r="AZ13" s="36"/>
      <c r="BA13" s="36"/>
      <c r="BB13" s="36"/>
      <c r="BC13" s="36">
        <v>97000</v>
      </c>
      <c r="BD13" s="36">
        <v>3000</v>
      </c>
      <c r="BE13" s="36">
        <v>1350</v>
      </c>
      <c r="BF13" s="39">
        <v>77600</v>
      </c>
      <c r="BG13" s="39">
        <v>2400</v>
      </c>
      <c r="BH13" s="39"/>
      <c r="BI13" s="39">
        <v>97000</v>
      </c>
      <c r="BJ13" s="39">
        <v>3000</v>
      </c>
      <c r="BK13" s="39"/>
      <c r="BL13" s="39">
        <v>19400</v>
      </c>
      <c r="BM13" s="39">
        <v>600</v>
      </c>
      <c r="BN13" s="39">
        <v>-1350</v>
      </c>
      <c r="BO13" s="39">
        <v>97000</v>
      </c>
      <c r="BP13" s="39">
        <v>3000</v>
      </c>
      <c r="BQ13" s="39"/>
      <c r="BR13" s="39">
        <v>48500</v>
      </c>
      <c r="BS13" s="39">
        <v>1500</v>
      </c>
      <c r="BT13" s="39"/>
      <c r="BU13" s="39">
        <v>100000</v>
      </c>
      <c r="BV13" s="39"/>
      <c r="BW13" s="39"/>
      <c r="BX13" s="39">
        <v>48500</v>
      </c>
      <c r="BY13" s="39">
        <v>1500</v>
      </c>
      <c r="BZ13" s="39"/>
      <c r="CA13" s="39">
        <v>97000</v>
      </c>
      <c r="CB13" s="39">
        <v>3000</v>
      </c>
      <c r="CC13" s="39"/>
      <c r="CD13" s="39">
        <v>48500</v>
      </c>
      <c r="CE13" s="39">
        <v>1500</v>
      </c>
      <c r="CF13" s="39"/>
      <c r="CG13" s="39">
        <v>100000</v>
      </c>
      <c r="CH13" s="39">
        <v>0</v>
      </c>
      <c r="CI13" s="39"/>
      <c r="CJ13" s="39"/>
      <c r="CK13" s="39"/>
      <c r="CL13" s="39"/>
      <c r="CM13" s="41">
        <f t="shared" si="0"/>
        <v>400000</v>
      </c>
    </row>
    <row r="14" spans="1:91">
      <c r="A14" s="13">
        <f t="shared" si="2"/>
        <v>12</v>
      </c>
      <c r="B14" s="13" t="s">
        <v>25</v>
      </c>
      <c r="C14" s="13" t="s">
        <v>26</v>
      </c>
      <c r="D14" s="14"/>
      <c r="E14" s="14"/>
      <c r="F14" s="14"/>
      <c r="G14" s="15">
        <v>97000</v>
      </c>
      <c r="H14" s="15">
        <v>3000</v>
      </c>
      <c r="I14" s="15"/>
      <c r="J14" s="15">
        <v>237500</v>
      </c>
      <c r="K14" s="15">
        <v>12500</v>
      </c>
      <c r="L14" s="15"/>
      <c r="M14" s="31">
        <f>48500+145500</f>
        <v>194000</v>
      </c>
      <c r="N14" s="31">
        <f>1500+4500</f>
        <v>6000</v>
      </c>
      <c r="O14" s="31"/>
      <c r="P14" s="31">
        <v>120000</v>
      </c>
      <c r="Q14" s="31"/>
      <c r="R14" s="31">
        <v>1000</v>
      </c>
      <c r="S14" s="31">
        <f>145500+500000</f>
        <v>645500</v>
      </c>
      <c r="T14" s="33">
        <v>4500</v>
      </c>
      <c r="U14" s="31">
        <v>564</v>
      </c>
      <c r="V14" s="31"/>
      <c r="W14" s="31"/>
      <c r="X14" s="31"/>
      <c r="Y14" s="31">
        <v>38030</v>
      </c>
      <c r="Z14" s="31"/>
      <c r="AA14" s="31"/>
      <c r="AB14" s="31">
        <v>100000</v>
      </c>
      <c r="AC14" s="31">
        <v>0</v>
      </c>
      <c r="AD14" s="31"/>
      <c r="AE14" s="31">
        <v>295000</v>
      </c>
      <c r="AF14" s="31">
        <v>11000</v>
      </c>
      <c r="AG14" s="31"/>
      <c r="AH14" s="31"/>
      <c r="AI14" s="31"/>
      <c r="AJ14" s="31"/>
      <c r="AK14" s="31">
        <v>50000</v>
      </c>
      <c r="AL14" s="31"/>
      <c r="AM14" s="31"/>
      <c r="AN14" s="31">
        <f>150000+97000</f>
        <v>247000</v>
      </c>
      <c r="AO14" s="31">
        <v>3000</v>
      </c>
      <c r="AP14" s="31"/>
      <c r="AQ14" s="31"/>
      <c r="AR14" s="31"/>
      <c r="AS14" s="31"/>
      <c r="AT14" s="31">
        <v>145500</v>
      </c>
      <c r="AU14" s="31">
        <v>4500</v>
      </c>
      <c r="AV14" s="31"/>
      <c r="AW14" s="35">
        <v>450000</v>
      </c>
      <c r="AX14" s="31">
        <v>0</v>
      </c>
      <c r="AY14" s="31"/>
      <c r="AZ14" s="36"/>
      <c r="BA14" s="36"/>
      <c r="BB14" s="36"/>
      <c r="BC14" s="36">
        <v>19400</v>
      </c>
      <c r="BD14" s="36">
        <v>50600</v>
      </c>
      <c r="BE14" s="36">
        <v>3600</v>
      </c>
      <c r="BF14" s="39">
        <v>194000</v>
      </c>
      <c r="BG14" s="39">
        <v>6000</v>
      </c>
      <c r="BH14" s="39"/>
      <c r="BI14" s="39">
        <v>97000</v>
      </c>
      <c r="BJ14" s="39">
        <v>3000</v>
      </c>
      <c r="BK14" s="39"/>
      <c r="BL14" s="39">
        <v>67900</v>
      </c>
      <c r="BM14" s="39">
        <v>2100</v>
      </c>
      <c r="BN14" s="39">
        <v>-3600</v>
      </c>
      <c r="BO14" s="39">
        <v>48500</v>
      </c>
      <c r="BP14" s="39">
        <v>1500</v>
      </c>
      <c r="BQ14" s="39"/>
      <c r="BR14" s="39">
        <v>29100</v>
      </c>
      <c r="BS14" s="39">
        <v>900</v>
      </c>
      <c r="BT14" s="39"/>
      <c r="BU14" s="39"/>
      <c r="BV14" s="39"/>
      <c r="BW14" s="39"/>
      <c r="BX14" s="39">
        <v>97000</v>
      </c>
      <c r="BY14" s="39">
        <v>3000</v>
      </c>
      <c r="BZ14" s="39"/>
      <c r="CA14" s="39">
        <v>77600</v>
      </c>
      <c r="CB14" s="39">
        <v>2400</v>
      </c>
      <c r="CC14" s="39"/>
      <c r="CD14" s="39">
        <v>77600</v>
      </c>
      <c r="CE14" s="39">
        <v>2400</v>
      </c>
      <c r="CF14" s="39"/>
      <c r="CG14" s="39">
        <v>77600</v>
      </c>
      <c r="CH14" s="39">
        <v>2400</v>
      </c>
      <c r="CI14" s="39"/>
      <c r="CJ14" s="39"/>
      <c r="CK14" s="39"/>
      <c r="CL14" s="39"/>
      <c r="CM14" s="41">
        <f t="shared" si="0"/>
        <v>340000</v>
      </c>
    </row>
    <row r="15" spans="1:91">
      <c r="A15" s="13">
        <f t="shared" si="2"/>
        <v>13</v>
      </c>
      <c r="B15" s="13">
        <v>1913078</v>
      </c>
      <c r="C15" s="13" t="s">
        <v>62</v>
      </c>
      <c r="D15" s="14"/>
      <c r="E15" s="14"/>
      <c r="F15" s="14"/>
      <c r="G15" s="15"/>
      <c r="H15" s="15"/>
      <c r="I15" s="15"/>
      <c r="J15" s="15"/>
      <c r="K15" s="15"/>
      <c r="L15" s="15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>
        <v>0</v>
      </c>
      <c r="AC15" s="31">
        <v>0</v>
      </c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5"/>
      <c r="AX15" s="31"/>
      <c r="AY15" s="31"/>
      <c r="AZ15" s="36"/>
      <c r="BA15" s="36"/>
      <c r="BB15" s="36"/>
      <c r="BC15" s="36">
        <v>9700</v>
      </c>
      <c r="BD15" s="36">
        <v>300</v>
      </c>
      <c r="BE15" s="36"/>
      <c r="BF15" s="39"/>
      <c r="BG15" s="39"/>
      <c r="BH15" s="39"/>
      <c r="BI15" s="39">
        <v>0</v>
      </c>
      <c r="BJ15" s="39">
        <v>0</v>
      </c>
      <c r="BK15" s="39"/>
      <c r="BL15" s="39">
        <v>0</v>
      </c>
      <c r="BM15" s="39">
        <v>0</v>
      </c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>
        <v>9700</v>
      </c>
      <c r="BY15" s="39">
        <v>300</v>
      </c>
      <c r="BZ15" s="39"/>
      <c r="CA15" s="39"/>
      <c r="CB15" s="39"/>
      <c r="CC15" s="39"/>
      <c r="CD15" s="39">
        <v>0</v>
      </c>
      <c r="CE15" s="39">
        <v>0</v>
      </c>
      <c r="CF15" s="39"/>
      <c r="CG15" s="39">
        <v>0</v>
      </c>
      <c r="CH15" s="39">
        <v>0</v>
      </c>
      <c r="CI15" s="39"/>
      <c r="CJ15" s="39"/>
      <c r="CK15" s="39"/>
      <c r="CL15" s="39"/>
      <c r="CM15" s="41">
        <f t="shared" si="0"/>
        <v>10000</v>
      </c>
    </row>
    <row r="16" spans="1:91">
      <c r="A16" s="13">
        <f t="shared" si="2"/>
        <v>14</v>
      </c>
      <c r="B16" s="13">
        <v>1913092</v>
      </c>
      <c r="C16" s="13" t="s">
        <v>65</v>
      </c>
      <c r="D16" s="14"/>
      <c r="E16" s="14"/>
      <c r="F16" s="14"/>
      <c r="G16" s="15"/>
      <c r="H16" s="15"/>
      <c r="I16" s="15"/>
      <c r="J16" s="15"/>
      <c r="K16" s="15"/>
      <c r="L16" s="15"/>
      <c r="M16" s="31"/>
      <c r="N16" s="31"/>
      <c r="O16" s="31"/>
      <c r="P16" s="31"/>
      <c r="Q16" s="31"/>
      <c r="R16" s="31"/>
      <c r="S16" s="31"/>
      <c r="T16" s="31"/>
      <c r="U16" s="31"/>
      <c r="V16" s="31">
        <v>4043.36</v>
      </c>
      <c r="W16" s="31">
        <v>125.05</v>
      </c>
      <c r="X16" s="31"/>
      <c r="Y16" s="31"/>
      <c r="Z16" s="31"/>
      <c r="AA16" s="31"/>
      <c r="AB16" s="31">
        <v>0</v>
      </c>
      <c r="AC16" s="31">
        <v>0</v>
      </c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5"/>
      <c r="AX16" s="31"/>
      <c r="AY16" s="31"/>
      <c r="AZ16" s="36"/>
      <c r="BA16" s="36"/>
      <c r="BB16" s="36"/>
      <c r="BC16" s="36">
        <v>0</v>
      </c>
      <c r="BD16" s="36">
        <v>0</v>
      </c>
      <c r="BE16" s="36"/>
      <c r="BF16" s="39"/>
      <c r="BG16" s="39"/>
      <c r="BH16" s="39"/>
      <c r="BI16" s="39">
        <v>0</v>
      </c>
      <c r="BJ16" s="39">
        <v>0</v>
      </c>
      <c r="BK16" s="39"/>
      <c r="BL16" s="39">
        <v>0</v>
      </c>
      <c r="BM16" s="39">
        <v>0</v>
      </c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>
        <v>0</v>
      </c>
      <c r="CE16" s="39">
        <v>0</v>
      </c>
      <c r="CF16" s="39"/>
      <c r="CG16" s="39">
        <v>0</v>
      </c>
      <c r="CH16" s="39">
        <v>0</v>
      </c>
      <c r="CI16" s="39"/>
      <c r="CJ16" s="39"/>
      <c r="CK16" s="39"/>
      <c r="CL16" s="39"/>
      <c r="CM16" s="41">
        <f t="shared" si="0"/>
        <v>0</v>
      </c>
    </row>
    <row r="17" spans="1:91">
      <c r="A17" s="13">
        <f t="shared" si="2"/>
        <v>15</v>
      </c>
      <c r="B17" s="13">
        <v>1913101</v>
      </c>
      <c r="C17" s="13" t="s">
        <v>38</v>
      </c>
      <c r="D17" s="14"/>
      <c r="E17" s="14"/>
      <c r="F17" s="14"/>
      <c r="G17" s="15">
        <v>19400</v>
      </c>
      <c r="H17" s="15">
        <v>600</v>
      </c>
      <c r="I17" s="15"/>
      <c r="J17" s="15">
        <v>190000</v>
      </c>
      <c r="K17" s="15">
        <v>10000</v>
      </c>
      <c r="L17" s="15"/>
      <c r="M17" s="31">
        <v>100000</v>
      </c>
      <c r="N17" s="31"/>
      <c r="O17" s="31"/>
      <c r="P17" s="31"/>
      <c r="Q17" s="31"/>
      <c r="R17" s="31"/>
      <c r="S17" s="31">
        <v>48500</v>
      </c>
      <c r="T17" s="33">
        <v>1500</v>
      </c>
      <c r="U17" s="31"/>
      <c r="V17" s="31"/>
      <c r="W17" s="31"/>
      <c r="X17" s="31"/>
      <c r="Y17" s="31">
        <v>40000</v>
      </c>
      <c r="Z17" s="31"/>
      <c r="AA17" s="31"/>
      <c r="AB17" s="31">
        <v>100000</v>
      </c>
      <c r="AC17" s="31">
        <v>0</v>
      </c>
      <c r="AD17" s="31"/>
      <c r="AE17" s="31"/>
      <c r="AF17" s="31"/>
      <c r="AG17" s="31"/>
      <c r="AH17" s="31"/>
      <c r="AI17" s="31"/>
      <c r="AJ17" s="31"/>
      <c r="AK17" s="31">
        <v>100000</v>
      </c>
      <c r="AL17" s="31"/>
      <c r="AM17" s="31"/>
      <c r="AN17" s="31">
        <v>150000</v>
      </c>
      <c r="AO17" s="31"/>
      <c r="AP17" s="31"/>
      <c r="AQ17" s="31">
        <v>50000</v>
      </c>
      <c r="AR17" s="31"/>
      <c r="AS17" s="31"/>
      <c r="AT17" s="31">
        <v>97000</v>
      </c>
      <c r="AU17" s="31">
        <v>3000</v>
      </c>
      <c r="AV17" s="31"/>
      <c r="AW17" s="35"/>
      <c r="AX17" s="31"/>
      <c r="AY17" s="31"/>
      <c r="AZ17" s="36"/>
      <c r="BA17" s="36"/>
      <c r="BB17" s="36"/>
      <c r="BC17" s="36">
        <v>194000</v>
      </c>
      <c r="BD17" s="36">
        <v>6000</v>
      </c>
      <c r="BE17" s="36"/>
      <c r="BF17" s="39">
        <v>194000</v>
      </c>
      <c r="BG17" s="39">
        <v>6000</v>
      </c>
      <c r="BH17" s="39"/>
      <c r="BI17" s="39">
        <v>97000</v>
      </c>
      <c r="BJ17" s="39">
        <v>3000</v>
      </c>
      <c r="BK17" s="39"/>
      <c r="BL17" s="39">
        <v>48500</v>
      </c>
      <c r="BM17" s="39">
        <v>1500</v>
      </c>
      <c r="BN17" s="39"/>
      <c r="BO17" s="39">
        <v>145500</v>
      </c>
      <c r="BP17" s="39">
        <v>4500</v>
      </c>
      <c r="BQ17" s="39"/>
      <c r="BR17" s="39">
        <v>145500</v>
      </c>
      <c r="BS17" s="39">
        <v>4500</v>
      </c>
      <c r="BT17" s="39"/>
      <c r="BU17" s="39"/>
      <c r="BV17" s="39"/>
      <c r="BW17" s="39"/>
      <c r="BX17" s="39"/>
      <c r="BY17" s="39"/>
      <c r="BZ17" s="39"/>
      <c r="CA17" s="39">
        <v>97000</v>
      </c>
      <c r="CB17" s="39">
        <v>3000</v>
      </c>
      <c r="CC17" s="39"/>
      <c r="CD17" s="39">
        <v>97000</v>
      </c>
      <c r="CE17" s="39">
        <v>3000</v>
      </c>
      <c r="CF17" s="39"/>
      <c r="CG17" s="39">
        <v>100000</v>
      </c>
      <c r="CH17" s="39">
        <v>0</v>
      </c>
      <c r="CI17" s="39"/>
      <c r="CJ17" s="39"/>
      <c r="CK17" s="39"/>
      <c r="CL17" s="39"/>
      <c r="CM17" s="41">
        <f t="shared" si="0"/>
        <v>300000</v>
      </c>
    </row>
    <row r="18" spans="1:91">
      <c r="A18" s="13">
        <f t="shared" si="2"/>
        <v>16</v>
      </c>
      <c r="B18" s="13">
        <v>1913200</v>
      </c>
      <c r="C18" s="13" t="s">
        <v>73</v>
      </c>
      <c r="D18" s="14"/>
      <c r="E18" s="14"/>
      <c r="F18" s="14"/>
      <c r="G18" s="15">
        <v>9700</v>
      </c>
      <c r="H18" s="15">
        <v>300</v>
      </c>
      <c r="I18" s="15"/>
      <c r="J18" s="15">
        <v>9500</v>
      </c>
      <c r="K18" s="15">
        <v>500</v>
      </c>
      <c r="L18" s="15"/>
      <c r="M18" s="31"/>
      <c r="N18" s="31">
        <v>300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>
        <v>0</v>
      </c>
      <c r="AC18" s="31">
        <v>0</v>
      </c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>
        <v>48500</v>
      </c>
      <c r="AO18" s="31">
        <v>1500</v>
      </c>
      <c r="AP18" s="31"/>
      <c r="AQ18" s="31"/>
      <c r="AR18" s="31"/>
      <c r="AS18" s="31"/>
      <c r="AT18" s="31">
        <v>19400</v>
      </c>
      <c r="AU18" s="31">
        <v>600</v>
      </c>
      <c r="AV18" s="31"/>
      <c r="AW18" s="35">
        <v>108000</v>
      </c>
      <c r="AX18" s="31">
        <v>12000</v>
      </c>
      <c r="AY18" s="31"/>
      <c r="AZ18" s="36"/>
      <c r="BA18" s="36"/>
      <c r="BB18" s="36"/>
      <c r="BC18" s="36">
        <v>0</v>
      </c>
      <c r="BD18" s="36">
        <v>0</v>
      </c>
      <c r="BE18" s="36"/>
      <c r="BF18" s="39"/>
      <c r="BG18" s="39"/>
      <c r="BH18" s="39"/>
      <c r="BI18" s="39">
        <v>0</v>
      </c>
      <c r="BJ18" s="39">
        <v>0</v>
      </c>
      <c r="BK18" s="39"/>
      <c r="BL18" s="39">
        <v>0</v>
      </c>
      <c r="BM18" s="39">
        <v>0</v>
      </c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>
        <v>0</v>
      </c>
      <c r="CE18" s="39">
        <v>0</v>
      </c>
      <c r="CF18" s="39"/>
      <c r="CG18" s="39">
        <v>0</v>
      </c>
      <c r="CH18" s="39">
        <v>0</v>
      </c>
      <c r="CI18" s="39"/>
      <c r="CJ18" s="39"/>
      <c r="CK18" s="39"/>
      <c r="CL18" s="39"/>
      <c r="CM18" s="41">
        <f t="shared" si="0"/>
        <v>0</v>
      </c>
    </row>
    <row r="19" spans="1:91">
      <c r="A19" s="13">
        <f t="shared" si="2"/>
        <v>17</v>
      </c>
      <c r="B19" s="13">
        <v>1913218</v>
      </c>
      <c r="C19" s="13" t="s">
        <v>53</v>
      </c>
      <c r="D19" s="14"/>
      <c r="E19" s="14"/>
      <c r="F19" s="14"/>
      <c r="G19" s="15"/>
      <c r="H19" s="15"/>
      <c r="I19" s="15"/>
      <c r="J19" s="15">
        <v>190000</v>
      </c>
      <c r="K19" s="15">
        <v>10000</v>
      </c>
      <c r="L19" s="15"/>
      <c r="M19" s="31">
        <v>200000</v>
      </c>
      <c r="N19" s="31"/>
      <c r="O19" s="31"/>
      <c r="P19" s="31"/>
      <c r="Q19" s="31"/>
      <c r="R19" s="31"/>
      <c r="S19" s="31">
        <v>47500</v>
      </c>
      <c r="T19" s="33">
        <v>2500</v>
      </c>
      <c r="U19" s="31">
        <v>240</v>
      </c>
      <c r="V19" s="31"/>
      <c r="W19" s="31"/>
      <c r="X19" s="31"/>
      <c r="Y19" s="31"/>
      <c r="Z19" s="31"/>
      <c r="AA19" s="31"/>
      <c r="AB19" s="31">
        <v>0</v>
      </c>
      <c r="AC19" s="31">
        <v>0</v>
      </c>
      <c r="AD19" s="31"/>
      <c r="AE19" s="31">
        <v>95000</v>
      </c>
      <c r="AF19" s="31">
        <v>5000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5"/>
      <c r="AX19" s="31"/>
      <c r="AY19" s="31"/>
      <c r="AZ19" s="36"/>
      <c r="BA19" s="36"/>
      <c r="BB19" s="36"/>
      <c r="BC19" s="36">
        <v>194000</v>
      </c>
      <c r="BD19" s="36">
        <v>6000</v>
      </c>
      <c r="BE19" s="36"/>
      <c r="BF19" s="39"/>
      <c r="BG19" s="39"/>
      <c r="BH19" s="39"/>
      <c r="BI19" s="39">
        <v>0</v>
      </c>
      <c r="BJ19" s="39">
        <v>0</v>
      </c>
      <c r="BK19" s="39"/>
      <c r="BL19" s="39">
        <v>29100</v>
      </c>
      <c r="BM19" s="39">
        <v>900</v>
      </c>
      <c r="BN19" s="39"/>
      <c r="BO19" s="39">
        <v>97000</v>
      </c>
      <c r="BP19" s="39">
        <v>3000</v>
      </c>
      <c r="BQ19" s="39"/>
      <c r="BR19" s="39">
        <v>48500</v>
      </c>
      <c r="BS19" s="39">
        <v>1500</v>
      </c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>
        <v>97000</v>
      </c>
      <c r="CE19" s="39">
        <v>3000</v>
      </c>
      <c r="CF19" s="39"/>
      <c r="CG19" s="39">
        <v>48500</v>
      </c>
      <c r="CH19" s="39">
        <v>1500</v>
      </c>
      <c r="CI19" s="39"/>
      <c r="CJ19" s="39"/>
      <c r="CK19" s="39"/>
      <c r="CL19" s="39"/>
      <c r="CM19" s="41">
        <f t="shared" si="0"/>
        <v>150000</v>
      </c>
    </row>
    <row r="20" spans="1:91">
      <c r="A20" s="13">
        <f t="shared" si="2"/>
        <v>18</v>
      </c>
      <c r="B20" s="13" t="s">
        <v>48</v>
      </c>
      <c r="C20" s="13" t="s">
        <v>49</v>
      </c>
      <c r="D20" s="14"/>
      <c r="E20" s="14"/>
      <c r="F20" s="14"/>
      <c r="G20" s="15"/>
      <c r="H20" s="15"/>
      <c r="I20" s="15"/>
      <c r="J20" s="15">
        <v>85500</v>
      </c>
      <c r="K20" s="15">
        <v>4500</v>
      </c>
      <c r="L20" s="15"/>
      <c r="M20" s="31">
        <v>95000</v>
      </c>
      <c r="N20" s="31">
        <v>5000</v>
      </c>
      <c r="O20" s="31"/>
      <c r="P20" s="31"/>
      <c r="Q20" s="31"/>
      <c r="R20" s="31"/>
      <c r="S20" s="31">
        <v>190000</v>
      </c>
      <c r="T20" s="33">
        <v>10000</v>
      </c>
      <c r="U20" s="31"/>
      <c r="V20" s="31"/>
      <c r="W20" s="31"/>
      <c r="X20" s="31"/>
      <c r="Y20" s="31"/>
      <c r="Z20" s="31"/>
      <c r="AA20" s="31"/>
      <c r="AB20" s="31">
        <v>0</v>
      </c>
      <c r="AC20" s="31">
        <v>0</v>
      </c>
      <c r="AD20" s="31"/>
      <c r="AE20" s="31">
        <v>95000</v>
      </c>
      <c r="AF20" s="31">
        <v>5000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5"/>
      <c r="AX20" s="31"/>
      <c r="AY20" s="31"/>
      <c r="AZ20" s="36"/>
      <c r="BA20" s="36"/>
      <c r="BB20" s="36"/>
      <c r="BC20" s="36">
        <v>0</v>
      </c>
      <c r="BD20" s="36">
        <v>0</v>
      </c>
      <c r="BE20" s="36"/>
      <c r="BF20" s="39">
        <v>123950.15</v>
      </c>
      <c r="BG20" s="39">
        <v>3833.51</v>
      </c>
      <c r="BH20" s="39"/>
      <c r="BI20" s="39">
        <v>0</v>
      </c>
      <c r="BJ20" s="39">
        <v>0</v>
      </c>
      <c r="BK20" s="39"/>
      <c r="BL20" s="39">
        <v>48500</v>
      </c>
      <c r="BM20" s="39">
        <v>1500</v>
      </c>
      <c r="BN20" s="39"/>
      <c r="BO20" s="39">
        <v>48500</v>
      </c>
      <c r="BP20" s="39">
        <v>130559</v>
      </c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>
        <v>0</v>
      </c>
      <c r="CE20" s="39">
        <v>0</v>
      </c>
      <c r="CF20" s="39"/>
      <c r="CG20" s="39">
        <v>0</v>
      </c>
      <c r="CH20" s="39">
        <v>0</v>
      </c>
      <c r="CI20" s="39"/>
      <c r="CJ20" s="39"/>
      <c r="CK20" s="39"/>
      <c r="CL20" s="39"/>
      <c r="CM20" s="41">
        <f t="shared" si="0"/>
        <v>0</v>
      </c>
    </row>
    <row r="21" spans="1:91">
      <c r="A21" s="13">
        <f t="shared" si="2"/>
        <v>19</v>
      </c>
      <c r="B21" s="13">
        <v>1913273</v>
      </c>
      <c r="C21" s="13" t="s">
        <v>85</v>
      </c>
      <c r="D21" s="14"/>
      <c r="E21" s="14"/>
      <c r="F21" s="14"/>
      <c r="G21" s="15"/>
      <c r="H21" s="15"/>
      <c r="I21" s="15"/>
      <c r="J21" s="15"/>
      <c r="K21" s="15"/>
      <c r="L21" s="15"/>
      <c r="M21" s="31"/>
      <c r="N21" s="31"/>
      <c r="O21" s="31"/>
      <c r="P21" s="31"/>
      <c r="Q21" s="31"/>
      <c r="R21" s="31"/>
      <c r="S21" s="31">
        <v>4850</v>
      </c>
      <c r="T21" s="33">
        <v>150</v>
      </c>
      <c r="U21" s="31"/>
      <c r="V21" s="31"/>
      <c r="W21" s="31"/>
      <c r="X21" s="31"/>
      <c r="Y21" s="31"/>
      <c r="Z21" s="31"/>
      <c r="AA21" s="31"/>
      <c r="AB21" s="31">
        <v>0</v>
      </c>
      <c r="AC21" s="31">
        <v>0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5"/>
      <c r="AX21" s="31"/>
      <c r="AY21" s="31"/>
      <c r="AZ21" s="36"/>
      <c r="BA21" s="36"/>
      <c r="BB21" s="36"/>
      <c r="BC21" s="36">
        <v>0</v>
      </c>
      <c r="BD21" s="36">
        <v>0</v>
      </c>
      <c r="BE21" s="36"/>
      <c r="BF21" s="39"/>
      <c r="BG21" s="39"/>
      <c r="BH21" s="39"/>
      <c r="BI21" s="39">
        <v>0</v>
      </c>
      <c r="BJ21" s="39">
        <v>0</v>
      </c>
      <c r="BK21" s="39"/>
      <c r="BL21" s="39">
        <v>0</v>
      </c>
      <c r="BM21" s="39">
        <v>0</v>
      </c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>
        <v>0</v>
      </c>
      <c r="CE21" s="39">
        <v>0</v>
      </c>
      <c r="CF21" s="39"/>
      <c r="CG21" s="39">
        <v>0</v>
      </c>
      <c r="CH21" s="39">
        <v>0</v>
      </c>
      <c r="CI21" s="39"/>
      <c r="CJ21" s="39"/>
      <c r="CK21" s="39"/>
      <c r="CL21" s="39"/>
      <c r="CM21" s="41">
        <f t="shared" si="0"/>
        <v>0</v>
      </c>
    </row>
    <row r="22" spans="1:91">
      <c r="A22" s="13">
        <f t="shared" ref="A22:A31" si="3">ROW()-2</f>
        <v>20</v>
      </c>
      <c r="B22" s="13">
        <v>1913289</v>
      </c>
      <c r="C22" s="13" t="s">
        <v>20</v>
      </c>
      <c r="D22" s="14">
        <v>145500</v>
      </c>
      <c r="E22" s="14">
        <v>4500</v>
      </c>
      <c r="F22" s="14"/>
      <c r="G22" s="15">
        <v>291000</v>
      </c>
      <c r="H22" s="15">
        <v>9000</v>
      </c>
      <c r="I22" s="15"/>
      <c r="J22" s="15">
        <v>1520000</v>
      </c>
      <c r="K22" s="15">
        <v>80000</v>
      </c>
      <c r="L22" s="15"/>
      <c r="M22" s="31">
        <v>1000000</v>
      </c>
      <c r="N22" s="31"/>
      <c r="O22" s="31"/>
      <c r="P22" s="31"/>
      <c r="Q22" s="31"/>
      <c r="R22" s="31">
        <v>250</v>
      </c>
      <c r="S22" s="31">
        <f>500000+970000</f>
        <v>1470000</v>
      </c>
      <c r="T22" s="33">
        <v>30000</v>
      </c>
      <c r="U22" s="31">
        <v>2400</v>
      </c>
      <c r="V22" s="31">
        <v>97000</v>
      </c>
      <c r="W22" s="31">
        <v>3000</v>
      </c>
      <c r="X22" s="31"/>
      <c r="Y22" s="31">
        <f>500000+97000+600000</f>
        <v>1197000</v>
      </c>
      <c r="Z22" s="31">
        <v>3000</v>
      </c>
      <c r="AA22" s="31"/>
      <c r="AB22" s="31">
        <v>2000000</v>
      </c>
      <c r="AC22" s="31">
        <v>0</v>
      </c>
      <c r="AD22" s="31"/>
      <c r="AE22" s="31">
        <v>975000</v>
      </c>
      <c r="AF22" s="31">
        <v>25000</v>
      </c>
      <c r="AG22" s="31">
        <v>2194.5</v>
      </c>
      <c r="AH22" s="31"/>
      <c r="AI22" s="31"/>
      <c r="AJ22" s="31"/>
      <c r="AK22" s="31">
        <v>800000</v>
      </c>
      <c r="AL22" s="31"/>
      <c r="AM22" s="31"/>
      <c r="AN22" s="31">
        <v>970000</v>
      </c>
      <c r="AO22" s="31">
        <v>30000</v>
      </c>
      <c r="AP22" s="31">
        <v>4486.25</v>
      </c>
      <c r="AQ22" s="31">
        <v>970000</v>
      </c>
      <c r="AR22" s="31">
        <v>30000</v>
      </c>
      <c r="AS22" s="31"/>
      <c r="AT22" s="31"/>
      <c r="AU22" s="31"/>
      <c r="AV22" s="31"/>
      <c r="AW22" s="35">
        <v>1000000</v>
      </c>
      <c r="AX22" s="31"/>
      <c r="AY22" s="31"/>
      <c r="AZ22" s="36">
        <v>485000</v>
      </c>
      <c r="BA22" s="36">
        <v>15000</v>
      </c>
      <c r="BB22" s="36">
        <v>6577.62</v>
      </c>
      <c r="BC22" s="36">
        <v>1485000</v>
      </c>
      <c r="BD22" s="36">
        <v>15000</v>
      </c>
      <c r="BE22" s="36"/>
      <c r="BF22" s="39">
        <f>194000+1000000</f>
        <v>1194000</v>
      </c>
      <c r="BG22" s="39">
        <v>6000</v>
      </c>
      <c r="BH22" s="39">
        <v>2092.5</v>
      </c>
      <c r="BI22" s="39">
        <v>970000</v>
      </c>
      <c r="BJ22" s="39">
        <v>30000</v>
      </c>
      <c r="BK22" s="39"/>
      <c r="BL22" s="39">
        <f>1164000+1000000</f>
        <v>2164000</v>
      </c>
      <c r="BM22" s="39">
        <f>36000</f>
        <v>36000</v>
      </c>
      <c r="BN22" s="39"/>
      <c r="BO22" s="39">
        <v>736500</v>
      </c>
      <c r="BP22" s="39">
        <v>13500</v>
      </c>
      <c r="BQ22" s="39"/>
      <c r="BR22" s="39">
        <v>645500</v>
      </c>
      <c r="BS22" s="39">
        <v>4500</v>
      </c>
      <c r="BT22" s="39"/>
      <c r="BU22" s="39">
        <v>970000</v>
      </c>
      <c r="BV22" s="39">
        <v>30000</v>
      </c>
      <c r="BW22" s="39">
        <v>4981.8</v>
      </c>
      <c r="BX22" s="39">
        <v>1485000</v>
      </c>
      <c r="BY22" s="39">
        <v>15000</v>
      </c>
      <c r="BZ22" s="39"/>
      <c r="CA22" s="39">
        <v>1000000</v>
      </c>
      <c r="CB22" s="39"/>
      <c r="CC22" s="39"/>
      <c r="CD22" s="39">
        <v>791000</v>
      </c>
      <c r="CE22" s="39">
        <v>9000</v>
      </c>
      <c r="CF22" s="39"/>
      <c r="CG22" s="39">
        <v>985000</v>
      </c>
      <c r="CH22" s="39">
        <v>15000</v>
      </c>
      <c r="CI22" s="39"/>
      <c r="CJ22" s="39"/>
      <c r="CK22" s="39"/>
      <c r="CL22" s="39"/>
      <c r="CM22" s="41">
        <f t="shared" si="0"/>
        <v>5304981.8</v>
      </c>
    </row>
    <row r="23" spans="1:91">
      <c r="A23" s="13">
        <f t="shared" si="3"/>
        <v>21</v>
      </c>
      <c r="B23" s="13">
        <v>1913659</v>
      </c>
      <c r="C23" s="13" t="s">
        <v>79</v>
      </c>
      <c r="D23" s="14"/>
      <c r="E23" s="14"/>
      <c r="F23" s="14"/>
      <c r="G23" s="15"/>
      <c r="H23" s="15"/>
      <c r="I23" s="15"/>
      <c r="J23" s="15"/>
      <c r="K23" s="15"/>
      <c r="L23" s="15"/>
      <c r="M23" s="31"/>
      <c r="N23" s="31"/>
      <c r="O23" s="31"/>
      <c r="P23" s="31">
        <v>728.85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0</v>
      </c>
      <c r="AC23" s="31">
        <v>0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5"/>
      <c r="AX23" s="31"/>
      <c r="AY23" s="31"/>
      <c r="AZ23" s="36"/>
      <c r="BA23" s="36"/>
      <c r="BB23" s="36"/>
      <c r="BC23" s="36">
        <v>0</v>
      </c>
      <c r="BD23" s="36">
        <v>0</v>
      </c>
      <c r="BE23" s="36"/>
      <c r="BF23" s="39"/>
      <c r="BG23" s="39"/>
      <c r="BH23" s="39"/>
      <c r="BI23" s="39">
        <v>0</v>
      </c>
      <c r="BJ23" s="39">
        <v>0</v>
      </c>
      <c r="BK23" s="39"/>
      <c r="BL23" s="39">
        <v>0</v>
      </c>
      <c r="BM23" s="39">
        <v>0</v>
      </c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>
        <v>0</v>
      </c>
      <c r="CE23" s="39">
        <v>0</v>
      </c>
      <c r="CF23" s="39"/>
      <c r="CG23" s="39">
        <v>0</v>
      </c>
      <c r="CH23" s="39">
        <v>0</v>
      </c>
      <c r="CI23" s="39"/>
      <c r="CJ23" s="39"/>
      <c r="CK23" s="39"/>
      <c r="CL23" s="39"/>
      <c r="CM23" s="41">
        <f t="shared" si="0"/>
        <v>0</v>
      </c>
    </row>
    <row r="24" spans="1:91">
      <c r="A24" s="13">
        <f t="shared" si="3"/>
        <v>22</v>
      </c>
      <c r="B24" s="13">
        <v>1932313</v>
      </c>
      <c r="C24" s="13" t="s">
        <v>34</v>
      </c>
      <c r="D24" s="14">
        <v>291000</v>
      </c>
      <c r="E24" s="14">
        <v>9000</v>
      </c>
      <c r="F24" s="14">
        <v>3000</v>
      </c>
      <c r="G24" s="15"/>
      <c r="H24" s="15"/>
      <c r="I24" s="15">
        <v>3000</v>
      </c>
      <c r="J24" s="15">
        <v>436500</v>
      </c>
      <c r="K24" s="15">
        <v>13500</v>
      </c>
      <c r="L24" s="15">
        <v>3000</v>
      </c>
      <c r="M24" s="31">
        <v>300000</v>
      </c>
      <c r="N24" s="31"/>
      <c r="O24" s="31">
        <v>3000</v>
      </c>
      <c r="P24" s="31"/>
      <c r="Q24" s="31">
        <v>3000</v>
      </c>
      <c r="R24" s="31"/>
      <c r="S24" s="31">
        <v>300000</v>
      </c>
      <c r="T24" s="31"/>
      <c r="U24" s="31">
        <v>3000</v>
      </c>
      <c r="V24" s="31">
        <v>100000</v>
      </c>
      <c r="W24" s="31"/>
      <c r="X24" s="31">
        <v>3000</v>
      </c>
      <c r="Y24" s="31">
        <v>500000</v>
      </c>
      <c r="Z24" s="31"/>
      <c r="AA24" s="31">
        <v>3000</v>
      </c>
      <c r="AB24" s="31">
        <v>400000</v>
      </c>
      <c r="AC24" s="31">
        <v>0</v>
      </c>
      <c r="AD24" s="31">
        <v>3000</v>
      </c>
      <c r="AE24" s="31">
        <f>291000+291000</f>
        <v>582000</v>
      </c>
      <c r="AF24" s="31">
        <f>9000+9000</f>
        <v>18000</v>
      </c>
      <c r="AG24" s="31">
        <v>3000</v>
      </c>
      <c r="AH24" s="31"/>
      <c r="AI24" s="31">
        <v>15000</v>
      </c>
      <c r="AJ24" s="31"/>
      <c r="AK24" s="31">
        <v>485000</v>
      </c>
      <c r="AL24" s="31">
        <v>15000</v>
      </c>
      <c r="AM24" s="31">
        <v>3000</v>
      </c>
      <c r="AN24" s="31">
        <v>500000</v>
      </c>
      <c r="AO24" s="31">
        <v>3000</v>
      </c>
      <c r="AP24" s="31"/>
      <c r="AQ24" s="31">
        <v>388000</v>
      </c>
      <c r="AR24" s="31">
        <v>12000</v>
      </c>
      <c r="AS24" s="31">
        <v>3000</v>
      </c>
      <c r="AT24" s="31">
        <v>440000</v>
      </c>
      <c r="AU24" s="31">
        <v>3000</v>
      </c>
      <c r="AV24" s="31"/>
      <c r="AW24" s="35"/>
      <c r="AX24" s="31">
        <v>3000</v>
      </c>
      <c r="AY24" s="31"/>
      <c r="AZ24" s="36"/>
      <c r="BA24" s="36"/>
      <c r="BB24" s="36">
        <v>3000</v>
      </c>
      <c r="BC24" s="36">
        <v>776000</v>
      </c>
      <c r="BD24" s="36">
        <v>24000</v>
      </c>
      <c r="BE24" s="36">
        <v>3000</v>
      </c>
      <c r="BF24" s="39">
        <f>500000</f>
        <v>500000</v>
      </c>
      <c r="BG24" s="39"/>
      <c r="BH24" s="39">
        <v>3000</v>
      </c>
      <c r="BI24" s="39">
        <v>485000</v>
      </c>
      <c r="BJ24" s="39">
        <v>15000</v>
      </c>
      <c r="BK24" s="39">
        <v>3000</v>
      </c>
      <c r="BL24" s="39">
        <v>1067000</v>
      </c>
      <c r="BM24" s="39">
        <v>33000</v>
      </c>
      <c r="BN24" s="39">
        <v>6200</v>
      </c>
      <c r="BO24" s="39">
        <v>679000</v>
      </c>
      <c r="BP24" s="39">
        <v>21000</v>
      </c>
      <c r="BQ24" s="39">
        <v>3000</v>
      </c>
      <c r="BR24" s="39">
        <v>500000</v>
      </c>
      <c r="BS24" s="39"/>
      <c r="BT24" s="39">
        <v>3000</v>
      </c>
      <c r="BU24" s="39"/>
      <c r="BV24" s="39"/>
      <c r="BW24" s="39">
        <v>3000</v>
      </c>
      <c r="BX24" s="39">
        <f>194000+582000</f>
        <v>776000</v>
      </c>
      <c r="BY24" s="39">
        <f>6000+18000</f>
        <v>24000</v>
      </c>
      <c r="BZ24" s="39">
        <v>3000</v>
      </c>
      <c r="CA24" s="39"/>
      <c r="CB24" s="39"/>
      <c r="CC24" s="39">
        <v>3000</v>
      </c>
      <c r="CD24" s="39">
        <v>679000</v>
      </c>
      <c r="CE24" s="39">
        <v>21000</v>
      </c>
      <c r="CF24" s="39">
        <v>3000</v>
      </c>
      <c r="CG24" s="39">
        <v>985000</v>
      </c>
      <c r="CH24" s="39">
        <v>15000</v>
      </c>
      <c r="CI24" s="39">
        <v>3000</v>
      </c>
      <c r="CJ24" s="39"/>
      <c r="CK24" s="39"/>
      <c r="CL24" s="39"/>
      <c r="CM24" s="41">
        <f t="shared" si="0"/>
        <v>2515000</v>
      </c>
    </row>
    <row r="25" spans="1:91">
      <c r="A25" s="13">
        <f t="shared" si="3"/>
        <v>23</v>
      </c>
      <c r="B25" s="13">
        <v>1932347</v>
      </c>
      <c r="C25" s="13" t="s">
        <v>47</v>
      </c>
      <c r="D25" s="14"/>
      <c r="E25" s="14"/>
      <c r="F25" s="14"/>
      <c r="G25" s="15"/>
      <c r="H25" s="15"/>
      <c r="I25" s="15"/>
      <c r="J25" s="15">
        <v>145500</v>
      </c>
      <c r="K25" s="15">
        <v>4500</v>
      </c>
      <c r="L25" s="15"/>
      <c r="M25" s="31">
        <v>100000</v>
      </c>
      <c r="N25" s="31"/>
      <c r="O25" s="31"/>
      <c r="P25" s="31"/>
      <c r="Q25" s="31"/>
      <c r="R25" s="31"/>
      <c r="S25" s="31">
        <v>200000</v>
      </c>
      <c r="T25" s="31"/>
      <c r="U25" s="31"/>
      <c r="V25" s="31">
        <v>100000</v>
      </c>
      <c r="W25" s="31"/>
      <c r="X25" s="31"/>
      <c r="Y25" s="31">
        <v>100000</v>
      </c>
      <c r="Z25" s="31"/>
      <c r="AA25" s="31"/>
      <c r="AB25" s="31">
        <v>197000</v>
      </c>
      <c r="AC25" s="31">
        <v>3000</v>
      </c>
      <c r="AD25" s="31"/>
      <c r="AE25" s="31">
        <v>100000</v>
      </c>
      <c r="AF25" s="31"/>
      <c r="AG25" s="31"/>
      <c r="AH25" s="31"/>
      <c r="AI25" s="31"/>
      <c r="AJ25" s="31"/>
      <c r="AK25" s="31">
        <v>97000</v>
      </c>
      <c r="AL25" s="31">
        <v>3000</v>
      </c>
      <c r="AM25" s="31"/>
      <c r="AN25" s="31">
        <v>194000</v>
      </c>
      <c r="AO25" s="31">
        <v>6000</v>
      </c>
      <c r="AP25" s="31"/>
      <c r="AQ25" s="31"/>
      <c r="AR25" s="31"/>
      <c r="AS25" s="31"/>
      <c r="AT25" s="31">
        <v>200000</v>
      </c>
      <c r="AU25" s="31"/>
      <c r="AV25" s="31"/>
      <c r="AW25" s="35">
        <v>200000</v>
      </c>
      <c r="AX25" s="31"/>
      <c r="AY25" s="31"/>
      <c r="AZ25" s="36"/>
      <c r="BA25" s="36"/>
      <c r="BB25" s="36"/>
      <c r="BC25" s="36">
        <v>200000</v>
      </c>
      <c r="BD25" s="36">
        <v>0</v>
      </c>
      <c r="BE25" s="36"/>
      <c r="BF25" s="39"/>
      <c r="BG25" s="39"/>
      <c r="BH25" s="39"/>
      <c r="BI25" s="39">
        <v>600000</v>
      </c>
      <c r="BJ25" s="39">
        <v>0</v>
      </c>
      <c r="BK25" s="39"/>
      <c r="BL25" s="39">
        <v>0</v>
      </c>
      <c r="BM25" s="39">
        <v>0</v>
      </c>
      <c r="BN25" s="39"/>
      <c r="BO25" s="39"/>
      <c r="BP25" s="39"/>
      <c r="BQ25" s="39"/>
      <c r="BR25" s="39">
        <v>292500</v>
      </c>
      <c r="BS25" s="39">
        <v>7500</v>
      </c>
      <c r="BT25" s="39"/>
      <c r="BU25" s="39"/>
      <c r="BV25" s="39"/>
      <c r="BW25" s="39"/>
      <c r="BX25" s="39">
        <v>195000</v>
      </c>
      <c r="BY25" s="39">
        <v>5000</v>
      </c>
      <c r="BZ25" s="39"/>
      <c r="CA25" s="39">
        <v>500000</v>
      </c>
      <c r="CB25" s="39"/>
      <c r="CC25" s="39"/>
      <c r="CD25" s="39">
        <v>500000</v>
      </c>
      <c r="CE25" s="39">
        <v>0</v>
      </c>
      <c r="CF25" s="39"/>
      <c r="CG25" s="39">
        <v>240000</v>
      </c>
      <c r="CH25" s="39">
        <v>0</v>
      </c>
      <c r="CI25" s="39"/>
      <c r="CJ25" s="39"/>
      <c r="CK25" s="39"/>
      <c r="CL25" s="39"/>
      <c r="CM25" s="41">
        <f t="shared" si="0"/>
        <v>1440000</v>
      </c>
    </row>
    <row r="26" spans="1:91">
      <c r="A26" s="13">
        <f t="shared" si="3"/>
        <v>24</v>
      </c>
      <c r="B26" s="13">
        <v>1937004</v>
      </c>
      <c r="C26" s="13" t="s">
        <v>80</v>
      </c>
      <c r="D26" s="14"/>
      <c r="E26" s="14"/>
      <c r="F26" s="14"/>
      <c r="G26" s="15"/>
      <c r="H26" s="15"/>
      <c r="I26" s="15"/>
      <c r="J26" s="15"/>
      <c r="K26" s="15"/>
      <c r="L26" s="15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>
        <v>0</v>
      </c>
      <c r="AC26" s="31">
        <v>0</v>
      </c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>
        <v>19400</v>
      </c>
      <c r="AU26" s="31">
        <v>600</v>
      </c>
      <c r="AV26" s="31"/>
      <c r="AW26" s="35">
        <v>27000</v>
      </c>
      <c r="AX26" s="31">
        <v>3000</v>
      </c>
      <c r="AY26" s="31"/>
      <c r="AZ26" s="36"/>
      <c r="BA26" s="36"/>
      <c r="BB26" s="36"/>
      <c r="BC26" s="36">
        <v>0</v>
      </c>
      <c r="BD26" s="36">
        <v>0</v>
      </c>
      <c r="BE26" s="36"/>
      <c r="BF26" s="39"/>
      <c r="BG26" s="39"/>
      <c r="BH26" s="39"/>
      <c r="BI26" s="39">
        <v>0</v>
      </c>
      <c r="BJ26" s="39">
        <v>0</v>
      </c>
      <c r="BK26" s="39"/>
      <c r="BL26" s="39">
        <v>9700</v>
      </c>
      <c r="BM26" s="39">
        <v>300</v>
      </c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>
        <v>9700</v>
      </c>
      <c r="BY26" s="39">
        <v>300</v>
      </c>
      <c r="BZ26" s="39"/>
      <c r="CA26" s="39"/>
      <c r="CB26" s="39"/>
      <c r="CC26" s="39"/>
      <c r="CD26" s="39">
        <v>0</v>
      </c>
      <c r="CE26" s="39">
        <v>0</v>
      </c>
      <c r="CF26" s="39"/>
      <c r="CG26" s="39">
        <v>0</v>
      </c>
      <c r="CH26" s="39">
        <v>0</v>
      </c>
      <c r="CI26" s="39"/>
      <c r="CJ26" s="39"/>
      <c r="CK26" s="39"/>
      <c r="CL26" s="39"/>
      <c r="CM26" s="41">
        <f t="shared" si="0"/>
        <v>10000</v>
      </c>
    </row>
    <row r="27" spans="1:91">
      <c r="A27" s="13">
        <f t="shared" si="3"/>
        <v>25</v>
      </c>
      <c r="B27" s="13">
        <v>1937015</v>
      </c>
      <c r="C27" s="13" t="s">
        <v>57</v>
      </c>
      <c r="D27" s="14"/>
      <c r="E27" s="14"/>
      <c r="F27" s="14"/>
      <c r="G27" s="15"/>
      <c r="H27" s="15"/>
      <c r="I27" s="15"/>
      <c r="J27" s="15">
        <v>28500</v>
      </c>
      <c r="K27" s="15">
        <v>1500</v>
      </c>
      <c r="L27" s="15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>
        <v>0</v>
      </c>
      <c r="AC27" s="31">
        <v>0</v>
      </c>
      <c r="AD27" s="31"/>
      <c r="AE27" s="31"/>
      <c r="AF27" s="31"/>
      <c r="AG27" s="31"/>
      <c r="AH27" s="31"/>
      <c r="AI27" s="31"/>
      <c r="AJ27" s="31"/>
      <c r="AK27" s="31">
        <v>19400</v>
      </c>
      <c r="AL27" s="31">
        <v>600</v>
      </c>
      <c r="AM27" s="31"/>
      <c r="AN27" s="31"/>
      <c r="AO27" s="31"/>
      <c r="AP27" s="31"/>
      <c r="AQ27" s="31"/>
      <c r="AR27" s="31"/>
      <c r="AS27" s="31"/>
      <c r="AT27" s="31">
        <v>29100</v>
      </c>
      <c r="AU27" s="31">
        <v>900</v>
      </c>
      <c r="AV27" s="31"/>
      <c r="AW27" s="35">
        <v>29100</v>
      </c>
      <c r="AX27" s="31">
        <v>900</v>
      </c>
      <c r="AY27" s="31"/>
      <c r="AZ27" s="36"/>
      <c r="BA27" s="36"/>
      <c r="BB27" s="36"/>
      <c r="BC27" s="36">
        <v>9700</v>
      </c>
      <c r="BD27" s="36">
        <v>300</v>
      </c>
      <c r="BE27" s="36"/>
      <c r="BF27" s="39"/>
      <c r="BG27" s="39"/>
      <c r="BH27" s="39"/>
      <c r="BI27" s="39">
        <v>0</v>
      </c>
      <c r="BJ27" s="39">
        <v>0</v>
      </c>
      <c r="BK27" s="39"/>
      <c r="BL27" s="39">
        <v>9700</v>
      </c>
      <c r="BM27" s="39">
        <v>300</v>
      </c>
      <c r="BN27" s="39"/>
      <c r="BO27" s="39">
        <v>19400</v>
      </c>
      <c r="BP27" s="39">
        <v>600</v>
      </c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>
        <v>19400</v>
      </c>
      <c r="CB27" s="39">
        <v>600</v>
      </c>
      <c r="CC27" s="39"/>
      <c r="CD27" s="39">
        <v>0</v>
      </c>
      <c r="CE27" s="39">
        <v>0</v>
      </c>
      <c r="CF27" s="39"/>
      <c r="CG27" s="39">
        <v>0</v>
      </c>
      <c r="CH27" s="39">
        <v>0</v>
      </c>
      <c r="CI27" s="39"/>
      <c r="CJ27" s="39"/>
      <c r="CK27" s="39"/>
      <c r="CL27" s="39"/>
      <c r="CM27" s="41">
        <f t="shared" si="0"/>
        <v>20000</v>
      </c>
    </row>
    <row r="28" spans="1:91">
      <c r="A28" s="13">
        <f t="shared" si="3"/>
        <v>26</v>
      </c>
      <c r="B28" s="13">
        <v>1937320</v>
      </c>
      <c r="C28" s="13" t="s">
        <v>18</v>
      </c>
      <c r="D28" s="14"/>
      <c r="E28" s="14"/>
      <c r="F28" s="14"/>
      <c r="G28" s="15">
        <v>200000</v>
      </c>
      <c r="H28" s="15"/>
      <c r="I28" s="15"/>
      <c r="J28" s="15">
        <v>350000</v>
      </c>
      <c r="K28" s="15"/>
      <c r="L28" s="15"/>
      <c r="M28" s="31">
        <v>300000</v>
      </c>
      <c r="N28" s="31"/>
      <c r="O28" s="31"/>
      <c r="P28" s="31">
        <v>100000</v>
      </c>
      <c r="Q28" s="31"/>
      <c r="R28" s="31"/>
      <c r="S28" s="31">
        <v>500000</v>
      </c>
      <c r="T28" s="31"/>
      <c r="U28" s="31"/>
      <c r="V28" s="31">
        <v>100000</v>
      </c>
      <c r="W28" s="31"/>
      <c r="X28" s="31"/>
      <c r="Y28" s="31">
        <v>500000</v>
      </c>
      <c r="Z28" s="31"/>
      <c r="AA28" s="31"/>
      <c r="AB28" s="31">
        <v>0</v>
      </c>
      <c r="AC28" s="31">
        <v>0</v>
      </c>
      <c r="AD28" s="31"/>
      <c r="AE28" s="31">
        <v>300000</v>
      </c>
      <c r="AF28" s="31"/>
      <c r="AG28" s="31"/>
      <c r="AH28" s="31"/>
      <c r="AI28" s="31"/>
      <c r="AJ28" s="31"/>
      <c r="AK28" s="31"/>
      <c r="AL28" s="31"/>
      <c r="AM28" s="31"/>
      <c r="AN28" s="31">
        <v>585667</v>
      </c>
      <c r="AO28" s="31"/>
      <c r="AP28" s="31"/>
      <c r="AQ28" s="31">
        <v>500000</v>
      </c>
      <c r="AR28" s="31"/>
      <c r="AS28" s="31"/>
      <c r="AT28" s="31">
        <v>500000</v>
      </c>
      <c r="AU28" s="31"/>
      <c r="AV28" s="31"/>
      <c r="AW28" s="35">
        <v>700000</v>
      </c>
      <c r="AX28" s="31"/>
      <c r="AY28" s="31"/>
      <c r="AZ28" s="36">
        <f>200000+500000</f>
        <v>700000</v>
      </c>
      <c r="BA28" s="36"/>
      <c r="BB28" s="36"/>
      <c r="BC28" s="36">
        <v>1000000</v>
      </c>
      <c r="BD28" s="36">
        <v>0</v>
      </c>
      <c r="BE28" s="36"/>
      <c r="BF28" s="39">
        <v>1000000</v>
      </c>
      <c r="BG28" s="39"/>
      <c r="BH28" s="39"/>
      <c r="BI28" s="39">
        <v>1000000</v>
      </c>
      <c r="BJ28" s="39">
        <v>0</v>
      </c>
      <c r="BK28" s="39"/>
      <c r="BL28" s="39">
        <v>1200000</v>
      </c>
      <c r="BM28" s="39">
        <v>0</v>
      </c>
      <c r="BN28" s="39"/>
      <c r="BO28" s="39">
        <v>1500000</v>
      </c>
      <c r="BP28" s="39"/>
      <c r="BQ28" s="39"/>
      <c r="BR28" s="39">
        <v>1000000</v>
      </c>
      <c r="BS28" s="39"/>
      <c r="BT28" s="39"/>
      <c r="BU28" s="39">
        <v>800000</v>
      </c>
      <c r="BV28" s="39"/>
      <c r="BW28" s="39"/>
      <c r="BX28" s="39">
        <v>1480000</v>
      </c>
      <c r="BY28" s="39"/>
      <c r="BZ28" s="39"/>
      <c r="CA28" s="39">
        <f>500000+830000</f>
        <v>1330000</v>
      </c>
      <c r="CB28" s="39"/>
      <c r="CC28" s="39"/>
      <c r="CD28" s="39">
        <v>1000000</v>
      </c>
      <c r="CE28" s="39">
        <v>0</v>
      </c>
      <c r="CF28" s="39"/>
      <c r="CG28" s="39">
        <v>1000000</v>
      </c>
      <c r="CH28" s="39">
        <v>0</v>
      </c>
      <c r="CI28" s="39"/>
      <c r="CJ28" s="39"/>
      <c r="CK28" s="39"/>
      <c r="CL28" s="39"/>
      <c r="CM28" s="41">
        <f t="shared" si="0"/>
        <v>5610000</v>
      </c>
    </row>
    <row r="29" spans="1:91">
      <c r="A29" s="13">
        <f t="shared" si="3"/>
        <v>27</v>
      </c>
      <c r="B29" s="13">
        <v>1937338</v>
      </c>
      <c r="C29" s="13" t="s">
        <v>61</v>
      </c>
      <c r="D29" s="14"/>
      <c r="E29" s="14"/>
      <c r="F29" s="14"/>
      <c r="G29" s="15"/>
      <c r="H29" s="15"/>
      <c r="I29" s="15"/>
      <c r="J29" s="15"/>
      <c r="K29" s="15"/>
      <c r="L29" s="15"/>
      <c r="M29" s="31"/>
      <c r="N29" s="31"/>
      <c r="O29" s="31"/>
      <c r="P29" s="31"/>
      <c r="Q29" s="31"/>
      <c r="R29" s="31"/>
      <c r="S29" s="31">
        <v>47500</v>
      </c>
      <c r="T29" s="33">
        <v>2500</v>
      </c>
      <c r="U29" s="31"/>
      <c r="V29" s="31"/>
      <c r="W29" s="31"/>
      <c r="X29" s="31"/>
      <c r="Y29" s="31"/>
      <c r="Z29" s="31"/>
      <c r="AA29" s="31"/>
      <c r="AB29" s="31">
        <v>0</v>
      </c>
      <c r="AC29" s="31">
        <v>0</v>
      </c>
      <c r="AD29" s="31"/>
      <c r="AE29" s="31">
        <v>28500</v>
      </c>
      <c r="AF29" s="31">
        <v>1500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5"/>
      <c r="AX29" s="31"/>
      <c r="AY29" s="31"/>
      <c r="AZ29" s="36"/>
      <c r="BA29" s="36"/>
      <c r="BB29" s="36"/>
      <c r="BC29" s="36">
        <v>0</v>
      </c>
      <c r="BD29" s="36">
        <v>0</v>
      </c>
      <c r="BE29" s="36"/>
      <c r="BF29" s="39"/>
      <c r="BG29" s="39"/>
      <c r="BH29" s="39"/>
      <c r="BI29" s="39">
        <v>0</v>
      </c>
      <c r="BJ29" s="39">
        <v>0</v>
      </c>
      <c r="BK29" s="39"/>
      <c r="BL29" s="39">
        <v>9700</v>
      </c>
      <c r="BM29" s="39">
        <v>300</v>
      </c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>
        <v>0</v>
      </c>
      <c r="CE29" s="39">
        <v>0</v>
      </c>
      <c r="CF29" s="39"/>
      <c r="CG29" s="39">
        <v>0</v>
      </c>
      <c r="CH29" s="39">
        <v>0</v>
      </c>
      <c r="CI29" s="39"/>
      <c r="CJ29" s="39"/>
      <c r="CK29" s="39"/>
      <c r="CL29" s="39"/>
      <c r="CM29" s="41">
        <f t="shared" si="0"/>
        <v>0</v>
      </c>
    </row>
    <row r="30" spans="1:91">
      <c r="A30" s="13">
        <f t="shared" si="3"/>
        <v>28</v>
      </c>
      <c r="B30" s="13" t="s">
        <v>74</v>
      </c>
      <c r="C30" s="13" t="s">
        <v>75</v>
      </c>
      <c r="D30" s="14"/>
      <c r="E30" s="14"/>
      <c r="F30" s="14"/>
      <c r="G30" s="15"/>
      <c r="H30" s="15"/>
      <c r="I30" s="15"/>
      <c r="J30" s="15"/>
      <c r="K30" s="15"/>
      <c r="L30" s="15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>
        <v>0</v>
      </c>
      <c r="AC30" s="31">
        <v>0</v>
      </c>
      <c r="AD30" s="31"/>
      <c r="AE30" s="31"/>
      <c r="AF30" s="31"/>
      <c r="AG30" s="31"/>
      <c r="AH30" s="31"/>
      <c r="AI30" s="31"/>
      <c r="AJ30" s="31"/>
      <c r="AK30" s="31">
        <v>9700</v>
      </c>
      <c r="AL30" s="31">
        <v>300</v>
      </c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5"/>
      <c r="AX30" s="31"/>
      <c r="AY30" s="31"/>
      <c r="AZ30" s="36"/>
      <c r="BA30" s="36"/>
      <c r="BB30" s="36"/>
      <c r="BC30" s="36">
        <v>0</v>
      </c>
      <c r="BD30" s="36">
        <v>0</v>
      </c>
      <c r="BE30" s="36"/>
      <c r="BF30" s="39"/>
      <c r="BG30" s="39"/>
      <c r="BH30" s="39"/>
      <c r="BI30" s="39">
        <v>0</v>
      </c>
      <c r="BJ30" s="39">
        <v>0</v>
      </c>
      <c r="BK30" s="39"/>
      <c r="BL30" s="39">
        <v>9700</v>
      </c>
      <c r="BM30" s="39">
        <v>300</v>
      </c>
      <c r="BN30" s="39"/>
      <c r="BO30" s="39">
        <v>9700</v>
      </c>
      <c r="BP30" s="39">
        <v>300</v>
      </c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>
        <v>9700</v>
      </c>
      <c r="CB30" s="39">
        <v>300</v>
      </c>
      <c r="CC30" s="39"/>
      <c r="CD30" s="39">
        <v>0</v>
      </c>
      <c r="CE30" s="39">
        <v>0</v>
      </c>
      <c r="CF30" s="39"/>
      <c r="CG30" s="39">
        <v>0</v>
      </c>
      <c r="CH30" s="39">
        <v>0</v>
      </c>
      <c r="CI30" s="39"/>
      <c r="CJ30" s="39"/>
      <c r="CK30" s="39"/>
      <c r="CL30" s="39"/>
      <c r="CM30" s="41">
        <f t="shared" si="0"/>
        <v>10000</v>
      </c>
    </row>
    <row r="31" spans="1:91">
      <c r="A31" s="13">
        <f t="shared" ref="A31:A42" si="4">ROW()-2</f>
        <v>29</v>
      </c>
      <c r="B31" s="13">
        <v>1913010</v>
      </c>
      <c r="C31" s="13" t="s">
        <v>76</v>
      </c>
      <c r="D31" s="14"/>
      <c r="E31" s="14"/>
      <c r="F31" s="14"/>
      <c r="G31" s="15"/>
      <c r="H31" s="15"/>
      <c r="I31" s="15"/>
      <c r="J31" s="15"/>
      <c r="K31" s="15"/>
      <c r="L31" s="15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>
        <v>0</v>
      </c>
      <c r="AC31" s="31">
        <v>0</v>
      </c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5"/>
      <c r="AX31" s="31"/>
      <c r="AY31" s="31"/>
      <c r="AZ31" s="36"/>
      <c r="BA31" s="36"/>
      <c r="BB31" s="36"/>
      <c r="BC31" s="36">
        <v>0</v>
      </c>
      <c r="BD31" s="36">
        <v>0</v>
      </c>
      <c r="BE31" s="36"/>
      <c r="BF31" s="39"/>
      <c r="BG31" s="39"/>
      <c r="BH31" s="39"/>
      <c r="BI31" s="39">
        <v>0</v>
      </c>
      <c r="BJ31" s="39">
        <v>0</v>
      </c>
      <c r="BK31" s="39"/>
      <c r="BL31" s="39">
        <v>0</v>
      </c>
      <c r="BM31" s="39">
        <v>0</v>
      </c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>
        <v>0</v>
      </c>
      <c r="CE31" s="39">
        <v>0</v>
      </c>
      <c r="CF31" s="39"/>
      <c r="CG31" s="39">
        <v>0</v>
      </c>
      <c r="CH31" s="39">
        <v>0</v>
      </c>
      <c r="CI31" s="39"/>
      <c r="CJ31" s="39"/>
      <c r="CK31" s="39"/>
      <c r="CL31" s="39"/>
      <c r="CM31" s="41">
        <f t="shared" si="0"/>
        <v>0</v>
      </c>
    </row>
    <row r="32" spans="1:91">
      <c r="A32" s="13">
        <f t="shared" si="4"/>
        <v>30</v>
      </c>
      <c r="B32" s="13">
        <v>1911101</v>
      </c>
      <c r="C32" s="13" t="s">
        <v>86</v>
      </c>
      <c r="D32" s="14"/>
      <c r="E32" s="14"/>
      <c r="F32" s="14"/>
      <c r="G32" s="15"/>
      <c r="H32" s="15"/>
      <c r="I32" s="15"/>
      <c r="J32" s="15"/>
      <c r="K32" s="15"/>
      <c r="L32" s="15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>
        <v>0</v>
      </c>
      <c r="AC32" s="31">
        <v>0</v>
      </c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5"/>
      <c r="AX32" s="31"/>
      <c r="AY32" s="31"/>
      <c r="AZ32" s="36"/>
      <c r="BA32" s="36"/>
      <c r="BB32" s="36"/>
      <c r="BC32" s="36">
        <v>0</v>
      </c>
      <c r="BD32" s="36">
        <v>0</v>
      </c>
      <c r="BE32" s="36"/>
      <c r="BF32" s="39"/>
      <c r="BG32" s="39"/>
      <c r="BH32" s="39"/>
      <c r="BI32" s="39">
        <v>0</v>
      </c>
      <c r="BJ32" s="39">
        <v>0</v>
      </c>
      <c r="BK32" s="39"/>
      <c r="BL32" s="39">
        <v>0</v>
      </c>
      <c r="BM32" s="39">
        <v>0</v>
      </c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>
        <v>0</v>
      </c>
      <c r="CE32" s="39">
        <v>0</v>
      </c>
      <c r="CF32" s="39"/>
      <c r="CG32" s="39">
        <v>0</v>
      </c>
      <c r="CH32" s="39">
        <v>0</v>
      </c>
      <c r="CI32" s="39"/>
      <c r="CJ32" s="39"/>
      <c r="CK32" s="39"/>
      <c r="CL32" s="39"/>
      <c r="CM32" s="41">
        <f t="shared" si="0"/>
        <v>0</v>
      </c>
    </row>
    <row r="33" spans="1:91">
      <c r="A33" s="13">
        <f t="shared" si="4"/>
        <v>31</v>
      </c>
      <c r="B33" s="13">
        <v>1913717</v>
      </c>
      <c r="C33" s="13" t="s">
        <v>58</v>
      </c>
      <c r="D33" s="14"/>
      <c r="E33" s="14"/>
      <c r="F33" s="14"/>
      <c r="G33" s="15"/>
      <c r="H33" s="15"/>
      <c r="I33" s="15"/>
      <c r="J33" s="15"/>
      <c r="K33" s="15"/>
      <c r="L33" s="15"/>
      <c r="M33" s="31"/>
      <c r="N33" s="31"/>
      <c r="O33" s="31"/>
      <c r="P33" s="31"/>
      <c r="Q33" s="31"/>
      <c r="R33" s="31"/>
      <c r="S33" s="31">
        <v>29100</v>
      </c>
      <c r="T33" s="33">
        <v>900</v>
      </c>
      <c r="U33" s="31"/>
      <c r="V33" s="31"/>
      <c r="W33" s="31"/>
      <c r="X33" s="31"/>
      <c r="Y33" s="31"/>
      <c r="Z33" s="31"/>
      <c r="AA33" s="31"/>
      <c r="AB33" s="31">
        <v>0</v>
      </c>
      <c r="AC33" s="31">
        <v>0</v>
      </c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>
        <v>9700</v>
      </c>
      <c r="AU33" s="31">
        <v>300</v>
      </c>
      <c r="AV33" s="31"/>
      <c r="AW33" s="35"/>
      <c r="AX33" s="31"/>
      <c r="AY33" s="31"/>
      <c r="AZ33" s="36"/>
      <c r="BA33" s="36"/>
      <c r="BB33" s="36"/>
      <c r="BC33" s="36">
        <v>9700</v>
      </c>
      <c r="BD33" s="36">
        <v>300</v>
      </c>
      <c r="BE33" s="36"/>
      <c r="BF33" s="39"/>
      <c r="BG33" s="39"/>
      <c r="BH33" s="39"/>
      <c r="BI33" s="39">
        <v>0</v>
      </c>
      <c r="BJ33" s="39">
        <v>0</v>
      </c>
      <c r="BK33" s="39"/>
      <c r="BL33" s="39">
        <v>0</v>
      </c>
      <c r="BM33" s="39">
        <v>0</v>
      </c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>
        <v>0</v>
      </c>
      <c r="CE33" s="39">
        <v>0</v>
      </c>
      <c r="CF33" s="39"/>
      <c r="CG33" s="39">
        <v>0</v>
      </c>
      <c r="CH33" s="39">
        <v>0</v>
      </c>
      <c r="CI33" s="39"/>
      <c r="CJ33" s="39"/>
      <c r="CK33" s="39"/>
      <c r="CL33" s="39"/>
      <c r="CM33" s="41">
        <f t="shared" si="0"/>
        <v>0</v>
      </c>
    </row>
    <row r="34" spans="1:91">
      <c r="A34" s="13">
        <f t="shared" si="4"/>
        <v>32</v>
      </c>
      <c r="B34" s="13" t="s">
        <v>83</v>
      </c>
      <c r="C34" s="13" t="s">
        <v>84</v>
      </c>
      <c r="D34" s="14"/>
      <c r="E34" s="14"/>
      <c r="F34" s="14"/>
      <c r="G34" s="15"/>
      <c r="H34" s="15"/>
      <c r="I34" s="15"/>
      <c r="J34" s="15"/>
      <c r="K34" s="15"/>
      <c r="L34" s="15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>
        <v>0</v>
      </c>
      <c r="AC34" s="31">
        <v>0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5"/>
      <c r="AX34" s="31"/>
      <c r="AY34" s="31"/>
      <c r="AZ34" s="36"/>
      <c r="BA34" s="36"/>
      <c r="BB34" s="36"/>
      <c r="BC34" s="36">
        <v>0</v>
      </c>
      <c r="BD34" s="36">
        <v>0</v>
      </c>
      <c r="BE34" s="36"/>
      <c r="BF34" s="39"/>
      <c r="BG34" s="39"/>
      <c r="BH34" s="39"/>
      <c r="BI34" s="39">
        <v>0</v>
      </c>
      <c r="BJ34" s="39">
        <v>0</v>
      </c>
      <c r="BK34" s="39"/>
      <c r="BL34" s="39">
        <v>0</v>
      </c>
      <c r="BM34" s="39">
        <v>0</v>
      </c>
      <c r="BN34" s="39"/>
      <c r="BO34" s="39">
        <v>47000</v>
      </c>
      <c r="BP34" s="39"/>
      <c r="BQ34" s="39"/>
      <c r="BR34" s="39"/>
      <c r="BS34" s="39"/>
      <c r="BT34" s="39"/>
      <c r="BU34" s="39">
        <v>300000</v>
      </c>
      <c r="BV34" s="39"/>
      <c r="BW34" s="39"/>
      <c r="BX34" s="39"/>
      <c r="BY34" s="39"/>
      <c r="BZ34" s="39"/>
      <c r="CA34" s="39"/>
      <c r="CB34" s="39"/>
      <c r="CC34" s="39"/>
      <c r="CD34" s="39">
        <v>0</v>
      </c>
      <c r="CE34" s="39">
        <v>0</v>
      </c>
      <c r="CF34" s="39"/>
      <c r="CG34" s="39">
        <v>0</v>
      </c>
      <c r="CH34" s="39">
        <v>0</v>
      </c>
      <c r="CI34" s="39"/>
      <c r="CJ34" s="39"/>
      <c r="CK34" s="39"/>
      <c r="CL34" s="39"/>
      <c r="CM34" s="41">
        <f t="shared" si="0"/>
        <v>300000</v>
      </c>
    </row>
    <row r="35" spans="1:91">
      <c r="A35" s="13">
        <f t="shared" si="4"/>
        <v>33</v>
      </c>
      <c r="B35" s="13" t="s">
        <v>54</v>
      </c>
      <c r="C35" s="13" t="s">
        <v>55</v>
      </c>
      <c r="D35" s="14"/>
      <c r="E35" s="14"/>
      <c r="F35" s="14"/>
      <c r="G35" s="15"/>
      <c r="H35" s="15"/>
      <c r="I35" s="15"/>
      <c r="J35" s="15"/>
      <c r="K35" s="15"/>
      <c r="L35" s="15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>
        <v>0</v>
      </c>
      <c r="AC35" s="31">
        <v>0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5"/>
      <c r="AX35" s="31"/>
      <c r="AY35" s="31"/>
      <c r="AZ35" s="36"/>
      <c r="BA35" s="36"/>
      <c r="BB35" s="36"/>
      <c r="BC35" s="36">
        <v>0</v>
      </c>
      <c r="BD35" s="36">
        <v>0</v>
      </c>
      <c r="BE35" s="36"/>
      <c r="BF35" s="39"/>
      <c r="BG35" s="39"/>
      <c r="BH35" s="39"/>
      <c r="BI35" s="39">
        <v>0</v>
      </c>
      <c r="BJ35" s="39">
        <v>0</v>
      </c>
      <c r="BK35" s="39"/>
      <c r="BL35" s="39">
        <v>0</v>
      </c>
      <c r="BM35" s="39">
        <v>0</v>
      </c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>
        <v>0</v>
      </c>
      <c r="CE35" s="39">
        <v>0</v>
      </c>
      <c r="CF35" s="39"/>
      <c r="CG35" s="39">
        <v>0</v>
      </c>
      <c r="CH35" s="39">
        <v>0</v>
      </c>
      <c r="CI35" s="39"/>
      <c r="CJ35" s="39"/>
      <c r="CK35" s="39"/>
      <c r="CL35" s="39"/>
      <c r="CM35" s="41">
        <f t="shared" si="0"/>
        <v>0</v>
      </c>
    </row>
    <row r="36" spans="1:91">
      <c r="A36" s="13">
        <f t="shared" si="4"/>
        <v>34</v>
      </c>
      <c r="B36" s="13" t="s">
        <v>81</v>
      </c>
      <c r="C36" s="13" t="s">
        <v>82</v>
      </c>
      <c r="D36" s="14"/>
      <c r="E36" s="14"/>
      <c r="F36" s="14"/>
      <c r="G36" s="15"/>
      <c r="H36" s="15"/>
      <c r="I36" s="15"/>
      <c r="J36" s="15"/>
      <c r="K36" s="15"/>
      <c r="L36" s="15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>
        <v>0</v>
      </c>
      <c r="AC36" s="31">
        <v>0</v>
      </c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5"/>
      <c r="AX36" s="31"/>
      <c r="AY36" s="31"/>
      <c r="AZ36" s="36"/>
      <c r="BA36" s="36"/>
      <c r="BB36" s="36"/>
      <c r="BC36" s="36">
        <v>0</v>
      </c>
      <c r="BD36" s="36">
        <v>0</v>
      </c>
      <c r="BE36" s="36"/>
      <c r="BF36" s="39"/>
      <c r="BG36" s="39"/>
      <c r="BH36" s="39"/>
      <c r="BI36" s="39">
        <v>0</v>
      </c>
      <c r="BJ36" s="39">
        <v>0</v>
      </c>
      <c r="BK36" s="39"/>
      <c r="BL36" s="39">
        <v>0</v>
      </c>
      <c r="BM36" s="39">
        <v>0</v>
      </c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>
        <v>0</v>
      </c>
      <c r="CE36" s="39">
        <v>0</v>
      </c>
      <c r="CF36" s="39"/>
      <c r="CG36" s="39">
        <v>0</v>
      </c>
      <c r="CH36" s="39">
        <v>0</v>
      </c>
      <c r="CI36" s="39"/>
      <c r="CJ36" s="39"/>
      <c r="CK36" s="39"/>
      <c r="CL36" s="39"/>
      <c r="CM36" s="41">
        <f t="shared" si="0"/>
        <v>0</v>
      </c>
    </row>
    <row r="37" spans="1:91">
      <c r="A37" s="13">
        <f t="shared" si="4"/>
        <v>35</v>
      </c>
      <c r="B37" s="13" t="s">
        <v>69</v>
      </c>
      <c r="C37" s="13" t="s">
        <v>70</v>
      </c>
      <c r="D37" s="14"/>
      <c r="E37" s="14"/>
      <c r="F37" s="14"/>
      <c r="G37" s="15"/>
      <c r="H37" s="15"/>
      <c r="I37" s="15"/>
      <c r="J37" s="15"/>
      <c r="K37" s="15"/>
      <c r="L37" s="15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>
        <v>0</v>
      </c>
      <c r="AC37" s="31">
        <v>0</v>
      </c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5"/>
      <c r="AX37" s="31"/>
      <c r="AY37" s="31"/>
      <c r="AZ37" s="36"/>
      <c r="BA37" s="36"/>
      <c r="BB37" s="36"/>
      <c r="BC37" s="36">
        <v>0</v>
      </c>
      <c r="BD37" s="36">
        <v>0</v>
      </c>
      <c r="BE37" s="36"/>
      <c r="BF37" s="39"/>
      <c r="BG37" s="39"/>
      <c r="BH37" s="39"/>
      <c r="BI37" s="39">
        <v>0</v>
      </c>
      <c r="BJ37" s="39">
        <v>0</v>
      </c>
      <c r="BK37" s="39"/>
      <c r="BL37" s="39">
        <v>0</v>
      </c>
      <c r="BM37" s="39">
        <v>0</v>
      </c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>
        <v>0</v>
      </c>
      <c r="CE37" s="39">
        <v>0</v>
      </c>
      <c r="CF37" s="39"/>
      <c r="CG37" s="39">
        <v>0</v>
      </c>
      <c r="CH37" s="39">
        <v>0</v>
      </c>
      <c r="CI37" s="39"/>
      <c r="CJ37" s="39"/>
      <c r="CK37" s="39"/>
      <c r="CL37" s="39"/>
      <c r="CM37" s="41">
        <f t="shared" si="0"/>
        <v>0</v>
      </c>
    </row>
    <row r="38" spans="1:91">
      <c r="A38" s="13">
        <f t="shared" si="4"/>
        <v>36</v>
      </c>
      <c r="B38" s="13" t="s">
        <v>67</v>
      </c>
      <c r="C38" s="13" t="s">
        <v>68</v>
      </c>
      <c r="D38" s="14"/>
      <c r="E38" s="14"/>
      <c r="F38" s="14"/>
      <c r="G38" s="15"/>
      <c r="H38" s="15"/>
      <c r="I38" s="15"/>
      <c r="J38" s="15"/>
      <c r="K38" s="15"/>
      <c r="L38" s="15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>
        <v>0</v>
      </c>
      <c r="AC38" s="31">
        <v>0</v>
      </c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5"/>
      <c r="AX38" s="31"/>
      <c r="AY38" s="31"/>
      <c r="AZ38" s="36"/>
      <c r="BA38" s="36"/>
      <c r="BB38" s="36"/>
      <c r="BC38" s="36">
        <v>0</v>
      </c>
      <c r="BD38" s="36">
        <v>0</v>
      </c>
      <c r="BE38" s="36"/>
      <c r="BF38" s="39"/>
      <c r="BG38" s="39"/>
      <c r="BH38" s="39"/>
      <c r="BI38" s="39">
        <v>0</v>
      </c>
      <c r="BJ38" s="39">
        <v>0</v>
      </c>
      <c r="BK38" s="39"/>
      <c r="BL38" s="39">
        <v>0</v>
      </c>
      <c r="BM38" s="39">
        <v>0</v>
      </c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>
        <v>0</v>
      </c>
      <c r="CE38" s="39">
        <v>0</v>
      </c>
      <c r="CF38" s="39"/>
      <c r="CG38" s="39">
        <v>0</v>
      </c>
      <c r="CH38" s="39">
        <v>0</v>
      </c>
      <c r="CI38" s="39"/>
      <c r="CJ38" s="39"/>
      <c r="CK38" s="39"/>
      <c r="CL38" s="39"/>
      <c r="CM38" s="41">
        <f t="shared" si="0"/>
        <v>0</v>
      </c>
    </row>
    <row r="39" spans="1:91">
      <c r="A39" s="13">
        <f t="shared" si="4"/>
        <v>37</v>
      </c>
      <c r="B39" s="13" t="s">
        <v>77</v>
      </c>
      <c r="C39" s="13" t="s">
        <v>78</v>
      </c>
      <c r="D39" s="14"/>
      <c r="E39" s="14"/>
      <c r="F39" s="14"/>
      <c r="G39" s="15"/>
      <c r="H39" s="15"/>
      <c r="I39" s="15"/>
      <c r="J39" s="15"/>
      <c r="K39" s="15"/>
      <c r="L39" s="15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>
        <v>0</v>
      </c>
      <c r="AC39" s="31">
        <v>0</v>
      </c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5"/>
      <c r="AX39" s="31"/>
      <c r="AY39" s="31"/>
      <c r="AZ39" s="36"/>
      <c r="BA39" s="36"/>
      <c r="BB39" s="36"/>
      <c r="BC39" s="36">
        <v>0</v>
      </c>
      <c r="BD39" s="36">
        <v>0</v>
      </c>
      <c r="BE39" s="36"/>
      <c r="BF39" s="39"/>
      <c r="BG39" s="39"/>
      <c r="BH39" s="39"/>
      <c r="BI39" s="39">
        <v>0</v>
      </c>
      <c r="BJ39" s="39">
        <v>0</v>
      </c>
      <c r="BK39" s="39"/>
      <c r="BL39" s="39">
        <v>0</v>
      </c>
      <c r="BM39" s="39">
        <v>0</v>
      </c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>
        <v>0</v>
      </c>
      <c r="CE39" s="39">
        <v>0</v>
      </c>
      <c r="CF39" s="39"/>
      <c r="CG39" s="39">
        <v>0</v>
      </c>
      <c r="CH39" s="39">
        <v>0</v>
      </c>
      <c r="CI39" s="39"/>
      <c r="CJ39" s="39"/>
      <c r="CK39" s="39"/>
      <c r="CL39" s="39"/>
      <c r="CM39" s="41">
        <f t="shared" si="0"/>
        <v>0</v>
      </c>
    </row>
    <row r="40" spans="1:91">
      <c r="A40" s="13">
        <f t="shared" si="4"/>
        <v>38</v>
      </c>
      <c r="B40" s="13" t="s">
        <v>39</v>
      </c>
      <c r="C40" s="13" t="s">
        <v>40</v>
      </c>
      <c r="D40" s="16"/>
      <c r="E40" s="16"/>
      <c r="F40" s="16"/>
      <c r="G40" s="17"/>
      <c r="H40" s="17"/>
      <c r="I40" s="32"/>
      <c r="J40" s="15"/>
      <c r="K40" s="32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>
        <v>0</v>
      </c>
      <c r="AC40" s="31">
        <v>0</v>
      </c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5"/>
      <c r="AX40" s="31"/>
      <c r="AY40" s="31"/>
      <c r="AZ40" s="36"/>
      <c r="BA40" s="36"/>
      <c r="BB40" s="36"/>
      <c r="BC40" s="36">
        <v>0</v>
      </c>
      <c r="BD40" s="36">
        <v>0</v>
      </c>
      <c r="BE40" s="36"/>
      <c r="BF40" s="39"/>
      <c r="BG40" s="39"/>
      <c r="BH40" s="39"/>
      <c r="BI40" s="39">
        <v>0</v>
      </c>
      <c r="BJ40" s="39">
        <v>0</v>
      </c>
      <c r="BK40" s="39"/>
      <c r="BL40" s="39">
        <v>0</v>
      </c>
      <c r="BM40" s="39">
        <v>0</v>
      </c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>
        <v>0</v>
      </c>
      <c r="CE40" s="39">
        <v>0</v>
      </c>
      <c r="CF40" s="39"/>
      <c r="CG40" s="39">
        <v>0</v>
      </c>
      <c r="CH40" s="39">
        <v>0</v>
      </c>
      <c r="CI40" s="39"/>
      <c r="CJ40" s="39"/>
      <c r="CK40" s="39"/>
      <c r="CL40" s="39"/>
      <c r="CM40" s="41">
        <f t="shared" si="0"/>
        <v>0</v>
      </c>
    </row>
    <row r="41" spans="1:91">
      <c r="A41" s="13">
        <f t="shared" si="4"/>
        <v>39</v>
      </c>
      <c r="B41" s="18">
        <v>1937655</v>
      </c>
      <c r="C41" s="13" t="s">
        <v>24</v>
      </c>
      <c r="D41" s="16"/>
      <c r="E41" s="16"/>
      <c r="F41" s="16"/>
      <c r="G41" s="17"/>
      <c r="H41" s="17"/>
      <c r="I41" s="32"/>
      <c r="J41" s="15"/>
      <c r="K41" s="32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5"/>
      <c r="AX41" s="31"/>
      <c r="AY41" s="31"/>
      <c r="AZ41" s="36"/>
      <c r="BA41" s="36"/>
      <c r="BB41" s="36"/>
      <c r="BC41" s="36">
        <v>291000</v>
      </c>
      <c r="BD41" s="36">
        <v>9000</v>
      </c>
      <c r="BE41" s="36">
        <v>6000</v>
      </c>
      <c r="BF41" s="39">
        <v>291000</v>
      </c>
      <c r="BG41" s="39">
        <v>9000</v>
      </c>
      <c r="BH41" s="39"/>
      <c r="BI41" s="39">
        <v>97000</v>
      </c>
      <c r="BJ41" s="39">
        <v>3000</v>
      </c>
      <c r="BK41" s="39"/>
      <c r="BL41" s="39">
        <v>417100</v>
      </c>
      <c r="BM41" s="39">
        <v>12900</v>
      </c>
      <c r="BN41" s="39"/>
      <c r="BO41" s="39">
        <v>291000</v>
      </c>
      <c r="BP41" s="39">
        <v>9000</v>
      </c>
      <c r="BQ41" s="39"/>
      <c r="BR41" s="39">
        <v>339500</v>
      </c>
      <c r="BS41" s="39">
        <v>10500</v>
      </c>
      <c r="BT41" s="39"/>
      <c r="BU41" s="39">
        <v>339500</v>
      </c>
      <c r="BV41" s="39">
        <v>10500</v>
      </c>
      <c r="BW41" s="39"/>
      <c r="BX41" s="39">
        <f>194000+145500</f>
        <v>339500</v>
      </c>
      <c r="BY41" s="39">
        <v>10500</v>
      </c>
      <c r="BZ41" s="39"/>
      <c r="CA41" s="39">
        <v>388000</v>
      </c>
      <c r="CB41" s="39">
        <v>12000</v>
      </c>
      <c r="CC41" s="39"/>
      <c r="CD41" s="39">
        <v>679000</v>
      </c>
      <c r="CE41" s="39">
        <v>21000</v>
      </c>
      <c r="CF41" s="39"/>
      <c r="CG41" s="39">
        <v>454000</v>
      </c>
      <c r="CH41" s="39">
        <v>6000</v>
      </c>
      <c r="CI41" s="39"/>
      <c r="CJ41" s="39"/>
      <c r="CK41" s="39"/>
      <c r="CL41" s="39"/>
      <c r="CM41" s="41">
        <f t="shared" si="0"/>
        <v>2260000</v>
      </c>
    </row>
    <row r="42" spans="1:91">
      <c r="A42" s="13">
        <f t="shared" ref="A42:A48" si="5">ROW()-2</f>
        <v>40</v>
      </c>
      <c r="B42" s="19">
        <v>1937678</v>
      </c>
      <c r="C42" s="20" t="s">
        <v>52</v>
      </c>
      <c r="D42" s="16"/>
      <c r="E42" s="16"/>
      <c r="F42" s="16"/>
      <c r="G42" s="17"/>
      <c r="H42" s="17"/>
      <c r="I42" s="32"/>
      <c r="J42" s="15"/>
      <c r="K42" s="32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>
        <v>0</v>
      </c>
      <c r="AC42" s="31">
        <v>0</v>
      </c>
      <c r="AD42" s="31"/>
      <c r="AE42" s="31">
        <v>47500</v>
      </c>
      <c r="AF42" s="31">
        <v>2500</v>
      </c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>
        <v>58200</v>
      </c>
      <c r="AR42" s="31">
        <v>1800</v>
      </c>
      <c r="AS42" s="31"/>
      <c r="AT42" s="31">
        <v>29100</v>
      </c>
      <c r="AU42" s="31">
        <v>900</v>
      </c>
      <c r="AV42" s="31"/>
      <c r="AW42" s="35"/>
      <c r="AX42" s="31"/>
      <c r="AY42" s="31"/>
      <c r="AZ42" s="36">
        <v>97000</v>
      </c>
      <c r="BA42" s="36">
        <v>3000</v>
      </c>
      <c r="BB42" s="36"/>
      <c r="BC42" s="36">
        <v>48500</v>
      </c>
      <c r="BD42" s="36">
        <v>1500</v>
      </c>
      <c r="BE42" s="36"/>
      <c r="BF42" s="39">
        <v>97000</v>
      </c>
      <c r="BG42" s="39">
        <v>3000</v>
      </c>
      <c r="BH42" s="39"/>
      <c r="BI42" s="39">
        <v>0</v>
      </c>
      <c r="BJ42" s="39">
        <v>0</v>
      </c>
      <c r="BK42" s="39"/>
      <c r="BL42" s="39">
        <v>77600</v>
      </c>
      <c r="BM42" s="39">
        <v>2400</v>
      </c>
      <c r="BN42" s="39"/>
      <c r="BO42" s="39">
        <v>77600</v>
      </c>
      <c r="BP42" s="39">
        <v>2400</v>
      </c>
      <c r="BQ42" s="39"/>
      <c r="BR42" s="39">
        <v>97000</v>
      </c>
      <c r="BS42" s="39">
        <v>3000</v>
      </c>
      <c r="BT42" s="39"/>
      <c r="BU42" s="39"/>
      <c r="BV42" s="39"/>
      <c r="BW42" s="39"/>
      <c r="BX42" s="39">
        <v>48500</v>
      </c>
      <c r="BY42" s="39">
        <v>1500</v>
      </c>
      <c r="BZ42" s="39"/>
      <c r="CA42" s="39">
        <v>97000</v>
      </c>
      <c r="CB42" s="39">
        <v>3000</v>
      </c>
      <c r="CC42" s="39"/>
      <c r="CD42" s="39">
        <v>97000</v>
      </c>
      <c r="CE42" s="39">
        <v>3000</v>
      </c>
      <c r="CF42" s="39"/>
      <c r="CG42" s="39">
        <v>97000</v>
      </c>
      <c r="CH42" s="39">
        <v>3000</v>
      </c>
      <c r="CI42" s="39"/>
      <c r="CJ42" s="39"/>
      <c r="CK42" s="39"/>
      <c r="CL42" s="39"/>
      <c r="CM42" s="41">
        <f t="shared" si="0"/>
        <v>350000</v>
      </c>
    </row>
    <row r="43" spans="1:91">
      <c r="A43" s="13">
        <f t="shared" si="5"/>
        <v>41</v>
      </c>
      <c r="B43" s="19">
        <v>1933714</v>
      </c>
      <c r="C43" s="20" t="s">
        <v>32</v>
      </c>
      <c r="D43" s="16"/>
      <c r="E43" s="16"/>
      <c r="F43" s="16"/>
      <c r="G43" s="17"/>
      <c r="H43" s="17"/>
      <c r="I43" s="32"/>
      <c r="J43" s="15"/>
      <c r="K43" s="32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5"/>
      <c r="AX43" s="31"/>
      <c r="AY43" s="31"/>
      <c r="AZ43" s="36"/>
      <c r="BA43" s="36"/>
      <c r="BB43" s="36"/>
      <c r="BC43" s="36">
        <v>0</v>
      </c>
      <c r="BD43" s="36">
        <v>0</v>
      </c>
      <c r="BE43" s="36"/>
      <c r="BF43" s="39"/>
      <c r="BG43" s="39"/>
      <c r="BH43" s="39"/>
      <c r="BI43" s="39">
        <v>0</v>
      </c>
      <c r="BJ43" s="39">
        <v>0</v>
      </c>
      <c r="BK43" s="39"/>
      <c r="BL43" s="39">
        <v>0</v>
      </c>
      <c r="BM43" s="39">
        <v>0</v>
      </c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>
        <v>29100</v>
      </c>
      <c r="CB43" s="39">
        <v>900</v>
      </c>
      <c r="CC43" s="39"/>
      <c r="CD43" s="39">
        <v>9700</v>
      </c>
      <c r="CE43" s="39">
        <v>300</v>
      </c>
      <c r="CF43" s="39"/>
      <c r="CG43" s="39">
        <v>0</v>
      </c>
      <c r="CH43" s="39">
        <v>0</v>
      </c>
      <c r="CI43" s="39"/>
      <c r="CJ43" s="39"/>
      <c r="CK43" s="39"/>
      <c r="CL43" s="39"/>
      <c r="CM43" s="41">
        <f t="shared" si="0"/>
        <v>40000</v>
      </c>
    </row>
    <row r="44" spans="1:91">
      <c r="A44" s="13">
        <f t="shared" si="5"/>
        <v>42</v>
      </c>
      <c r="B44" s="19">
        <v>1937685</v>
      </c>
      <c r="C44" s="20" t="s">
        <v>41</v>
      </c>
      <c r="D44" s="16"/>
      <c r="E44" s="16"/>
      <c r="F44" s="16"/>
      <c r="G44" s="17"/>
      <c r="H44" s="17"/>
      <c r="I44" s="32"/>
      <c r="J44" s="15"/>
      <c r="K44" s="32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5"/>
      <c r="AX44" s="31"/>
      <c r="AY44" s="31"/>
      <c r="AZ44" s="36"/>
      <c r="BA44" s="36"/>
      <c r="BB44" s="36"/>
      <c r="BC44" s="36">
        <v>0</v>
      </c>
      <c r="BD44" s="36">
        <v>0</v>
      </c>
      <c r="BE44" s="36"/>
      <c r="BF44" s="39"/>
      <c r="BG44" s="39"/>
      <c r="BH44" s="39"/>
      <c r="BI44" s="39">
        <v>0</v>
      </c>
      <c r="BJ44" s="39">
        <v>0</v>
      </c>
      <c r="BK44" s="39"/>
      <c r="BL44" s="39">
        <v>100000</v>
      </c>
      <c r="BM44" s="39">
        <v>0</v>
      </c>
      <c r="BN44" s="39"/>
      <c r="BO44" s="39"/>
      <c r="BP44" s="39"/>
      <c r="BQ44" s="39"/>
      <c r="BR44" s="39">
        <v>97000</v>
      </c>
      <c r="BS44" s="39">
        <v>3000</v>
      </c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>
        <v>97000</v>
      </c>
      <c r="CE44" s="39">
        <v>3000</v>
      </c>
      <c r="CF44" s="39"/>
      <c r="CG44" s="39">
        <v>97000</v>
      </c>
      <c r="CH44" s="39">
        <v>3000</v>
      </c>
      <c r="CI44" s="39"/>
      <c r="CJ44" s="39"/>
      <c r="CK44" s="39"/>
      <c r="CL44" s="39"/>
      <c r="CM44" s="41">
        <f t="shared" si="0"/>
        <v>200000</v>
      </c>
    </row>
    <row r="45" spans="1:91">
      <c r="A45" s="13">
        <f t="shared" si="5"/>
        <v>43</v>
      </c>
      <c r="B45" s="19">
        <v>1937687</v>
      </c>
      <c r="C45" s="20" t="s">
        <v>59</v>
      </c>
      <c r="D45" s="16"/>
      <c r="E45" s="16"/>
      <c r="F45" s="16"/>
      <c r="G45" s="17"/>
      <c r="H45" s="17"/>
      <c r="I45" s="32"/>
      <c r="J45" s="15"/>
      <c r="K45" s="32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5"/>
      <c r="AX45" s="31"/>
      <c r="AY45" s="31"/>
      <c r="AZ45" s="36"/>
      <c r="BA45" s="36"/>
      <c r="BB45" s="36"/>
      <c r="BC45" s="36">
        <v>0</v>
      </c>
      <c r="BD45" s="36">
        <v>0</v>
      </c>
      <c r="BE45" s="36"/>
      <c r="BF45" s="39"/>
      <c r="BG45" s="39"/>
      <c r="BH45" s="39"/>
      <c r="BI45" s="39">
        <v>0</v>
      </c>
      <c r="BJ45" s="39">
        <v>0</v>
      </c>
      <c r="BK45" s="39"/>
      <c r="BL45" s="39">
        <v>19400</v>
      </c>
      <c r="BM45" s="39">
        <v>600</v>
      </c>
      <c r="BN45" s="39"/>
      <c r="BO45" s="39">
        <v>19400</v>
      </c>
      <c r="BP45" s="39">
        <v>600</v>
      </c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>
        <v>33950</v>
      </c>
      <c r="CB45" s="39">
        <v>1050</v>
      </c>
      <c r="CC45" s="39"/>
      <c r="CD45" s="39">
        <v>48500</v>
      </c>
      <c r="CE45" s="39">
        <v>1500</v>
      </c>
      <c r="CF45" s="39">
        <v>5000</v>
      </c>
      <c r="CG45" s="39">
        <f>200000-6000</f>
        <v>194000</v>
      </c>
      <c r="CH45" s="39">
        <v>6000</v>
      </c>
      <c r="CI45" s="39"/>
      <c r="CJ45" s="39"/>
      <c r="CK45" s="39"/>
      <c r="CL45" s="39"/>
      <c r="CM45" s="41">
        <f t="shared" si="0"/>
        <v>290000</v>
      </c>
    </row>
    <row r="46" spans="1:91">
      <c r="A46" s="13">
        <f t="shared" si="5"/>
        <v>44</v>
      </c>
      <c r="B46" s="20" t="s">
        <v>22</v>
      </c>
      <c r="C46" s="20" t="s">
        <v>23</v>
      </c>
      <c r="D46" s="16"/>
      <c r="E46" s="16"/>
      <c r="F46" s="16"/>
      <c r="G46" s="17"/>
      <c r="H46" s="17"/>
      <c r="I46" s="32"/>
      <c r="J46" s="15"/>
      <c r="K46" s="32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5"/>
      <c r="AX46" s="31"/>
      <c r="AY46" s="31"/>
      <c r="AZ46" s="36"/>
      <c r="BA46" s="36"/>
      <c r="BB46" s="36"/>
      <c r="BC46" s="36">
        <v>0</v>
      </c>
      <c r="BD46" s="36">
        <v>0</v>
      </c>
      <c r="BE46" s="36"/>
      <c r="BF46" s="39"/>
      <c r="BG46" s="39"/>
      <c r="BH46" s="39"/>
      <c r="BI46" s="39">
        <v>0</v>
      </c>
      <c r="BJ46" s="39">
        <v>0</v>
      </c>
      <c r="BK46" s="39"/>
      <c r="BL46" s="39">
        <v>0</v>
      </c>
      <c r="BM46" s="39">
        <v>0</v>
      </c>
      <c r="BN46" s="39"/>
      <c r="BO46" s="39">
        <v>200000</v>
      </c>
      <c r="BP46" s="39"/>
      <c r="BQ46" s="39"/>
      <c r="BR46" s="39">
        <v>200000</v>
      </c>
      <c r="BS46" s="39"/>
      <c r="BT46" s="39"/>
      <c r="BU46" s="39"/>
      <c r="BV46" s="39"/>
      <c r="BW46" s="39"/>
      <c r="BX46" s="39">
        <v>100000</v>
      </c>
      <c r="BY46" s="39"/>
      <c r="BZ46" s="39"/>
      <c r="CA46" s="39">
        <v>500000</v>
      </c>
      <c r="CB46" s="39"/>
      <c r="CC46" s="39"/>
      <c r="CD46" s="39">
        <v>500000</v>
      </c>
      <c r="CE46" s="39">
        <v>0</v>
      </c>
      <c r="CF46" s="39"/>
      <c r="CG46" s="39">
        <v>0</v>
      </c>
      <c r="CH46" s="39">
        <v>0</v>
      </c>
      <c r="CI46" s="39"/>
      <c r="CJ46" s="39"/>
      <c r="CK46" s="39"/>
      <c r="CL46" s="39"/>
      <c r="CM46" s="41">
        <f t="shared" si="0"/>
        <v>1100000</v>
      </c>
    </row>
    <row r="47" spans="1:91">
      <c r="A47" s="13">
        <f t="shared" si="5"/>
        <v>45</v>
      </c>
      <c r="B47" s="21" t="s">
        <v>27</v>
      </c>
      <c r="C47" s="20" t="s">
        <v>28</v>
      </c>
      <c r="D47" s="16"/>
      <c r="E47" s="16"/>
      <c r="F47" s="16"/>
      <c r="G47" s="17"/>
      <c r="H47" s="17"/>
      <c r="I47" s="32"/>
      <c r="J47" s="15"/>
      <c r="K47" s="32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5"/>
      <c r="AX47" s="31"/>
      <c r="AY47" s="31"/>
      <c r="AZ47" s="36"/>
      <c r="BA47" s="36"/>
      <c r="BB47" s="36"/>
      <c r="BC47" s="36">
        <v>0</v>
      </c>
      <c r="BD47" s="36">
        <v>0</v>
      </c>
      <c r="BE47" s="36"/>
      <c r="BF47" s="39"/>
      <c r="BG47" s="39"/>
      <c r="BH47" s="39"/>
      <c r="BI47" s="39">
        <v>0</v>
      </c>
      <c r="BJ47" s="39">
        <v>0</v>
      </c>
      <c r="BK47" s="39"/>
      <c r="BL47" s="39">
        <v>0</v>
      </c>
      <c r="BM47" s="39">
        <v>0</v>
      </c>
      <c r="BN47" s="39"/>
      <c r="BO47" s="39">
        <v>97000</v>
      </c>
      <c r="BP47" s="39">
        <v>3000</v>
      </c>
      <c r="BQ47" s="39"/>
      <c r="BR47" s="39"/>
      <c r="BS47" s="39"/>
      <c r="BT47" s="39"/>
      <c r="BU47" s="39">
        <v>97000</v>
      </c>
      <c r="BV47" s="39">
        <v>3000</v>
      </c>
      <c r="BW47" s="39"/>
      <c r="BX47" s="39">
        <v>97000</v>
      </c>
      <c r="BY47" s="39">
        <v>3000</v>
      </c>
      <c r="BZ47" s="39"/>
      <c r="CA47" s="39"/>
      <c r="CB47" s="39"/>
      <c r="CC47" s="39"/>
      <c r="CD47" s="39">
        <v>339500</v>
      </c>
      <c r="CE47" s="39">
        <v>10500</v>
      </c>
      <c r="CF47" s="39"/>
      <c r="CG47" s="39">
        <f>100000-3000</f>
        <v>97000</v>
      </c>
      <c r="CH47" s="39">
        <v>3000</v>
      </c>
      <c r="CI47" s="39"/>
      <c r="CJ47" s="39"/>
      <c r="CK47" s="39"/>
      <c r="CL47" s="39"/>
      <c r="CM47" s="41">
        <f t="shared" si="0"/>
        <v>650000</v>
      </c>
    </row>
    <row r="48" spans="1:91">
      <c r="A48" s="13">
        <f t="shared" si="5"/>
        <v>46</v>
      </c>
      <c r="B48" s="13" t="s">
        <v>71</v>
      </c>
      <c r="C48" s="13" t="s">
        <v>72</v>
      </c>
      <c r="D48" s="16"/>
      <c r="E48" s="16"/>
      <c r="F48" s="16"/>
      <c r="G48" s="17"/>
      <c r="H48" s="17"/>
      <c r="I48" s="32"/>
      <c r="J48" s="15">
        <v>19000</v>
      </c>
      <c r="K48" s="32">
        <v>1000</v>
      </c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>
        <v>19400</v>
      </c>
      <c r="W48" s="31">
        <v>600</v>
      </c>
      <c r="X48" s="31"/>
      <c r="Y48" s="31"/>
      <c r="Z48" s="31"/>
      <c r="AA48" s="31"/>
      <c r="AB48" s="31">
        <v>0</v>
      </c>
      <c r="AC48" s="31">
        <v>0</v>
      </c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>
        <v>29100</v>
      </c>
      <c r="AU48" s="31">
        <v>900</v>
      </c>
      <c r="AV48" s="31"/>
      <c r="AW48" s="35">
        <v>90000</v>
      </c>
      <c r="AX48" s="31">
        <v>10000</v>
      </c>
      <c r="AY48" s="31"/>
      <c r="AZ48" s="36"/>
      <c r="BA48" s="36"/>
      <c r="BB48" s="36"/>
      <c r="BC48" s="36">
        <v>0</v>
      </c>
      <c r="BD48" s="36">
        <v>0</v>
      </c>
      <c r="BE48" s="36"/>
      <c r="BF48" s="39"/>
      <c r="BG48" s="39"/>
      <c r="BH48" s="39"/>
      <c r="BI48" s="39">
        <v>29100</v>
      </c>
      <c r="BJ48" s="39">
        <v>900</v>
      </c>
      <c r="BK48" s="39"/>
      <c r="BL48" s="39">
        <v>0</v>
      </c>
      <c r="BM48" s="39">
        <v>0</v>
      </c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>
        <v>0</v>
      </c>
      <c r="CE48" s="39">
        <v>0</v>
      </c>
      <c r="CF48" s="39"/>
      <c r="CG48" s="39">
        <v>0</v>
      </c>
      <c r="CH48" s="39">
        <v>0</v>
      </c>
      <c r="CI48" s="39"/>
      <c r="CJ48" s="39"/>
      <c r="CK48" s="39"/>
      <c r="CL48" s="39"/>
      <c r="CM48" s="41">
        <f t="shared" si="0"/>
        <v>0</v>
      </c>
    </row>
    <row r="49" spans="1:91">
      <c r="A49" s="13">
        <f t="shared" ref="A49:A55" si="6">ROW()-2</f>
        <v>47</v>
      </c>
      <c r="B49" s="21" t="s">
        <v>30</v>
      </c>
      <c r="C49" s="20" t="s">
        <v>31</v>
      </c>
      <c r="D49" s="16"/>
      <c r="E49" s="16"/>
      <c r="F49" s="16"/>
      <c r="G49" s="17"/>
      <c r="H49" s="17"/>
      <c r="I49" s="32"/>
      <c r="J49" s="15"/>
      <c r="K49" s="32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5"/>
      <c r="AX49" s="31"/>
      <c r="AY49" s="31"/>
      <c r="AZ49" s="36"/>
      <c r="BA49" s="36"/>
      <c r="BB49" s="36"/>
      <c r="BC49" s="36"/>
      <c r="BD49" s="36"/>
      <c r="BE49" s="36"/>
      <c r="BF49" s="39"/>
      <c r="BG49" s="39"/>
      <c r="BH49" s="39"/>
      <c r="BI49" s="39">
        <v>0</v>
      </c>
      <c r="BJ49" s="39">
        <v>0</v>
      </c>
      <c r="BK49" s="39"/>
      <c r="BL49" s="39">
        <v>0</v>
      </c>
      <c r="BM49" s="39">
        <v>0</v>
      </c>
      <c r="BN49" s="39"/>
      <c r="BO49" s="39"/>
      <c r="BP49" s="39"/>
      <c r="BQ49" s="39"/>
      <c r="BR49" s="39">
        <v>97000</v>
      </c>
      <c r="BS49" s="39">
        <v>3000</v>
      </c>
      <c r="BT49" s="39"/>
      <c r="BU49" s="39"/>
      <c r="BV49" s="39"/>
      <c r="BW49" s="39"/>
      <c r="BX49" s="39">
        <v>48500</v>
      </c>
      <c r="BY49" s="39">
        <v>1500</v>
      </c>
      <c r="BZ49" s="39"/>
      <c r="CA49" s="39">
        <v>48500</v>
      </c>
      <c r="CB49" s="39">
        <v>1500</v>
      </c>
      <c r="CC49" s="39"/>
      <c r="CD49" s="39">
        <v>19400</v>
      </c>
      <c r="CE49" s="39">
        <v>600</v>
      </c>
      <c r="CF49" s="39"/>
      <c r="CG49" s="39">
        <f>50000-1500</f>
        <v>48500</v>
      </c>
      <c r="CH49" s="39">
        <v>1500</v>
      </c>
      <c r="CI49" s="39"/>
      <c r="CJ49" s="39"/>
      <c r="CK49" s="39"/>
      <c r="CL49" s="39"/>
      <c r="CM49" s="41">
        <f t="shared" si="0"/>
        <v>170000</v>
      </c>
    </row>
    <row r="50" spans="1:91">
      <c r="A50" s="13">
        <f t="shared" si="6"/>
        <v>48</v>
      </c>
      <c r="B50" s="22">
        <v>1937680</v>
      </c>
      <c r="C50" s="23" t="s">
        <v>29</v>
      </c>
      <c r="D50" s="16"/>
      <c r="E50" s="16"/>
      <c r="F50" s="16"/>
      <c r="G50" s="17"/>
      <c r="H50" s="17"/>
      <c r="I50" s="32"/>
      <c r="J50" s="15"/>
      <c r="K50" s="32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>
        <v>0</v>
      </c>
      <c r="AC50" s="31">
        <v>0</v>
      </c>
      <c r="AD50" s="31"/>
      <c r="AE50" s="31">
        <v>75119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>
        <v>38800</v>
      </c>
      <c r="AU50" s="31">
        <v>1200</v>
      </c>
      <c r="AV50" s="31"/>
      <c r="AW50" s="35"/>
      <c r="AX50" s="31"/>
      <c r="AY50" s="31"/>
      <c r="AZ50" s="36">
        <v>29100</v>
      </c>
      <c r="BA50" s="36">
        <v>900</v>
      </c>
      <c r="BB50" s="36"/>
      <c r="BC50" s="36">
        <v>145500</v>
      </c>
      <c r="BD50" s="36">
        <v>4500</v>
      </c>
      <c r="BE50" s="36"/>
      <c r="BF50" s="39"/>
      <c r="BG50" s="39"/>
      <c r="BH50" s="39"/>
      <c r="BI50" s="39">
        <v>29100</v>
      </c>
      <c r="BJ50" s="39">
        <v>900</v>
      </c>
      <c r="BK50" s="39"/>
      <c r="BL50" s="39">
        <v>48500</v>
      </c>
      <c r="BM50" s="39">
        <v>1500</v>
      </c>
      <c r="BN50" s="39"/>
      <c r="BO50" s="39">
        <v>48500</v>
      </c>
      <c r="BP50" s="39">
        <v>1500</v>
      </c>
      <c r="BQ50" s="39"/>
      <c r="BR50" s="39">
        <v>97000</v>
      </c>
      <c r="BS50" s="39">
        <v>3000</v>
      </c>
      <c r="BT50" s="39"/>
      <c r="BU50" s="39"/>
      <c r="BV50" s="39"/>
      <c r="BW50" s="39"/>
      <c r="BX50" s="39">
        <f>48500+29100</f>
        <v>77600</v>
      </c>
      <c r="BY50" s="39">
        <f>1500+900</f>
        <v>2400</v>
      </c>
      <c r="BZ50" s="39"/>
      <c r="CA50" s="39"/>
      <c r="CB50" s="39"/>
      <c r="CC50" s="39"/>
      <c r="CD50" s="39">
        <v>97000</v>
      </c>
      <c r="CE50" s="39">
        <v>3000</v>
      </c>
      <c r="CF50" s="39"/>
      <c r="CG50" s="39">
        <v>97000</v>
      </c>
      <c r="CH50" s="39">
        <v>3000</v>
      </c>
      <c r="CI50" s="39"/>
      <c r="CJ50" s="39"/>
      <c r="CK50" s="39"/>
      <c r="CL50" s="39"/>
      <c r="CM50" s="41">
        <f t="shared" ref="CM50:CM55" si="7">SUM(CA50:CL50)</f>
        <v>200000</v>
      </c>
    </row>
    <row r="51" spans="1:91">
      <c r="A51" s="13">
        <f t="shared" si="6"/>
        <v>49</v>
      </c>
      <c r="B51" s="20" t="s">
        <v>63</v>
      </c>
      <c r="C51" s="24" t="s">
        <v>64</v>
      </c>
      <c r="D51" s="16"/>
      <c r="E51" s="16"/>
      <c r="F51" s="16"/>
      <c r="G51" s="17"/>
      <c r="H51" s="17"/>
      <c r="I51" s="32"/>
      <c r="J51" s="15"/>
      <c r="K51" s="32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5"/>
      <c r="AX51" s="31"/>
      <c r="AY51" s="31"/>
      <c r="AZ51" s="36"/>
      <c r="BA51" s="36"/>
      <c r="BB51" s="36"/>
      <c r="BC51" s="36">
        <v>48500</v>
      </c>
      <c r="BD51" s="36">
        <v>1500</v>
      </c>
      <c r="BE51" s="36"/>
      <c r="BF51" s="39">
        <v>100000</v>
      </c>
      <c r="BG51" s="39"/>
      <c r="BH51" s="39"/>
      <c r="BI51" s="39">
        <v>100000</v>
      </c>
      <c r="BJ51" s="39">
        <v>0</v>
      </c>
      <c r="BK51" s="39"/>
      <c r="BL51" s="39">
        <v>30000</v>
      </c>
      <c r="BM51" s="39">
        <v>0</v>
      </c>
      <c r="BN51" s="39"/>
      <c r="BO51" s="39">
        <v>49500</v>
      </c>
      <c r="BP51" s="39">
        <v>500</v>
      </c>
      <c r="BQ51" s="39"/>
      <c r="BR51" s="39">
        <v>49500</v>
      </c>
      <c r="BS51" s="39">
        <v>500</v>
      </c>
      <c r="BT51" s="39"/>
      <c r="BU51" s="39"/>
      <c r="BV51" s="39"/>
      <c r="BW51" s="39"/>
      <c r="BX51" s="39">
        <v>99000</v>
      </c>
      <c r="BY51" s="39">
        <v>1000</v>
      </c>
      <c r="BZ51" s="39"/>
      <c r="CA51" s="39"/>
      <c r="CB51" s="39"/>
      <c r="CC51" s="39"/>
      <c r="CD51" s="39">
        <v>198000</v>
      </c>
      <c r="CE51" s="39">
        <v>2000</v>
      </c>
      <c r="CF51" s="39"/>
      <c r="CG51" s="39">
        <v>198000</v>
      </c>
      <c r="CH51" s="39">
        <v>2000</v>
      </c>
      <c r="CI51" s="39"/>
      <c r="CJ51" s="39"/>
      <c r="CK51" s="39"/>
      <c r="CL51" s="39"/>
      <c r="CM51" s="41">
        <f t="shared" si="7"/>
        <v>400000</v>
      </c>
    </row>
    <row r="52" spans="1:91">
      <c r="A52" s="13">
        <f t="shared" si="6"/>
        <v>50</v>
      </c>
      <c r="B52" s="25" t="s">
        <v>87</v>
      </c>
      <c r="C52" s="23" t="s">
        <v>88</v>
      </c>
      <c r="D52" s="16"/>
      <c r="E52" s="16"/>
      <c r="F52" s="16"/>
      <c r="G52" s="17"/>
      <c r="H52" s="17"/>
      <c r="I52" s="32"/>
      <c r="J52" s="15"/>
      <c r="K52" s="32"/>
      <c r="L52" s="32"/>
      <c r="M52" s="31"/>
      <c r="N52" s="31"/>
      <c r="O52" s="31"/>
      <c r="P52" s="31"/>
      <c r="Q52" s="31"/>
      <c r="R52" s="31"/>
      <c r="S52" s="31">
        <v>52000</v>
      </c>
      <c r="T52" s="31"/>
      <c r="U52" s="31"/>
      <c r="V52" s="31"/>
      <c r="W52" s="31"/>
      <c r="X52" s="31"/>
      <c r="Y52" s="31"/>
      <c r="Z52" s="31"/>
      <c r="AA52" s="31"/>
      <c r="AB52" s="31">
        <v>0</v>
      </c>
      <c r="AC52" s="31">
        <v>0</v>
      </c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5"/>
      <c r="AX52" s="31"/>
      <c r="AY52" s="31"/>
      <c r="AZ52" s="36">
        <v>28000</v>
      </c>
      <c r="BA52" s="36"/>
      <c r="BB52" s="36"/>
      <c r="BC52" s="36">
        <v>0</v>
      </c>
      <c r="BD52" s="36">
        <v>0</v>
      </c>
      <c r="BE52" s="36"/>
      <c r="BF52" s="39"/>
      <c r="BG52" s="39"/>
      <c r="BH52" s="39"/>
      <c r="BI52" s="39">
        <v>0</v>
      </c>
      <c r="BJ52" s="39">
        <v>0</v>
      </c>
      <c r="BK52" s="39"/>
      <c r="BL52" s="39">
        <v>0</v>
      </c>
      <c r="BM52" s="39">
        <v>0</v>
      </c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>
        <v>77600</v>
      </c>
      <c r="CB52" s="39">
        <v>2400</v>
      </c>
      <c r="CC52" s="39"/>
      <c r="CD52" s="39">
        <v>0</v>
      </c>
      <c r="CE52" s="39">
        <v>0</v>
      </c>
      <c r="CF52" s="39"/>
      <c r="CG52" s="39">
        <v>0</v>
      </c>
      <c r="CH52" s="39">
        <v>0</v>
      </c>
      <c r="CI52" s="39"/>
      <c r="CJ52" s="39"/>
      <c r="CK52" s="39"/>
      <c r="CL52" s="39"/>
      <c r="CM52" s="41">
        <f t="shared" si="7"/>
        <v>80000</v>
      </c>
    </row>
    <row r="53" spans="1:91">
      <c r="A53" s="13">
        <f t="shared" si="6"/>
        <v>51</v>
      </c>
      <c r="B53" s="13">
        <v>1913665</v>
      </c>
      <c r="C53" s="26" t="s">
        <v>45</v>
      </c>
      <c r="D53" s="14"/>
      <c r="E53" s="14"/>
      <c r="F53" s="14"/>
      <c r="G53" s="15">
        <v>48500</v>
      </c>
      <c r="H53" s="15"/>
      <c r="I53" s="15"/>
      <c r="J53" s="15">
        <v>171000</v>
      </c>
      <c r="K53" s="15">
        <v>9000</v>
      </c>
      <c r="L53" s="15"/>
      <c r="M53" s="31">
        <v>145500</v>
      </c>
      <c r="N53" s="31">
        <v>4500</v>
      </c>
      <c r="O53" s="31"/>
      <c r="P53" s="31"/>
      <c r="Q53" s="31"/>
      <c r="R53" s="31"/>
      <c r="S53" s="31">
        <v>95000</v>
      </c>
      <c r="T53" s="33">
        <v>5000</v>
      </c>
      <c r="U53" s="31">
        <v>240</v>
      </c>
      <c r="V53" s="31"/>
      <c r="W53" s="31"/>
      <c r="X53" s="31"/>
      <c r="Y53" s="31">
        <v>48500</v>
      </c>
      <c r="Z53" s="31">
        <v>1500</v>
      </c>
      <c r="AA53" s="31"/>
      <c r="AB53" s="31">
        <v>100000</v>
      </c>
      <c r="AC53" s="31">
        <v>0</v>
      </c>
      <c r="AD53" s="31"/>
      <c r="AE53" s="31">
        <v>195000</v>
      </c>
      <c r="AF53" s="31">
        <v>8000</v>
      </c>
      <c r="AG53" s="31"/>
      <c r="AH53" s="31"/>
      <c r="AI53" s="31"/>
      <c r="AJ53" s="31"/>
      <c r="AK53" s="31">
        <v>100000</v>
      </c>
      <c r="AL53" s="31"/>
      <c r="AM53" s="31"/>
      <c r="AN53" s="31">
        <f>97000+48500</f>
        <v>145500</v>
      </c>
      <c r="AO53" s="31">
        <f>3000+1500</f>
        <v>4500</v>
      </c>
      <c r="AP53" s="31"/>
      <c r="AQ53" s="31">
        <v>48500</v>
      </c>
      <c r="AR53" s="31">
        <v>1500</v>
      </c>
      <c r="AS53" s="31"/>
      <c r="AT53" s="31">
        <v>97000</v>
      </c>
      <c r="AU53" s="31">
        <v>3000</v>
      </c>
      <c r="AV53" s="31"/>
      <c r="AW53" s="35">
        <v>270000</v>
      </c>
      <c r="AX53" s="31">
        <v>30000</v>
      </c>
      <c r="AY53" s="31"/>
      <c r="AZ53" s="36"/>
      <c r="BA53" s="36"/>
      <c r="BB53" s="36"/>
      <c r="BC53" s="36">
        <v>292500</v>
      </c>
      <c r="BD53" s="36">
        <v>7500</v>
      </c>
      <c r="BE53" s="36">
        <v>150</v>
      </c>
      <c r="BF53" s="39">
        <v>194000</v>
      </c>
      <c r="BG53" s="39">
        <v>6000</v>
      </c>
      <c r="BH53" s="39"/>
      <c r="BI53" s="39">
        <v>0</v>
      </c>
      <c r="BJ53" s="39">
        <v>0</v>
      </c>
      <c r="BK53" s="39"/>
      <c r="BL53" s="39">
        <v>145500</v>
      </c>
      <c r="BM53" s="39">
        <v>4500</v>
      </c>
      <c r="BN53" s="39">
        <v>435.29</v>
      </c>
      <c r="BO53" s="39">
        <v>145500</v>
      </c>
      <c r="BP53" s="39">
        <v>4500</v>
      </c>
      <c r="BQ53" s="39"/>
      <c r="BR53" s="39">
        <v>145500</v>
      </c>
      <c r="BS53" s="39">
        <v>4500</v>
      </c>
      <c r="BT53" s="39"/>
      <c r="BU53" s="39">
        <v>145500</v>
      </c>
      <c r="BV53" s="39">
        <v>4500</v>
      </c>
      <c r="BW53" s="39"/>
      <c r="BX53" s="39"/>
      <c r="BY53" s="39"/>
      <c r="BZ53" s="39"/>
      <c r="CA53" s="39">
        <v>291000</v>
      </c>
      <c r="CB53" s="39">
        <v>9000</v>
      </c>
      <c r="CC53" s="39"/>
      <c r="CD53" s="39">
        <v>97000</v>
      </c>
      <c r="CE53" s="39">
        <v>3000</v>
      </c>
      <c r="CF53" s="39"/>
      <c r="CG53" s="39">
        <f>80000-2400</f>
        <v>77600</v>
      </c>
      <c r="CH53" s="39">
        <v>2400</v>
      </c>
      <c r="CI53" s="39"/>
      <c r="CJ53" s="39"/>
      <c r="CK53" s="39"/>
      <c r="CL53" s="39"/>
      <c r="CM53" s="41">
        <f t="shared" si="7"/>
        <v>480000</v>
      </c>
    </row>
    <row r="54" spans="1:91">
      <c r="A54" s="13">
        <f t="shared" si="6"/>
        <v>52</v>
      </c>
      <c r="B54" s="13" t="s">
        <v>50</v>
      </c>
      <c r="C54" s="26" t="s">
        <v>51</v>
      </c>
      <c r="D54" s="14"/>
      <c r="E54" s="14"/>
      <c r="F54" s="14"/>
      <c r="G54" s="15"/>
      <c r="H54" s="15"/>
      <c r="I54" s="15"/>
      <c r="J54" s="15"/>
      <c r="K54" s="15"/>
      <c r="L54" s="15"/>
      <c r="M54" s="31"/>
      <c r="N54" s="31"/>
      <c r="O54" s="31"/>
      <c r="P54" s="31"/>
      <c r="Q54" s="31"/>
      <c r="R54" s="31"/>
      <c r="S54" s="31">
        <v>20000</v>
      </c>
      <c r="T54" s="31"/>
      <c r="U54" s="31"/>
      <c r="V54" s="31"/>
      <c r="W54" s="31"/>
      <c r="X54" s="31"/>
      <c r="Y54" s="31"/>
      <c r="Z54" s="31"/>
      <c r="AA54" s="31"/>
      <c r="AB54" s="31">
        <v>0</v>
      </c>
      <c r="AC54" s="31">
        <v>0</v>
      </c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>
        <f>30000+50000+50000</f>
        <v>130000</v>
      </c>
      <c r="AO54" s="31">
        <v>2933</v>
      </c>
      <c r="AP54" s="31"/>
      <c r="AQ54" s="31">
        <v>50000</v>
      </c>
      <c r="AR54" s="31"/>
      <c r="AS54" s="31"/>
      <c r="AT54" s="31">
        <v>99000</v>
      </c>
      <c r="AU54" s="31">
        <v>1000</v>
      </c>
      <c r="AV54" s="31"/>
      <c r="AW54" s="35">
        <f>150000+50000</f>
        <v>200000</v>
      </c>
      <c r="AX54" s="31"/>
      <c r="AY54" s="31"/>
      <c r="AZ54" s="36">
        <v>50000</v>
      </c>
      <c r="BA54" s="36"/>
      <c r="BB54" s="36"/>
      <c r="BC54" s="36">
        <v>400000</v>
      </c>
      <c r="BD54" s="36">
        <v>0</v>
      </c>
      <c r="BE54" s="36"/>
      <c r="BF54" s="39">
        <f>138600+60000</f>
        <v>198600</v>
      </c>
      <c r="BG54" s="39">
        <v>1400</v>
      </c>
      <c r="BH54" s="39"/>
      <c r="BI54" s="39">
        <v>0</v>
      </c>
      <c r="BJ54" s="39">
        <v>0</v>
      </c>
      <c r="BK54" s="39"/>
      <c r="BL54" s="39">
        <v>198000</v>
      </c>
      <c r="BM54" s="39">
        <v>2000</v>
      </c>
      <c r="BN54" s="39"/>
      <c r="BO54" s="39">
        <v>99000</v>
      </c>
      <c r="BP54" s="39">
        <v>1000</v>
      </c>
      <c r="BQ54" s="39"/>
      <c r="BR54" s="39">
        <f>99000</f>
        <v>99000</v>
      </c>
      <c r="BS54" s="39">
        <v>1000</v>
      </c>
      <c r="BT54" s="39"/>
      <c r="BU54" s="39">
        <v>199000</v>
      </c>
      <c r="BV54" s="39">
        <v>1000</v>
      </c>
      <c r="BW54" s="39">
        <v>19544.9</v>
      </c>
      <c r="BX54" s="39">
        <v>99000</v>
      </c>
      <c r="BY54" s="39">
        <v>1000</v>
      </c>
      <c r="BZ54" s="39"/>
      <c r="CA54" s="39">
        <v>148500</v>
      </c>
      <c r="CB54" s="39">
        <v>1500</v>
      </c>
      <c r="CC54" s="39"/>
      <c r="CD54" s="39">
        <v>99000</v>
      </c>
      <c r="CE54" s="39">
        <v>1000</v>
      </c>
      <c r="CF54" s="39"/>
      <c r="CG54" s="39">
        <v>99000</v>
      </c>
      <c r="CH54" s="39">
        <v>1000</v>
      </c>
      <c r="CI54" s="39"/>
      <c r="CJ54" s="39"/>
      <c r="CK54" s="39"/>
      <c r="CL54" s="39"/>
      <c r="CM54" s="41">
        <f t="shared" si="7"/>
        <v>350000</v>
      </c>
    </row>
    <row r="55" spans="1:91">
      <c r="A55" s="13">
        <f t="shared" si="6"/>
        <v>53</v>
      </c>
      <c r="B55" s="13">
        <v>1937012</v>
      </c>
      <c r="C55" s="26" t="s">
        <v>161</v>
      </c>
      <c r="D55" s="14"/>
      <c r="E55" s="14"/>
      <c r="F55" s="14"/>
      <c r="G55" s="15">
        <v>50000</v>
      </c>
      <c r="H55" s="15"/>
      <c r="I55" s="15"/>
      <c r="J55" s="15">
        <v>150000</v>
      </c>
      <c r="K55" s="15"/>
      <c r="L55" s="15"/>
      <c r="M55" s="31">
        <v>80000</v>
      </c>
      <c r="N55" s="31"/>
      <c r="O55" s="31"/>
      <c r="P55" s="31"/>
      <c r="Q55" s="31"/>
      <c r="R55" s="31"/>
      <c r="S55" s="31">
        <v>200000</v>
      </c>
      <c r="T55" s="31"/>
      <c r="U55" s="31"/>
      <c r="V55" s="31"/>
      <c r="W55" s="31"/>
      <c r="X55" s="31"/>
      <c r="Y55" s="31"/>
      <c r="Z55" s="31"/>
      <c r="AA55" s="31"/>
      <c r="AB55" s="31">
        <v>500000</v>
      </c>
      <c r="AC55" s="31">
        <v>0</v>
      </c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>
        <v>200000</v>
      </c>
      <c r="AR55" s="31"/>
      <c r="AS55" s="31"/>
      <c r="AT55" s="31"/>
      <c r="AU55" s="31"/>
      <c r="AV55" s="31"/>
      <c r="AW55" s="35"/>
      <c r="AX55" s="31"/>
      <c r="AY55" s="31"/>
      <c r="AZ55" s="36"/>
      <c r="BA55" s="36"/>
      <c r="BB55" s="36"/>
      <c r="BC55" s="36">
        <v>194000</v>
      </c>
      <c r="BD55" s="36">
        <v>6000</v>
      </c>
      <c r="BE55" s="36"/>
      <c r="BF55" s="39"/>
      <c r="BG55" s="39"/>
      <c r="BH55" s="39"/>
      <c r="BI55" s="39">
        <v>120000</v>
      </c>
      <c r="BJ55" s="39">
        <v>0</v>
      </c>
      <c r="BK55" s="39"/>
      <c r="BL55" s="39">
        <v>0</v>
      </c>
      <c r="BM55" s="39">
        <v>0</v>
      </c>
      <c r="BN55" s="39"/>
      <c r="BO55" s="39">
        <v>3000</v>
      </c>
      <c r="BP55" s="39"/>
      <c r="BQ55" s="39"/>
      <c r="BR55" s="39">
        <v>50000</v>
      </c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>
        <v>13337.5</v>
      </c>
      <c r="CE55" s="39">
        <v>412.5</v>
      </c>
      <c r="CF55" s="39"/>
      <c r="CG55" s="39">
        <v>0</v>
      </c>
      <c r="CH55" s="39">
        <v>0</v>
      </c>
      <c r="CI55" s="39"/>
      <c r="CJ55" s="39"/>
      <c r="CK55" s="39"/>
      <c r="CL55" s="39"/>
      <c r="CM55" s="41">
        <f t="shared" si="7"/>
        <v>13750</v>
      </c>
    </row>
    <row r="56" s="1" customFormat="1" spans="1:91">
      <c r="A56" s="27" t="s">
        <v>89</v>
      </c>
      <c r="B56" s="28"/>
      <c r="C56" s="29"/>
      <c r="D56" s="30">
        <f>SUM(D3:D55)</f>
        <v>485000</v>
      </c>
      <c r="E56" s="30">
        <f t="shared" ref="E56:AJ56" si="8">SUM(E3:E55)</f>
        <v>15000</v>
      </c>
      <c r="F56" s="30">
        <f t="shared" si="8"/>
        <v>3000</v>
      </c>
      <c r="G56" s="30">
        <f t="shared" si="8"/>
        <v>1205100</v>
      </c>
      <c r="H56" s="30">
        <f t="shared" si="8"/>
        <v>23400</v>
      </c>
      <c r="I56" s="30">
        <f t="shared" si="8"/>
        <v>3000</v>
      </c>
      <c r="J56" s="30">
        <f t="shared" si="8"/>
        <v>6179400</v>
      </c>
      <c r="K56" s="30">
        <f t="shared" si="8"/>
        <v>278100</v>
      </c>
      <c r="L56" s="30">
        <f t="shared" si="8"/>
        <v>3000</v>
      </c>
      <c r="M56" s="30">
        <f t="shared" si="8"/>
        <v>3911500</v>
      </c>
      <c r="N56" s="30">
        <f t="shared" si="8"/>
        <v>18800</v>
      </c>
      <c r="O56" s="30">
        <f t="shared" si="8"/>
        <v>3000</v>
      </c>
      <c r="P56" s="30">
        <f t="shared" si="8"/>
        <v>317728.85</v>
      </c>
      <c r="Q56" s="30">
        <f t="shared" si="8"/>
        <v>6000</v>
      </c>
      <c r="R56" s="30">
        <f t="shared" si="8"/>
        <v>1250</v>
      </c>
      <c r="S56" s="30">
        <f t="shared" si="8"/>
        <v>6420450</v>
      </c>
      <c r="T56" s="30">
        <f t="shared" si="8"/>
        <v>136550</v>
      </c>
      <c r="U56" s="30">
        <f t="shared" si="8"/>
        <v>7752</v>
      </c>
      <c r="V56" s="30">
        <f t="shared" si="8"/>
        <v>618343.36</v>
      </c>
      <c r="W56" s="30">
        <f t="shared" si="8"/>
        <v>5825.05</v>
      </c>
      <c r="X56" s="30">
        <f t="shared" si="8"/>
        <v>3000</v>
      </c>
      <c r="Y56" s="30">
        <f t="shared" si="8"/>
        <v>4559530</v>
      </c>
      <c r="Z56" s="30">
        <f t="shared" si="8"/>
        <v>5400</v>
      </c>
      <c r="AA56" s="30">
        <f t="shared" si="8"/>
        <v>3000</v>
      </c>
      <c r="AB56" s="30">
        <f t="shared" si="8"/>
        <v>5116400</v>
      </c>
      <c r="AC56" s="30">
        <f t="shared" si="8"/>
        <v>3600</v>
      </c>
      <c r="AD56" s="30">
        <f t="shared" si="8"/>
        <v>3000</v>
      </c>
      <c r="AE56" s="30">
        <f t="shared" si="8"/>
        <v>4949519</v>
      </c>
      <c r="AF56" s="30">
        <f t="shared" si="8"/>
        <v>176000</v>
      </c>
      <c r="AG56" s="30">
        <f t="shared" si="8"/>
        <v>5194.5</v>
      </c>
      <c r="AH56" s="30">
        <f t="shared" si="8"/>
        <v>0</v>
      </c>
      <c r="AI56" s="30">
        <f t="shared" si="8"/>
        <v>15000</v>
      </c>
      <c r="AJ56" s="30">
        <f t="shared" si="8"/>
        <v>0</v>
      </c>
      <c r="AK56" s="30">
        <f t="shared" ref="AK56:CJ56" si="9">SUM(AK3:AK55)</f>
        <v>2915500</v>
      </c>
      <c r="AL56" s="30">
        <f t="shared" si="9"/>
        <v>34500</v>
      </c>
      <c r="AM56" s="30">
        <f t="shared" si="9"/>
        <v>3000</v>
      </c>
      <c r="AN56" s="30">
        <f t="shared" si="9"/>
        <v>5513312.28</v>
      </c>
      <c r="AO56" s="30">
        <f t="shared" si="9"/>
        <v>91433</v>
      </c>
      <c r="AP56" s="30">
        <f t="shared" si="9"/>
        <v>4486.25</v>
      </c>
      <c r="AQ56" s="30">
        <f t="shared" si="9"/>
        <v>3346700</v>
      </c>
      <c r="AR56" s="30">
        <f t="shared" si="9"/>
        <v>63300</v>
      </c>
      <c r="AS56" s="30">
        <f t="shared" si="9"/>
        <v>3000</v>
      </c>
      <c r="AT56" s="30">
        <f t="shared" si="9"/>
        <v>3598400</v>
      </c>
      <c r="AU56" s="30">
        <f t="shared" si="9"/>
        <v>64600</v>
      </c>
      <c r="AV56" s="30">
        <f t="shared" si="9"/>
        <v>0</v>
      </c>
      <c r="AW56" s="30">
        <f t="shared" si="9"/>
        <v>7889900</v>
      </c>
      <c r="AX56" s="30">
        <f t="shared" si="9"/>
        <v>123100</v>
      </c>
      <c r="AY56" s="30">
        <f t="shared" si="9"/>
        <v>0</v>
      </c>
      <c r="AZ56" s="37">
        <f t="shared" si="9"/>
        <v>1389100</v>
      </c>
      <c r="BA56" s="37">
        <f t="shared" si="9"/>
        <v>18900</v>
      </c>
      <c r="BB56" s="37">
        <f t="shared" si="9"/>
        <v>9577.62</v>
      </c>
      <c r="BC56" s="37">
        <f t="shared" si="9"/>
        <v>6423300</v>
      </c>
      <c r="BD56" s="37">
        <f t="shared" si="9"/>
        <v>626700</v>
      </c>
      <c r="BE56" s="37">
        <f t="shared" si="9"/>
        <v>32940</v>
      </c>
      <c r="BF56" s="37">
        <f t="shared" si="9"/>
        <v>5735550.15</v>
      </c>
      <c r="BG56" s="37">
        <f t="shared" si="9"/>
        <v>92233.51</v>
      </c>
      <c r="BH56" s="37">
        <f t="shared" si="9"/>
        <v>8167</v>
      </c>
      <c r="BI56" s="37">
        <f t="shared" si="9"/>
        <v>5273200</v>
      </c>
      <c r="BJ56" s="37">
        <f t="shared" si="9"/>
        <v>106800</v>
      </c>
      <c r="BK56" s="37">
        <f t="shared" si="9"/>
        <v>4575</v>
      </c>
      <c r="BL56" s="37">
        <f t="shared" si="9"/>
        <v>6757200</v>
      </c>
      <c r="BM56" s="37">
        <f t="shared" si="9"/>
        <v>132800</v>
      </c>
      <c r="BN56" s="37">
        <f t="shared" si="9"/>
        <v>26465.3</v>
      </c>
      <c r="BO56" s="37">
        <f t="shared" si="9"/>
        <v>6476200</v>
      </c>
      <c r="BP56" s="37">
        <f t="shared" si="9"/>
        <v>262859</v>
      </c>
      <c r="BQ56" s="37">
        <f t="shared" si="9"/>
        <v>3000</v>
      </c>
      <c r="BR56" s="37">
        <f t="shared" si="9"/>
        <v>5775600</v>
      </c>
      <c r="BS56" s="37">
        <f t="shared" si="9"/>
        <v>104400</v>
      </c>
      <c r="BT56" s="37">
        <f t="shared" si="9"/>
        <v>3000</v>
      </c>
      <c r="BU56" s="37">
        <f t="shared" si="9"/>
        <v>4018000</v>
      </c>
      <c r="BV56" s="37">
        <f t="shared" si="9"/>
        <v>82000</v>
      </c>
      <c r="BW56" s="37">
        <f t="shared" si="9"/>
        <v>27526.7</v>
      </c>
      <c r="BX56" s="37">
        <f t="shared" si="9"/>
        <v>7280700</v>
      </c>
      <c r="BY56" s="37">
        <f t="shared" si="9"/>
        <v>109300</v>
      </c>
      <c r="BZ56" s="37">
        <f t="shared" si="9"/>
        <v>3000</v>
      </c>
      <c r="CA56" s="37">
        <f t="shared" si="9"/>
        <v>6082950</v>
      </c>
      <c r="CB56" s="37">
        <f t="shared" si="9"/>
        <v>82050</v>
      </c>
      <c r="CC56" s="37">
        <f t="shared" si="9"/>
        <v>3000</v>
      </c>
      <c r="CD56" s="37">
        <f t="shared" si="9"/>
        <v>8316437.5</v>
      </c>
      <c r="CE56" s="37">
        <f t="shared" si="9"/>
        <v>127312.5</v>
      </c>
      <c r="CF56" s="37">
        <f t="shared" si="9"/>
        <v>8000</v>
      </c>
      <c r="CG56" s="37">
        <f t="shared" si="9"/>
        <v>6862200</v>
      </c>
      <c r="CH56" s="37">
        <f t="shared" si="9"/>
        <v>97800</v>
      </c>
      <c r="CI56" s="37">
        <f t="shared" si="9"/>
        <v>3000</v>
      </c>
      <c r="CJ56" s="40"/>
      <c r="CK56" s="40"/>
      <c r="CL56" s="40"/>
      <c r="CM56" s="41">
        <f>SUM(CM3:CM55)</f>
        <v>32453731.8</v>
      </c>
    </row>
    <row r="59" spans="55:56">
      <c r="BC59" s="1">
        <f>BC56-'[1]月付款明细 '!$BC$64</f>
        <v>0</v>
      </c>
      <c r="BD59" s="1">
        <f>BD56-'[1]月付款明细 '!$BD$64</f>
        <v>0</v>
      </c>
    </row>
    <row r="61" spans="7:7">
      <c r="G61" s="3">
        <f>SUM(G56:O56)</f>
        <v>11625300</v>
      </c>
    </row>
    <row r="63" spans="7:7">
      <c r="G63" s="3">
        <f>G61-G53-J53-K53</f>
        <v>11396800</v>
      </c>
    </row>
  </sheetData>
  <autoFilter ref="A2:CN56">
    <extLst/>
  </autoFilter>
  <mergeCells count="5">
    <mergeCell ref="D1:R1"/>
    <mergeCell ref="A56:C56"/>
    <mergeCell ref="A1:A2"/>
    <mergeCell ref="B1:B2"/>
    <mergeCell ref="C1:C2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9" defaultRowHeight="13.5"/>
  <cols>
    <col min="2" max="2" width="10.375"/>
    <col min="4" max="4" width="10.375"/>
  </cols>
  <sheetData/>
  <conditionalFormatting sqref="A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月度付款  </vt:lpstr>
      <vt:lpstr>月付款明细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红菩提</cp:lastModifiedBy>
  <dcterms:created xsi:type="dcterms:W3CDTF">2013-07-01T03:22:00Z</dcterms:created>
  <cp:lastPrinted>2013-10-28T01:39:00Z</cp:lastPrinted>
  <dcterms:modified xsi:type="dcterms:W3CDTF">2021-08-14T06:44:45Z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A3E6F863B30E4029950315678D9CFC4A</vt:lpwstr>
  </property>
</Properties>
</file>