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木板\"/>
    </mc:Choice>
  </mc:AlternateContent>
  <bookViews>
    <workbookView xWindow="-105" yWindow="-105" windowWidth="23250" windowHeight="12570"/>
  </bookViews>
  <sheets>
    <sheet name="木板核算" sheetId="3" r:id="rId1"/>
    <sheet name="图片" sheetId="2" r:id="rId2"/>
  </sheets>
  <externalReferences>
    <externalReference r:id="rId3"/>
  </externalReferences>
  <definedNames>
    <definedName name="_xlnm.Print_Area" localSheetId="0">木板核算!$A$1:$P$10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3" l="1"/>
  <c r="S12" i="3"/>
  <c r="T11" i="3"/>
  <c r="S11" i="3"/>
  <c r="R11" i="3"/>
  <c r="N5" i="3"/>
  <c r="N6" i="3"/>
  <c r="N7" i="3"/>
  <c r="N8" i="3"/>
  <c r="N9" i="3"/>
  <c r="N10" i="3"/>
  <c r="N4" i="3"/>
  <c r="G5" i="3" l="1"/>
  <c r="G6" i="3"/>
  <c r="G7" i="3"/>
  <c r="G8" i="3"/>
  <c r="G9" i="3"/>
  <c r="G10" i="3"/>
  <c r="G4" i="3"/>
  <c r="Q5" i="3" l="1"/>
  <c r="Q6" i="3"/>
  <c r="Q7" i="3"/>
  <c r="Q8" i="3"/>
  <c r="Q9" i="3"/>
  <c r="Q10" i="3"/>
  <c r="Q4" i="3"/>
  <c r="P4" i="3" l="1"/>
  <c r="P10" i="3"/>
  <c r="D10" i="3"/>
  <c r="D9" i="3"/>
  <c r="P9" i="3" s="1"/>
  <c r="P8" i="3"/>
  <c r="D8" i="3"/>
  <c r="P7" i="3"/>
  <c r="D7" i="3"/>
  <c r="D6" i="3"/>
  <c r="D5" i="3"/>
  <c r="D4" i="3"/>
  <c r="P5" i="3" l="1"/>
  <c r="P6" i="3"/>
</calcChain>
</file>

<file path=xl/sharedStrings.xml><?xml version="1.0" encoding="utf-8"?>
<sst xmlns="http://schemas.openxmlformats.org/spreadsheetml/2006/main" count="52" uniqueCount="44">
  <si>
    <t>木板核算</t>
    <phoneticPr fontId="2" type="noConversion"/>
  </si>
  <si>
    <t>标准9厘板尺寸：1220*2440*9mm=1.22*2.44*0.009mm（65元/块）</t>
    <phoneticPr fontId="2" type="noConversion"/>
  </si>
  <si>
    <t>QAD号</t>
    <phoneticPr fontId="2" type="noConversion"/>
  </si>
  <si>
    <t>名称</t>
    <phoneticPr fontId="2" type="noConversion"/>
  </si>
  <si>
    <t>规格㎡</t>
    <phoneticPr fontId="2" type="noConversion"/>
  </si>
  <si>
    <t>废料㎡</t>
    <phoneticPr fontId="2" type="noConversion"/>
  </si>
  <si>
    <t>一张板出产品数量</t>
    <phoneticPr fontId="2" type="noConversion"/>
  </si>
  <si>
    <t>原材料单价</t>
    <phoneticPr fontId="2" type="noConversion"/>
  </si>
  <si>
    <t>材料费(减废料)</t>
    <phoneticPr fontId="2" type="noConversion"/>
  </si>
  <si>
    <t>制造费</t>
    <phoneticPr fontId="2" type="noConversion"/>
  </si>
  <si>
    <t>包装运费</t>
    <phoneticPr fontId="2" type="noConversion"/>
  </si>
  <si>
    <t>说明</t>
    <phoneticPr fontId="2" type="noConversion"/>
  </si>
  <si>
    <t>财务费管理费</t>
    <phoneticPr fontId="2" type="noConversion"/>
  </si>
  <si>
    <t>服务费</t>
    <phoneticPr fontId="2" type="noConversion"/>
  </si>
  <si>
    <t>利润</t>
    <phoneticPr fontId="2" type="noConversion"/>
  </si>
  <si>
    <t>未税合计</t>
    <phoneticPr fontId="2" type="noConversion"/>
  </si>
  <si>
    <t>20年价格</t>
    <phoneticPr fontId="2" type="noConversion"/>
  </si>
  <si>
    <t>涨幅</t>
    <phoneticPr fontId="2" type="noConversion"/>
  </si>
  <si>
    <t>用量</t>
    <phoneticPr fontId="2" type="noConversion"/>
  </si>
  <si>
    <t>SLT0000819</t>
  </si>
  <si>
    <t>2060卧铺多层板</t>
  </si>
  <si>
    <t>1.790*0.385</t>
    <phoneticPr fontId="2" type="noConversion"/>
  </si>
  <si>
    <t>4.2米车，一次拉300块，150元/车，0.5元/块</t>
    <phoneticPr fontId="2" type="noConversion"/>
  </si>
  <si>
    <t>SLT0000823</t>
  </si>
  <si>
    <t>1880卧铺多层板</t>
  </si>
  <si>
    <t>SHT0000105</t>
  </si>
  <si>
    <t>M4中卡卧铺板</t>
    <phoneticPr fontId="2" type="noConversion"/>
  </si>
  <si>
    <t>1.920*0.585</t>
    <phoneticPr fontId="2" type="noConversion"/>
  </si>
  <si>
    <t>SLT0000163</t>
  </si>
  <si>
    <t>1995木板右舵6个孔</t>
  </si>
  <si>
    <t>1.710*0.495</t>
    <phoneticPr fontId="2" type="noConversion"/>
  </si>
  <si>
    <t>SLT0000766</t>
  </si>
  <si>
    <t>1995升级卧铺板</t>
  </si>
  <si>
    <t>1.700*0.455</t>
    <phoneticPr fontId="2" type="noConversion"/>
  </si>
  <si>
    <t>SLT0000771</t>
  </si>
  <si>
    <t>1995卧铺板出口8个孔</t>
  </si>
  <si>
    <t>SLT0000864</t>
  </si>
  <si>
    <t>1800卧铺板6个孔</t>
  </si>
  <si>
    <t>1.715*0.482</t>
    <phoneticPr fontId="2" type="noConversion"/>
  </si>
  <si>
    <t>2021申报</t>
    <phoneticPr fontId="2" type="noConversion"/>
  </si>
  <si>
    <t>合计</t>
    <phoneticPr fontId="2" type="noConversion"/>
  </si>
  <si>
    <t>2021复核方案一</t>
    <phoneticPr fontId="2" type="noConversion"/>
  </si>
  <si>
    <t>2021复核方案二</t>
    <phoneticPr fontId="2" type="noConversion"/>
  </si>
  <si>
    <t>差异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</si>
</sst>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_ "/>
    <numFmt numFmtId="177" formatCode="0.0_ "/>
    <numFmt numFmtId="178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11"/>
      <color rgb="FFFF0000"/>
      <name val="等线"/>
      <family val="2"/>
      <scheme val="minor"/>
    </font>
    <font>
      <b/>
      <sz val="10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43" fontId="6" fillId="4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7" fillId="0" borderId="2" xfId="3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4">
    <cellStyle name="百分比" xfId="1" builtinId="5"/>
    <cellStyle name="常规" xfId="0" builtinId="0"/>
    <cellStyle name="常规 2" xfId="2"/>
    <cellStyle name="千位分隔" xfId="3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1378;&#23478;&#20998;&#24320;&#21327;&#35758;/&#33268;&#368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远ZY"/>
      <sheetName val="Sheet1"/>
      <sheetName val="Sheet2"/>
      <sheetName val="Sheet3"/>
    </sheetNames>
    <sheetDataSet>
      <sheetData sheetId="0">
        <row r="9">
          <cell r="B9" t="str">
            <v>SLT0000819</v>
          </cell>
          <cell r="C9" t="str">
            <v>2060卧铺多层板</v>
          </cell>
          <cell r="E9" t="str">
            <v>件</v>
          </cell>
          <cell r="F9">
            <v>24.704899999999999</v>
          </cell>
          <cell r="G9">
            <v>25.553333333333335</v>
          </cell>
          <cell r="I9">
            <v>0.84843333333333604</v>
          </cell>
          <cell r="J9">
            <v>16910</v>
          </cell>
        </row>
        <row r="10">
          <cell r="B10" t="str">
            <v>SLT0000823</v>
          </cell>
          <cell r="C10" t="str">
            <v>1880卧铺多层板</v>
          </cell>
          <cell r="E10" t="str">
            <v>件</v>
          </cell>
          <cell r="F10">
            <v>21.674700000000001</v>
          </cell>
          <cell r="G10">
            <v>25.553333333333335</v>
          </cell>
          <cell r="I10">
            <v>3.8786333333333332</v>
          </cell>
          <cell r="J10">
            <v>2599</v>
          </cell>
        </row>
        <row r="11">
          <cell r="B11" t="str">
            <v>SHT0000105</v>
          </cell>
          <cell r="C11" t="str">
            <v>M4中卡卧铺板</v>
          </cell>
          <cell r="E11" t="str">
            <v>件</v>
          </cell>
          <cell r="F11">
            <v>35.895000000000003</v>
          </cell>
          <cell r="G11">
            <v>37.470000000000006</v>
          </cell>
          <cell r="I11">
            <v>1.5750000000000028</v>
          </cell>
          <cell r="J11">
            <v>27550</v>
          </cell>
        </row>
        <row r="12">
          <cell r="B12" t="str">
            <v>SLT0000163</v>
          </cell>
          <cell r="C12" t="str">
            <v>1995木板右舵6个孔</v>
          </cell>
          <cell r="E12" t="str">
            <v>件</v>
          </cell>
          <cell r="F12">
            <v>24.035299999999999</v>
          </cell>
          <cell r="G12">
            <v>24.035299999999999</v>
          </cell>
          <cell r="I12">
            <v>0</v>
          </cell>
          <cell r="J12">
            <v>9</v>
          </cell>
        </row>
        <row r="13">
          <cell r="B13" t="str">
            <v>SLT0000766</v>
          </cell>
          <cell r="C13" t="str">
            <v>1995升级卧铺板</v>
          </cell>
          <cell r="E13" t="str">
            <v>件</v>
          </cell>
          <cell r="F13">
            <v>24.376100000000001</v>
          </cell>
          <cell r="G13">
            <v>25</v>
          </cell>
          <cell r="I13">
            <v>0.62389999999999901</v>
          </cell>
          <cell r="J13">
            <v>285</v>
          </cell>
        </row>
        <row r="14">
          <cell r="B14" t="str">
            <v>SLT0000771</v>
          </cell>
          <cell r="C14" t="str">
            <v>1995卧铺板出口8个孔</v>
          </cell>
          <cell r="E14" t="str">
            <v>件</v>
          </cell>
          <cell r="F14">
            <v>24.035299999999999</v>
          </cell>
          <cell r="G14">
            <v>25</v>
          </cell>
          <cell r="I14">
            <v>0.96470000000000056</v>
          </cell>
          <cell r="J14">
            <v>246</v>
          </cell>
        </row>
        <row r="15">
          <cell r="B15" t="str">
            <v>SLT0000864</v>
          </cell>
          <cell r="C15" t="str">
            <v>1800卧铺板6个孔</v>
          </cell>
          <cell r="E15" t="str">
            <v>件</v>
          </cell>
          <cell r="F15">
            <v>21.674700000000001</v>
          </cell>
          <cell r="G15">
            <v>21.674700000000001</v>
          </cell>
          <cell r="I15">
            <v>0</v>
          </cell>
          <cell r="J15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3.25" customWidth="1"/>
    <col min="2" max="2" width="17" customWidth="1"/>
    <col min="3" max="3" width="11.375" customWidth="1"/>
    <col min="4" max="4" width="7" customWidth="1"/>
    <col min="5" max="5" width="5.375" customWidth="1"/>
    <col min="6" max="6" width="6.375" customWidth="1"/>
    <col min="7" max="7" width="8.5" customWidth="1"/>
    <col min="8" max="8" width="7.125" customWidth="1"/>
    <col min="9" max="9" width="7.5" customWidth="1"/>
    <col min="10" max="10" width="22.5" customWidth="1"/>
    <col min="11" max="11" width="5.5" customWidth="1"/>
    <col min="12" max="12" width="6.5" customWidth="1"/>
    <col min="13" max="13" width="6.125" customWidth="1"/>
    <col min="14" max="15" width="8.625" customWidth="1"/>
    <col min="16" max="16" width="7.125" customWidth="1"/>
    <col min="17" max="17" width="6.375" customWidth="1"/>
  </cols>
  <sheetData>
    <row r="1" spans="1:20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0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0" ht="28.9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1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2" t="s">
        <v>39</v>
      </c>
      <c r="S3" s="17" t="s">
        <v>41</v>
      </c>
      <c r="T3" s="17" t="s">
        <v>42</v>
      </c>
    </row>
    <row r="4" spans="1:20" ht="32.25" customHeight="1" x14ac:dyDescent="0.2">
      <c r="A4" s="3" t="s">
        <v>19</v>
      </c>
      <c r="B4" s="4" t="s">
        <v>20</v>
      </c>
      <c r="C4" s="4" t="s">
        <v>21</v>
      </c>
      <c r="D4" s="5">
        <f>(1.22*2.44)/(1.79*0.385)</f>
        <v>4.3195240513676261</v>
      </c>
      <c r="E4" s="1">
        <v>3</v>
      </c>
      <c r="F4" s="1">
        <v>65</v>
      </c>
      <c r="G4" s="6">
        <f>F4/E4</f>
        <v>21.666666666666668</v>
      </c>
      <c r="H4" s="1">
        <v>0.7</v>
      </c>
      <c r="I4" s="1">
        <v>0.5</v>
      </c>
      <c r="J4" s="2" t="s">
        <v>22</v>
      </c>
      <c r="K4" s="7">
        <v>0.05</v>
      </c>
      <c r="L4" s="8">
        <v>0.4</v>
      </c>
      <c r="M4" s="7">
        <v>0.05</v>
      </c>
      <c r="N4" s="9">
        <f>(G4+H4+I4)*1.1</f>
        <v>25.153333333333336</v>
      </c>
      <c r="O4" s="6">
        <v>24.704899999999999</v>
      </c>
      <c r="P4" s="10">
        <f t="shared" ref="P4:P10" si="0">(N4-O4)/O4</f>
        <v>1.8151594757855223E-2</v>
      </c>
      <c r="Q4" s="11">
        <f>VLOOKUP(A4,[1]致远ZY!$B$9:$J$16,9,0)</f>
        <v>16910</v>
      </c>
      <c r="R4" s="16">
        <v>25.5533</v>
      </c>
      <c r="S4" s="15">
        <v>25.15</v>
      </c>
      <c r="T4" s="18">
        <v>25.15</v>
      </c>
    </row>
    <row r="5" spans="1:20" ht="32.25" customHeight="1" x14ac:dyDescent="0.2">
      <c r="A5" s="3" t="s">
        <v>23</v>
      </c>
      <c r="B5" s="4" t="s">
        <v>24</v>
      </c>
      <c r="C5" s="4" t="s">
        <v>21</v>
      </c>
      <c r="D5" s="5">
        <f t="shared" ref="D5" si="1">(1.22*2.44)/(1.79*0.385)</f>
        <v>4.3195240513676261</v>
      </c>
      <c r="E5" s="1">
        <v>3</v>
      </c>
      <c r="F5" s="1">
        <v>65</v>
      </c>
      <c r="G5" s="6">
        <f t="shared" ref="G5:G10" si="2">F5/E5</f>
        <v>21.666666666666668</v>
      </c>
      <c r="H5" s="1">
        <v>0.7</v>
      </c>
      <c r="I5" s="1">
        <v>0.5</v>
      </c>
      <c r="J5" s="2" t="s">
        <v>22</v>
      </c>
      <c r="K5" s="7">
        <v>0.05</v>
      </c>
      <c r="L5" s="8">
        <v>0.4</v>
      </c>
      <c r="M5" s="7">
        <v>0.05</v>
      </c>
      <c r="N5" s="9">
        <f t="shared" ref="N5:N10" si="3">(G5+H5+I5)*1.1</f>
        <v>25.153333333333336</v>
      </c>
      <c r="O5" s="6">
        <v>21.674700000000001</v>
      </c>
      <c r="P5" s="10">
        <f t="shared" si="0"/>
        <v>0.16049280189960344</v>
      </c>
      <c r="Q5" s="11">
        <f>VLOOKUP(A5,[1]致远ZY!$B$9:$J$16,9,0)</f>
        <v>2599</v>
      </c>
      <c r="R5" s="16">
        <v>25.5533</v>
      </c>
      <c r="S5" s="15">
        <v>25.15</v>
      </c>
      <c r="T5" s="18">
        <v>25.15</v>
      </c>
    </row>
    <row r="6" spans="1:20" ht="32.25" customHeight="1" x14ac:dyDescent="0.2">
      <c r="A6" s="3" t="s">
        <v>25</v>
      </c>
      <c r="B6" s="4" t="s">
        <v>26</v>
      </c>
      <c r="C6" s="4" t="s">
        <v>27</v>
      </c>
      <c r="D6" s="5">
        <f>(1.22*2.44)/(1.92*0.585)</f>
        <v>2.6502849002849</v>
      </c>
      <c r="E6" s="1">
        <v>2</v>
      </c>
      <c r="F6" s="1">
        <v>65</v>
      </c>
      <c r="G6" s="6">
        <f t="shared" si="2"/>
        <v>32.5</v>
      </c>
      <c r="H6" s="1">
        <v>0.7</v>
      </c>
      <c r="I6" s="1">
        <v>0.5</v>
      </c>
      <c r="J6" s="2" t="s">
        <v>22</v>
      </c>
      <c r="K6" s="7">
        <v>0.05</v>
      </c>
      <c r="L6" s="8">
        <v>0.4</v>
      </c>
      <c r="M6" s="7">
        <v>0.05</v>
      </c>
      <c r="N6" s="9">
        <f t="shared" si="3"/>
        <v>37.070000000000007</v>
      </c>
      <c r="O6" s="6">
        <v>35.895000000000003</v>
      </c>
      <c r="P6" s="10">
        <f t="shared" si="0"/>
        <v>3.2734364117565237E-2</v>
      </c>
      <c r="Q6" s="11">
        <f>VLOOKUP(A6,[1]致远ZY!$B$9:$J$16,9,0)</f>
        <v>27550</v>
      </c>
      <c r="R6" s="16">
        <v>37.47</v>
      </c>
      <c r="S6" s="15">
        <v>37.07</v>
      </c>
      <c r="T6" s="18">
        <v>37.07</v>
      </c>
    </row>
    <row r="7" spans="1:20" ht="32.25" customHeight="1" x14ac:dyDescent="0.2">
      <c r="A7" s="3" t="s">
        <v>28</v>
      </c>
      <c r="B7" s="4" t="s">
        <v>29</v>
      </c>
      <c r="C7" s="4" t="s">
        <v>30</v>
      </c>
      <c r="D7" s="5">
        <f>(1.22*2.44)/(1.71*0.495)</f>
        <v>3.5168054817177627</v>
      </c>
      <c r="E7" s="1">
        <v>2</v>
      </c>
      <c r="F7" s="1">
        <v>65</v>
      </c>
      <c r="G7" s="6">
        <f t="shared" si="2"/>
        <v>32.5</v>
      </c>
      <c r="H7" s="1">
        <v>0.7</v>
      </c>
      <c r="I7" s="1">
        <v>0.5</v>
      </c>
      <c r="J7" s="2" t="s">
        <v>22</v>
      </c>
      <c r="K7" s="7">
        <v>0.05</v>
      </c>
      <c r="L7" s="8">
        <v>0.4</v>
      </c>
      <c r="M7" s="7">
        <v>0.05</v>
      </c>
      <c r="N7" s="9">
        <f t="shared" si="3"/>
        <v>37.070000000000007</v>
      </c>
      <c r="O7" s="6">
        <v>24.035299999999999</v>
      </c>
      <c r="P7" s="10">
        <f>(N7-O7)/O7</f>
        <v>0.54231484524844742</v>
      </c>
      <c r="Q7" s="11">
        <f>VLOOKUP(A7,[1]致远ZY!$B$9:$J$16,9,0)</f>
        <v>9</v>
      </c>
      <c r="R7" s="16">
        <v>24.035299999999999</v>
      </c>
      <c r="S7" s="15">
        <v>37.07</v>
      </c>
      <c r="T7" s="18">
        <v>24.04</v>
      </c>
    </row>
    <row r="8" spans="1:20" ht="32.25" customHeight="1" x14ac:dyDescent="0.2">
      <c r="A8" s="3" t="s">
        <v>31</v>
      </c>
      <c r="B8" s="4" t="s">
        <v>32</v>
      </c>
      <c r="C8" s="4" t="s">
        <v>33</v>
      </c>
      <c r="D8" s="5">
        <f>(1.22*2.44)/(1.7*0.455)</f>
        <v>3.8484809308338721</v>
      </c>
      <c r="E8" s="1">
        <v>2</v>
      </c>
      <c r="F8" s="1">
        <v>65</v>
      </c>
      <c r="G8" s="6">
        <f t="shared" si="2"/>
        <v>32.5</v>
      </c>
      <c r="H8" s="1">
        <v>0.7</v>
      </c>
      <c r="I8" s="1">
        <v>0.5</v>
      </c>
      <c r="J8" s="2" t="s">
        <v>22</v>
      </c>
      <c r="K8" s="7">
        <v>0.05</v>
      </c>
      <c r="L8" s="8">
        <v>0.4</v>
      </c>
      <c r="M8" s="7">
        <v>0.05</v>
      </c>
      <c r="N8" s="9">
        <f t="shared" si="3"/>
        <v>37.070000000000007</v>
      </c>
      <c r="O8" s="6">
        <v>24.376100000000001</v>
      </c>
      <c r="P8" s="10">
        <f t="shared" si="0"/>
        <v>0.52075188401754202</v>
      </c>
      <c r="Q8" s="11">
        <f>VLOOKUP(A8,[1]致远ZY!$B$9:$J$16,9,0)</f>
        <v>285</v>
      </c>
      <c r="R8" s="16">
        <v>25</v>
      </c>
      <c r="S8" s="15">
        <v>37.07</v>
      </c>
      <c r="T8" s="18">
        <v>25</v>
      </c>
    </row>
    <row r="9" spans="1:20" ht="32.25" customHeight="1" x14ac:dyDescent="0.2">
      <c r="A9" s="3" t="s">
        <v>34</v>
      </c>
      <c r="B9" s="4" t="s">
        <v>35</v>
      </c>
      <c r="C9" s="4" t="s">
        <v>30</v>
      </c>
      <c r="D9" s="5">
        <f>(1.22*2.44)/(1.71*0.495)</f>
        <v>3.5168054817177627</v>
      </c>
      <c r="E9" s="1">
        <v>2</v>
      </c>
      <c r="F9" s="1">
        <v>65</v>
      </c>
      <c r="G9" s="6">
        <f t="shared" si="2"/>
        <v>32.5</v>
      </c>
      <c r="H9" s="1">
        <v>0.7</v>
      </c>
      <c r="I9" s="1">
        <v>0.5</v>
      </c>
      <c r="J9" s="2" t="s">
        <v>22</v>
      </c>
      <c r="K9" s="7">
        <v>0.05</v>
      </c>
      <c r="L9" s="8">
        <v>0.4</v>
      </c>
      <c r="M9" s="7">
        <v>0.05</v>
      </c>
      <c r="N9" s="9">
        <f t="shared" si="3"/>
        <v>37.070000000000007</v>
      </c>
      <c r="O9" s="6">
        <v>24.035299999999999</v>
      </c>
      <c r="P9" s="10">
        <f t="shared" si="0"/>
        <v>0.54231484524844742</v>
      </c>
      <c r="Q9" s="11">
        <f>VLOOKUP(A9,[1]致远ZY!$B$9:$J$16,9,0)</f>
        <v>246</v>
      </c>
      <c r="R9" s="16">
        <v>25</v>
      </c>
      <c r="S9" s="15">
        <v>37.07</v>
      </c>
      <c r="T9" s="18">
        <v>25</v>
      </c>
    </row>
    <row r="10" spans="1:20" ht="32.25" customHeight="1" x14ac:dyDescent="0.2">
      <c r="A10" s="3" t="s">
        <v>36</v>
      </c>
      <c r="B10" s="4" t="s">
        <v>37</v>
      </c>
      <c r="C10" s="4" t="s">
        <v>38</v>
      </c>
      <c r="D10" s="5">
        <f>(1.22*2.44)/(1.715*0.482)</f>
        <v>3.6011274693635604</v>
      </c>
      <c r="E10" s="1">
        <v>3</v>
      </c>
      <c r="F10" s="1">
        <v>65</v>
      </c>
      <c r="G10" s="6">
        <f t="shared" si="2"/>
        <v>21.666666666666668</v>
      </c>
      <c r="H10" s="1">
        <v>0.7</v>
      </c>
      <c r="I10" s="1">
        <v>0.5</v>
      </c>
      <c r="J10" s="2" t="s">
        <v>22</v>
      </c>
      <c r="K10" s="7">
        <v>0.05</v>
      </c>
      <c r="L10" s="8">
        <v>0.4</v>
      </c>
      <c r="M10" s="7">
        <v>0.05</v>
      </c>
      <c r="N10" s="9">
        <f t="shared" si="3"/>
        <v>25.153333333333336</v>
      </c>
      <c r="O10" s="6">
        <v>21.674700000000001</v>
      </c>
      <c r="P10" s="10">
        <f t="shared" si="0"/>
        <v>0.16049280189960344</v>
      </c>
      <c r="Q10" s="11">
        <f>VLOOKUP(A10,[1]致远ZY!$B$9:$J$16,9,0)</f>
        <v>6</v>
      </c>
      <c r="R10" s="16">
        <v>21.674700000000001</v>
      </c>
      <c r="S10" s="15">
        <v>25.15</v>
      </c>
      <c r="T10" s="18">
        <v>21.67</v>
      </c>
    </row>
    <row r="11" spans="1:20" ht="31.5" customHeight="1" x14ac:dyDescent="0.2">
      <c r="Q11" s="19" t="s">
        <v>40</v>
      </c>
      <c r="R11" s="19">
        <f>SUMPRODUCT(Q4:Q10,R4:R10)</f>
        <v>1544439.1956000002</v>
      </c>
      <c r="S11" s="19">
        <f>SUMPRODUCT(Q4:Q10,S4:S10)</f>
        <v>1532098.5499999998</v>
      </c>
      <c r="T11" s="19">
        <f>SUMPRODUCT(Q4:Q10,T4:T10)</f>
        <v>1525551.2300000002</v>
      </c>
    </row>
    <row r="12" spans="1:20" ht="26.25" customHeight="1" x14ac:dyDescent="0.2">
      <c r="Q12" s="19" t="s">
        <v>43</v>
      </c>
      <c r="R12" s="19">
        <v>0</v>
      </c>
      <c r="S12" s="19">
        <f>R11-S11</f>
        <v>12340.645600000396</v>
      </c>
      <c r="T12" s="19">
        <f>R11-T11</f>
        <v>18887.965599999996</v>
      </c>
    </row>
  </sheetData>
  <mergeCells count="2">
    <mergeCell ref="A1:N1"/>
    <mergeCell ref="A2:N2"/>
  </mergeCells>
  <phoneticPr fontId="2" type="noConversion"/>
  <conditionalFormatting sqref="A4:A10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木板核算</vt:lpstr>
      <vt:lpstr>图片</vt:lpstr>
      <vt:lpstr>木板核算!Print_Area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2021-09-14T09:28:39Z</dcterms:modified>
</cp:coreProperties>
</file>