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劳务派遣" sheetId="8" r:id="rId2"/>
    <sheet name="临时工" sheetId="9" r:id="rId3"/>
    <sheet name="KSO_Salary_Config" sheetId="4" state="veryHidden" r:id="rId4"/>
  </sheets>
  <externalReferences>
    <externalReference r:id="rId5"/>
  </externalReferences>
  <definedNames>
    <definedName name="_xlnm._FilterDatabase" localSheetId="0" hidden="1">发放!$A$1:$BA$61</definedName>
    <definedName name="_xlnm.Print_Area" localSheetId="0">发放!$A$1:$BA$61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补3-7月绩效工资</t>
        </r>
      </text>
    </commen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U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8月3-5号加班餐补</t>
        </r>
      </text>
    </comment>
    <comment ref="U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补发5月工龄工资</t>
        </r>
      </text>
    </comment>
    <comment ref="U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补发5月工龄工资
</t>
        </r>
      </text>
    </comment>
    <comment ref="U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补发5月工龄工资
</t>
        </r>
      </text>
    </comment>
    <comment ref="U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补发5月工龄工资
</t>
        </r>
      </text>
    </comment>
    <comment ref="U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补发5月工龄工资
代领李磊9小时工资
</t>
        </r>
      </text>
    </comment>
    <comment ref="U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工作服扣款</t>
        </r>
      </text>
    </comment>
    <comment ref="U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补7月个税</t>
        </r>
      </text>
    </comment>
    <comment ref="U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6月8日餐补</t>
        </r>
      </text>
    </comment>
    <comment ref="U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8月5-6号加班餐补</t>
        </r>
      </text>
    </comment>
    <comment ref="L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
</t>
        </r>
      </text>
    </comment>
    <comment ref="L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</commentList>
</comments>
</file>

<file path=xl/sharedStrings.xml><?xml version="1.0" encoding="utf-8"?>
<sst xmlns="http://schemas.openxmlformats.org/spreadsheetml/2006/main" count="670" uniqueCount="425">
  <si>
    <t>成都光华智能汽车部件有限公司2021年8月工资明细表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</si>
  <si>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</si>
  <si>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</si>
  <si>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</si>
  <si>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</si>
  <si>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</si>
  <si>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</si>
  <si>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</si>
  <si>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</si>
  <si>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</si>
  <si>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</si>
  <si>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</si>
  <si>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</si>
  <si>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</si>
  <si>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</si>
  <si>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</si>
  <si>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</si>
  <si>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</si>
  <si>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</si>
  <si>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</si>
  <si>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8月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</si>
  <si>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</si>
  <si>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</si>
  <si>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</si>
  <si>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</si>
  <si>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</si>
  <si>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</si>
  <si>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</si>
  <si>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</si>
  <si>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</si>
  <si>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</si>
  <si>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</si>
  <si>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</si>
  <si>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</si>
  <si>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</si>
  <si>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8月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</si>
  <si>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</si>
  <si>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</si>
  <si>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</si>
  <si>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</si>
  <si>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</si>
  <si>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</si>
  <si>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</si>
  <si>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</si>
  <si>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</si>
  <si>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</si>
  <si>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8.9月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</si>
  <si>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</si>
  <si>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</si>
  <si>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</si>
  <si>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</si>
  <si>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</si>
  <si>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</si>
  <si>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</si>
  <si>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</si>
  <si>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</si>
  <si>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</si>
  <si>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</si>
  <si>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</si>
  <si>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</si>
  <si>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</si>
  <si>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</si>
  <si>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</si>
  <si>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</si>
  <si>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</si>
  <si>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</si>
  <si>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</si>
  <si>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</si>
  <si>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</si>
  <si>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</si>
  <si>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</si>
  <si>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</si>
  <si>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</si>
  <si>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</si>
  <si>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</si>
  <si>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</si>
  <si>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</si>
  <si>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</si>
  <si>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</si>
  <si>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</si>
  <si>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</si>
  <si>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</si>
  <si>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</si>
  <si>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工段长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</si>
  <si>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</si>
  <si>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</si>
  <si>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</si>
  <si>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</si>
  <si>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</si>
  <si>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</si>
  <si>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</si>
  <si>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</si>
  <si>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</si>
  <si>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</si>
  <si>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</si>
  <si>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</si>
  <si>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</si>
  <si>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</si>
  <si>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</si>
  <si>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</si>
  <si>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</si>
  <si>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</si>
  <si>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</si>
  <si>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</si>
  <si>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</si>
  <si>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</si>
  <si>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</si>
  <si>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</si>
  <si>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</si>
  <si>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</si>
  <si>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</si>
  <si>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</si>
  <si>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</si>
  <si>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</si>
  <si>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</si>
  <si>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</si>
  <si>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</si>
  <si>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</si>
  <si>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</si>
  <si>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</si>
  <si>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</si>
  <si>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</si>
  <si>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</si>
  <si>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</si>
  <si>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</si>
  <si>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</si>
  <si>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</si>
  <si>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</si>
  <si>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</si>
  <si>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</si>
  <si>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</si>
  <si>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</si>
  <si>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</si>
  <si>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</si>
  <si>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</si>
  <si>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</si>
  <si>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</si>
  <si>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</si>
  <si>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</si>
  <si>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</si>
  <si>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</si>
  <si>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</si>
  <si>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</si>
  <si>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</si>
  <si>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</si>
  <si>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</si>
  <si>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</si>
  <si>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</si>
  <si>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</si>
  <si>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</si>
  <si>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</si>
  <si>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李清</t>
  </si>
  <si>
    <t>513030199012123924</t>
  </si>
  <si>
    <t xml:space="preserve"> 6215683100030530265 </t>
  </si>
  <si>
    <t>8月30日离职</t>
  </si>
  <si>
    <t>汪德桂</t>
  </si>
  <si>
    <t>513902198602072927</t>
  </si>
  <si>
    <t>6215683100030530919</t>
  </si>
  <si>
    <t>8月出勤161小时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</si>
  <si>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</si>
  <si>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</si>
  <si>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</si>
  <si>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</si>
  <si>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</si>
  <si>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</si>
  <si>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</si>
  <si>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田友军</t>
  </si>
  <si>
    <t>生产管理</t>
  </si>
  <si>
    <t>511102198007014612</t>
  </si>
  <si>
    <t>6215683100021441530</t>
  </si>
  <si>
    <t>李飞</t>
  </si>
  <si>
    <t>生产计划</t>
  </si>
  <si>
    <t>511028199004058022</t>
  </si>
  <si>
    <t>6216603100005890343</t>
  </si>
  <si>
    <t>廖世金</t>
  </si>
  <si>
    <t>配料工</t>
  </si>
  <si>
    <t>6215683100021417175</t>
  </si>
  <si>
    <t>8月出勤140.5小时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</si>
  <si>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</si>
  <si>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</si>
  <si>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</si>
  <si>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</si>
  <si>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</si>
  <si>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</si>
  <si>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</si>
  <si>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</si>
  <si>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</si>
  <si>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</si>
  <si>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</si>
  <si>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</si>
  <si>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</si>
  <si>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</si>
  <si>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</si>
  <si>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陈宣百</t>
  </si>
  <si>
    <t>513029199003126570</t>
  </si>
  <si>
    <t>6215683100030531404</t>
  </si>
  <si>
    <t>补8月社保</t>
  </si>
  <si>
    <t>袁美中</t>
  </si>
  <si>
    <t>排序工</t>
  </si>
  <si>
    <t>510211197311109057</t>
  </si>
  <si>
    <t>6215683100020246138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</si>
  <si>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</si>
  <si>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</si>
  <si>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</si>
  <si>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</si>
  <si>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</si>
  <si>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</si>
  <si>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</si>
  <si>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</si>
  <si>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</si>
  <si>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</si>
  <si>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</si>
  <si>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</si>
  <si>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</si>
  <si>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</si>
  <si>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</si>
  <si>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</si>
  <si>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</si>
  <si>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</si>
  <si>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</si>
  <si>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</si>
  <si>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</si>
  <si>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</si>
  <si>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</si>
  <si>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</si>
  <si>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</si>
  <si>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</si>
  <si>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</si>
  <si>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</si>
  <si>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</si>
  <si>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</si>
  <si>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</si>
  <si>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</si>
  <si>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</si>
  <si>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</si>
  <si>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</si>
  <si>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</si>
  <si>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</si>
  <si>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</si>
  <si>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</si>
  <si>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</si>
  <si>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成都光华智能汽车部件有限公司2021年06月工资明细表</t>
  </si>
  <si>
    <t>考勤时间</t>
  </si>
  <si>
    <t>各项津补贴</t>
  </si>
  <si>
    <t>应发工资</t>
  </si>
  <si>
    <t xml:space="preserve">
实发工资</t>
  </si>
  <si>
    <t>6月
扣款小计</t>
  </si>
  <si>
    <t>张龙彪</t>
  </si>
  <si>
    <t>注塑</t>
  </si>
  <si>
    <t>临时工</t>
  </si>
  <si>
    <t>65.5H</t>
  </si>
  <si>
    <t>6月合计出勤65.5小时</t>
  </si>
  <si>
    <t>6月劳务派遣明细</t>
  </si>
  <si>
    <t>时间</t>
  </si>
  <si>
    <t>用工时常</t>
  </si>
  <si>
    <t>金额（含税）</t>
  </si>
  <si>
    <t>2021.6.9</t>
  </si>
  <si>
    <t>总装</t>
  </si>
  <si>
    <t>质量</t>
  </si>
  <si>
    <t>2021.6.10</t>
  </si>
  <si>
    <t>生管</t>
  </si>
  <si>
    <t>合计</t>
  </si>
  <si>
    <t>制表：</t>
  </si>
  <si>
    <t>用人部门审核：</t>
  </si>
  <si>
    <t>批准：</t>
  </si>
  <si>
    <t>成都光华智能汽车部件有限公司2021年05月工资明细表</t>
  </si>
  <si>
    <t>银行卡号码</t>
  </si>
  <si>
    <t>5月
扣款小计</t>
  </si>
  <si>
    <t>彭士慧</t>
  </si>
  <si>
    <t>510112196807164224</t>
  </si>
  <si>
    <t>6217234402002294197</t>
  </si>
  <si>
    <t>40H</t>
  </si>
  <si>
    <t>王秀丽</t>
  </si>
  <si>
    <t>51012219770224644x</t>
  </si>
  <si>
    <t>6230880006037891503</t>
  </si>
  <si>
    <t>32H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</si>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</sst>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3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6" borderId="3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17" borderId="39" applyNumberFormat="0" applyAlignment="0" applyProtection="0">
      <alignment vertical="center"/>
    </xf>
    <xf numFmtId="0" fontId="0" fillId="0" borderId="0" applyFill="0" applyAlignment="0">
      <alignment vertical="center"/>
    </xf>
    <xf numFmtId="0" fontId="20" fillId="17" borderId="33" applyNumberFormat="0" applyAlignment="0" applyProtection="0">
      <alignment vertical="center"/>
    </xf>
    <xf numFmtId="0" fontId="22" fillId="23" borderId="3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3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 applyAlignment="0"/>
    <xf numFmtId="0" fontId="16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7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</cellStyleXfs>
  <cellXfs count="130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5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3" fillId="0" borderId="26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2" fillId="3" borderId="17" xfId="42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2" fillId="0" borderId="17" xfId="42" applyNumberFormat="1" applyFont="1" applyBorder="1" applyAlignment="1">
      <alignment horizontal="center" vertical="center" wrapText="1"/>
    </xf>
    <xf numFmtId="2" fontId="12" fillId="0" borderId="5" xfId="42" applyNumberFormat="1" applyFont="1" applyBorder="1" applyAlignment="1">
      <alignment horizontal="center" vertical="center" wrapText="1"/>
    </xf>
    <xf numFmtId="2" fontId="12" fillId="0" borderId="5" xfId="42" applyNumberFormat="1" applyFont="1" applyFill="1" applyBorder="1" applyAlignment="1">
      <alignment horizontal="center" vertical="center" wrapText="1"/>
    </xf>
    <xf numFmtId="2" fontId="12" fillId="0" borderId="17" xfId="42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3" fillId="0" borderId="15" xfId="0" applyNumberFormat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176" fontId="13" fillId="0" borderId="31" xfId="0" applyNumberFormat="1" applyFont="1" applyFill="1" applyBorder="1" applyAlignment="1">
      <alignment horizontal="center" vertical="center" shrinkToFit="1"/>
    </xf>
    <xf numFmtId="176" fontId="13" fillId="0" borderId="15" xfId="0" applyNumberFormat="1" applyFont="1" applyFill="1" applyBorder="1" applyAlignment="1">
      <alignment horizontal="center" vertical="center" wrapText="1" shrinkToFit="1"/>
    </xf>
    <xf numFmtId="0" fontId="3" fillId="0" borderId="32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176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0" fontId="0" fillId="0" borderId="5" xfId="0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1"/>
  <sheetViews>
    <sheetView tabSelected="1" workbookViewId="0">
      <pane xSplit="7" ySplit="3" topLeftCell="K4" activePane="bottomRight" state="frozen"/>
      <selection/>
      <selection pane="topRight"/>
      <selection pane="bottomLeft"/>
      <selection pane="bottomRight" activeCell="AZ69" sqref="AZ69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40" customWidth="1"/>
    <col min="8" max="8" width="19.375" style="40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9" customWidth="1"/>
    <col min="19" max="19" width="6" style="39" customWidth="1"/>
    <col min="20" max="20" width="6.375" customWidth="1"/>
    <col min="21" max="21" width="7.875" style="39" customWidth="1"/>
    <col min="22" max="22" width="9.5" style="41" customWidth="1"/>
    <col min="23" max="29" width="9.5" style="41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41" hidden="1" customWidth="1"/>
    <col min="49" max="49" width="6.625" style="41" hidden="1" customWidth="1"/>
    <col min="50" max="50" width="7.5" customWidth="1"/>
    <col min="51" max="51" width="6.375" customWidth="1"/>
    <col min="52" max="52" width="11.125" style="41" customWidth="1"/>
    <col min="53" max="53" width="18.25" customWidth="1"/>
  </cols>
  <sheetData>
    <row r="1" s="2" customFormat="1" ht="41.1" customHeight="1" spans="1:5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80"/>
      <c r="S1" s="80"/>
      <c r="T1" s="42"/>
      <c r="U1" s="80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</row>
    <row r="2" s="16" customFormat="1" ht="22" customHeight="1" spans="1:53">
      <c r="A2" s="4" t="s">
        <v>1</v>
      </c>
      <c r="B2" s="5" t="s">
        <v>2</v>
      </c>
      <c r="C2" s="6" t="s">
        <v>3</v>
      </c>
      <c r="D2" s="6" t="s">
        <v>4</v>
      </c>
      <c r="E2" s="6"/>
      <c r="F2" s="6"/>
      <c r="G2" s="7" t="s">
        <v>5</v>
      </c>
      <c r="H2" s="7" t="s">
        <v>6</v>
      </c>
      <c r="I2" s="6" t="s">
        <v>7</v>
      </c>
      <c r="J2" s="5" t="s">
        <v>8</v>
      </c>
      <c r="K2" s="5" t="s">
        <v>9</v>
      </c>
      <c r="L2" s="71" t="s">
        <v>10</v>
      </c>
      <c r="M2" s="5" t="s">
        <v>11</v>
      </c>
      <c r="N2" s="6" t="s">
        <v>12</v>
      </c>
      <c r="O2" s="6" t="s">
        <v>13</v>
      </c>
      <c r="P2" s="5" t="s">
        <v>14</v>
      </c>
      <c r="Q2" s="5" t="s">
        <v>15</v>
      </c>
      <c r="R2" s="81" t="s">
        <v>16</v>
      </c>
      <c r="S2" s="81" t="s">
        <v>17</v>
      </c>
      <c r="T2" s="6" t="s">
        <v>18</v>
      </c>
      <c r="U2" s="81" t="s">
        <v>19</v>
      </c>
      <c r="V2" s="5" t="s">
        <v>20</v>
      </c>
      <c r="W2" s="82" t="s">
        <v>21</v>
      </c>
      <c r="X2" s="83"/>
      <c r="Y2" s="83"/>
      <c r="Z2" s="83"/>
      <c r="AA2" s="83"/>
      <c r="AB2" s="83"/>
      <c r="AC2" s="92"/>
      <c r="AD2" s="5" t="s">
        <v>22</v>
      </c>
      <c r="AE2" s="5"/>
      <c r="AF2" s="5"/>
      <c r="AG2" s="5"/>
      <c r="AH2" s="5"/>
      <c r="AI2" s="94" t="s">
        <v>23</v>
      </c>
      <c r="AJ2" s="94" t="s">
        <v>24</v>
      </c>
      <c r="AK2" s="94" t="s">
        <v>25</v>
      </c>
      <c r="AL2" s="95" t="s">
        <v>26</v>
      </c>
      <c r="AM2" s="96"/>
      <c r="AN2" s="96"/>
      <c r="AO2" s="96"/>
      <c r="AP2" s="104"/>
      <c r="AQ2" s="105" t="s">
        <v>27</v>
      </c>
      <c r="AR2" s="105" t="s">
        <v>28</v>
      </c>
      <c r="AS2" s="105" t="s">
        <v>29</v>
      </c>
      <c r="AT2" s="105"/>
      <c r="AU2" s="105" t="s">
        <v>30</v>
      </c>
      <c r="AV2" s="94" t="s">
        <v>31</v>
      </c>
      <c r="AW2" s="94" t="s">
        <v>32</v>
      </c>
      <c r="AX2" s="94" t="s">
        <v>33</v>
      </c>
      <c r="AY2" s="5" t="s">
        <v>34</v>
      </c>
      <c r="AZ2" s="5" t="s">
        <v>35</v>
      </c>
      <c r="BA2" s="110" t="s">
        <v>36</v>
      </c>
    </row>
    <row r="3" s="16" customFormat="1" ht="30" customHeight="1" spans="1:53">
      <c r="A3" s="8"/>
      <c r="B3" s="9"/>
      <c r="C3" s="10"/>
      <c r="D3" s="10"/>
      <c r="E3" s="10" t="s">
        <v>37</v>
      </c>
      <c r="F3" s="10" t="s">
        <v>38</v>
      </c>
      <c r="G3" s="11"/>
      <c r="H3" s="11"/>
      <c r="I3" s="10"/>
      <c r="J3" s="9"/>
      <c r="K3" s="9"/>
      <c r="L3" s="72"/>
      <c r="M3" s="9"/>
      <c r="N3" s="10"/>
      <c r="O3" s="10"/>
      <c r="P3" s="9"/>
      <c r="Q3" s="9"/>
      <c r="R3" s="76"/>
      <c r="S3" s="76"/>
      <c r="T3" s="10"/>
      <c r="U3" s="76"/>
      <c r="V3" s="9"/>
      <c r="W3" s="9" t="s">
        <v>39</v>
      </c>
      <c r="X3" s="9" t="s">
        <v>40</v>
      </c>
      <c r="Y3" s="9" t="s">
        <v>41</v>
      </c>
      <c r="Z3" s="9" t="s">
        <v>42</v>
      </c>
      <c r="AA3" s="9" t="s">
        <v>43</v>
      </c>
      <c r="AB3" s="9" t="s">
        <v>44</v>
      </c>
      <c r="AC3" s="9" t="s">
        <v>45</v>
      </c>
      <c r="AD3" s="9" t="s">
        <v>39</v>
      </c>
      <c r="AE3" s="9" t="s">
        <v>41</v>
      </c>
      <c r="AF3" s="9" t="s">
        <v>40</v>
      </c>
      <c r="AG3" s="9" t="s">
        <v>45</v>
      </c>
      <c r="AH3" s="9" t="s">
        <v>46</v>
      </c>
      <c r="AI3" s="94"/>
      <c r="AJ3" s="94"/>
      <c r="AK3" s="94"/>
      <c r="AL3" s="94" t="s">
        <v>47</v>
      </c>
      <c r="AM3" s="94" t="s">
        <v>48</v>
      </c>
      <c r="AN3" s="94" t="s">
        <v>49</v>
      </c>
      <c r="AO3" s="94" t="s">
        <v>50</v>
      </c>
      <c r="AP3" s="94" t="s">
        <v>51</v>
      </c>
      <c r="AQ3" s="106"/>
      <c r="AR3" s="106"/>
      <c r="AS3" s="106"/>
      <c r="AT3" s="106" t="s">
        <v>52</v>
      </c>
      <c r="AU3" s="106"/>
      <c r="AV3" s="94"/>
      <c r="AW3" s="94"/>
      <c r="AX3" s="94"/>
      <c r="AY3" s="9"/>
      <c r="AZ3" s="9"/>
      <c r="BA3" s="111"/>
    </row>
    <row r="4" s="17" customFormat="1" ht="25" customHeight="1" spans="1:53">
      <c r="A4" s="22">
        <v>1</v>
      </c>
      <c r="B4" s="43" t="s">
        <v>53</v>
      </c>
      <c r="C4" s="44" t="s">
        <v>54</v>
      </c>
      <c r="D4" s="44" t="s">
        <v>55</v>
      </c>
      <c r="E4" s="44" t="s">
        <v>56</v>
      </c>
      <c r="F4" s="44" t="s">
        <v>57</v>
      </c>
      <c r="G4" s="45" t="s">
        <v>58</v>
      </c>
      <c r="H4" s="45" t="s">
        <v>59</v>
      </c>
      <c r="I4" s="43"/>
      <c r="J4" s="73">
        <v>1830</v>
      </c>
      <c r="K4" s="73">
        <v>5500</v>
      </c>
      <c r="L4" s="74">
        <f>3337</f>
        <v>3337</v>
      </c>
      <c r="M4" s="73">
        <v>200</v>
      </c>
      <c r="N4" s="73">
        <v>100</v>
      </c>
      <c r="O4" s="75">
        <v>1000</v>
      </c>
      <c r="P4" s="43">
        <v>20</v>
      </c>
      <c r="Q4" s="44"/>
      <c r="R4" s="44"/>
      <c r="S4" s="44"/>
      <c r="T4" s="73"/>
      <c r="U4" s="9">
        <v>692.45</v>
      </c>
      <c r="V4" s="84">
        <f>SUM(J4:S4)-T4+U4</f>
        <v>12679.45</v>
      </c>
      <c r="W4" s="85">
        <v>462.08</v>
      </c>
      <c r="X4" s="85">
        <v>19.42</v>
      </c>
      <c r="Y4" s="85">
        <v>210.34</v>
      </c>
      <c r="Z4" s="85">
        <v>32.36</v>
      </c>
      <c r="AA4" s="85">
        <v>7.28</v>
      </c>
      <c r="AB4" s="85">
        <v>25.89</v>
      </c>
      <c r="AC4" s="85">
        <v>137</v>
      </c>
      <c r="AD4" s="44">
        <v>294</v>
      </c>
      <c r="AE4" s="44">
        <v>73.5</v>
      </c>
      <c r="AF4" s="44">
        <v>14.7</v>
      </c>
      <c r="AG4" s="73">
        <v>137</v>
      </c>
      <c r="AH4" s="73">
        <f>SUM(AD4:AG4)</f>
        <v>519.2</v>
      </c>
      <c r="AI4" s="97">
        <v>94110.64</v>
      </c>
      <c r="AJ4" s="98">
        <v>40000</v>
      </c>
      <c r="AK4" s="98">
        <v>4061.49</v>
      </c>
      <c r="AL4" s="84"/>
      <c r="AM4" s="84"/>
      <c r="AN4" s="84">
        <v>4000</v>
      </c>
      <c r="AO4" s="84"/>
      <c r="AP4" s="84"/>
      <c r="AQ4" s="97">
        <f>V4+AI4</f>
        <v>106790.09</v>
      </c>
      <c r="AR4" s="97">
        <f>AH4+AK4</f>
        <v>4580.69</v>
      </c>
      <c r="AS4" s="107">
        <f>AJ4+5000</f>
        <v>45000</v>
      </c>
      <c r="AT4" s="98">
        <f>AL4+AM4+AN4+AO4+AP4+500</f>
        <v>4500</v>
      </c>
      <c r="AU4" s="97">
        <f>AQ4-AR4-AS4-AT4</f>
        <v>52709.4</v>
      </c>
      <c r="AV4" s="108">
        <f>5*MAX(0,AU4*{0.6;2;4;5;6;7;9}%-{0;504;3384;6384;10584;17184;36384})</f>
        <v>2750.94</v>
      </c>
      <c r="AW4" s="98">
        <v>2084.92</v>
      </c>
      <c r="AX4" s="108">
        <f>IF(+AV4-AW4&gt;0,AV4-AW4,0)</f>
        <v>666.02</v>
      </c>
      <c r="AY4" s="84"/>
      <c r="AZ4" s="112">
        <f>V4-AH4-AX4</f>
        <v>11494.23</v>
      </c>
      <c r="BA4" s="113"/>
    </row>
    <row r="5" s="17" customFormat="1" ht="30" customHeight="1" spans="1:53">
      <c r="A5" s="46"/>
      <c r="B5" s="25" t="s">
        <v>60</v>
      </c>
      <c r="C5" s="26"/>
      <c r="D5" s="47"/>
      <c r="E5" s="47"/>
      <c r="F5" s="47"/>
      <c r="G5" s="48"/>
      <c r="H5" s="48"/>
      <c r="I5" s="10"/>
      <c r="J5" s="76">
        <f>SUM(J4:J4)</f>
        <v>1830</v>
      </c>
      <c r="K5" s="76">
        <f t="shared" ref="J5:O5" si="0">SUM(K4:K4)</f>
        <v>5500</v>
      </c>
      <c r="L5" s="76">
        <f t="shared" si="0"/>
        <v>3337</v>
      </c>
      <c r="M5" s="76">
        <f t="shared" si="0"/>
        <v>200</v>
      </c>
      <c r="N5" s="76">
        <f t="shared" si="0"/>
        <v>100</v>
      </c>
      <c r="O5" s="76">
        <f t="shared" si="0"/>
        <v>1000</v>
      </c>
      <c r="P5" s="76">
        <f t="shared" ref="K5:AZ5" si="1">SUM(P4:P4)</f>
        <v>20</v>
      </c>
      <c r="Q5" s="76">
        <f t="shared" si="1"/>
        <v>0</v>
      </c>
      <c r="R5" s="76">
        <f t="shared" si="1"/>
        <v>0</v>
      </c>
      <c r="S5" s="76">
        <f t="shared" si="1"/>
        <v>0</v>
      </c>
      <c r="T5" s="76">
        <f t="shared" si="1"/>
        <v>0</v>
      </c>
      <c r="U5" s="76">
        <f t="shared" si="1"/>
        <v>692.45</v>
      </c>
      <c r="V5" s="86">
        <f t="shared" si="1"/>
        <v>12679.45</v>
      </c>
      <c r="W5" s="9">
        <f t="shared" si="1"/>
        <v>462.08</v>
      </c>
      <c r="X5" s="9">
        <f t="shared" si="1"/>
        <v>19.42</v>
      </c>
      <c r="Y5" s="9">
        <f t="shared" si="1"/>
        <v>210.34</v>
      </c>
      <c r="Z5" s="9">
        <f t="shared" si="1"/>
        <v>32.36</v>
      </c>
      <c r="AA5" s="9">
        <f t="shared" si="1"/>
        <v>7.28</v>
      </c>
      <c r="AB5" s="9">
        <f t="shared" si="1"/>
        <v>25.89</v>
      </c>
      <c r="AC5" s="9">
        <f t="shared" si="1"/>
        <v>137</v>
      </c>
      <c r="AD5" s="86">
        <f t="shared" si="1"/>
        <v>294</v>
      </c>
      <c r="AE5" s="86">
        <f t="shared" si="1"/>
        <v>73.5</v>
      </c>
      <c r="AF5" s="86">
        <f t="shared" si="1"/>
        <v>14.7</v>
      </c>
      <c r="AG5" s="86">
        <f t="shared" si="1"/>
        <v>137</v>
      </c>
      <c r="AH5" s="86">
        <f t="shared" si="1"/>
        <v>519.2</v>
      </c>
      <c r="AI5" s="86">
        <f t="shared" si="1"/>
        <v>94110.64</v>
      </c>
      <c r="AJ5" s="86">
        <f t="shared" si="1"/>
        <v>40000</v>
      </c>
      <c r="AK5" s="86">
        <f t="shared" si="1"/>
        <v>4061.49</v>
      </c>
      <c r="AL5" s="86">
        <f t="shared" si="1"/>
        <v>0</v>
      </c>
      <c r="AM5" s="86">
        <f t="shared" si="1"/>
        <v>0</v>
      </c>
      <c r="AN5" s="86">
        <f t="shared" si="1"/>
        <v>4000</v>
      </c>
      <c r="AO5" s="86">
        <f t="shared" si="1"/>
        <v>0</v>
      </c>
      <c r="AP5" s="86">
        <f t="shared" si="1"/>
        <v>0</v>
      </c>
      <c r="AQ5" s="86">
        <f t="shared" si="1"/>
        <v>106790.09</v>
      </c>
      <c r="AR5" s="86">
        <f t="shared" si="1"/>
        <v>4580.69</v>
      </c>
      <c r="AS5" s="86">
        <f t="shared" si="1"/>
        <v>45000</v>
      </c>
      <c r="AT5" s="86">
        <f t="shared" si="1"/>
        <v>4500</v>
      </c>
      <c r="AU5" s="86">
        <f t="shared" si="1"/>
        <v>52709.4</v>
      </c>
      <c r="AV5" s="86">
        <f t="shared" si="1"/>
        <v>2750.94</v>
      </c>
      <c r="AW5" s="86">
        <f t="shared" si="1"/>
        <v>2084.92</v>
      </c>
      <c r="AX5" s="86">
        <f t="shared" si="1"/>
        <v>666.02</v>
      </c>
      <c r="AY5" s="76">
        <f t="shared" si="1"/>
        <v>0</v>
      </c>
      <c r="AZ5" s="86">
        <f t="shared" si="1"/>
        <v>11494.23</v>
      </c>
      <c r="BA5" s="114"/>
    </row>
    <row r="6" s="17" customFormat="1" ht="25" customHeight="1" spans="1:53">
      <c r="A6" s="22">
        <v>2</v>
      </c>
      <c r="B6" s="43" t="s">
        <v>61</v>
      </c>
      <c r="C6" s="44" t="s">
        <v>62</v>
      </c>
      <c r="D6" s="44" t="s">
        <v>63</v>
      </c>
      <c r="E6" s="44" t="s">
        <v>56</v>
      </c>
      <c r="F6" s="44" t="s">
        <v>57</v>
      </c>
      <c r="G6" s="45" t="s">
        <v>64</v>
      </c>
      <c r="H6" s="45" t="s">
        <v>65</v>
      </c>
      <c r="I6" s="44"/>
      <c r="J6" s="73">
        <v>1830</v>
      </c>
      <c r="K6" s="73">
        <f>3500</f>
        <v>3500</v>
      </c>
      <c r="L6" s="73">
        <f>2670*1.099</f>
        <v>2934.33</v>
      </c>
      <c r="M6" s="73">
        <v>200</v>
      </c>
      <c r="N6" s="73">
        <v>100</v>
      </c>
      <c r="O6" s="73"/>
      <c r="P6" s="73">
        <v>20</v>
      </c>
      <c r="Q6" s="73"/>
      <c r="R6" s="73"/>
      <c r="S6" s="73"/>
      <c r="T6" s="73"/>
      <c r="U6" s="76">
        <v>36</v>
      </c>
      <c r="V6" s="84">
        <f>SUM(J6:S6)-T6+U6</f>
        <v>8620.33</v>
      </c>
      <c r="W6" s="85">
        <v>462.08</v>
      </c>
      <c r="X6" s="85">
        <v>19.42</v>
      </c>
      <c r="Y6" s="85">
        <v>210.34</v>
      </c>
      <c r="Z6" s="85">
        <v>32.36</v>
      </c>
      <c r="AA6" s="85">
        <v>7.28</v>
      </c>
      <c r="AB6" s="85">
        <v>25.89</v>
      </c>
      <c r="AC6" s="73">
        <f>107</f>
        <v>107</v>
      </c>
      <c r="AD6" s="44">
        <v>294</v>
      </c>
      <c r="AE6" s="44">
        <v>73.5</v>
      </c>
      <c r="AF6" s="44">
        <v>14.7</v>
      </c>
      <c r="AG6" s="73">
        <f>137</f>
        <v>137</v>
      </c>
      <c r="AH6" s="73">
        <f>SUM(AD6:AG6)</f>
        <v>519.2</v>
      </c>
      <c r="AI6" s="84">
        <v>69973.23</v>
      </c>
      <c r="AJ6" s="99">
        <v>40000</v>
      </c>
      <c r="AK6" s="73">
        <v>4003.42</v>
      </c>
      <c r="AL6" s="98"/>
      <c r="AM6" s="98"/>
      <c r="AN6" s="99">
        <v>8000</v>
      </c>
      <c r="AO6" s="99"/>
      <c r="AP6" s="98"/>
      <c r="AQ6" s="97">
        <f>V6+AI6</f>
        <v>78593.56</v>
      </c>
      <c r="AR6" s="97">
        <f>AH6+AK6</f>
        <v>4522.62</v>
      </c>
      <c r="AS6" s="107">
        <f>AJ6+5000</f>
        <v>45000</v>
      </c>
      <c r="AT6" s="107">
        <f>AN6+1000</f>
        <v>9000</v>
      </c>
      <c r="AU6" s="97">
        <f>AQ6-AR6-AS6-AT6</f>
        <v>20070.94</v>
      </c>
      <c r="AV6" s="108">
        <f>5*MAX(0,AU6*{0.6;2;4;5;6;7;9}%-{0;504;3384;6384;10584;17184;36384})</f>
        <v>602.13</v>
      </c>
      <c r="AW6" s="108">
        <v>539.09</v>
      </c>
      <c r="AX6" s="108">
        <f>IF(+AV6-AW6&gt;0,AV6-AW6,0)</f>
        <v>63.04</v>
      </c>
      <c r="AY6" s="76"/>
      <c r="AZ6" s="112">
        <f>V6-AH6-AX6</f>
        <v>8038.09</v>
      </c>
      <c r="BA6" s="115"/>
    </row>
    <row r="7" s="17" customFormat="1" ht="25" customHeight="1" spans="1:53">
      <c r="A7" s="22">
        <v>3</v>
      </c>
      <c r="B7" s="43" t="s">
        <v>66</v>
      </c>
      <c r="C7" s="44" t="s">
        <v>62</v>
      </c>
      <c r="D7" s="44" t="s">
        <v>67</v>
      </c>
      <c r="E7" s="44" t="s">
        <v>56</v>
      </c>
      <c r="F7" s="44" t="s">
        <v>68</v>
      </c>
      <c r="G7" s="45" t="s">
        <v>69</v>
      </c>
      <c r="H7" s="45" t="s">
        <v>70</v>
      </c>
      <c r="I7" s="44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87"/>
      <c r="V7" s="84">
        <v>1100</v>
      </c>
      <c r="W7" s="85"/>
      <c r="X7" s="85"/>
      <c r="Y7" s="85"/>
      <c r="Z7" s="85"/>
      <c r="AA7" s="85"/>
      <c r="AB7" s="85"/>
      <c r="AC7" s="73"/>
      <c r="AD7" s="93"/>
      <c r="AE7" s="85"/>
      <c r="AF7" s="85"/>
      <c r="AG7" s="73"/>
      <c r="AH7" s="73"/>
      <c r="AI7" s="97">
        <v>7700</v>
      </c>
      <c r="AJ7" s="100">
        <v>35000</v>
      </c>
      <c r="AK7" s="73">
        <v>0</v>
      </c>
      <c r="AL7" s="98"/>
      <c r="AM7" s="98"/>
      <c r="AN7" s="100"/>
      <c r="AO7" s="100"/>
      <c r="AP7" s="98"/>
      <c r="AQ7" s="97">
        <f>V7+AI7</f>
        <v>8800</v>
      </c>
      <c r="AR7" s="97">
        <f>AH7+AK7</f>
        <v>0</v>
      </c>
      <c r="AS7" s="107">
        <f>AJ7+5000</f>
        <v>40000</v>
      </c>
      <c r="AT7" s="107"/>
      <c r="AU7" s="97">
        <f>AQ7-AR7-AS7-AT7</f>
        <v>-31200</v>
      </c>
      <c r="AV7" s="108">
        <f>5*MAX(0,AU7*{0.6;2;4;5;6;7;9}%-{0;504;3384;6384;10584;17184;36384})</f>
        <v>0</v>
      </c>
      <c r="AW7" s="116"/>
      <c r="AX7" s="108">
        <f>IF(+AV7-AW7&gt;0,AV7-AW7,0)</f>
        <v>0</v>
      </c>
      <c r="AY7" s="47"/>
      <c r="AZ7" s="112">
        <f>V7-AH7-AX7</f>
        <v>1100</v>
      </c>
      <c r="BA7" s="115"/>
    </row>
    <row r="8" s="17" customFormat="1" ht="22" customHeight="1" spans="1:53">
      <c r="A8" s="49"/>
      <c r="B8" s="25" t="s">
        <v>71</v>
      </c>
      <c r="C8" s="26"/>
      <c r="D8" s="24"/>
      <c r="E8" s="24"/>
      <c r="F8" s="24"/>
      <c r="G8" s="50"/>
      <c r="H8" s="50"/>
      <c r="I8" s="24"/>
      <c r="J8" s="77">
        <f t="shared" ref="J8:O8" si="2">SUM(J6:J7)</f>
        <v>1830</v>
      </c>
      <c r="K8" s="77">
        <f t="shared" si="2"/>
        <v>3500</v>
      </c>
      <c r="L8" s="77">
        <f t="shared" si="2"/>
        <v>2934.33</v>
      </c>
      <c r="M8" s="77">
        <f t="shared" si="2"/>
        <v>200</v>
      </c>
      <c r="N8" s="77">
        <f t="shared" si="2"/>
        <v>100</v>
      </c>
      <c r="O8" s="77">
        <f t="shared" si="2"/>
        <v>0</v>
      </c>
      <c r="P8" s="77">
        <f t="shared" ref="P8:V8" si="3">SUM(P6:P7)</f>
        <v>20</v>
      </c>
      <c r="Q8" s="77">
        <f t="shared" si="3"/>
        <v>0</v>
      </c>
      <c r="R8" s="77">
        <f t="shared" si="3"/>
        <v>0</v>
      </c>
      <c r="S8" s="77">
        <f t="shared" si="3"/>
        <v>0</v>
      </c>
      <c r="T8" s="77">
        <f t="shared" si="3"/>
        <v>0</v>
      </c>
      <c r="U8" s="77">
        <f t="shared" si="3"/>
        <v>36</v>
      </c>
      <c r="V8" s="86">
        <f t="shared" si="3"/>
        <v>9720.33</v>
      </c>
      <c r="W8" s="86">
        <f t="shared" ref="W8:AZ8" si="4">SUM(W6:W7)</f>
        <v>462.08</v>
      </c>
      <c r="X8" s="86">
        <f t="shared" si="4"/>
        <v>19.42</v>
      </c>
      <c r="Y8" s="86">
        <f t="shared" si="4"/>
        <v>210.34</v>
      </c>
      <c r="Z8" s="86">
        <f t="shared" si="4"/>
        <v>32.36</v>
      </c>
      <c r="AA8" s="86">
        <f t="shared" si="4"/>
        <v>7.28</v>
      </c>
      <c r="AB8" s="86">
        <f t="shared" si="4"/>
        <v>25.89</v>
      </c>
      <c r="AC8" s="86">
        <f t="shared" si="4"/>
        <v>107</v>
      </c>
      <c r="AD8" s="86">
        <f t="shared" si="4"/>
        <v>294</v>
      </c>
      <c r="AE8" s="86">
        <f t="shared" si="4"/>
        <v>73.5</v>
      </c>
      <c r="AF8" s="86">
        <f t="shared" si="4"/>
        <v>14.7</v>
      </c>
      <c r="AG8" s="86">
        <f t="shared" si="4"/>
        <v>137</v>
      </c>
      <c r="AH8" s="86">
        <f t="shared" si="4"/>
        <v>519.2</v>
      </c>
      <c r="AI8" s="86">
        <f t="shared" si="4"/>
        <v>77673.23</v>
      </c>
      <c r="AJ8" s="86">
        <f t="shared" si="4"/>
        <v>75000</v>
      </c>
      <c r="AK8" s="86">
        <f t="shared" si="4"/>
        <v>4003.42</v>
      </c>
      <c r="AL8" s="86">
        <f t="shared" si="4"/>
        <v>0</v>
      </c>
      <c r="AM8" s="86">
        <f t="shared" si="4"/>
        <v>0</v>
      </c>
      <c r="AN8" s="86">
        <f t="shared" si="4"/>
        <v>8000</v>
      </c>
      <c r="AO8" s="86">
        <f t="shared" si="4"/>
        <v>0</v>
      </c>
      <c r="AP8" s="86">
        <f t="shared" si="4"/>
        <v>0</v>
      </c>
      <c r="AQ8" s="86">
        <f t="shared" si="4"/>
        <v>87393.56</v>
      </c>
      <c r="AR8" s="86">
        <f t="shared" si="4"/>
        <v>4522.62</v>
      </c>
      <c r="AS8" s="86">
        <f t="shared" si="4"/>
        <v>85000</v>
      </c>
      <c r="AT8" s="86">
        <f t="shared" si="4"/>
        <v>9000</v>
      </c>
      <c r="AU8" s="86">
        <f t="shared" si="4"/>
        <v>-11129.06</v>
      </c>
      <c r="AV8" s="86">
        <f t="shared" si="4"/>
        <v>602.13</v>
      </c>
      <c r="AW8" s="86">
        <f t="shared" si="4"/>
        <v>539.09</v>
      </c>
      <c r="AX8" s="86">
        <f t="shared" si="4"/>
        <v>63.04</v>
      </c>
      <c r="AY8" s="86">
        <f t="shared" si="4"/>
        <v>0</v>
      </c>
      <c r="AZ8" s="86">
        <f t="shared" si="4"/>
        <v>9138.09</v>
      </c>
      <c r="BA8" s="36"/>
    </row>
    <row r="9" s="17" customFormat="1" ht="25" customHeight="1" spans="1:53">
      <c r="A9" s="22">
        <v>4</v>
      </c>
      <c r="B9" s="51" t="s">
        <v>72</v>
      </c>
      <c r="C9" s="44" t="s">
        <v>73</v>
      </c>
      <c r="D9" s="44" t="s">
        <v>63</v>
      </c>
      <c r="E9" s="44" t="s">
        <v>56</v>
      </c>
      <c r="F9" s="44" t="s">
        <v>57</v>
      </c>
      <c r="G9" s="45" t="s">
        <v>74</v>
      </c>
      <c r="H9" s="45" t="s">
        <v>75</v>
      </c>
      <c r="I9" s="44"/>
      <c r="J9" s="73">
        <v>1830</v>
      </c>
      <c r="K9" s="73">
        <f>2800+200</f>
        <v>3000</v>
      </c>
      <c r="L9" s="73">
        <f>(1870+100)*1.02</f>
        <v>2009.4</v>
      </c>
      <c r="M9" s="73">
        <v>200</v>
      </c>
      <c r="N9" s="73">
        <v>100</v>
      </c>
      <c r="O9" s="73"/>
      <c r="P9" s="73">
        <v>20</v>
      </c>
      <c r="Q9" s="73"/>
      <c r="R9" s="73"/>
      <c r="S9" s="73"/>
      <c r="T9" s="73"/>
      <c r="U9" s="73"/>
      <c r="V9" s="84">
        <f>SUM(J9:S9)-T9+U9</f>
        <v>7159.4</v>
      </c>
      <c r="W9" s="85"/>
      <c r="X9" s="85"/>
      <c r="Y9" s="85"/>
      <c r="Z9" s="85"/>
      <c r="AA9" s="85"/>
      <c r="AB9" s="85"/>
      <c r="AC9" s="73"/>
      <c r="AD9" s="44">
        <v>294</v>
      </c>
      <c r="AE9" s="44">
        <v>73.5</v>
      </c>
      <c r="AF9" s="44">
        <v>14.7</v>
      </c>
      <c r="AG9" s="75">
        <f>119</f>
        <v>119</v>
      </c>
      <c r="AH9" s="73">
        <f>SUM(AD9:AG9)</f>
        <v>501.2</v>
      </c>
      <c r="AI9" s="84">
        <v>53658.38</v>
      </c>
      <c r="AJ9" s="100">
        <v>40000</v>
      </c>
      <c r="AK9" s="73">
        <v>3907.42</v>
      </c>
      <c r="AL9" s="100"/>
      <c r="AM9" s="100">
        <v>8000</v>
      </c>
      <c r="AN9" s="100"/>
      <c r="AO9" s="100"/>
      <c r="AP9" s="100"/>
      <c r="AQ9" s="97">
        <f>V9+AI9</f>
        <v>60817.78</v>
      </c>
      <c r="AR9" s="97">
        <f>AH9+AK9</f>
        <v>4408.62</v>
      </c>
      <c r="AS9" s="107">
        <f>AJ9+5000</f>
        <v>45000</v>
      </c>
      <c r="AT9" s="107">
        <f>AM9+1000</f>
        <v>9000</v>
      </c>
      <c r="AU9" s="97">
        <f>AQ9-AR9-AS9-AT9</f>
        <v>2409.16</v>
      </c>
      <c r="AV9" s="108">
        <f>5*MAX(0,AU9*{0.6;2;4;5;6;7;9}%-{0;504;3384;6384;10584;17184;36384})</f>
        <v>72.27</v>
      </c>
      <c r="AW9" s="117">
        <v>52.53</v>
      </c>
      <c r="AX9" s="108">
        <f>IF(+AV9-AW9&gt;0,AV9-AW9,0)</f>
        <v>19.74</v>
      </c>
      <c r="AY9" s="76"/>
      <c r="AZ9" s="112">
        <f>V9-AH9-AX9</f>
        <v>6638.46</v>
      </c>
      <c r="BA9" s="115"/>
    </row>
    <row r="10" s="17" customFormat="1" ht="25" customHeight="1" spans="1:53">
      <c r="A10" s="22">
        <v>5</v>
      </c>
      <c r="B10" s="51" t="s">
        <v>76</v>
      </c>
      <c r="C10" s="44" t="s">
        <v>73</v>
      </c>
      <c r="D10" s="44" t="s">
        <v>77</v>
      </c>
      <c r="E10" s="44" t="s">
        <v>56</v>
      </c>
      <c r="F10" s="44" t="s">
        <v>57</v>
      </c>
      <c r="G10" s="45" t="s">
        <v>78</v>
      </c>
      <c r="H10" s="45" t="s">
        <v>79</v>
      </c>
      <c r="I10" s="44"/>
      <c r="J10" s="73">
        <f>1830</f>
        <v>1830</v>
      </c>
      <c r="K10" s="73">
        <f>1800</f>
        <v>1800</v>
      </c>
      <c r="L10" s="73">
        <f>870*1.0625</f>
        <v>924.38</v>
      </c>
      <c r="M10" s="73">
        <v>200</v>
      </c>
      <c r="N10" s="73">
        <v>100</v>
      </c>
      <c r="O10" s="73"/>
      <c r="P10" s="73">
        <v>20</v>
      </c>
      <c r="Q10" s="73"/>
      <c r="R10" s="73"/>
      <c r="S10" s="73"/>
      <c r="T10" s="73"/>
      <c r="U10" s="88"/>
      <c r="V10" s="84">
        <f>SUM(J10:S10)-T10+U10</f>
        <v>4874.38</v>
      </c>
      <c r="W10" s="85"/>
      <c r="X10" s="85"/>
      <c r="Y10" s="85"/>
      <c r="Z10" s="85"/>
      <c r="AA10" s="85"/>
      <c r="AB10" s="85"/>
      <c r="AC10" s="73"/>
      <c r="AD10" s="93">
        <v>270</v>
      </c>
      <c r="AE10" s="85">
        <v>69.26</v>
      </c>
      <c r="AF10" s="85">
        <v>13.85</v>
      </c>
      <c r="AG10" s="73">
        <f>107</f>
        <v>107</v>
      </c>
      <c r="AH10" s="73">
        <f>SUM(AD10:AG10)</f>
        <v>460.11</v>
      </c>
      <c r="AI10" s="84">
        <v>37947.34</v>
      </c>
      <c r="AJ10" s="101">
        <v>40000</v>
      </c>
      <c r="AK10" s="73">
        <v>3648.88</v>
      </c>
      <c r="AL10" s="101"/>
      <c r="AM10" s="101"/>
      <c r="AN10" s="101"/>
      <c r="AO10" s="101"/>
      <c r="AP10" s="101"/>
      <c r="AQ10" s="97">
        <f>V10+AI10</f>
        <v>42821.72</v>
      </c>
      <c r="AR10" s="97">
        <f>AH10+AK10</f>
        <v>4108.99</v>
      </c>
      <c r="AS10" s="107">
        <f>AJ10+5000</f>
        <v>45000</v>
      </c>
      <c r="AT10" s="107"/>
      <c r="AU10" s="97">
        <f>AQ10-AR10-AS10-AT10</f>
        <v>-6287.27</v>
      </c>
      <c r="AV10" s="108">
        <f>5*MAX(0,AU10*{0.6;2;4;5;6;7;9}%-{0;504;3384;6384;10584;17184;36384})</f>
        <v>0</v>
      </c>
      <c r="AW10" s="117">
        <v>0</v>
      </c>
      <c r="AX10" s="108">
        <f>IF(+AV10-AW10&gt;0,AV10-AW10,0)</f>
        <v>0</v>
      </c>
      <c r="AY10" s="76"/>
      <c r="AZ10" s="112">
        <f>V10-AH10-AX10</f>
        <v>4414.27</v>
      </c>
      <c r="BA10" s="115"/>
    </row>
    <row r="11" s="17" customFormat="1" ht="24" customHeight="1" spans="1:53">
      <c r="A11" s="49"/>
      <c r="B11" s="25" t="s">
        <v>80</v>
      </c>
      <c r="C11" s="26"/>
      <c r="D11" s="24"/>
      <c r="E11" s="24"/>
      <c r="F11" s="24"/>
      <c r="G11" s="45"/>
      <c r="H11" s="45"/>
      <c r="I11" s="24"/>
      <c r="J11" s="77">
        <f>SUM(J9:J10)</f>
        <v>3660</v>
      </c>
      <c r="K11" s="77">
        <f t="shared" ref="K11:V11" si="5">SUM(K9:K10)</f>
        <v>4800</v>
      </c>
      <c r="L11" s="77">
        <f t="shared" si="5"/>
        <v>2933.78</v>
      </c>
      <c r="M11" s="77">
        <f t="shared" si="5"/>
        <v>400</v>
      </c>
      <c r="N11" s="77">
        <f t="shared" si="5"/>
        <v>200</v>
      </c>
      <c r="O11" s="77">
        <f t="shared" si="5"/>
        <v>0</v>
      </c>
      <c r="P11" s="77">
        <f t="shared" si="5"/>
        <v>40</v>
      </c>
      <c r="Q11" s="77">
        <f t="shared" si="5"/>
        <v>0</v>
      </c>
      <c r="R11" s="77">
        <f t="shared" si="5"/>
        <v>0</v>
      </c>
      <c r="S11" s="77">
        <f t="shared" si="5"/>
        <v>0</v>
      </c>
      <c r="T11" s="77">
        <f t="shared" si="5"/>
        <v>0</v>
      </c>
      <c r="U11" s="77">
        <f t="shared" si="5"/>
        <v>0</v>
      </c>
      <c r="V11" s="77">
        <f t="shared" si="5"/>
        <v>12033.78</v>
      </c>
      <c r="W11" s="77">
        <f t="shared" ref="W11:AZ11" si="6">SUM(W9:W10)</f>
        <v>0</v>
      </c>
      <c r="X11" s="77">
        <f t="shared" si="6"/>
        <v>0</v>
      </c>
      <c r="Y11" s="77">
        <f t="shared" si="6"/>
        <v>0</v>
      </c>
      <c r="Z11" s="77">
        <f t="shared" si="6"/>
        <v>0</v>
      </c>
      <c r="AA11" s="77">
        <f t="shared" si="6"/>
        <v>0</v>
      </c>
      <c r="AB11" s="77">
        <f t="shared" si="6"/>
        <v>0</v>
      </c>
      <c r="AC11" s="77">
        <f t="shared" si="6"/>
        <v>0</v>
      </c>
      <c r="AD11" s="77">
        <f t="shared" si="6"/>
        <v>564</v>
      </c>
      <c r="AE11" s="77">
        <f t="shared" si="6"/>
        <v>142.76</v>
      </c>
      <c r="AF11" s="77">
        <f t="shared" si="6"/>
        <v>28.55</v>
      </c>
      <c r="AG11" s="77">
        <f t="shared" si="6"/>
        <v>226</v>
      </c>
      <c r="AH11" s="77">
        <f t="shared" si="6"/>
        <v>961.31</v>
      </c>
      <c r="AI11" s="77">
        <f t="shared" si="6"/>
        <v>91605.72</v>
      </c>
      <c r="AJ11" s="77">
        <f t="shared" si="6"/>
        <v>80000</v>
      </c>
      <c r="AK11" s="77">
        <f t="shared" si="6"/>
        <v>7556.3</v>
      </c>
      <c r="AL11" s="77">
        <f t="shared" si="6"/>
        <v>0</v>
      </c>
      <c r="AM11" s="77">
        <f t="shared" si="6"/>
        <v>8000</v>
      </c>
      <c r="AN11" s="77">
        <f t="shared" si="6"/>
        <v>0</v>
      </c>
      <c r="AO11" s="77">
        <f t="shared" si="6"/>
        <v>0</v>
      </c>
      <c r="AP11" s="77">
        <f t="shared" si="6"/>
        <v>0</v>
      </c>
      <c r="AQ11" s="77">
        <f t="shared" si="6"/>
        <v>103639.5</v>
      </c>
      <c r="AR11" s="77">
        <f t="shared" si="6"/>
        <v>8517.61</v>
      </c>
      <c r="AS11" s="77">
        <f t="shared" si="6"/>
        <v>90000</v>
      </c>
      <c r="AT11" s="77">
        <f t="shared" si="6"/>
        <v>9000</v>
      </c>
      <c r="AU11" s="77">
        <f t="shared" si="6"/>
        <v>-3878.11</v>
      </c>
      <c r="AV11" s="77">
        <f t="shared" si="6"/>
        <v>72.27</v>
      </c>
      <c r="AW11" s="77">
        <f t="shared" si="6"/>
        <v>52.53</v>
      </c>
      <c r="AX11" s="77">
        <f t="shared" si="6"/>
        <v>19.74</v>
      </c>
      <c r="AY11" s="77">
        <f t="shared" si="6"/>
        <v>0</v>
      </c>
      <c r="AZ11" s="77">
        <f t="shared" si="6"/>
        <v>11052.73</v>
      </c>
      <c r="BA11" s="36"/>
    </row>
    <row r="12" s="17" customFormat="1" ht="25" customHeight="1" spans="1:53">
      <c r="A12" s="22">
        <v>6</v>
      </c>
      <c r="B12" s="51" t="s">
        <v>81</v>
      </c>
      <c r="C12" s="45" t="s">
        <v>82</v>
      </c>
      <c r="D12" s="52" t="s">
        <v>83</v>
      </c>
      <c r="E12" s="44" t="s">
        <v>56</v>
      </c>
      <c r="F12" s="44" t="s">
        <v>84</v>
      </c>
      <c r="G12" s="45" t="s">
        <v>85</v>
      </c>
      <c r="H12" s="45" t="s">
        <v>86</v>
      </c>
      <c r="I12" s="44"/>
      <c r="J12" s="73">
        <v>1830</v>
      </c>
      <c r="K12" s="73">
        <f>900</f>
        <v>900</v>
      </c>
      <c r="L12" s="73">
        <f>800*1.0475</f>
        <v>838</v>
      </c>
      <c r="M12" s="73">
        <v>200</v>
      </c>
      <c r="N12" s="73">
        <v>100</v>
      </c>
      <c r="O12" s="73">
        <f>800</f>
        <v>800</v>
      </c>
      <c r="P12" s="73">
        <v>20</v>
      </c>
      <c r="Q12" s="73"/>
      <c r="R12" s="73">
        <f>J12/21.75/8*131*1.5+J12/21.75/8*101.5*2</f>
        <v>4201.64</v>
      </c>
      <c r="S12" s="73"/>
      <c r="T12" s="73"/>
      <c r="U12" s="73"/>
      <c r="V12" s="84">
        <f>SUM(J12:S12)-T12+U12</f>
        <v>8889.64</v>
      </c>
      <c r="W12" s="85"/>
      <c r="X12" s="85"/>
      <c r="Y12" s="85"/>
      <c r="Z12" s="85"/>
      <c r="AA12" s="85"/>
      <c r="AB12" s="85"/>
      <c r="AC12" s="85"/>
      <c r="AD12" s="93">
        <v>254</v>
      </c>
      <c r="AE12" s="85">
        <v>69.26</v>
      </c>
      <c r="AF12" s="85">
        <v>13.85</v>
      </c>
      <c r="AG12" s="73">
        <f>107</f>
        <v>107</v>
      </c>
      <c r="AH12" s="73">
        <f>SUM(AD12:AG12)</f>
        <v>444.11</v>
      </c>
      <c r="AI12" s="102">
        <v>60466.23</v>
      </c>
      <c r="AJ12" s="102">
        <v>40000</v>
      </c>
      <c r="AK12" s="73">
        <v>3552.88</v>
      </c>
      <c r="AL12" s="98"/>
      <c r="AM12" s="98"/>
      <c r="AN12" s="98"/>
      <c r="AO12" s="98"/>
      <c r="AP12" s="98"/>
      <c r="AQ12" s="97">
        <f>V12+AI12</f>
        <v>69355.87</v>
      </c>
      <c r="AR12" s="97">
        <f>AH12+AK12</f>
        <v>3996.99</v>
      </c>
      <c r="AS12" s="107">
        <f>AJ12+5000</f>
        <v>45000</v>
      </c>
      <c r="AT12" s="107"/>
      <c r="AU12" s="97">
        <f>AQ12-AR12-AS12-AT12</f>
        <v>20358.88</v>
      </c>
      <c r="AV12" s="108">
        <f>5*MAX(0,AU12*{0.6;2;4;5;6;7;9}%-{0;504;3384;6384;10584;17184;36384})</f>
        <v>610.77</v>
      </c>
      <c r="AW12" s="117">
        <v>507.4</v>
      </c>
      <c r="AX12" s="108">
        <f>IF(+AV12-AW12&gt;0,AV12-AW12,0)</f>
        <v>103.37</v>
      </c>
      <c r="AY12" s="76"/>
      <c r="AZ12" s="112">
        <f>V12-AH12-AX12</f>
        <v>8342.16</v>
      </c>
      <c r="BA12" s="115"/>
    </row>
    <row r="13" s="17" customFormat="1" ht="25" customHeight="1" spans="1:53">
      <c r="A13" s="22">
        <v>7</v>
      </c>
      <c r="B13" s="51" t="s">
        <v>87</v>
      </c>
      <c r="C13" s="45" t="s">
        <v>82</v>
      </c>
      <c r="D13" s="52" t="s">
        <v>88</v>
      </c>
      <c r="E13" s="44" t="s">
        <v>89</v>
      </c>
      <c r="F13" s="44" t="s">
        <v>84</v>
      </c>
      <c r="G13" s="45" t="s">
        <v>90</v>
      </c>
      <c r="H13" s="45" t="s">
        <v>91</v>
      </c>
      <c r="I13" s="44"/>
      <c r="J13" s="73">
        <v>1830</v>
      </c>
      <c r="K13" s="73">
        <f>200</f>
        <v>200</v>
      </c>
      <c r="L13" s="73">
        <f>300</f>
        <v>300</v>
      </c>
      <c r="M13" s="73">
        <v>200</v>
      </c>
      <c r="N13" s="73">
        <v>100</v>
      </c>
      <c r="O13" s="73">
        <f>500</f>
        <v>500</v>
      </c>
      <c r="P13" s="73">
        <v>40</v>
      </c>
      <c r="Q13" s="73"/>
      <c r="R13" s="73">
        <f>J13/21.75/8*60*1.5+J13/21.75/8*56*2</f>
        <v>2124.48</v>
      </c>
      <c r="S13" s="73"/>
      <c r="T13" s="73"/>
      <c r="U13" s="73"/>
      <c r="V13" s="84">
        <f>SUM(J13:S13)-T13+U13</f>
        <v>5294.48</v>
      </c>
      <c r="W13" s="85">
        <v>431.52</v>
      </c>
      <c r="X13" s="85">
        <v>19.42</v>
      </c>
      <c r="Y13" s="85">
        <v>210.34</v>
      </c>
      <c r="Z13" s="85">
        <v>32.36</v>
      </c>
      <c r="AA13" s="85">
        <v>7.28</v>
      </c>
      <c r="AB13" s="85">
        <v>25.89</v>
      </c>
      <c r="AC13" s="85">
        <v>107</v>
      </c>
      <c r="AD13" s="93">
        <v>254</v>
      </c>
      <c r="AE13" s="85">
        <v>69.26</v>
      </c>
      <c r="AF13" s="85">
        <v>13.85</v>
      </c>
      <c r="AG13" s="73">
        <v>107</v>
      </c>
      <c r="AH13" s="73">
        <f>SUM(AD13:AG13)</f>
        <v>444.11</v>
      </c>
      <c r="AI13" s="102">
        <v>36612.51</v>
      </c>
      <c r="AJ13" s="102">
        <v>40000</v>
      </c>
      <c r="AK13" s="73">
        <v>3552.88</v>
      </c>
      <c r="AL13" s="98">
        <v>7000</v>
      </c>
      <c r="AM13" s="98"/>
      <c r="AN13" s="98"/>
      <c r="AO13" s="98"/>
      <c r="AP13" s="98"/>
      <c r="AQ13" s="97">
        <f>V13+AI13</f>
        <v>41906.99</v>
      </c>
      <c r="AR13" s="97">
        <f>AH13+AK13</f>
        <v>3996.99</v>
      </c>
      <c r="AS13" s="107">
        <f>AJ13+5000</f>
        <v>45000</v>
      </c>
      <c r="AT13" s="107">
        <f>AL13+1000</f>
        <v>8000</v>
      </c>
      <c r="AU13" s="97">
        <f>AQ13-AR13-AS13-AT13</f>
        <v>-15090</v>
      </c>
      <c r="AV13" s="108">
        <f>5*MAX(0,AU13*{0.6;2;4;5;6;7;9}%-{0;504;3384;6384;10584;17184;36384})</f>
        <v>0</v>
      </c>
      <c r="AW13" s="117">
        <v>0</v>
      </c>
      <c r="AX13" s="108">
        <f>IF(+AV13-AW13&gt;0,AV13-AW13,0)</f>
        <v>0</v>
      </c>
      <c r="AY13" s="76"/>
      <c r="AZ13" s="112">
        <f>V13-AH13-AX13</f>
        <v>4850.37</v>
      </c>
      <c r="BA13" s="118"/>
    </row>
    <row r="14" s="17" customFormat="1" ht="25" customHeight="1" spans="1:53">
      <c r="A14" s="22">
        <v>8</v>
      </c>
      <c r="B14" s="51" t="s">
        <v>92</v>
      </c>
      <c r="C14" s="45" t="s">
        <v>82</v>
      </c>
      <c r="D14" s="52" t="s">
        <v>88</v>
      </c>
      <c r="E14" s="44" t="s">
        <v>89</v>
      </c>
      <c r="F14" s="44" t="s">
        <v>84</v>
      </c>
      <c r="G14" s="45" t="s">
        <v>93</v>
      </c>
      <c r="H14" s="45" t="s">
        <v>94</v>
      </c>
      <c r="I14" s="44"/>
      <c r="J14" s="73">
        <v>1830</v>
      </c>
      <c r="K14" s="73">
        <f>200</f>
        <v>200</v>
      </c>
      <c r="L14" s="73">
        <f>300</f>
        <v>300</v>
      </c>
      <c r="M14" s="73">
        <v>200</v>
      </c>
      <c r="N14" s="73">
        <v>100</v>
      </c>
      <c r="O14" s="73">
        <f>500</f>
        <v>500</v>
      </c>
      <c r="P14" s="73">
        <v>20</v>
      </c>
      <c r="Q14" s="73"/>
      <c r="R14" s="73">
        <f>J14/21.75/8*60*1.5+J14/21.75/8*28*2</f>
        <v>1535.52</v>
      </c>
      <c r="S14" s="73"/>
      <c r="T14" s="73"/>
      <c r="U14" s="73"/>
      <c r="V14" s="84">
        <f>SUM(J14:S14)-T14+U14</f>
        <v>4685.52</v>
      </c>
      <c r="W14" s="85">
        <v>431.52</v>
      </c>
      <c r="X14" s="85">
        <v>19.42</v>
      </c>
      <c r="Y14" s="85">
        <v>210.34</v>
      </c>
      <c r="Z14" s="85">
        <v>32.36</v>
      </c>
      <c r="AA14" s="85">
        <v>7.28</v>
      </c>
      <c r="AB14" s="85">
        <v>25.89</v>
      </c>
      <c r="AC14" s="85">
        <v>107</v>
      </c>
      <c r="AD14" s="93">
        <v>254</v>
      </c>
      <c r="AE14" s="85">
        <v>69.26</v>
      </c>
      <c r="AF14" s="85">
        <v>13.85</v>
      </c>
      <c r="AG14" s="73">
        <v>107</v>
      </c>
      <c r="AH14" s="73">
        <f>SUM(AD14:AG14)</f>
        <v>444.11</v>
      </c>
      <c r="AI14" s="102">
        <v>36413.88</v>
      </c>
      <c r="AJ14" s="102">
        <v>40000</v>
      </c>
      <c r="AK14" s="73">
        <v>3552.88</v>
      </c>
      <c r="AL14" s="98"/>
      <c r="AM14" s="98"/>
      <c r="AN14" s="98"/>
      <c r="AO14" s="98"/>
      <c r="AP14" s="98"/>
      <c r="AQ14" s="97">
        <f>V14+AI14</f>
        <v>41099.4</v>
      </c>
      <c r="AR14" s="97">
        <f>AH14+AK14</f>
        <v>3996.99</v>
      </c>
      <c r="AS14" s="107">
        <f>AJ14+5000</f>
        <v>45000</v>
      </c>
      <c r="AT14" s="107"/>
      <c r="AU14" s="97">
        <f>AQ14-AR14-AS14-AT14</f>
        <v>-7897.59</v>
      </c>
      <c r="AV14" s="108">
        <f>5*MAX(0,AU14*{0.6;2;4;5;6;7;9}%-{0;504;3384;6384;10584;17184;36384})</f>
        <v>0</v>
      </c>
      <c r="AW14" s="117">
        <v>0</v>
      </c>
      <c r="AX14" s="108">
        <f>IF(+AV14-AW14&gt;0,AV14-AW14,0)</f>
        <v>0</v>
      </c>
      <c r="AY14" s="76"/>
      <c r="AZ14" s="112">
        <f>V14-AH14-AX14</f>
        <v>4241.41</v>
      </c>
      <c r="BA14" s="113"/>
    </row>
    <row r="15" s="17" customFormat="1" ht="25" customHeight="1" spans="1:53">
      <c r="A15" s="22">
        <v>9</v>
      </c>
      <c r="B15" s="51" t="s">
        <v>95</v>
      </c>
      <c r="C15" s="45" t="s">
        <v>82</v>
      </c>
      <c r="D15" s="52" t="s">
        <v>88</v>
      </c>
      <c r="E15" s="44" t="s">
        <v>89</v>
      </c>
      <c r="F15" s="44" t="s">
        <v>84</v>
      </c>
      <c r="G15" s="45" t="s">
        <v>96</v>
      </c>
      <c r="H15" s="130" t="s">
        <v>97</v>
      </c>
      <c r="I15" s="44"/>
      <c r="J15" s="73">
        <v>1830</v>
      </c>
      <c r="K15" s="73">
        <f>200</f>
        <v>200</v>
      </c>
      <c r="L15" s="73">
        <f>300</f>
        <v>300</v>
      </c>
      <c r="M15" s="73">
        <v>200</v>
      </c>
      <c r="N15" s="73">
        <v>100</v>
      </c>
      <c r="O15" s="73">
        <f>500</f>
        <v>500</v>
      </c>
      <c r="P15" s="73">
        <v>20</v>
      </c>
      <c r="Q15" s="73"/>
      <c r="R15" s="73">
        <f>J15/21.75/8*72*1.5+J15/21.75/8*32*2</f>
        <v>1808.97</v>
      </c>
      <c r="S15" s="73"/>
      <c r="T15" s="73"/>
      <c r="U15" s="73"/>
      <c r="V15" s="84">
        <f>SUM(J15:S15)-T15+U15</f>
        <v>4958.97</v>
      </c>
      <c r="W15" s="85">
        <v>431.52</v>
      </c>
      <c r="X15" s="85">
        <v>19.42</v>
      </c>
      <c r="Y15" s="85">
        <v>210.34</v>
      </c>
      <c r="Z15" s="85">
        <v>32.36</v>
      </c>
      <c r="AA15" s="85">
        <v>7.28</v>
      </c>
      <c r="AB15" s="85">
        <v>25.89</v>
      </c>
      <c r="AC15" s="85">
        <v>107</v>
      </c>
      <c r="AD15" s="93">
        <v>254</v>
      </c>
      <c r="AE15" s="85">
        <v>69.26</v>
      </c>
      <c r="AF15" s="85">
        <v>13.85</v>
      </c>
      <c r="AG15" s="73">
        <v>107</v>
      </c>
      <c r="AH15" s="73">
        <f>SUM(AD15:AG15)</f>
        <v>444.11</v>
      </c>
      <c r="AI15" s="98">
        <v>37421.19</v>
      </c>
      <c r="AJ15" s="102">
        <v>40000</v>
      </c>
      <c r="AK15" s="73">
        <v>3552.88</v>
      </c>
      <c r="AL15" s="98"/>
      <c r="AM15" s="98"/>
      <c r="AN15" s="98"/>
      <c r="AO15" s="98"/>
      <c r="AP15" s="98"/>
      <c r="AQ15" s="97">
        <f>V15+AI15</f>
        <v>42380.16</v>
      </c>
      <c r="AR15" s="97">
        <f>AH15+AK15</f>
        <v>3996.99</v>
      </c>
      <c r="AS15" s="107">
        <f>AJ15+5000</f>
        <v>45000</v>
      </c>
      <c r="AT15" s="107"/>
      <c r="AU15" s="97">
        <f>AQ15-AR15-AS15-AT15</f>
        <v>-6616.83</v>
      </c>
      <c r="AV15" s="108">
        <f>5*MAX(0,AU15*{0.6;2;4;5;6;7;9}%-{0;504;3384;6384;10584;17184;36384})</f>
        <v>0</v>
      </c>
      <c r="AW15" s="117">
        <v>0</v>
      </c>
      <c r="AX15" s="108">
        <f>IF(+AV15-AW15&gt;0,AV15-AW15,0)</f>
        <v>0</v>
      </c>
      <c r="AY15" s="76"/>
      <c r="AZ15" s="112">
        <f>V15-AH15-AX15</f>
        <v>4514.86</v>
      </c>
      <c r="BA15" s="113"/>
    </row>
    <row r="16" s="17" customFormat="1" ht="25" customHeight="1" spans="1:53">
      <c r="A16" s="22">
        <v>10</v>
      </c>
      <c r="B16" s="51" t="s">
        <v>98</v>
      </c>
      <c r="C16" s="45" t="s">
        <v>82</v>
      </c>
      <c r="D16" s="52" t="s">
        <v>88</v>
      </c>
      <c r="E16" s="44" t="s">
        <v>89</v>
      </c>
      <c r="F16" s="44" t="s">
        <v>84</v>
      </c>
      <c r="G16" s="45" t="s">
        <v>99</v>
      </c>
      <c r="H16" s="130" t="s">
        <v>100</v>
      </c>
      <c r="I16" s="44"/>
      <c r="J16" s="73">
        <v>1830</v>
      </c>
      <c r="K16" s="73">
        <f>200</f>
        <v>200</v>
      </c>
      <c r="L16" s="73">
        <f>300</f>
        <v>300</v>
      </c>
      <c r="M16" s="73">
        <v>200</v>
      </c>
      <c r="N16" s="73">
        <v>100</v>
      </c>
      <c r="O16" s="73">
        <f>500</f>
        <v>500</v>
      </c>
      <c r="P16" s="73">
        <v>20</v>
      </c>
      <c r="Q16" s="73"/>
      <c r="R16" s="73">
        <f>J16/21.75/8*60*1.5+J16/21.75/8*20*2</f>
        <v>1367.24</v>
      </c>
      <c r="S16" s="73"/>
      <c r="T16" s="73"/>
      <c r="U16" s="73"/>
      <c r="V16" s="84">
        <f>SUM(J16:S16)-T16+U16</f>
        <v>4517.24</v>
      </c>
      <c r="W16" s="85">
        <v>431.52</v>
      </c>
      <c r="X16" s="85">
        <v>19.42</v>
      </c>
      <c r="Y16" s="85">
        <v>210.34</v>
      </c>
      <c r="Z16" s="85">
        <v>32.36</v>
      </c>
      <c r="AA16" s="85">
        <v>7.28</v>
      </c>
      <c r="AB16" s="85">
        <v>25.89</v>
      </c>
      <c r="AC16" s="85">
        <v>107</v>
      </c>
      <c r="AD16" s="93">
        <v>254</v>
      </c>
      <c r="AE16" s="85">
        <v>69.26</v>
      </c>
      <c r="AF16" s="85">
        <v>13.85</v>
      </c>
      <c r="AG16" s="73">
        <v>107</v>
      </c>
      <c r="AH16" s="73">
        <f>SUM(AD16:AG16)</f>
        <v>444.11</v>
      </c>
      <c r="AI16" s="102">
        <v>36579.55</v>
      </c>
      <c r="AJ16" s="102">
        <v>40000</v>
      </c>
      <c r="AK16" s="73">
        <v>3552.88</v>
      </c>
      <c r="AL16" s="98"/>
      <c r="AM16" s="98"/>
      <c r="AN16" s="98"/>
      <c r="AO16" s="98"/>
      <c r="AP16" s="98"/>
      <c r="AQ16" s="97">
        <f>V16+AI16</f>
        <v>41096.79</v>
      </c>
      <c r="AR16" s="97">
        <f>AH16+AK16</f>
        <v>3996.99</v>
      </c>
      <c r="AS16" s="107">
        <f>AJ16+5000</f>
        <v>45000</v>
      </c>
      <c r="AT16" s="107"/>
      <c r="AU16" s="97">
        <f>AQ16-AR16-AS16-AT16</f>
        <v>-7900.2</v>
      </c>
      <c r="AV16" s="108">
        <f>5*MAX(0,AU16*{0.6;2;4;5;6;7;9}%-{0;504;3384;6384;10584;17184;36384})</f>
        <v>0</v>
      </c>
      <c r="AW16" s="117">
        <v>0</v>
      </c>
      <c r="AX16" s="108">
        <f>IF(+AV16-AW16&gt;0,AV16-AW16,0)</f>
        <v>0</v>
      </c>
      <c r="AY16" s="76"/>
      <c r="AZ16" s="112">
        <f>V16-AH16-AX16</f>
        <v>4073.13</v>
      </c>
      <c r="BA16" s="113"/>
    </row>
    <row r="17" s="17" customFormat="1" ht="20" customHeight="1" spans="1:53">
      <c r="A17" s="49"/>
      <c r="B17" s="25" t="s">
        <v>101</v>
      </c>
      <c r="C17" s="26"/>
      <c r="D17" s="24"/>
      <c r="E17" s="24"/>
      <c r="F17" s="24"/>
      <c r="G17" s="45"/>
      <c r="H17" s="50"/>
      <c r="I17" s="24"/>
      <c r="J17" s="77">
        <f>SUM(J12:J16)</f>
        <v>9150</v>
      </c>
      <c r="K17" s="77">
        <f t="shared" ref="K17:V17" si="7">SUM(K12:K16)</f>
        <v>1700</v>
      </c>
      <c r="L17" s="77">
        <f t="shared" si="7"/>
        <v>2038</v>
      </c>
      <c r="M17" s="77">
        <f t="shared" si="7"/>
        <v>1000</v>
      </c>
      <c r="N17" s="77">
        <f t="shared" si="7"/>
        <v>500</v>
      </c>
      <c r="O17" s="77">
        <f t="shared" si="7"/>
        <v>2800</v>
      </c>
      <c r="P17" s="77">
        <f t="shared" si="7"/>
        <v>120</v>
      </c>
      <c r="Q17" s="77">
        <f t="shared" si="7"/>
        <v>0</v>
      </c>
      <c r="R17" s="77">
        <f t="shared" si="7"/>
        <v>11037.85</v>
      </c>
      <c r="S17" s="77">
        <f t="shared" si="7"/>
        <v>0</v>
      </c>
      <c r="T17" s="77">
        <f t="shared" si="7"/>
        <v>0</v>
      </c>
      <c r="U17" s="77">
        <f t="shared" si="7"/>
        <v>0</v>
      </c>
      <c r="V17" s="77">
        <f t="shared" si="7"/>
        <v>28345.85</v>
      </c>
      <c r="W17" s="77">
        <f t="shared" ref="J17:AZ17" si="8">SUM(W12:W16)</f>
        <v>1726.08</v>
      </c>
      <c r="X17" s="77">
        <f t="shared" si="8"/>
        <v>77.68</v>
      </c>
      <c r="Y17" s="77">
        <f t="shared" si="8"/>
        <v>841.36</v>
      </c>
      <c r="Z17" s="77">
        <f t="shared" si="8"/>
        <v>129.44</v>
      </c>
      <c r="AA17" s="77">
        <f t="shared" si="8"/>
        <v>29.12</v>
      </c>
      <c r="AB17" s="77">
        <f t="shared" si="8"/>
        <v>103.56</v>
      </c>
      <c r="AC17" s="77">
        <f t="shared" si="8"/>
        <v>428</v>
      </c>
      <c r="AD17" s="77">
        <f t="shared" si="8"/>
        <v>1270</v>
      </c>
      <c r="AE17" s="77">
        <f t="shared" si="8"/>
        <v>346.3</v>
      </c>
      <c r="AF17" s="77">
        <f t="shared" si="8"/>
        <v>69.25</v>
      </c>
      <c r="AG17" s="77">
        <f t="shared" si="8"/>
        <v>535</v>
      </c>
      <c r="AH17" s="77">
        <f t="shared" si="8"/>
        <v>2220.55</v>
      </c>
      <c r="AI17" s="77">
        <f t="shared" si="8"/>
        <v>207493.36</v>
      </c>
      <c r="AJ17" s="77">
        <f t="shared" si="8"/>
        <v>200000</v>
      </c>
      <c r="AK17" s="77">
        <f t="shared" si="8"/>
        <v>17764.4</v>
      </c>
      <c r="AL17" s="77">
        <f t="shared" si="8"/>
        <v>7000</v>
      </c>
      <c r="AM17" s="77">
        <f t="shared" si="8"/>
        <v>0</v>
      </c>
      <c r="AN17" s="77">
        <f t="shared" si="8"/>
        <v>0</v>
      </c>
      <c r="AO17" s="77">
        <f t="shared" si="8"/>
        <v>0</v>
      </c>
      <c r="AP17" s="77">
        <f t="shared" si="8"/>
        <v>0</v>
      </c>
      <c r="AQ17" s="77">
        <f t="shared" si="8"/>
        <v>235839.21</v>
      </c>
      <c r="AR17" s="77">
        <f t="shared" si="8"/>
        <v>19984.95</v>
      </c>
      <c r="AS17" s="77">
        <f t="shared" si="8"/>
        <v>225000</v>
      </c>
      <c r="AT17" s="77">
        <f t="shared" si="8"/>
        <v>8000</v>
      </c>
      <c r="AU17" s="77">
        <f t="shared" si="8"/>
        <v>-17145.74</v>
      </c>
      <c r="AV17" s="77">
        <f t="shared" si="8"/>
        <v>610.77</v>
      </c>
      <c r="AW17" s="77">
        <f t="shared" si="8"/>
        <v>507.4</v>
      </c>
      <c r="AX17" s="77">
        <f t="shared" si="8"/>
        <v>103.37</v>
      </c>
      <c r="AY17" s="77">
        <f t="shared" si="8"/>
        <v>0</v>
      </c>
      <c r="AZ17" s="77">
        <f t="shared" si="8"/>
        <v>26021.93</v>
      </c>
      <c r="BA17" s="36"/>
    </row>
    <row r="18" s="17" customFormat="1" ht="25" customHeight="1" spans="1:53">
      <c r="A18" s="22">
        <v>11</v>
      </c>
      <c r="B18" s="43" t="s">
        <v>102</v>
      </c>
      <c r="C18" s="44" t="s">
        <v>82</v>
      </c>
      <c r="D18" s="44" t="s">
        <v>63</v>
      </c>
      <c r="E18" s="44" t="s">
        <v>56</v>
      </c>
      <c r="F18" s="44" t="s">
        <v>57</v>
      </c>
      <c r="G18" s="45" t="s">
        <v>103</v>
      </c>
      <c r="H18" s="45" t="s">
        <v>104</v>
      </c>
      <c r="I18" s="44"/>
      <c r="J18" s="73">
        <v>1830</v>
      </c>
      <c r="K18" s="73">
        <v>3000</v>
      </c>
      <c r="L18" s="73">
        <f>2170*1.071</f>
        <v>2324.07</v>
      </c>
      <c r="M18" s="73">
        <v>200</v>
      </c>
      <c r="N18" s="73">
        <v>100</v>
      </c>
      <c r="O18" s="73"/>
      <c r="P18" s="73">
        <v>40</v>
      </c>
      <c r="Q18" s="73"/>
      <c r="R18" s="73"/>
      <c r="S18" s="73"/>
      <c r="T18" s="73"/>
      <c r="U18" s="73"/>
      <c r="V18" s="84">
        <f t="shared" ref="V18:V35" si="9">SUM(J18:S18)-T18+U18</f>
        <v>7494.07</v>
      </c>
      <c r="W18" s="85">
        <v>431.52</v>
      </c>
      <c r="X18" s="85">
        <v>19.42</v>
      </c>
      <c r="Y18" s="85">
        <v>210.34</v>
      </c>
      <c r="Z18" s="85">
        <v>32.36</v>
      </c>
      <c r="AA18" s="85">
        <v>7.28</v>
      </c>
      <c r="AB18" s="85">
        <v>25.89</v>
      </c>
      <c r="AC18" s="73">
        <v>119</v>
      </c>
      <c r="AD18" s="44">
        <v>294</v>
      </c>
      <c r="AE18" s="44">
        <v>73.5</v>
      </c>
      <c r="AF18" s="44">
        <v>14.7</v>
      </c>
      <c r="AG18" s="73">
        <v>119</v>
      </c>
      <c r="AH18" s="73">
        <f t="shared" ref="AH18:AH35" si="10">SUM(AD18:AG18)</f>
        <v>501.2</v>
      </c>
      <c r="AI18" s="97">
        <v>59710.99</v>
      </c>
      <c r="AJ18" s="102">
        <v>40000</v>
      </c>
      <c r="AK18" s="102">
        <v>3919.42</v>
      </c>
      <c r="AL18" s="102">
        <v>8000</v>
      </c>
      <c r="AM18" s="102">
        <v>8000</v>
      </c>
      <c r="AN18" s="102"/>
      <c r="AO18" s="102"/>
      <c r="AP18" s="102"/>
      <c r="AQ18" s="97">
        <f t="shared" ref="AQ18:AQ40" si="11">V18+AI18</f>
        <v>67205.06</v>
      </c>
      <c r="AR18" s="97">
        <f t="shared" ref="AR18:AR40" si="12">AH18+AK18</f>
        <v>4420.62</v>
      </c>
      <c r="AS18" s="107">
        <f t="shared" ref="AS18:AS40" si="13">AJ18+5000</f>
        <v>45000</v>
      </c>
      <c r="AT18" s="107">
        <f>AL18+AM18+2000</f>
        <v>18000</v>
      </c>
      <c r="AU18" s="97">
        <f t="shared" ref="AU18:AU39" si="14">AQ18-AR18-AS18-AT18</f>
        <v>-215.56</v>
      </c>
      <c r="AV18" s="108">
        <f>5*MAX(0,AU18*{0.6;2;4;5;6;7;9}%-{0;504;3384;6384;10584;17184;36384})</f>
        <v>0</v>
      </c>
      <c r="AW18" s="117"/>
      <c r="AX18" s="108">
        <f t="shared" ref="AX18:AX34" si="15">IF(+AV18-AW18&gt;0,AV18-AW18,0)</f>
        <v>0</v>
      </c>
      <c r="AY18" s="76"/>
      <c r="AZ18" s="112">
        <f t="shared" ref="AZ18:AZ35" si="16">V18-AH18-AX18</f>
        <v>6992.87</v>
      </c>
      <c r="BA18" s="115"/>
    </row>
    <row r="19" s="17" customFormat="1" ht="25" customHeight="1" spans="1:53">
      <c r="A19" s="22">
        <v>12</v>
      </c>
      <c r="B19" s="51" t="s">
        <v>105</v>
      </c>
      <c r="C19" s="44" t="s">
        <v>82</v>
      </c>
      <c r="D19" s="44" t="s">
        <v>106</v>
      </c>
      <c r="E19" s="44" t="s">
        <v>89</v>
      </c>
      <c r="F19" s="44" t="s">
        <v>84</v>
      </c>
      <c r="G19" s="45" t="s">
        <v>107</v>
      </c>
      <c r="H19" s="45" t="s">
        <v>108</v>
      </c>
      <c r="I19" s="44"/>
      <c r="J19" s="73">
        <v>1830</v>
      </c>
      <c r="K19" s="73">
        <f>200</f>
        <v>200</v>
      </c>
      <c r="L19" s="73">
        <f>300</f>
        <v>300</v>
      </c>
      <c r="M19" s="73">
        <v>200</v>
      </c>
      <c r="N19" s="73">
        <v>100</v>
      </c>
      <c r="O19" s="73">
        <f>100</f>
        <v>100</v>
      </c>
      <c r="P19" s="73">
        <v>40</v>
      </c>
      <c r="Q19" s="73"/>
      <c r="R19" s="73">
        <f>J19/21.75/8*5.5*1.5+J19/21.75/8*28.5*2</f>
        <v>686.25</v>
      </c>
      <c r="S19" s="73"/>
      <c r="T19" s="73"/>
      <c r="U19" s="73"/>
      <c r="V19" s="84">
        <f t="shared" si="9"/>
        <v>3456.25</v>
      </c>
      <c r="W19" s="85">
        <v>431.52</v>
      </c>
      <c r="X19" s="85">
        <v>19.42</v>
      </c>
      <c r="Y19" s="85">
        <v>210.34</v>
      </c>
      <c r="Z19" s="85">
        <v>32.36</v>
      </c>
      <c r="AA19" s="85">
        <v>7.28</v>
      </c>
      <c r="AB19" s="85">
        <v>25.89</v>
      </c>
      <c r="AC19" s="85">
        <v>107</v>
      </c>
      <c r="AD19" s="93">
        <v>254</v>
      </c>
      <c r="AE19" s="85">
        <v>69.26</v>
      </c>
      <c r="AF19" s="85">
        <v>13.85</v>
      </c>
      <c r="AG19" s="73">
        <v>107</v>
      </c>
      <c r="AH19" s="73">
        <f t="shared" si="10"/>
        <v>444.11</v>
      </c>
      <c r="AI19" s="102">
        <v>23140.04</v>
      </c>
      <c r="AJ19" s="102">
        <v>40000</v>
      </c>
      <c r="AK19" s="102">
        <v>3552.88</v>
      </c>
      <c r="AL19" s="102"/>
      <c r="AM19" s="102"/>
      <c r="AN19" s="102"/>
      <c r="AO19" s="102"/>
      <c r="AP19" s="102"/>
      <c r="AQ19" s="97">
        <f t="shared" si="11"/>
        <v>26596.29</v>
      </c>
      <c r="AR19" s="97">
        <f t="shared" si="12"/>
        <v>3996.99</v>
      </c>
      <c r="AS19" s="107">
        <f t="shared" si="13"/>
        <v>45000</v>
      </c>
      <c r="AT19" s="107"/>
      <c r="AU19" s="97">
        <f t="shared" si="14"/>
        <v>-22400.7</v>
      </c>
      <c r="AV19" s="108">
        <f>5*MAX(0,AU19*{0.6;2;4;5;6;7;9}%-{0;504;3384;6384;10584;17184;36384})</f>
        <v>0</v>
      </c>
      <c r="AW19" s="117"/>
      <c r="AX19" s="108">
        <f t="shared" si="15"/>
        <v>0</v>
      </c>
      <c r="AY19" s="76"/>
      <c r="AZ19" s="112">
        <f t="shared" si="16"/>
        <v>3012.14</v>
      </c>
      <c r="BA19" s="115"/>
    </row>
    <row r="20" s="17" customFormat="1" ht="25" customHeight="1" spans="1:53">
      <c r="A20" s="22">
        <v>13</v>
      </c>
      <c r="B20" s="53" t="s">
        <v>109</v>
      </c>
      <c r="C20" s="44" t="s">
        <v>82</v>
      </c>
      <c r="D20" s="44" t="s">
        <v>110</v>
      </c>
      <c r="E20" s="44" t="s">
        <v>56</v>
      </c>
      <c r="F20" s="44" t="s">
        <v>84</v>
      </c>
      <c r="G20" s="45" t="s">
        <v>111</v>
      </c>
      <c r="H20" s="45" t="s">
        <v>112</v>
      </c>
      <c r="I20" s="44"/>
      <c r="J20" s="73">
        <v>1830</v>
      </c>
      <c r="K20" s="73">
        <f>700</f>
        <v>700</v>
      </c>
      <c r="L20" s="73">
        <f>500</f>
        <v>500</v>
      </c>
      <c r="M20" s="73">
        <v>200</v>
      </c>
      <c r="N20" s="73">
        <v>100</v>
      </c>
      <c r="O20" s="73">
        <v>0</v>
      </c>
      <c r="P20" s="73">
        <v>40</v>
      </c>
      <c r="Q20" s="73"/>
      <c r="R20" s="73">
        <f>J20/21.75/8*6*1.5+J20/21.75/8*25*2</f>
        <v>620.52</v>
      </c>
      <c r="S20" s="73"/>
      <c r="T20" s="73"/>
      <c r="U20" s="89">
        <v>20</v>
      </c>
      <c r="V20" s="84">
        <f t="shared" si="9"/>
        <v>4010.52</v>
      </c>
      <c r="W20" s="85">
        <v>431.52</v>
      </c>
      <c r="X20" s="85">
        <v>19.42</v>
      </c>
      <c r="Y20" s="85">
        <v>210.34</v>
      </c>
      <c r="Z20" s="85">
        <v>32.36</v>
      </c>
      <c r="AA20" s="85">
        <v>7.28</v>
      </c>
      <c r="AB20" s="85">
        <v>25.89</v>
      </c>
      <c r="AC20" s="85">
        <v>107</v>
      </c>
      <c r="AD20" s="93">
        <v>254</v>
      </c>
      <c r="AE20" s="85">
        <v>69.26</v>
      </c>
      <c r="AF20" s="85">
        <v>13.85</v>
      </c>
      <c r="AG20" s="73">
        <v>107</v>
      </c>
      <c r="AH20" s="73">
        <f t="shared" si="10"/>
        <v>444.11</v>
      </c>
      <c r="AI20" s="102">
        <v>24863.89</v>
      </c>
      <c r="AJ20" s="102">
        <v>40000</v>
      </c>
      <c r="AK20" s="102">
        <v>3552.88</v>
      </c>
      <c r="AL20" s="98"/>
      <c r="AM20" s="98"/>
      <c r="AN20" s="98"/>
      <c r="AO20" s="98"/>
      <c r="AP20" s="98"/>
      <c r="AQ20" s="97">
        <f t="shared" si="11"/>
        <v>28874.41</v>
      </c>
      <c r="AR20" s="97">
        <f t="shared" si="12"/>
        <v>3996.99</v>
      </c>
      <c r="AS20" s="107">
        <f t="shared" si="13"/>
        <v>45000</v>
      </c>
      <c r="AT20" s="107"/>
      <c r="AU20" s="97">
        <f t="shared" si="14"/>
        <v>-20122.58</v>
      </c>
      <c r="AV20" s="108">
        <f>5*MAX(0,AU20*{0.6;2;4;5;6;7;9}%-{0;504;3384;6384;10584;17184;36384})</f>
        <v>0</v>
      </c>
      <c r="AW20" s="117"/>
      <c r="AX20" s="108">
        <f t="shared" si="15"/>
        <v>0</v>
      </c>
      <c r="AY20" s="76"/>
      <c r="AZ20" s="112">
        <f t="shared" si="16"/>
        <v>3566.41</v>
      </c>
      <c r="BA20" s="115"/>
    </row>
    <row r="21" s="17" customFormat="1" ht="25" customHeight="1" spans="1:53">
      <c r="A21" s="22">
        <v>14</v>
      </c>
      <c r="B21" s="53" t="s">
        <v>113</v>
      </c>
      <c r="C21" s="44" t="s">
        <v>82</v>
      </c>
      <c r="D21" s="44" t="s">
        <v>106</v>
      </c>
      <c r="E21" s="44" t="s">
        <v>89</v>
      </c>
      <c r="F21" s="44" t="s">
        <v>84</v>
      </c>
      <c r="G21" s="45" t="s">
        <v>114</v>
      </c>
      <c r="H21" s="45" t="s">
        <v>115</v>
      </c>
      <c r="I21" s="44"/>
      <c r="J21" s="73">
        <v>1830</v>
      </c>
      <c r="K21" s="73">
        <f>200</f>
        <v>200</v>
      </c>
      <c r="L21" s="73">
        <f>300</f>
        <v>300</v>
      </c>
      <c r="M21" s="73">
        <v>200</v>
      </c>
      <c r="N21" s="73">
        <v>100</v>
      </c>
      <c r="O21" s="73">
        <f>100</f>
        <v>100</v>
      </c>
      <c r="P21" s="73">
        <v>40</v>
      </c>
      <c r="Q21" s="73"/>
      <c r="R21" s="73">
        <f>J21/21.75/8*5*1.5+J21/21.75/8*17*2</f>
        <v>436.47</v>
      </c>
      <c r="S21" s="73"/>
      <c r="U21" s="89">
        <v>20</v>
      </c>
      <c r="V21" s="84">
        <f t="shared" si="9"/>
        <v>3226.47</v>
      </c>
      <c r="W21" s="85">
        <v>431.52</v>
      </c>
      <c r="X21" s="85">
        <v>19.42</v>
      </c>
      <c r="Y21" s="85">
        <v>210.34</v>
      </c>
      <c r="Z21" s="85">
        <v>32.36</v>
      </c>
      <c r="AA21" s="85">
        <v>7.28</v>
      </c>
      <c r="AB21" s="85">
        <v>25.89</v>
      </c>
      <c r="AC21" s="85">
        <v>107</v>
      </c>
      <c r="AD21" s="93">
        <v>254</v>
      </c>
      <c r="AE21" s="85">
        <v>69.26</v>
      </c>
      <c r="AF21" s="85">
        <v>13.85</v>
      </c>
      <c r="AG21" s="103">
        <v>107</v>
      </c>
      <c r="AH21" s="73">
        <f t="shared" si="10"/>
        <v>444.11</v>
      </c>
      <c r="AI21" s="102">
        <v>24531.85</v>
      </c>
      <c r="AJ21" s="102">
        <v>40000</v>
      </c>
      <c r="AK21" s="102">
        <v>3552.88</v>
      </c>
      <c r="AL21" s="98"/>
      <c r="AM21" s="98"/>
      <c r="AN21" s="98"/>
      <c r="AO21" s="98"/>
      <c r="AP21" s="98"/>
      <c r="AQ21" s="97">
        <f t="shared" si="11"/>
        <v>27758.32</v>
      </c>
      <c r="AR21" s="97">
        <f t="shared" si="12"/>
        <v>3996.99</v>
      </c>
      <c r="AS21" s="107">
        <f t="shared" si="13"/>
        <v>45000</v>
      </c>
      <c r="AT21" s="107"/>
      <c r="AU21" s="97">
        <f t="shared" si="14"/>
        <v>-21238.67</v>
      </c>
      <c r="AV21" s="108">
        <f>5*MAX(0,AU21*{0.6;2;4;5;6;7;9}%-{0;504;3384;6384;10584;17184;36384})</f>
        <v>0</v>
      </c>
      <c r="AW21" s="117"/>
      <c r="AX21" s="108">
        <f t="shared" si="15"/>
        <v>0</v>
      </c>
      <c r="AY21" s="76"/>
      <c r="AZ21" s="112">
        <f t="shared" si="16"/>
        <v>2782.36</v>
      </c>
      <c r="BA21" s="115"/>
    </row>
    <row r="22" s="17" customFormat="1" ht="25" customHeight="1" spans="1:53">
      <c r="A22" s="22">
        <v>15</v>
      </c>
      <c r="B22" s="54" t="s">
        <v>116</v>
      </c>
      <c r="C22" s="44" t="s">
        <v>82</v>
      </c>
      <c r="D22" s="44" t="s">
        <v>117</v>
      </c>
      <c r="E22" s="44" t="s">
        <v>89</v>
      </c>
      <c r="F22" s="44" t="s">
        <v>84</v>
      </c>
      <c r="G22" s="45" t="s">
        <v>118</v>
      </c>
      <c r="H22" s="45" t="s">
        <v>119</v>
      </c>
      <c r="I22" s="44"/>
      <c r="J22" s="73">
        <v>1830</v>
      </c>
      <c r="K22" s="73">
        <f>200</f>
        <v>200</v>
      </c>
      <c r="L22" s="73">
        <f>300</f>
        <v>300</v>
      </c>
      <c r="M22" s="73">
        <v>200</v>
      </c>
      <c r="N22" s="73">
        <v>100</v>
      </c>
      <c r="O22" s="73">
        <f>100</f>
        <v>100</v>
      </c>
      <c r="P22" s="73">
        <v>40</v>
      </c>
      <c r="Q22" s="73"/>
      <c r="R22" s="73">
        <f>J22/21.75/8*5*1.5+J22/21.75/8*17*2</f>
        <v>436.47</v>
      </c>
      <c r="S22" s="73">
        <v>100</v>
      </c>
      <c r="T22" s="73"/>
      <c r="U22" s="89">
        <v>20</v>
      </c>
      <c r="V22" s="84">
        <f t="shared" si="9"/>
        <v>3326.47</v>
      </c>
      <c r="W22" s="85">
        <v>431.52</v>
      </c>
      <c r="X22" s="85">
        <v>19.42</v>
      </c>
      <c r="Y22" s="85">
        <v>210.34</v>
      </c>
      <c r="Z22" s="85">
        <v>32.36</v>
      </c>
      <c r="AA22" s="85">
        <v>7.28</v>
      </c>
      <c r="AB22" s="85">
        <v>25.89</v>
      </c>
      <c r="AC22" s="85">
        <v>107</v>
      </c>
      <c r="AD22" s="93">
        <v>254</v>
      </c>
      <c r="AE22" s="85">
        <v>69.26</v>
      </c>
      <c r="AF22" s="85">
        <v>13.85</v>
      </c>
      <c r="AG22" s="73">
        <v>107</v>
      </c>
      <c r="AH22" s="73">
        <f t="shared" si="10"/>
        <v>444.11</v>
      </c>
      <c r="AI22" s="102">
        <v>26438.7</v>
      </c>
      <c r="AJ22" s="102">
        <v>40000</v>
      </c>
      <c r="AK22" s="102">
        <v>3552.88</v>
      </c>
      <c r="AL22" s="98"/>
      <c r="AM22" s="98"/>
      <c r="AN22" s="98"/>
      <c r="AO22" s="98"/>
      <c r="AP22" s="98"/>
      <c r="AQ22" s="97">
        <f t="shared" si="11"/>
        <v>29765.17</v>
      </c>
      <c r="AR22" s="97">
        <f t="shared" si="12"/>
        <v>3996.99</v>
      </c>
      <c r="AS22" s="107">
        <f t="shared" si="13"/>
        <v>45000</v>
      </c>
      <c r="AT22" s="107"/>
      <c r="AU22" s="97">
        <f t="shared" si="14"/>
        <v>-19231.82</v>
      </c>
      <c r="AV22" s="108">
        <f>5*MAX(0,AU22*{0.6;2;4;5;6;7;9}%-{0;504;3384;6384;10584;17184;36384})</f>
        <v>0</v>
      </c>
      <c r="AW22" s="117"/>
      <c r="AX22" s="108">
        <f t="shared" si="15"/>
        <v>0</v>
      </c>
      <c r="AY22" s="76"/>
      <c r="AZ22" s="112">
        <f t="shared" si="16"/>
        <v>2882.36</v>
      </c>
      <c r="BA22" s="115"/>
    </row>
    <row r="23" s="17" customFormat="1" ht="25" customHeight="1" spans="1:53">
      <c r="A23" s="22">
        <v>16</v>
      </c>
      <c r="B23" s="54" t="s">
        <v>120</v>
      </c>
      <c r="C23" s="44" t="s">
        <v>82</v>
      </c>
      <c r="D23" s="44" t="s">
        <v>106</v>
      </c>
      <c r="E23" s="44" t="s">
        <v>89</v>
      </c>
      <c r="F23" s="44" t="s">
        <v>84</v>
      </c>
      <c r="G23" s="45" t="s">
        <v>121</v>
      </c>
      <c r="H23" s="45" t="s">
        <v>122</v>
      </c>
      <c r="I23" s="44"/>
      <c r="J23" s="73">
        <v>1830</v>
      </c>
      <c r="K23" s="73">
        <f>200</f>
        <v>200</v>
      </c>
      <c r="L23" s="73">
        <f>300</f>
        <v>300</v>
      </c>
      <c r="M23" s="73">
        <v>200</v>
      </c>
      <c r="N23" s="73">
        <v>100</v>
      </c>
      <c r="O23" s="73">
        <f>100</f>
        <v>100</v>
      </c>
      <c r="P23" s="73">
        <v>40</v>
      </c>
      <c r="Q23" s="73"/>
      <c r="R23" s="73">
        <f>J23/21.75/8*6.5*1.5+J23/21.75/8*29*2</f>
        <v>712.54</v>
      </c>
      <c r="S23" s="73"/>
      <c r="T23" s="73"/>
      <c r="U23" s="89">
        <v>20</v>
      </c>
      <c r="V23" s="84">
        <f t="shared" si="9"/>
        <v>3502.54</v>
      </c>
      <c r="W23" s="85">
        <v>431.52</v>
      </c>
      <c r="X23" s="85">
        <v>19.42</v>
      </c>
      <c r="Y23" s="85">
        <v>210.34</v>
      </c>
      <c r="Z23" s="85">
        <v>32.36</v>
      </c>
      <c r="AA23" s="85">
        <v>7.28</v>
      </c>
      <c r="AB23" s="85">
        <v>25.89</v>
      </c>
      <c r="AC23" s="85">
        <v>107</v>
      </c>
      <c r="AD23" s="93">
        <v>254</v>
      </c>
      <c r="AE23" s="85">
        <v>69.26</v>
      </c>
      <c r="AF23" s="85">
        <v>13.85</v>
      </c>
      <c r="AG23" s="73">
        <v>107</v>
      </c>
      <c r="AH23" s="73">
        <f t="shared" si="10"/>
        <v>444.11</v>
      </c>
      <c r="AI23" s="102">
        <v>23994.4</v>
      </c>
      <c r="AJ23" s="102">
        <v>40000</v>
      </c>
      <c r="AK23" s="102">
        <v>3552.88</v>
      </c>
      <c r="AL23" s="98"/>
      <c r="AM23" s="98"/>
      <c r="AN23" s="98"/>
      <c r="AO23" s="98"/>
      <c r="AP23" s="98"/>
      <c r="AQ23" s="97">
        <f t="shared" si="11"/>
        <v>27496.94</v>
      </c>
      <c r="AR23" s="97">
        <f t="shared" si="12"/>
        <v>3996.99</v>
      </c>
      <c r="AS23" s="107">
        <f t="shared" si="13"/>
        <v>45000</v>
      </c>
      <c r="AT23" s="107"/>
      <c r="AU23" s="97">
        <f t="shared" si="14"/>
        <v>-21500.05</v>
      </c>
      <c r="AV23" s="108">
        <f>5*MAX(0,AU23*{0.6;2;4;5;6;7;9}%-{0;504;3384;6384;10584;17184;36384})</f>
        <v>0</v>
      </c>
      <c r="AW23" s="117"/>
      <c r="AX23" s="108">
        <f t="shared" si="15"/>
        <v>0</v>
      </c>
      <c r="AY23" s="76"/>
      <c r="AZ23" s="112">
        <f t="shared" si="16"/>
        <v>3058.43</v>
      </c>
      <c r="BA23" s="115"/>
    </row>
    <row r="24" s="17" customFormat="1" ht="25" customHeight="1" spans="1:53">
      <c r="A24" s="22">
        <v>17</v>
      </c>
      <c r="B24" s="54" t="s">
        <v>123</v>
      </c>
      <c r="C24" s="44" t="s">
        <v>82</v>
      </c>
      <c r="D24" s="44" t="s">
        <v>117</v>
      </c>
      <c r="E24" s="44" t="s">
        <v>89</v>
      </c>
      <c r="F24" s="44" t="s">
        <v>84</v>
      </c>
      <c r="G24" s="45" t="s">
        <v>124</v>
      </c>
      <c r="H24" s="45" t="s">
        <v>125</v>
      </c>
      <c r="I24" s="44"/>
      <c r="J24" s="73">
        <v>1830</v>
      </c>
      <c r="K24" s="73">
        <f>300</f>
        <v>300</v>
      </c>
      <c r="L24" s="73">
        <f>300</f>
        <v>300</v>
      </c>
      <c r="M24" s="73">
        <v>200</v>
      </c>
      <c r="N24" s="73">
        <v>100</v>
      </c>
      <c r="O24" s="73">
        <f>100</f>
        <v>100</v>
      </c>
      <c r="P24" s="73">
        <v>40</v>
      </c>
      <c r="Q24" s="73"/>
      <c r="R24" s="73">
        <f>J24/21.75/8*6.5*1.5+J24/21.75/8*29*2</f>
        <v>712.54</v>
      </c>
      <c r="S24" s="73">
        <v>300</v>
      </c>
      <c r="T24" s="73"/>
      <c r="U24" s="89">
        <f>20+153</f>
        <v>173</v>
      </c>
      <c r="V24" s="84">
        <f t="shared" si="9"/>
        <v>4055.54</v>
      </c>
      <c r="W24" s="85">
        <v>431.52</v>
      </c>
      <c r="X24" s="85">
        <v>19.42</v>
      </c>
      <c r="Y24" s="85">
        <v>210.34</v>
      </c>
      <c r="Z24" s="85">
        <v>32.36</v>
      </c>
      <c r="AA24" s="85">
        <v>7.28</v>
      </c>
      <c r="AB24" s="85">
        <v>25.89</v>
      </c>
      <c r="AC24" s="85">
        <v>107</v>
      </c>
      <c r="AD24" s="93">
        <v>254</v>
      </c>
      <c r="AE24" s="85">
        <v>69.26</v>
      </c>
      <c r="AF24" s="85">
        <v>13.85</v>
      </c>
      <c r="AG24" s="73">
        <v>107</v>
      </c>
      <c r="AH24" s="73">
        <f t="shared" si="10"/>
        <v>444.11</v>
      </c>
      <c r="AI24" s="102">
        <v>27165.97</v>
      </c>
      <c r="AJ24" s="102">
        <v>40000</v>
      </c>
      <c r="AK24" s="102">
        <v>3552.88</v>
      </c>
      <c r="AL24" s="98"/>
      <c r="AM24" s="98"/>
      <c r="AN24" s="98"/>
      <c r="AO24" s="98"/>
      <c r="AP24" s="98"/>
      <c r="AQ24" s="97">
        <f t="shared" si="11"/>
        <v>31221.51</v>
      </c>
      <c r="AR24" s="97">
        <f t="shared" si="12"/>
        <v>3996.99</v>
      </c>
      <c r="AS24" s="107">
        <f t="shared" si="13"/>
        <v>45000</v>
      </c>
      <c r="AT24" s="107"/>
      <c r="AU24" s="97">
        <f t="shared" si="14"/>
        <v>-17775.48</v>
      </c>
      <c r="AV24" s="108">
        <f>5*MAX(0,AU24*{0.6;2;4;5;6;7;9}%-{0;504;3384;6384;10584;17184;36384})</f>
        <v>0</v>
      </c>
      <c r="AW24" s="117"/>
      <c r="AX24" s="108">
        <f t="shared" si="15"/>
        <v>0</v>
      </c>
      <c r="AY24" s="76"/>
      <c r="AZ24" s="112">
        <f t="shared" si="16"/>
        <v>3611.43</v>
      </c>
      <c r="BA24" s="113"/>
    </row>
    <row r="25" s="17" customFormat="1" ht="25" customHeight="1" spans="1:53">
      <c r="A25" s="22">
        <v>18</v>
      </c>
      <c r="B25" s="55" t="s">
        <v>126</v>
      </c>
      <c r="C25" s="45" t="s">
        <v>82</v>
      </c>
      <c r="D25" s="45" t="s">
        <v>83</v>
      </c>
      <c r="E25" s="44" t="s">
        <v>56</v>
      </c>
      <c r="F25" s="44" t="s">
        <v>57</v>
      </c>
      <c r="G25" s="45" t="s">
        <v>127</v>
      </c>
      <c r="H25" s="45" t="s">
        <v>128</v>
      </c>
      <c r="I25" s="44"/>
      <c r="J25" s="73">
        <v>1830</v>
      </c>
      <c r="K25" s="73">
        <f>900</f>
        <v>900</v>
      </c>
      <c r="L25" s="73">
        <f>800*1.008</f>
        <v>806.4</v>
      </c>
      <c r="M25" s="73">
        <v>200</v>
      </c>
      <c r="N25" s="73">
        <v>100</v>
      </c>
      <c r="O25" s="73">
        <f>1470</f>
        <v>1470</v>
      </c>
      <c r="P25" s="73">
        <v>40</v>
      </c>
      <c r="Q25" s="73"/>
      <c r="R25" s="73"/>
      <c r="S25" s="73"/>
      <c r="T25" s="73"/>
      <c r="U25" s="89"/>
      <c r="V25" s="84">
        <f t="shared" si="9"/>
        <v>5346.4</v>
      </c>
      <c r="W25" s="85">
        <v>431.52</v>
      </c>
      <c r="X25" s="85">
        <v>19.42</v>
      </c>
      <c r="Y25" s="85">
        <v>210.34</v>
      </c>
      <c r="Z25" s="85">
        <v>32.36</v>
      </c>
      <c r="AA25" s="85">
        <v>7.28</v>
      </c>
      <c r="AB25" s="85">
        <v>25.89</v>
      </c>
      <c r="AC25" s="85">
        <v>107</v>
      </c>
      <c r="AD25" s="93">
        <v>254</v>
      </c>
      <c r="AE25" s="85">
        <v>69.26</v>
      </c>
      <c r="AF25" s="85">
        <v>13.85</v>
      </c>
      <c r="AG25" s="73">
        <v>107</v>
      </c>
      <c r="AH25" s="73">
        <f t="shared" si="10"/>
        <v>444.11</v>
      </c>
      <c r="AI25" s="102">
        <v>41509.09</v>
      </c>
      <c r="AJ25" s="102">
        <v>40000</v>
      </c>
      <c r="AK25" s="102">
        <v>3552.88</v>
      </c>
      <c r="AL25" s="98"/>
      <c r="AM25" s="98"/>
      <c r="AN25" s="98"/>
      <c r="AO25" s="98"/>
      <c r="AP25" s="98"/>
      <c r="AQ25" s="97">
        <f t="shared" si="11"/>
        <v>46855.49</v>
      </c>
      <c r="AR25" s="97">
        <f t="shared" si="12"/>
        <v>3996.99</v>
      </c>
      <c r="AS25" s="107">
        <f t="shared" si="13"/>
        <v>45000</v>
      </c>
      <c r="AT25" s="107"/>
      <c r="AU25" s="97">
        <f t="shared" si="14"/>
        <v>-2141.5</v>
      </c>
      <c r="AV25" s="108">
        <f>5*MAX(0,AU25*{0.6;2;4;5;6;7;9}%-{0;504;3384;6384;10584;17184;36384})</f>
        <v>0</v>
      </c>
      <c r="AW25" s="117"/>
      <c r="AX25" s="108">
        <f t="shared" si="15"/>
        <v>0</v>
      </c>
      <c r="AY25" s="76"/>
      <c r="AZ25" s="112">
        <f t="shared" si="16"/>
        <v>4902.29</v>
      </c>
      <c r="BA25" s="115"/>
    </row>
    <row r="26" s="17" customFormat="1" ht="25" customHeight="1" spans="1:53">
      <c r="A26" s="22">
        <v>19</v>
      </c>
      <c r="B26" s="55" t="s">
        <v>129</v>
      </c>
      <c r="C26" s="45" t="s">
        <v>82</v>
      </c>
      <c r="D26" s="52" t="s">
        <v>106</v>
      </c>
      <c r="E26" s="44" t="s">
        <v>89</v>
      </c>
      <c r="F26" s="44" t="s">
        <v>84</v>
      </c>
      <c r="G26" s="45" t="s">
        <v>130</v>
      </c>
      <c r="H26" s="45" t="s">
        <v>131</v>
      </c>
      <c r="I26" s="44"/>
      <c r="J26" s="73">
        <v>1830</v>
      </c>
      <c r="K26" s="73">
        <f>200</f>
        <v>200</v>
      </c>
      <c r="L26" s="73">
        <f>300</f>
        <v>300</v>
      </c>
      <c r="M26" s="73">
        <v>200</v>
      </c>
      <c r="N26" s="73">
        <v>100</v>
      </c>
      <c r="O26" s="73">
        <f>100</f>
        <v>100</v>
      </c>
      <c r="P26" s="73">
        <v>40</v>
      </c>
      <c r="Q26" s="73"/>
      <c r="R26" s="73">
        <f>J26/21.75/8*5*1.5+J26/21.75/8*27*2</f>
        <v>646.81</v>
      </c>
      <c r="S26" s="73"/>
      <c r="T26" s="73"/>
      <c r="U26" s="89"/>
      <c r="V26" s="84">
        <f t="shared" si="9"/>
        <v>3416.81</v>
      </c>
      <c r="W26" s="85">
        <v>431.52</v>
      </c>
      <c r="X26" s="85">
        <v>19.42</v>
      </c>
      <c r="Y26" s="85">
        <v>210.34</v>
      </c>
      <c r="Z26" s="85">
        <v>32.36</v>
      </c>
      <c r="AA26" s="85">
        <v>7.28</v>
      </c>
      <c r="AB26" s="85">
        <v>25.89</v>
      </c>
      <c r="AC26" s="85">
        <v>107</v>
      </c>
      <c r="AD26" s="93">
        <v>254</v>
      </c>
      <c r="AE26" s="85">
        <v>69.26</v>
      </c>
      <c r="AF26" s="85">
        <v>13.85</v>
      </c>
      <c r="AG26" s="73">
        <v>107</v>
      </c>
      <c r="AH26" s="73">
        <f t="shared" si="10"/>
        <v>444.11</v>
      </c>
      <c r="AI26" s="102">
        <v>23932.16</v>
      </c>
      <c r="AJ26" s="102">
        <v>40000</v>
      </c>
      <c r="AK26" s="102">
        <v>3552.88</v>
      </c>
      <c r="AL26" s="98"/>
      <c r="AM26" s="98"/>
      <c r="AN26" s="98"/>
      <c r="AO26" s="98"/>
      <c r="AP26" s="98"/>
      <c r="AQ26" s="97">
        <f t="shared" si="11"/>
        <v>27348.97</v>
      </c>
      <c r="AR26" s="97">
        <f t="shared" si="12"/>
        <v>3996.99</v>
      </c>
      <c r="AS26" s="107">
        <f t="shared" si="13"/>
        <v>45000</v>
      </c>
      <c r="AT26" s="107"/>
      <c r="AU26" s="97">
        <f t="shared" si="14"/>
        <v>-21648.02</v>
      </c>
      <c r="AV26" s="108">
        <f>5*MAX(0,AU26*{0.6;2;4;5;6;7;9}%-{0;504;3384;6384;10584;17184;36384})</f>
        <v>0</v>
      </c>
      <c r="AW26" s="117"/>
      <c r="AX26" s="108">
        <f t="shared" si="15"/>
        <v>0</v>
      </c>
      <c r="AY26" s="76"/>
      <c r="AZ26" s="112">
        <f t="shared" si="16"/>
        <v>2972.7</v>
      </c>
      <c r="BA26" s="118"/>
    </row>
    <row r="27" s="17" customFormat="1" ht="25" customHeight="1" spans="1:53">
      <c r="A27" s="22">
        <v>20</v>
      </c>
      <c r="B27" s="56" t="s">
        <v>132</v>
      </c>
      <c r="C27" s="45" t="s">
        <v>82</v>
      </c>
      <c r="D27" s="52" t="s">
        <v>117</v>
      </c>
      <c r="E27" s="44" t="s">
        <v>89</v>
      </c>
      <c r="F27" s="44" t="s">
        <v>84</v>
      </c>
      <c r="G27" s="45" t="s">
        <v>133</v>
      </c>
      <c r="H27" s="45" t="s">
        <v>134</v>
      </c>
      <c r="I27" s="44"/>
      <c r="J27" s="73">
        <v>1830</v>
      </c>
      <c r="K27" s="73">
        <f>300</f>
        <v>300</v>
      </c>
      <c r="L27" s="73">
        <f>300</f>
        <v>300</v>
      </c>
      <c r="M27" s="73">
        <v>200</v>
      </c>
      <c r="N27" s="73">
        <v>100</v>
      </c>
      <c r="O27" s="73">
        <f>100</f>
        <v>100</v>
      </c>
      <c r="P27" s="73">
        <v>40</v>
      </c>
      <c r="Q27" s="73"/>
      <c r="R27" s="73">
        <f>J27/21.75/8*4*1.5+J27/21.75/8*35*2</f>
        <v>799.31</v>
      </c>
      <c r="S27" s="73">
        <v>400</v>
      </c>
      <c r="T27" s="73"/>
      <c r="U27" s="89"/>
      <c r="V27" s="84">
        <f t="shared" si="9"/>
        <v>4069.31</v>
      </c>
      <c r="W27" s="85">
        <v>431.52</v>
      </c>
      <c r="X27" s="85">
        <v>19.42</v>
      </c>
      <c r="Y27" s="85">
        <v>210.34</v>
      </c>
      <c r="Z27" s="85">
        <v>32.36</v>
      </c>
      <c r="AA27" s="85">
        <v>7.28</v>
      </c>
      <c r="AB27" s="85">
        <v>25.89</v>
      </c>
      <c r="AC27" s="85">
        <v>107</v>
      </c>
      <c r="AD27" s="93">
        <v>254</v>
      </c>
      <c r="AE27" s="85">
        <v>69.26</v>
      </c>
      <c r="AF27" s="85">
        <v>13.85</v>
      </c>
      <c r="AG27" s="73">
        <v>107</v>
      </c>
      <c r="AH27" s="73">
        <f t="shared" si="10"/>
        <v>444.11</v>
      </c>
      <c r="AI27" s="102">
        <v>26686.53</v>
      </c>
      <c r="AJ27" s="102">
        <v>40000</v>
      </c>
      <c r="AK27" s="102">
        <v>3552.88</v>
      </c>
      <c r="AL27" s="98"/>
      <c r="AM27" s="98"/>
      <c r="AN27" s="98"/>
      <c r="AO27" s="98"/>
      <c r="AP27" s="98"/>
      <c r="AQ27" s="97">
        <f t="shared" si="11"/>
        <v>30755.84</v>
      </c>
      <c r="AR27" s="97">
        <f t="shared" si="12"/>
        <v>3996.99</v>
      </c>
      <c r="AS27" s="107">
        <f t="shared" si="13"/>
        <v>45000</v>
      </c>
      <c r="AT27" s="107"/>
      <c r="AU27" s="97">
        <f t="shared" si="14"/>
        <v>-18241.15</v>
      </c>
      <c r="AV27" s="108">
        <f>5*MAX(0,AU27*{0.6;2;4;5;6;7;9}%-{0;504;3384;6384;10584;17184;36384})</f>
        <v>0</v>
      </c>
      <c r="AW27" s="117"/>
      <c r="AX27" s="108">
        <f t="shared" si="15"/>
        <v>0</v>
      </c>
      <c r="AY27" s="76"/>
      <c r="AZ27" s="112">
        <f t="shared" si="16"/>
        <v>3625.2</v>
      </c>
      <c r="BA27" s="113"/>
    </row>
    <row r="28" s="17" customFormat="1" ht="25" customHeight="1" spans="1:53">
      <c r="A28" s="22">
        <v>21</v>
      </c>
      <c r="B28" s="57" t="s">
        <v>135</v>
      </c>
      <c r="C28" s="45" t="s">
        <v>82</v>
      </c>
      <c r="D28" s="52" t="s">
        <v>106</v>
      </c>
      <c r="E28" s="44" t="s">
        <v>89</v>
      </c>
      <c r="F28" s="44" t="s">
        <v>84</v>
      </c>
      <c r="G28" s="45" t="str">
        <f>VLOOKUP(B28,[1]在职汇总!$E$3:$G$98,3,FALSE)</f>
        <v>510112197612194823</v>
      </c>
      <c r="H28" s="45" t="s">
        <v>136</v>
      </c>
      <c r="I28" s="44"/>
      <c r="J28" s="73">
        <v>1830</v>
      </c>
      <c r="K28" s="73">
        <f>200</f>
        <v>200</v>
      </c>
      <c r="L28" s="73">
        <f>300</f>
        <v>300</v>
      </c>
      <c r="M28" s="73">
        <v>200</v>
      </c>
      <c r="N28" s="73">
        <v>100</v>
      </c>
      <c r="O28" s="73">
        <f>100</f>
        <v>100</v>
      </c>
      <c r="P28" s="73">
        <v>40</v>
      </c>
      <c r="Q28" s="73"/>
      <c r="R28" s="73">
        <f>J28/21.75/8*1*1.5+J28/21.75/8*0*2</f>
        <v>15.78</v>
      </c>
      <c r="S28" s="73"/>
      <c r="T28" s="73"/>
      <c r="U28" s="89"/>
      <c r="V28" s="84">
        <f t="shared" si="9"/>
        <v>2785.78</v>
      </c>
      <c r="W28" s="85">
        <v>431.52</v>
      </c>
      <c r="X28" s="85">
        <v>19.42</v>
      </c>
      <c r="Y28" s="85">
        <v>210.34</v>
      </c>
      <c r="Z28" s="85">
        <v>32.36</v>
      </c>
      <c r="AA28" s="85">
        <v>7.28</v>
      </c>
      <c r="AB28" s="85">
        <v>25.89</v>
      </c>
      <c r="AC28" s="85">
        <v>107</v>
      </c>
      <c r="AD28" s="93">
        <v>254</v>
      </c>
      <c r="AE28" s="85">
        <v>69.26</v>
      </c>
      <c r="AF28" s="85">
        <v>13.85</v>
      </c>
      <c r="AG28" s="73">
        <v>107</v>
      </c>
      <c r="AH28" s="73">
        <f t="shared" si="10"/>
        <v>444.11</v>
      </c>
      <c r="AI28" s="102">
        <v>24410.63</v>
      </c>
      <c r="AJ28" s="102">
        <v>40000</v>
      </c>
      <c r="AK28" s="102">
        <v>3552.88</v>
      </c>
      <c r="AL28" s="98"/>
      <c r="AM28" s="98"/>
      <c r="AN28" s="98"/>
      <c r="AO28" s="98"/>
      <c r="AP28" s="98"/>
      <c r="AQ28" s="97">
        <f t="shared" si="11"/>
        <v>27196.41</v>
      </c>
      <c r="AR28" s="97">
        <f t="shared" si="12"/>
        <v>3996.99</v>
      </c>
      <c r="AS28" s="107">
        <f t="shared" si="13"/>
        <v>45000</v>
      </c>
      <c r="AT28" s="107"/>
      <c r="AU28" s="97">
        <f t="shared" si="14"/>
        <v>-21800.58</v>
      </c>
      <c r="AV28" s="108">
        <f>5*MAX(0,AU28*{0.6;2;4;5;6;7;9}%-{0;504;3384;6384;10584;17184;36384})</f>
        <v>0</v>
      </c>
      <c r="AW28" s="117"/>
      <c r="AX28" s="108">
        <f t="shared" si="15"/>
        <v>0</v>
      </c>
      <c r="AY28" s="76"/>
      <c r="AZ28" s="112">
        <f t="shared" si="16"/>
        <v>2341.67</v>
      </c>
      <c r="BA28" s="113"/>
    </row>
    <row r="29" s="17" customFormat="1" ht="25" customHeight="1" spans="1:53">
      <c r="A29" s="22">
        <v>23</v>
      </c>
      <c r="B29" s="57" t="s">
        <v>137</v>
      </c>
      <c r="C29" s="45" t="s">
        <v>82</v>
      </c>
      <c r="D29" s="52" t="s">
        <v>106</v>
      </c>
      <c r="E29" s="44" t="s">
        <v>89</v>
      </c>
      <c r="F29" s="44" t="s">
        <v>84</v>
      </c>
      <c r="G29" s="45" t="str">
        <f>VLOOKUP(B29,[1]在职汇总!$E$3:$G$98,3,FALSE)</f>
        <v>510122197903022362</v>
      </c>
      <c r="H29" s="130" t="s">
        <v>138</v>
      </c>
      <c r="I29" s="44"/>
      <c r="J29" s="73">
        <v>1830</v>
      </c>
      <c r="K29" s="73">
        <f>400</f>
        <v>400</v>
      </c>
      <c r="L29" s="73">
        <f>300</f>
        <v>300</v>
      </c>
      <c r="M29" s="73">
        <v>200</v>
      </c>
      <c r="N29" s="73">
        <v>100</v>
      </c>
      <c r="O29" s="73">
        <f>100</f>
        <v>100</v>
      </c>
      <c r="P29" s="73">
        <v>20</v>
      </c>
      <c r="Q29" s="73"/>
      <c r="R29" s="73">
        <f>J29/21.75/8*1.5*1.5+J29/21.75/8*0*2</f>
        <v>23.66</v>
      </c>
      <c r="S29" s="73"/>
      <c r="T29" s="73"/>
      <c r="U29" s="73"/>
      <c r="V29" s="84">
        <f t="shared" si="9"/>
        <v>2973.66</v>
      </c>
      <c r="W29" s="85">
        <v>431.52</v>
      </c>
      <c r="X29" s="85">
        <v>19.42</v>
      </c>
      <c r="Y29" s="85">
        <v>210.34</v>
      </c>
      <c r="Z29" s="85">
        <v>32.36</v>
      </c>
      <c r="AA29" s="85">
        <v>7.28</v>
      </c>
      <c r="AB29" s="85">
        <v>25.89</v>
      </c>
      <c r="AC29" s="85">
        <v>107</v>
      </c>
      <c r="AD29" s="93">
        <v>254</v>
      </c>
      <c r="AE29" s="85">
        <v>69.26</v>
      </c>
      <c r="AF29" s="85">
        <v>13.85</v>
      </c>
      <c r="AG29" s="73">
        <v>107</v>
      </c>
      <c r="AH29" s="73">
        <f t="shared" si="10"/>
        <v>444.11</v>
      </c>
      <c r="AI29" s="102">
        <v>25465.03</v>
      </c>
      <c r="AJ29" s="102">
        <v>40000</v>
      </c>
      <c r="AK29" s="102">
        <v>3552.88</v>
      </c>
      <c r="AL29" s="98"/>
      <c r="AM29" s="98"/>
      <c r="AN29" s="98"/>
      <c r="AO29" s="98"/>
      <c r="AP29" s="98"/>
      <c r="AQ29" s="97">
        <f t="shared" si="11"/>
        <v>28438.69</v>
      </c>
      <c r="AR29" s="97">
        <f t="shared" si="12"/>
        <v>3996.99</v>
      </c>
      <c r="AS29" s="107">
        <f t="shared" si="13"/>
        <v>45000</v>
      </c>
      <c r="AT29" s="107"/>
      <c r="AU29" s="97">
        <f t="shared" si="14"/>
        <v>-20558.3</v>
      </c>
      <c r="AV29" s="108">
        <f>5*MAX(0,AU29*{0.6;2;4;5;6;7;9}%-{0;504;3384;6384;10584;17184;36384})</f>
        <v>0</v>
      </c>
      <c r="AW29" s="117"/>
      <c r="AX29" s="108">
        <f t="shared" si="15"/>
        <v>0</v>
      </c>
      <c r="AY29" s="76"/>
      <c r="AZ29" s="112">
        <f t="shared" si="16"/>
        <v>2529.55</v>
      </c>
      <c r="BA29" s="113"/>
    </row>
    <row r="30" s="17" customFormat="1" ht="25" customHeight="1" spans="1:53">
      <c r="A30" s="22">
        <v>24</v>
      </c>
      <c r="B30" s="57" t="s">
        <v>139</v>
      </c>
      <c r="C30" s="45" t="s">
        <v>82</v>
      </c>
      <c r="D30" s="52" t="s">
        <v>106</v>
      </c>
      <c r="E30" s="44" t="s">
        <v>89</v>
      </c>
      <c r="F30" s="44" t="s">
        <v>84</v>
      </c>
      <c r="G30" s="45" t="s">
        <v>140</v>
      </c>
      <c r="H30" s="130" t="s">
        <v>141</v>
      </c>
      <c r="I30" s="44"/>
      <c r="J30" s="73">
        <v>1830</v>
      </c>
      <c r="K30" s="73">
        <f>600</f>
        <v>600</v>
      </c>
      <c r="L30" s="73">
        <f>400</f>
        <v>400</v>
      </c>
      <c r="M30" s="73">
        <v>200</v>
      </c>
      <c r="N30" s="73">
        <v>100</v>
      </c>
      <c r="O30" s="73"/>
      <c r="P30" s="73">
        <v>20</v>
      </c>
      <c r="Q30" s="73"/>
      <c r="R30" s="73">
        <f>J30/21.75/8*1.5*1.5+J30/21.75/8*0*2</f>
        <v>23.66</v>
      </c>
      <c r="S30" s="73"/>
      <c r="T30" s="73"/>
      <c r="U30" s="73"/>
      <c r="V30" s="84">
        <f t="shared" si="9"/>
        <v>3173.66</v>
      </c>
      <c r="W30" s="85">
        <v>431.52</v>
      </c>
      <c r="X30" s="85">
        <v>19.42</v>
      </c>
      <c r="Y30" s="85">
        <v>210.34</v>
      </c>
      <c r="Z30" s="85">
        <v>32.36</v>
      </c>
      <c r="AA30" s="85">
        <v>7.28</v>
      </c>
      <c r="AB30" s="85">
        <v>25.89</v>
      </c>
      <c r="AC30" s="85">
        <v>107</v>
      </c>
      <c r="AD30" s="93">
        <v>254</v>
      </c>
      <c r="AE30" s="85">
        <v>69.26</v>
      </c>
      <c r="AF30" s="85">
        <v>13.85</v>
      </c>
      <c r="AG30" s="73">
        <v>107</v>
      </c>
      <c r="AH30" s="73">
        <f t="shared" si="10"/>
        <v>444.11</v>
      </c>
      <c r="AI30" s="102">
        <v>27205.69</v>
      </c>
      <c r="AJ30" s="102">
        <v>40000</v>
      </c>
      <c r="AK30" s="102">
        <v>3552.88</v>
      </c>
      <c r="AL30" s="98"/>
      <c r="AM30" s="98"/>
      <c r="AN30" s="98"/>
      <c r="AO30" s="98"/>
      <c r="AP30" s="98"/>
      <c r="AQ30" s="97">
        <f t="shared" si="11"/>
        <v>30379.35</v>
      </c>
      <c r="AR30" s="97">
        <f t="shared" si="12"/>
        <v>3996.99</v>
      </c>
      <c r="AS30" s="107">
        <f t="shared" si="13"/>
        <v>45000</v>
      </c>
      <c r="AT30" s="107"/>
      <c r="AU30" s="97">
        <f t="shared" si="14"/>
        <v>-18617.64</v>
      </c>
      <c r="AV30" s="108">
        <f>5*MAX(0,AU30*{0.6;2;4;5;6;7;9}%-{0;504;3384;6384;10584;17184;36384})</f>
        <v>0</v>
      </c>
      <c r="AW30" s="117"/>
      <c r="AX30" s="108">
        <f t="shared" si="15"/>
        <v>0</v>
      </c>
      <c r="AY30" s="76"/>
      <c r="AZ30" s="112">
        <f t="shared" si="16"/>
        <v>2729.55</v>
      </c>
      <c r="BA30" s="113"/>
    </row>
    <row r="31" s="17" customFormat="1" ht="25" customHeight="1" spans="1:53">
      <c r="A31" s="22">
        <v>28</v>
      </c>
      <c r="B31" s="58" t="s">
        <v>142</v>
      </c>
      <c r="C31" s="45" t="s">
        <v>82</v>
      </c>
      <c r="D31" s="52" t="s">
        <v>106</v>
      </c>
      <c r="E31" s="44" t="s">
        <v>89</v>
      </c>
      <c r="F31" s="44" t="s">
        <v>84</v>
      </c>
      <c r="G31" s="45" t="s">
        <v>143</v>
      </c>
      <c r="H31" s="45" t="s">
        <v>144</v>
      </c>
      <c r="I31" s="44"/>
      <c r="J31" s="73">
        <v>1830</v>
      </c>
      <c r="K31" s="73">
        <f>200</f>
        <v>200</v>
      </c>
      <c r="L31" s="73">
        <f>300</f>
        <v>300</v>
      </c>
      <c r="M31" s="73">
        <v>200</v>
      </c>
      <c r="N31" s="73">
        <v>100</v>
      </c>
      <c r="O31" s="73">
        <f>100</f>
        <v>100</v>
      </c>
      <c r="P31" s="73">
        <f>20</f>
        <v>20</v>
      </c>
      <c r="Q31" s="73"/>
      <c r="R31" s="73">
        <f>J31/21.75/8*6.5*1.5+J31/21.75/8*28.5*2</f>
        <v>702.03</v>
      </c>
      <c r="S31" s="73"/>
      <c r="T31" s="73"/>
      <c r="U31" s="73"/>
      <c r="V31" s="84">
        <f t="shared" si="9"/>
        <v>3452.03</v>
      </c>
      <c r="W31" s="85"/>
      <c r="X31" s="85"/>
      <c r="Y31" s="85"/>
      <c r="Z31" s="85"/>
      <c r="AA31" s="85"/>
      <c r="AB31" s="85"/>
      <c r="AC31" s="85"/>
      <c r="AD31" s="93">
        <v>254</v>
      </c>
      <c r="AE31" s="85">
        <v>69.26</v>
      </c>
      <c r="AF31" s="85">
        <v>13.85</v>
      </c>
      <c r="AG31" s="73">
        <f>107</f>
        <v>107</v>
      </c>
      <c r="AH31" s="73">
        <f t="shared" si="10"/>
        <v>444.11</v>
      </c>
      <c r="AI31" s="98">
        <v>24144.05</v>
      </c>
      <c r="AJ31" s="102">
        <v>40000</v>
      </c>
      <c r="AK31" s="98">
        <v>3552.88</v>
      </c>
      <c r="AL31" s="98"/>
      <c r="AM31" s="98"/>
      <c r="AN31" s="98"/>
      <c r="AO31" s="98"/>
      <c r="AP31" s="98"/>
      <c r="AQ31" s="97">
        <f t="shared" si="11"/>
        <v>27596.08</v>
      </c>
      <c r="AR31" s="97">
        <f t="shared" si="12"/>
        <v>3996.99</v>
      </c>
      <c r="AS31" s="107">
        <f t="shared" si="13"/>
        <v>45000</v>
      </c>
      <c r="AT31" s="107"/>
      <c r="AU31" s="97">
        <f t="shared" si="14"/>
        <v>-21400.91</v>
      </c>
      <c r="AV31" s="108">
        <f>5*MAX(0,AU31*{0.6;2;4;5;6;7;9}%-{0;504;3384;6384;10584;17184;36384})</f>
        <v>0</v>
      </c>
      <c r="AW31" s="117"/>
      <c r="AX31" s="108">
        <f t="shared" si="15"/>
        <v>0</v>
      </c>
      <c r="AY31" s="76"/>
      <c r="AZ31" s="112">
        <f t="shared" si="16"/>
        <v>3007.92</v>
      </c>
      <c r="BA31" s="113"/>
    </row>
    <row r="32" s="17" customFormat="1" ht="25" customHeight="1" spans="1:53">
      <c r="A32" s="22">
        <v>29</v>
      </c>
      <c r="B32" s="58" t="s">
        <v>145</v>
      </c>
      <c r="C32" s="45" t="s">
        <v>82</v>
      </c>
      <c r="D32" s="52" t="s">
        <v>106</v>
      </c>
      <c r="E32" s="44" t="s">
        <v>89</v>
      </c>
      <c r="F32" s="44" t="s">
        <v>84</v>
      </c>
      <c r="G32" s="45" t="s">
        <v>146</v>
      </c>
      <c r="H32" s="45" t="s">
        <v>147</v>
      </c>
      <c r="I32" s="44"/>
      <c r="J32" s="73">
        <v>1830</v>
      </c>
      <c r="K32" s="73">
        <f>200</f>
        <v>200</v>
      </c>
      <c r="L32" s="73">
        <f>300</f>
        <v>300</v>
      </c>
      <c r="M32" s="73">
        <v>200</v>
      </c>
      <c r="N32" s="73">
        <v>100</v>
      </c>
      <c r="O32" s="73">
        <f>100</f>
        <v>100</v>
      </c>
      <c r="P32" s="73">
        <v>20</v>
      </c>
      <c r="Q32" s="73"/>
      <c r="R32" s="73">
        <f>J32/21.75/8*6.5*1.5+J32/21.75/8*21*2</f>
        <v>544.27</v>
      </c>
      <c r="S32" s="73"/>
      <c r="T32" s="73"/>
      <c r="U32" s="73"/>
      <c r="V32" s="84">
        <f t="shared" si="9"/>
        <v>3294.27</v>
      </c>
      <c r="W32" s="85"/>
      <c r="X32" s="85"/>
      <c r="Y32" s="85"/>
      <c r="Z32" s="85"/>
      <c r="AA32" s="85"/>
      <c r="AB32" s="85"/>
      <c r="AC32" s="85"/>
      <c r="AD32" s="93">
        <v>254</v>
      </c>
      <c r="AE32" s="85">
        <v>69.26</v>
      </c>
      <c r="AF32" s="85">
        <v>13.85</v>
      </c>
      <c r="AG32" s="73">
        <f>107</f>
        <v>107</v>
      </c>
      <c r="AH32" s="73">
        <f t="shared" si="10"/>
        <v>444.11</v>
      </c>
      <c r="AI32" s="98">
        <v>23878.13</v>
      </c>
      <c r="AJ32" s="102">
        <v>40000</v>
      </c>
      <c r="AK32" s="98">
        <v>3552.88</v>
      </c>
      <c r="AL32" s="98"/>
      <c r="AM32" s="98"/>
      <c r="AN32" s="98"/>
      <c r="AO32" s="98"/>
      <c r="AP32" s="98"/>
      <c r="AQ32" s="97">
        <f t="shared" si="11"/>
        <v>27172.4</v>
      </c>
      <c r="AR32" s="97">
        <f t="shared" si="12"/>
        <v>3996.99</v>
      </c>
      <c r="AS32" s="107">
        <f t="shared" si="13"/>
        <v>45000</v>
      </c>
      <c r="AT32" s="107"/>
      <c r="AU32" s="97">
        <f t="shared" si="14"/>
        <v>-21824.59</v>
      </c>
      <c r="AV32" s="108">
        <f>5*MAX(0,AU32*{0.6;2;4;5;6;7;9}%-{0;504;3384;6384;10584;17184;36384})</f>
        <v>0</v>
      </c>
      <c r="AW32" s="117"/>
      <c r="AX32" s="108">
        <f t="shared" si="15"/>
        <v>0</v>
      </c>
      <c r="AY32" s="76"/>
      <c r="AZ32" s="112">
        <f t="shared" si="16"/>
        <v>2850.16</v>
      </c>
      <c r="BA32" s="119"/>
    </row>
    <row r="33" s="17" customFormat="1" ht="25" customHeight="1" spans="1:53">
      <c r="A33" s="22">
        <v>30</v>
      </c>
      <c r="B33" s="59" t="s">
        <v>148</v>
      </c>
      <c r="C33" s="45" t="s">
        <v>82</v>
      </c>
      <c r="D33" s="52" t="s">
        <v>106</v>
      </c>
      <c r="E33" s="44" t="s">
        <v>89</v>
      </c>
      <c r="F33" s="44" t="s">
        <v>84</v>
      </c>
      <c r="G33" s="45" t="s">
        <v>149</v>
      </c>
      <c r="H33" s="45" t="s">
        <v>150</v>
      </c>
      <c r="I33" s="44"/>
      <c r="J33" s="73">
        <v>1830</v>
      </c>
      <c r="K33" s="73">
        <f>200</f>
        <v>200</v>
      </c>
      <c r="L33" s="73">
        <f>300</f>
        <v>300</v>
      </c>
      <c r="M33" s="73">
        <v>200</v>
      </c>
      <c r="N33" s="73">
        <v>100</v>
      </c>
      <c r="O33" s="73">
        <f>100</f>
        <v>100</v>
      </c>
      <c r="P33" s="73">
        <v>20</v>
      </c>
      <c r="Q33" s="73"/>
      <c r="R33" s="73">
        <f>J33/21.75/8*6.5*1.5+J33/21.75/8*28*2</f>
        <v>691.51</v>
      </c>
      <c r="S33" s="73"/>
      <c r="T33" s="73"/>
      <c r="U33" s="73"/>
      <c r="V33" s="84">
        <f t="shared" si="9"/>
        <v>3441.51</v>
      </c>
      <c r="W33" s="85"/>
      <c r="X33" s="85"/>
      <c r="Y33" s="85"/>
      <c r="Z33" s="85"/>
      <c r="AA33" s="85"/>
      <c r="AB33" s="85"/>
      <c r="AC33" s="85"/>
      <c r="AD33" s="93">
        <v>254</v>
      </c>
      <c r="AE33" s="85">
        <v>69.26</v>
      </c>
      <c r="AF33" s="85">
        <v>13.85</v>
      </c>
      <c r="AG33" s="73">
        <f>107</f>
        <v>107</v>
      </c>
      <c r="AH33" s="73">
        <f t="shared" si="10"/>
        <v>444.11</v>
      </c>
      <c r="AI33" s="98">
        <v>23870.26</v>
      </c>
      <c r="AJ33" s="102">
        <v>40000</v>
      </c>
      <c r="AK33" s="98">
        <v>3552.88</v>
      </c>
      <c r="AL33" s="98"/>
      <c r="AM33" s="98"/>
      <c r="AN33" s="98"/>
      <c r="AO33" s="98"/>
      <c r="AP33" s="98"/>
      <c r="AQ33" s="97">
        <f t="shared" si="11"/>
        <v>27311.77</v>
      </c>
      <c r="AR33" s="97">
        <f t="shared" si="12"/>
        <v>3996.99</v>
      </c>
      <c r="AS33" s="107">
        <f t="shared" si="13"/>
        <v>45000</v>
      </c>
      <c r="AT33" s="107"/>
      <c r="AU33" s="97">
        <f t="shared" si="14"/>
        <v>-21685.22</v>
      </c>
      <c r="AV33" s="108">
        <f>5*MAX(0,AU33*{0.6;2;4;5;6;7;9}%-{0;504;3384;6384;10584;17184;36384})</f>
        <v>0</v>
      </c>
      <c r="AW33" s="117">
        <v>0</v>
      </c>
      <c r="AX33" s="108">
        <f t="shared" si="15"/>
        <v>0</v>
      </c>
      <c r="AY33" s="76"/>
      <c r="AZ33" s="112">
        <f t="shared" si="16"/>
        <v>2997.4</v>
      </c>
      <c r="BA33" s="115"/>
    </row>
    <row r="34" s="17" customFormat="1" ht="25" customHeight="1" spans="1:53">
      <c r="A34" s="22">
        <v>31</v>
      </c>
      <c r="B34" s="59" t="s">
        <v>151</v>
      </c>
      <c r="C34" s="45" t="s">
        <v>82</v>
      </c>
      <c r="D34" s="52" t="s">
        <v>106</v>
      </c>
      <c r="E34" s="44" t="s">
        <v>89</v>
      </c>
      <c r="F34" s="44" t="s">
        <v>84</v>
      </c>
      <c r="G34" s="45" t="s">
        <v>152</v>
      </c>
      <c r="H34" s="45" t="s">
        <v>153</v>
      </c>
      <c r="I34" s="44"/>
      <c r="J34" s="73">
        <f>1830</f>
        <v>1830</v>
      </c>
      <c r="K34" s="73">
        <f>200</f>
        <v>200</v>
      </c>
      <c r="L34" s="73">
        <f>300</f>
        <v>300</v>
      </c>
      <c r="M34" s="73">
        <v>200</v>
      </c>
      <c r="N34" s="73">
        <v>100</v>
      </c>
      <c r="O34" s="73">
        <f>100</f>
        <v>100</v>
      </c>
      <c r="P34" s="73"/>
      <c r="Q34" s="73"/>
      <c r="R34" s="73">
        <f>J34/21.75/8*1*1.5+J34/21.75/8*0*2</f>
        <v>15.78</v>
      </c>
      <c r="S34" s="73"/>
      <c r="T34" s="73"/>
      <c r="U34" s="73">
        <v>-60</v>
      </c>
      <c r="V34" s="84">
        <f t="shared" si="9"/>
        <v>2685.78</v>
      </c>
      <c r="W34" s="85"/>
      <c r="X34" s="85"/>
      <c r="Y34" s="85"/>
      <c r="Z34" s="85"/>
      <c r="AA34" s="85"/>
      <c r="AB34" s="85"/>
      <c r="AC34" s="85"/>
      <c r="AD34" s="93">
        <v>254</v>
      </c>
      <c r="AE34" s="85">
        <v>69.26</v>
      </c>
      <c r="AF34" s="85">
        <v>13.85</v>
      </c>
      <c r="AG34" s="73">
        <f>107</f>
        <v>107</v>
      </c>
      <c r="AH34" s="73">
        <f t="shared" si="10"/>
        <v>444.11</v>
      </c>
      <c r="AI34" s="98">
        <v>9317.78</v>
      </c>
      <c r="AJ34" s="102">
        <v>20000</v>
      </c>
      <c r="AK34" s="98">
        <v>1332.33</v>
      </c>
      <c r="AL34" s="98"/>
      <c r="AM34" s="98"/>
      <c r="AN34" s="98"/>
      <c r="AO34" s="98"/>
      <c r="AP34" s="98"/>
      <c r="AQ34" s="97">
        <f t="shared" si="11"/>
        <v>12003.56</v>
      </c>
      <c r="AR34" s="97">
        <f t="shared" si="12"/>
        <v>1776.44</v>
      </c>
      <c r="AS34" s="107">
        <f t="shared" si="13"/>
        <v>25000</v>
      </c>
      <c r="AT34" s="107"/>
      <c r="AU34" s="97">
        <f t="shared" si="14"/>
        <v>-14772.88</v>
      </c>
      <c r="AV34" s="108">
        <f>5*MAX(0,AU34*{0.6;2;4;5;6;7;9}%-{0;504;3384;6384;10584;17184;36384})</f>
        <v>0</v>
      </c>
      <c r="AW34" s="117"/>
      <c r="AX34" s="108">
        <f t="shared" si="15"/>
        <v>0</v>
      </c>
      <c r="AY34" s="76"/>
      <c r="AZ34" s="112">
        <f t="shared" si="16"/>
        <v>2241.67</v>
      </c>
      <c r="BA34" s="115" t="s">
        <v>154</v>
      </c>
    </row>
    <row r="35" s="17" customFormat="1" ht="25" customHeight="1" spans="1:53">
      <c r="A35" s="22">
        <v>33</v>
      </c>
      <c r="B35" s="60" t="s">
        <v>155</v>
      </c>
      <c r="C35" s="45" t="s">
        <v>82</v>
      </c>
      <c r="D35" s="52" t="s">
        <v>106</v>
      </c>
      <c r="E35" s="44" t="s">
        <v>89</v>
      </c>
      <c r="F35" s="44" t="s">
        <v>84</v>
      </c>
      <c r="G35" s="45" t="s">
        <v>156</v>
      </c>
      <c r="H35" s="45" t="s">
        <v>157</v>
      </c>
      <c r="I35" s="44"/>
      <c r="J35" s="73">
        <f>1830</f>
        <v>1830</v>
      </c>
      <c r="K35" s="73">
        <f>200/176*161</f>
        <v>182.95</v>
      </c>
      <c r="L35" s="73">
        <f>300/176*161</f>
        <v>274.43</v>
      </c>
      <c r="M35" s="73"/>
      <c r="N35" s="73">
        <f>100</f>
        <v>100</v>
      </c>
      <c r="O35" s="73">
        <f>100/176*161</f>
        <v>91.48</v>
      </c>
      <c r="P35" s="73"/>
      <c r="Q35" s="73"/>
      <c r="R35" s="73"/>
      <c r="S35" s="73"/>
      <c r="T35" s="73"/>
      <c r="U35" s="73"/>
      <c r="V35" s="84">
        <f t="shared" si="9"/>
        <v>2478.86</v>
      </c>
      <c r="W35" s="85"/>
      <c r="X35" s="85"/>
      <c r="Y35" s="85"/>
      <c r="Z35" s="85"/>
      <c r="AA35" s="85"/>
      <c r="AB35" s="85"/>
      <c r="AC35" s="85"/>
      <c r="AD35" s="93">
        <v>254</v>
      </c>
      <c r="AE35" s="85">
        <v>69.26</v>
      </c>
      <c r="AF35" s="85">
        <v>13.85</v>
      </c>
      <c r="AG35" s="73">
        <f>107</f>
        <v>107</v>
      </c>
      <c r="AH35" s="73">
        <f t="shared" si="10"/>
        <v>444.11</v>
      </c>
      <c r="AI35" s="98">
        <v>5564.84</v>
      </c>
      <c r="AJ35" s="101">
        <v>15000</v>
      </c>
      <c r="AK35" s="98">
        <v>1332.33</v>
      </c>
      <c r="AL35" s="98"/>
      <c r="AM35" s="98"/>
      <c r="AN35" s="98"/>
      <c r="AO35" s="98"/>
      <c r="AP35" s="98"/>
      <c r="AQ35" s="97">
        <f t="shared" si="11"/>
        <v>8043.7</v>
      </c>
      <c r="AR35" s="97">
        <f t="shared" si="12"/>
        <v>1776.44</v>
      </c>
      <c r="AS35" s="107">
        <f t="shared" si="13"/>
        <v>20000</v>
      </c>
      <c r="AT35" s="107"/>
      <c r="AU35" s="97"/>
      <c r="AV35" s="109"/>
      <c r="AW35" s="117"/>
      <c r="AX35" s="108">
        <f t="shared" ref="AX35:AX40" si="17">IF(+AV35-AW35&gt;0,AV35-AW35,0)</f>
        <v>0</v>
      </c>
      <c r="AY35" s="76"/>
      <c r="AZ35" s="112">
        <f t="shared" si="16"/>
        <v>2034.75</v>
      </c>
      <c r="BA35" s="113" t="s">
        <v>158</v>
      </c>
    </row>
    <row r="36" s="17" customFormat="1" ht="24" customHeight="1" spans="1:53">
      <c r="A36" s="49"/>
      <c r="B36" s="25" t="s">
        <v>159</v>
      </c>
      <c r="C36" s="26"/>
      <c r="D36" s="24"/>
      <c r="E36" s="24"/>
      <c r="F36" s="24"/>
      <c r="G36" s="45"/>
      <c r="H36" s="45"/>
      <c r="I36" s="24"/>
      <c r="J36" s="77">
        <f>SUM(J18:J35)</f>
        <v>32940</v>
      </c>
      <c r="K36" s="77">
        <f t="shared" ref="K36:V36" si="18">SUM(K18:K35)</f>
        <v>8382.95</v>
      </c>
      <c r="L36" s="77">
        <f t="shared" si="18"/>
        <v>8204.9</v>
      </c>
      <c r="M36" s="77">
        <f t="shared" si="18"/>
        <v>3400</v>
      </c>
      <c r="N36" s="77">
        <f t="shared" si="18"/>
        <v>1800</v>
      </c>
      <c r="O36" s="77">
        <f t="shared" si="18"/>
        <v>2861.48</v>
      </c>
      <c r="P36" s="77">
        <f t="shared" si="18"/>
        <v>540</v>
      </c>
      <c r="Q36" s="77">
        <f t="shared" si="18"/>
        <v>0</v>
      </c>
      <c r="R36" s="77">
        <f t="shared" si="18"/>
        <v>7067.6</v>
      </c>
      <c r="S36" s="77">
        <f t="shared" si="18"/>
        <v>800</v>
      </c>
      <c r="T36" s="77">
        <f t="shared" si="18"/>
        <v>0</v>
      </c>
      <c r="U36" s="77">
        <f t="shared" si="18"/>
        <v>193</v>
      </c>
      <c r="V36" s="77">
        <f t="shared" si="18"/>
        <v>66189.93</v>
      </c>
      <c r="W36" s="77">
        <f t="shared" ref="W36:AC36" si="19">SUM(W18:W34)</f>
        <v>5609.76</v>
      </c>
      <c r="X36" s="77">
        <f t="shared" si="19"/>
        <v>252.46</v>
      </c>
      <c r="Y36" s="77">
        <f t="shared" si="19"/>
        <v>2734.42</v>
      </c>
      <c r="Z36" s="77">
        <f t="shared" si="19"/>
        <v>420.68</v>
      </c>
      <c r="AA36" s="77">
        <f t="shared" si="19"/>
        <v>94.64</v>
      </c>
      <c r="AB36" s="77">
        <f t="shared" si="19"/>
        <v>336.57</v>
      </c>
      <c r="AC36" s="77">
        <f t="shared" si="19"/>
        <v>1403</v>
      </c>
      <c r="AD36" s="77">
        <f>SUM(AD18:AD35)</f>
        <v>4612</v>
      </c>
      <c r="AE36" s="77">
        <f t="shared" ref="AE36:AZ36" si="20">SUM(AE18:AE35)</f>
        <v>1250.92</v>
      </c>
      <c r="AF36" s="77">
        <f t="shared" si="20"/>
        <v>250.15</v>
      </c>
      <c r="AG36" s="77">
        <f t="shared" si="20"/>
        <v>1938</v>
      </c>
      <c r="AH36" s="77">
        <f t="shared" si="20"/>
        <v>8051.07</v>
      </c>
      <c r="AI36" s="77">
        <f t="shared" si="20"/>
        <v>465830.03</v>
      </c>
      <c r="AJ36" s="77">
        <f t="shared" si="20"/>
        <v>675000</v>
      </c>
      <c r="AK36" s="77">
        <f t="shared" si="20"/>
        <v>59877.28</v>
      </c>
      <c r="AL36" s="77">
        <f t="shared" si="20"/>
        <v>8000</v>
      </c>
      <c r="AM36" s="77">
        <f t="shared" si="20"/>
        <v>8000</v>
      </c>
      <c r="AN36" s="77">
        <f t="shared" si="20"/>
        <v>0</v>
      </c>
      <c r="AO36" s="77">
        <f t="shared" si="20"/>
        <v>0</v>
      </c>
      <c r="AP36" s="77">
        <f t="shared" si="20"/>
        <v>0</v>
      </c>
      <c r="AQ36" s="77">
        <f t="shared" si="20"/>
        <v>532019.96</v>
      </c>
      <c r="AR36" s="77">
        <f t="shared" si="20"/>
        <v>67928.35</v>
      </c>
      <c r="AS36" s="77">
        <f t="shared" si="20"/>
        <v>765000</v>
      </c>
      <c r="AT36" s="77">
        <f t="shared" si="20"/>
        <v>18000</v>
      </c>
      <c r="AU36" s="77">
        <f t="shared" si="20"/>
        <v>-305175.65</v>
      </c>
      <c r="AV36" s="77">
        <f t="shared" si="20"/>
        <v>0</v>
      </c>
      <c r="AW36" s="77">
        <f t="shared" si="20"/>
        <v>0</v>
      </c>
      <c r="AX36" s="77">
        <f t="shared" si="20"/>
        <v>0</v>
      </c>
      <c r="AY36" s="77">
        <f t="shared" si="20"/>
        <v>0</v>
      </c>
      <c r="AZ36" s="77">
        <f t="shared" si="20"/>
        <v>58138.86</v>
      </c>
      <c r="BA36" s="36"/>
    </row>
    <row r="37" s="17" customFormat="1" ht="30" customHeight="1" spans="1:53">
      <c r="A37" s="22">
        <v>35</v>
      </c>
      <c r="B37" s="53" t="s">
        <v>160</v>
      </c>
      <c r="C37" s="44" t="s">
        <v>82</v>
      </c>
      <c r="D37" s="61" t="s">
        <v>161</v>
      </c>
      <c r="E37" s="44" t="s">
        <v>162</v>
      </c>
      <c r="F37" s="44" t="s">
        <v>68</v>
      </c>
      <c r="G37" s="45" t="s">
        <v>163</v>
      </c>
      <c r="H37" s="130" t="s">
        <v>164</v>
      </c>
      <c r="I37" s="44"/>
      <c r="J37" s="73">
        <f>1830</f>
        <v>1830</v>
      </c>
      <c r="K37" s="73">
        <f>1600</f>
        <v>1600</v>
      </c>
      <c r="L37" s="73">
        <f>1100*1.02</f>
        <v>1122</v>
      </c>
      <c r="M37" s="73">
        <v>200</v>
      </c>
      <c r="N37" s="73">
        <f>100</f>
        <v>100</v>
      </c>
      <c r="O37" s="73">
        <v>300</v>
      </c>
      <c r="P37" s="73"/>
      <c r="Q37" s="73"/>
      <c r="R37" s="73">
        <f>J37/21.75/8*1*1.5+J37/21.75/8*0*2</f>
        <v>15.78</v>
      </c>
      <c r="S37" s="73"/>
      <c r="T37" s="73"/>
      <c r="U37" s="84"/>
      <c r="V37" s="84">
        <f>SUM(J37:S37)-T37+U37</f>
        <v>5167.78</v>
      </c>
      <c r="W37" s="85">
        <v>19.42</v>
      </c>
      <c r="X37" s="85">
        <v>210.34</v>
      </c>
      <c r="Y37" s="85">
        <v>32.36</v>
      </c>
      <c r="Z37" s="85">
        <v>7.28</v>
      </c>
      <c r="AA37" s="85">
        <v>25.89</v>
      </c>
      <c r="AB37" s="85">
        <v>107</v>
      </c>
      <c r="AC37" s="85">
        <v>215.76</v>
      </c>
      <c r="AD37" s="93">
        <v>254</v>
      </c>
      <c r="AE37" s="85">
        <v>69.26</v>
      </c>
      <c r="AF37" s="85">
        <v>13.85</v>
      </c>
      <c r="AG37" s="73">
        <f>107</f>
        <v>107</v>
      </c>
      <c r="AH37" s="73">
        <f>SUM(AD37:AG37)</f>
        <v>444.11</v>
      </c>
      <c r="AI37" s="98">
        <v>29633.57</v>
      </c>
      <c r="AJ37" s="98">
        <v>30000</v>
      </c>
      <c r="AK37" s="98">
        <v>2664.66</v>
      </c>
      <c r="AL37" s="98"/>
      <c r="AM37" s="98"/>
      <c r="AN37" s="98"/>
      <c r="AO37" s="98"/>
      <c r="AP37" s="97"/>
      <c r="AQ37" s="97">
        <f>V37+AI37</f>
        <v>34801.35</v>
      </c>
      <c r="AR37" s="97">
        <f>AH37+AK37</f>
        <v>3108.77</v>
      </c>
      <c r="AS37" s="107">
        <f>AJ37+5000</f>
        <v>35000</v>
      </c>
      <c r="AT37" s="97">
        <f>AP37-AQ37-AR37-AS37</f>
        <v>-72910.12</v>
      </c>
      <c r="AU37" s="108">
        <f>AT37*0.03</f>
        <v>-2187.3</v>
      </c>
      <c r="AV37" s="108">
        <f>5*MAX(0,AU37*{0.6;2;4;5;6;7;9}%-{0;504;3384;6384;10584;17184;36384})</f>
        <v>0</v>
      </c>
      <c r="AW37" s="108">
        <v>0</v>
      </c>
      <c r="AX37" s="108">
        <f>IF(+AV37-AW37&gt;0,AV37-AW37,0)</f>
        <v>0</v>
      </c>
      <c r="AY37" s="76"/>
      <c r="AZ37" s="112">
        <f>V37-AH37-AX37</f>
        <v>4723.67</v>
      </c>
      <c r="BA37" s="115"/>
    </row>
    <row r="38" s="17" customFormat="1" ht="23" customHeight="1" spans="1:53">
      <c r="A38" s="49"/>
      <c r="B38" s="25" t="s">
        <v>165</v>
      </c>
      <c r="C38" s="26"/>
      <c r="D38" s="24"/>
      <c r="E38" s="24"/>
      <c r="F38" s="24"/>
      <c r="G38" s="45"/>
      <c r="H38" s="45"/>
      <c r="I38" s="24"/>
      <c r="J38" s="77">
        <f>SUM(J37:J37)</f>
        <v>1830</v>
      </c>
      <c r="K38" s="77">
        <f t="shared" ref="K38:V38" si="21">SUM(K37:K37)</f>
        <v>1600</v>
      </c>
      <c r="L38" s="77">
        <f t="shared" si="21"/>
        <v>1122</v>
      </c>
      <c r="M38" s="77">
        <f t="shared" si="21"/>
        <v>200</v>
      </c>
      <c r="N38" s="77">
        <f t="shared" si="21"/>
        <v>100</v>
      </c>
      <c r="O38" s="77">
        <f t="shared" si="21"/>
        <v>300</v>
      </c>
      <c r="P38" s="77">
        <f t="shared" si="21"/>
        <v>0</v>
      </c>
      <c r="Q38" s="77">
        <f t="shared" si="21"/>
        <v>0</v>
      </c>
      <c r="R38" s="77">
        <f t="shared" si="21"/>
        <v>15.78</v>
      </c>
      <c r="S38" s="77">
        <f t="shared" si="21"/>
        <v>0</v>
      </c>
      <c r="T38" s="77">
        <f t="shared" si="21"/>
        <v>0</v>
      </c>
      <c r="U38" s="77">
        <f t="shared" si="21"/>
        <v>0</v>
      </c>
      <c r="V38" s="77">
        <f t="shared" si="21"/>
        <v>5167.78</v>
      </c>
      <c r="W38" s="77">
        <f t="shared" ref="W38:AZ38" si="22">SUM(W37:W37)</f>
        <v>19.42</v>
      </c>
      <c r="X38" s="77">
        <f t="shared" si="22"/>
        <v>210.34</v>
      </c>
      <c r="Y38" s="77">
        <f t="shared" si="22"/>
        <v>32.36</v>
      </c>
      <c r="Z38" s="77">
        <f t="shared" si="22"/>
        <v>7.28</v>
      </c>
      <c r="AA38" s="77">
        <f t="shared" si="22"/>
        <v>25.89</v>
      </c>
      <c r="AB38" s="77">
        <f t="shared" si="22"/>
        <v>107</v>
      </c>
      <c r="AC38" s="77">
        <f t="shared" si="22"/>
        <v>215.76</v>
      </c>
      <c r="AD38" s="77">
        <f t="shared" si="22"/>
        <v>254</v>
      </c>
      <c r="AE38" s="77">
        <f t="shared" si="22"/>
        <v>69.26</v>
      </c>
      <c r="AF38" s="77">
        <f t="shared" si="22"/>
        <v>13.85</v>
      </c>
      <c r="AG38" s="77">
        <f t="shared" si="22"/>
        <v>107</v>
      </c>
      <c r="AH38" s="77">
        <f t="shared" si="22"/>
        <v>444.11</v>
      </c>
      <c r="AI38" s="77">
        <f t="shared" si="22"/>
        <v>29633.57</v>
      </c>
      <c r="AJ38" s="77">
        <f t="shared" si="22"/>
        <v>30000</v>
      </c>
      <c r="AK38" s="77">
        <f t="shared" si="22"/>
        <v>2664.66</v>
      </c>
      <c r="AL38" s="77">
        <f t="shared" si="22"/>
        <v>0</v>
      </c>
      <c r="AM38" s="77">
        <f t="shared" si="22"/>
        <v>0</v>
      </c>
      <c r="AN38" s="77">
        <f t="shared" si="22"/>
        <v>0</v>
      </c>
      <c r="AO38" s="77">
        <f t="shared" si="22"/>
        <v>0</v>
      </c>
      <c r="AP38" s="77">
        <f t="shared" si="22"/>
        <v>0</v>
      </c>
      <c r="AQ38" s="77">
        <f t="shared" si="22"/>
        <v>34801.35</v>
      </c>
      <c r="AR38" s="77">
        <f t="shared" si="22"/>
        <v>3108.77</v>
      </c>
      <c r="AS38" s="77">
        <f t="shared" si="22"/>
        <v>35000</v>
      </c>
      <c r="AT38" s="77">
        <f t="shared" si="22"/>
        <v>-72910.12</v>
      </c>
      <c r="AU38" s="77">
        <f t="shared" si="22"/>
        <v>-2187.3</v>
      </c>
      <c r="AV38" s="77">
        <f t="shared" si="22"/>
        <v>0</v>
      </c>
      <c r="AW38" s="77">
        <f t="shared" si="22"/>
        <v>0</v>
      </c>
      <c r="AX38" s="77">
        <f t="shared" si="22"/>
        <v>0</v>
      </c>
      <c r="AY38" s="77">
        <f t="shared" si="22"/>
        <v>0</v>
      </c>
      <c r="AZ38" s="77">
        <f t="shared" si="22"/>
        <v>4723.67</v>
      </c>
      <c r="BA38" s="36"/>
    </row>
    <row r="39" s="37" customFormat="1" ht="25" customHeight="1" spans="1:53">
      <c r="A39" s="22">
        <v>36</v>
      </c>
      <c r="B39" s="62" t="s">
        <v>166</v>
      </c>
      <c r="C39" s="44" t="s">
        <v>167</v>
      </c>
      <c r="D39" s="44" t="s">
        <v>63</v>
      </c>
      <c r="E39" s="44" t="s">
        <v>56</v>
      </c>
      <c r="F39" s="44" t="s">
        <v>57</v>
      </c>
      <c r="G39" s="45" t="s">
        <v>168</v>
      </c>
      <c r="H39" s="130" t="s">
        <v>169</v>
      </c>
      <c r="I39" s="44"/>
      <c r="J39" s="73">
        <v>1830</v>
      </c>
      <c r="K39" s="73">
        <f>2400+300</f>
        <v>2700</v>
      </c>
      <c r="L39" s="73">
        <f>(1770+200)*0.99</f>
        <v>1950.3</v>
      </c>
      <c r="M39" s="73">
        <v>200</v>
      </c>
      <c r="N39" s="73">
        <v>100</v>
      </c>
      <c r="O39" s="73"/>
      <c r="P39" s="73">
        <v>20</v>
      </c>
      <c r="Q39" s="73"/>
      <c r="R39" s="73"/>
      <c r="S39" s="73">
        <v>-200</v>
      </c>
      <c r="T39" s="73"/>
      <c r="U39" s="73">
        <v>-8.74</v>
      </c>
      <c r="V39" s="84">
        <f>SUM(J39:S39)-T39+U39</f>
        <v>6591.56</v>
      </c>
      <c r="W39" s="85">
        <v>431.52</v>
      </c>
      <c r="X39" s="85">
        <v>19.42</v>
      </c>
      <c r="Y39" s="85">
        <v>210.34</v>
      </c>
      <c r="Z39" s="85">
        <v>32.36</v>
      </c>
      <c r="AA39" s="85">
        <v>7.28</v>
      </c>
      <c r="AB39" s="85">
        <v>25.89</v>
      </c>
      <c r="AC39" s="85">
        <v>119</v>
      </c>
      <c r="AD39" s="93">
        <v>270</v>
      </c>
      <c r="AE39" s="85">
        <v>69.26</v>
      </c>
      <c r="AF39" s="85">
        <v>13.85</v>
      </c>
      <c r="AG39" s="73">
        <v>119</v>
      </c>
      <c r="AH39" s="73">
        <f>SUM(AD39:AG39)</f>
        <v>472.11</v>
      </c>
      <c r="AI39" s="98">
        <v>52036.13</v>
      </c>
      <c r="AJ39" s="102">
        <v>40000</v>
      </c>
      <c r="AK39" s="98">
        <v>3744.88</v>
      </c>
      <c r="AL39" s="98"/>
      <c r="AM39" s="98"/>
      <c r="AN39" s="98">
        <v>8000</v>
      </c>
      <c r="AO39" s="98"/>
      <c r="AP39" s="98"/>
      <c r="AQ39" s="97">
        <f>V39+AI39</f>
        <v>58627.69</v>
      </c>
      <c r="AR39" s="97">
        <f>AH39+AK39</f>
        <v>4216.99</v>
      </c>
      <c r="AS39" s="107">
        <f>AJ39+5000</f>
        <v>45000</v>
      </c>
      <c r="AT39" s="107">
        <f>AN39+1000</f>
        <v>9000</v>
      </c>
      <c r="AU39" s="97">
        <f t="shared" ref="AU39:AU45" si="23">AQ39-AR39-AS39-AT39</f>
        <v>410.7</v>
      </c>
      <c r="AV39" s="108">
        <f>5*MAX(0,AU39*{0.6;2;4;5;6;7;9}%-{0;504;3384;6384;10584;17184;36384})</f>
        <v>12.32</v>
      </c>
      <c r="AW39" s="117">
        <v>8.74</v>
      </c>
      <c r="AX39" s="108">
        <f>IF(+AV39-AW39&gt;0,AV39-AW39,0)</f>
        <v>3.58</v>
      </c>
      <c r="AY39" s="76"/>
      <c r="AZ39" s="112">
        <f>V39-AH39-AX39</f>
        <v>6115.87</v>
      </c>
      <c r="BA39" s="115"/>
    </row>
    <row r="40" s="17" customFormat="1" ht="25" customHeight="1" spans="1:53">
      <c r="A40" s="22">
        <v>37</v>
      </c>
      <c r="B40" s="44" t="s">
        <v>170</v>
      </c>
      <c r="C40" s="44" t="s">
        <v>167</v>
      </c>
      <c r="D40" s="44" t="s">
        <v>171</v>
      </c>
      <c r="E40" s="44" t="s">
        <v>56</v>
      </c>
      <c r="F40" s="44" t="s">
        <v>57</v>
      </c>
      <c r="G40" s="45" t="s">
        <v>172</v>
      </c>
      <c r="H40" s="45" t="s">
        <v>173</v>
      </c>
      <c r="I40" s="44"/>
      <c r="J40" s="73">
        <v>1830</v>
      </c>
      <c r="K40" s="73">
        <v>1800</v>
      </c>
      <c r="L40" s="73">
        <f>1370*1.04</f>
        <v>1424.8</v>
      </c>
      <c r="M40" s="73">
        <v>200</v>
      </c>
      <c r="N40" s="73">
        <v>100</v>
      </c>
      <c r="O40" s="73"/>
      <c r="P40" s="73">
        <v>60</v>
      </c>
      <c r="Q40" s="73"/>
      <c r="R40" s="73"/>
      <c r="S40" s="90">
        <f>-50+700</f>
        <v>650</v>
      </c>
      <c r="T40" s="73"/>
      <c r="U40" s="73"/>
      <c r="V40" s="84">
        <f>SUM(J40:S40)-T40+U40</f>
        <v>6064.8</v>
      </c>
      <c r="W40" s="85">
        <v>431.52</v>
      </c>
      <c r="X40" s="85">
        <v>19.42</v>
      </c>
      <c r="Y40" s="85">
        <v>210.34</v>
      </c>
      <c r="Z40" s="85">
        <v>32.36</v>
      </c>
      <c r="AA40" s="85">
        <v>7.28</v>
      </c>
      <c r="AB40" s="85">
        <v>25.89</v>
      </c>
      <c r="AC40" s="85">
        <v>119</v>
      </c>
      <c r="AD40" s="44">
        <v>294</v>
      </c>
      <c r="AE40" s="44">
        <v>73.5</v>
      </c>
      <c r="AF40" s="44">
        <v>14.7</v>
      </c>
      <c r="AG40" s="73">
        <v>119</v>
      </c>
      <c r="AH40" s="73">
        <f>SUM(AD40:AG40)</f>
        <v>501.2</v>
      </c>
      <c r="AI40" s="102">
        <v>50061.93</v>
      </c>
      <c r="AJ40" s="102">
        <v>40000</v>
      </c>
      <c r="AK40" s="102">
        <v>3919.42</v>
      </c>
      <c r="AL40" s="98"/>
      <c r="AM40" s="98"/>
      <c r="AN40" s="98"/>
      <c r="AO40" s="98"/>
      <c r="AP40" s="98"/>
      <c r="AQ40" s="97">
        <f>V40+AI40</f>
        <v>56126.73</v>
      </c>
      <c r="AR40" s="97">
        <f>AH40+AK40</f>
        <v>4420.62</v>
      </c>
      <c r="AS40" s="107">
        <f>AJ40+5000</f>
        <v>45000</v>
      </c>
      <c r="AT40" s="107"/>
      <c r="AU40" s="97">
        <f t="shared" si="23"/>
        <v>6706.11</v>
      </c>
      <c r="AV40" s="108">
        <f>5*MAX(0,AU40*{0.6;2;4;5;6;7;9}%-{0;504;3384;6384;10584;17184;36384})</f>
        <v>201.18</v>
      </c>
      <c r="AW40" s="117">
        <v>123.91</v>
      </c>
      <c r="AX40" s="108">
        <v>0</v>
      </c>
      <c r="AY40" s="76"/>
      <c r="AZ40" s="112">
        <f>V40-AH40-AX40</f>
        <v>5563.6</v>
      </c>
      <c r="BA40" s="115"/>
    </row>
    <row r="41" s="17" customFormat="1" ht="25" customHeight="1" spans="1:53">
      <c r="A41" s="22">
        <v>38</v>
      </c>
      <c r="B41" s="44" t="s">
        <v>174</v>
      </c>
      <c r="C41" s="45" t="s">
        <v>167</v>
      </c>
      <c r="D41" s="52" t="s">
        <v>175</v>
      </c>
      <c r="E41" s="44" t="s">
        <v>89</v>
      </c>
      <c r="F41" s="44" t="s">
        <v>68</v>
      </c>
      <c r="G41" s="45" t="str">
        <f>VLOOKUP(B41,[1]在职汇总!$E$3:$G$98,3,FALSE)</f>
        <v>512501197303147219</v>
      </c>
      <c r="H41" s="45" t="s">
        <v>176</v>
      </c>
      <c r="I41" s="44"/>
      <c r="J41" s="73">
        <v>1830</v>
      </c>
      <c r="K41" s="73">
        <f>600/176*140.5</f>
        <v>478.98</v>
      </c>
      <c r="L41" s="73">
        <f>400/176*140.5</f>
        <v>319.32</v>
      </c>
      <c r="M41" s="73"/>
      <c r="N41" s="73">
        <v>100</v>
      </c>
      <c r="O41" s="73"/>
      <c r="P41" s="73">
        <v>20</v>
      </c>
      <c r="Q41" s="73"/>
      <c r="R41" s="73"/>
      <c r="S41" s="73"/>
      <c r="T41" s="73"/>
      <c r="U41" s="73"/>
      <c r="V41" s="84">
        <f>SUM(J41:S41)-T41+U41</f>
        <v>2748.3</v>
      </c>
      <c r="W41" s="85">
        <v>431.52</v>
      </c>
      <c r="X41" s="85">
        <v>19.42</v>
      </c>
      <c r="Y41" s="85">
        <v>210.34</v>
      </c>
      <c r="Z41" s="85">
        <v>32.36</v>
      </c>
      <c r="AA41" s="85">
        <v>7.28</v>
      </c>
      <c r="AB41" s="85">
        <v>25.89</v>
      </c>
      <c r="AC41" s="85">
        <v>107</v>
      </c>
      <c r="AD41" s="93">
        <v>254</v>
      </c>
      <c r="AE41" s="85">
        <v>69.26</v>
      </c>
      <c r="AF41" s="85">
        <v>13.85</v>
      </c>
      <c r="AG41" s="73">
        <v>107</v>
      </c>
      <c r="AH41" s="73">
        <f>SUM(AD41:AG41)</f>
        <v>444.11</v>
      </c>
      <c r="AI41" s="102">
        <v>30517.56</v>
      </c>
      <c r="AJ41" s="102">
        <v>40000</v>
      </c>
      <c r="AK41" s="102">
        <v>3552.88</v>
      </c>
      <c r="AL41" s="98"/>
      <c r="AM41" s="98"/>
      <c r="AN41" s="98"/>
      <c r="AO41" s="98"/>
      <c r="AP41" s="98"/>
      <c r="AQ41" s="97">
        <f>V41+AI41</f>
        <v>33265.86</v>
      </c>
      <c r="AR41" s="97">
        <f>AH41+AK41</f>
        <v>3996.99</v>
      </c>
      <c r="AS41" s="107">
        <f>AJ41+5000</f>
        <v>45000</v>
      </c>
      <c r="AT41" s="107"/>
      <c r="AU41" s="97">
        <f t="shared" si="23"/>
        <v>-15731.13</v>
      </c>
      <c r="AV41" s="108">
        <f>5*MAX(0,AU41*{0.6;2;4;5;6;7;9}%-{0;504;3384;6384;10584;17184;36384})</f>
        <v>0</v>
      </c>
      <c r="AW41" s="117">
        <v>0</v>
      </c>
      <c r="AX41" s="108">
        <f t="shared" ref="AX40:AX47" si="24">IF(+AV41-AW41&gt;0,AV41-AW41,0)</f>
        <v>0</v>
      </c>
      <c r="AY41" s="76"/>
      <c r="AZ41" s="112">
        <f>V41-AH41-AX41</f>
        <v>2304.19</v>
      </c>
      <c r="BA41" s="113" t="s">
        <v>177</v>
      </c>
    </row>
    <row r="42" s="17" customFormat="1" ht="25" customHeight="1" spans="1:53">
      <c r="A42" s="22">
        <v>41</v>
      </c>
      <c r="B42" s="44" t="s">
        <v>178</v>
      </c>
      <c r="C42" s="44" t="s">
        <v>167</v>
      </c>
      <c r="D42" s="44" t="s">
        <v>175</v>
      </c>
      <c r="E42" s="63" t="s">
        <v>89</v>
      </c>
      <c r="F42" s="44" t="s">
        <v>68</v>
      </c>
      <c r="G42" s="45" t="s">
        <v>179</v>
      </c>
      <c r="H42" s="130" t="s">
        <v>180</v>
      </c>
      <c r="I42" s="44"/>
      <c r="J42" s="73">
        <v>1830</v>
      </c>
      <c r="K42" s="73">
        <f t="shared" ref="K42:K47" si="25">600</f>
        <v>600</v>
      </c>
      <c r="L42" s="73">
        <f t="shared" ref="L42:L47" si="26">400</f>
        <v>400</v>
      </c>
      <c r="M42" s="73">
        <v>200</v>
      </c>
      <c r="N42" s="73">
        <v>100</v>
      </c>
      <c r="O42" s="73"/>
      <c r="P42" s="73">
        <v>20</v>
      </c>
      <c r="Q42" s="73"/>
      <c r="R42" s="73">
        <f>J42/21.75/8*21*1.5+J42/21.75/8*33*2</f>
        <v>1025.43</v>
      </c>
      <c r="S42" s="73"/>
      <c r="T42" s="73"/>
      <c r="U42" s="73">
        <v>12</v>
      </c>
      <c r="V42" s="84">
        <f t="shared" ref="V42:V47" si="27">SUM(J42:S42)-T42+U42</f>
        <v>4187.43</v>
      </c>
      <c r="W42" s="85">
        <v>431.52</v>
      </c>
      <c r="X42" s="85">
        <v>19.42</v>
      </c>
      <c r="Y42" s="85">
        <v>210.34</v>
      </c>
      <c r="Z42" s="85">
        <v>32.36</v>
      </c>
      <c r="AA42" s="85">
        <v>7.28</v>
      </c>
      <c r="AB42" s="85">
        <v>25.89</v>
      </c>
      <c r="AC42" s="85">
        <v>107</v>
      </c>
      <c r="AD42" s="93">
        <v>254</v>
      </c>
      <c r="AE42" s="85">
        <v>69.26</v>
      </c>
      <c r="AF42" s="85">
        <v>13.85</v>
      </c>
      <c r="AG42" s="73">
        <v>107</v>
      </c>
      <c r="AH42" s="73">
        <f t="shared" ref="AH42:AH47" si="28">SUM(AD42:AG42)</f>
        <v>444.11</v>
      </c>
      <c r="AI42" s="98">
        <v>29558.89</v>
      </c>
      <c r="AJ42" s="102">
        <v>40000</v>
      </c>
      <c r="AK42" s="98">
        <v>3552.88</v>
      </c>
      <c r="AL42" s="98"/>
      <c r="AM42" s="98"/>
      <c r="AN42" s="98"/>
      <c r="AO42" s="98"/>
      <c r="AP42" s="98"/>
      <c r="AQ42" s="97">
        <f t="shared" ref="AQ42:AQ47" si="29">V42+AI42</f>
        <v>33746.32</v>
      </c>
      <c r="AR42" s="97">
        <f t="shared" ref="AR42:AR47" si="30">AH42+AK42</f>
        <v>3996.99</v>
      </c>
      <c r="AS42" s="107">
        <f t="shared" ref="AS42:AS47" si="31">AJ42+5000</f>
        <v>45000</v>
      </c>
      <c r="AT42" s="107"/>
      <c r="AU42" s="97">
        <f t="shared" si="23"/>
        <v>-15250.67</v>
      </c>
      <c r="AV42" s="108">
        <f>5*MAX(0,AU42*{0.6;2;4;5;6;7;9}%-{0;504;3384;6384;10584;17184;36384})</f>
        <v>0</v>
      </c>
      <c r="AW42" s="117">
        <v>0</v>
      </c>
      <c r="AX42" s="108">
        <f t="shared" si="24"/>
        <v>0</v>
      </c>
      <c r="AY42" s="76"/>
      <c r="AZ42" s="112">
        <f t="shared" ref="AZ42:AZ47" si="32">V42-AH42-AX42</f>
        <v>3743.32</v>
      </c>
      <c r="BA42" s="113"/>
    </row>
    <row r="43" s="17" customFormat="1" ht="25" customHeight="1" spans="1:53">
      <c r="A43" s="22">
        <v>42</v>
      </c>
      <c r="B43" s="44" t="s">
        <v>181</v>
      </c>
      <c r="C43" s="44" t="s">
        <v>167</v>
      </c>
      <c r="D43" s="52" t="s">
        <v>182</v>
      </c>
      <c r="E43" s="63" t="s">
        <v>56</v>
      </c>
      <c r="F43" s="44" t="s">
        <v>57</v>
      </c>
      <c r="G43" s="45" t="s">
        <v>183</v>
      </c>
      <c r="H43" s="45" t="s">
        <v>184</v>
      </c>
      <c r="I43" s="44"/>
      <c r="J43" s="73">
        <v>1830</v>
      </c>
      <c r="K43" s="73">
        <f>1800</f>
        <v>1800</v>
      </c>
      <c r="L43" s="73">
        <f>870*1.005</f>
        <v>874.35</v>
      </c>
      <c r="M43" s="73">
        <v>200</v>
      </c>
      <c r="N43" s="73">
        <v>100</v>
      </c>
      <c r="O43" s="73"/>
      <c r="P43" s="73">
        <v>20</v>
      </c>
      <c r="Q43" s="73"/>
      <c r="R43" s="73"/>
      <c r="S43" s="73"/>
      <c r="T43" s="73"/>
      <c r="U43" s="73">
        <v>24</v>
      </c>
      <c r="V43" s="84">
        <f t="shared" si="27"/>
        <v>4848.35</v>
      </c>
      <c r="W43" s="85"/>
      <c r="X43" s="85"/>
      <c r="Y43" s="85"/>
      <c r="Z43" s="85"/>
      <c r="AA43" s="85"/>
      <c r="AB43" s="85"/>
      <c r="AC43" s="85"/>
      <c r="AD43" s="93">
        <v>270</v>
      </c>
      <c r="AE43" s="85">
        <v>69.26</v>
      </c>
      <c r="AF43" s="85">
        <v>13.85</v>
      </c>
      <c r="AG43" s="75">
        <f>119</f>
        <v>119</v>
      </c>
      <c r="AH43" s="73">
        <f t="shared" si="28"/>
        <v>472.11</v>
      </c>
      <c r="AI43" s="98">
        <v>37786.84</v>
      </c>
      <c r="AJ43" s="102">
        <v>40000</v>
      </c>
      <c r="AK43" s="98">
        <v>3744.88</v>
      </c>
      <c r="AL43" s="98"/>
      <c r="AM43" s="98"/>
      <c r="AN43" s="98"/>
      <c r="AO43" s="98"/>
      <c r="AP43" s="98"/>
      <c r="AQ43" s="97">
        <f t="shared" si="29"/>
        <v>42635.19</v>
      </c>
      <c r="AR43" s="97">
        <f t="shared" si="30"/>
        <v>4216.99</v>
      </c>
      <c r="AS43" s="107">
        <f t="shared" si="31"/>
        <v>45000</v>
      </c>
      <c r="AT43" s="107"/>
      <c r="AU43" s="97">
        <f t="shared" si="23"/>
        <v>-6581.8</v>
      </c>
      <c r="AV43" s="108">
        <f>5*MAX(0,AU43*{0.6;2;4;5;6;7;9}%-{0;504;3384;6384;10584;17184;36384})</f>
        <v>0</v>
      </c>
      <c r="AW43" s="117">
        <v>0</v>
      </c>
      <c r="AX43" s="108">
        <f t="shared" si="24"/>
        <v>0</v>
      </c>
      <c r="AY43" s="76"/>
      <c r="AZ43" s="112">
        <f t="shared" si="32"/>
        <v>4376.24</v>
      </c>
      <c r="BA43" s="113"/>
    </row>
    <row r="44" s="17" customFormat="1" ht="25" customHeight="1" spans="1:53">
      <c r="A44" s="22">
        <v>43</v>
      </c>
      <c r="B44" s="44" t="s">
        <v>185</v>
      </c>
      <c r="C44" s="44" t="s">
        <v>167</v>
      </c>
      <c r="D44" s="52" t="s">
        <v>186</v>
      </c>
      <c r="E44" s="63" t="s">
        <v>56</v>
      </c>
      <c r="F44" s="44" t="s">
        <v>68</v>
      </c>
      <c r="G44" s="45" t="s">
        <v>187</v>
      </c>
      <c r="H44" s="45" t="s">
        <v>188</v>
      </c>
      <c r="I44" s="44"/>
      <c r="J44" s="73">
        <v>1830</v>
      </c>
      <c r="K44" s="73">
        <f t="shared" si="25"/>
        <v>600</v>
      </c>
      <c r="L44" s="73">
        <f t="shared" si="26"/>
        <v>400</v>
      </c>
      <c r="M44" s="73">
        <v>200</v>
      </c>
      <c r="N44" s="73">
        <v>100</v>
      </c>
      <c r="O44" s="73">
        <f>300</f>
        <v>300</v>
      </c>
      <c r="P44" s="73"/>
      <c r="Q44" s="73"/>
      <c r="R44" s="73">
        <f>J44/21.75/8*13.5*1.5+J44/21.75/8*6.5*2</f>
        <v>349.7</v>
      </c>
      <c r="S44" s="73">
        <f>700</f>
        <v>700</v>
      </c>
      <c r="T44" s="73"/>
      <c r="U44" s="73"/>
      <c r="V44" s="84">
        <f t="shared" si="27"/>
        <v>4479.7</v>
      </c>
      <c r="W44" s="85"/>
      <c r="X44" s="85"/>
      <c r="Y44" s="85"/>
      <c r="Z44" s="85"/>
      <c r="AA44" s="85"/>
      <c r="AB44" s="85"/>
      <c r="AC44" s="85"/>
      <c r="AD44" s="93">
        <v>254</v>
      </c>
      <c r="AE44" s="85">
        <v>69.26</v>
      </c>
      <c r="AF44" s="85">
        <v>13.85</v>
      </c>
      <c r="AG44" s="73">
        <v>107</v>
      </c>
      <c r="AH44" s="73">
        <f t="shared" si="28"/>
        <v>444.11</v>
      </c>
      <c r="AI44" s="97">
        <v>34329.58</v>
      </c>
      <c r="AJ44" s="102">
        <v>40000</v>
      </c>
      <c r="AK44" s="98">
        <v>3552.88</v>
      </c>
      <c r="AL44" s="98"/>
      <c r="AM44" s="98"/>
      <c r="AN44" s="98"/>
      <c r="AO44" s="98"/>
      <c r="AP44" s="98"/>
      <c r="AQ44" s="97">
        <f t="shared" si="29"/>
        <v>38809.28</v>
      </c>
      <c r="AR44" s="97">
        <f t="shared" si="30"/>
        <v>3996.99</v>
      </c>
      <c r="AS44" s="107">
        <f t="shared" si="31"/>
        <v>45000</v>
      </c>
      <c r="AT44" s="107"/>
      <c r="AU44" s="97">
        <f t="shared" si="23"/>
        <v>-10187.71</v>
      </c>
      <c r="AV44" s="108">
        <f>5*MAX(0,AU44*{0.6;2;4;5;6;7;9}%-{0;504;3384;6384;10584;17184;36384})</f>
        <v>0</v>
      </c>
      <c r="AW44" s="117">
        <v>0</v>
      </c>
      <c r="AX44" s="108">
        <f t="shared" si="24"/>
        <v>0</v>
      </c>
      <c r="AY44" s="76"/>
      <c r="AZ44" s="112">
        <f t="shared" si="32"/>
        <v>4035.59</v>
      </c>
      <c r="BA44" s="113"/>
    </row>
    <row r="45" s="17" customFormat="1" ht="25" customHeight="1" spans="1:53">
      <c r="A45" s="22">
        <v>44</v>
      </c>
      <c r="B45" s="43" t="s">
        <v>189</v>
      </c>
      <c r="C45" s="44" t="s">
        <v>167</v>
      </c>
      <c r="D45" s="52" t="s">
        <v>190</v>
      </c>
      <c r="E45" s="63" t="s">
        <v>56</v>
      </c>
      <c r="F45" s="44" t="s">
        <v>57</v>
      </c>
      <c r="G45" s="45" t="s">
        <v>191</v>
      </c>
      <c r="H45" s="45" t="s">
        <v>192</v>
      </c>
      <c r="I45" s="44"/>
      <c r="J45" s="73">
        <f>1830</f>
        <v>1830</v>
      </c>
      <c r="K45" s="73">
        <f>1300</f>
        <v>1300</v>
      </c>
      <c r="L45" s="73">
        <f>870*1.0075</f>
        <v>876.53</v>
      </c>
      <c r="M45" s="73">
        <v>200</v>
      </c>
      <c r="N45" s="73">
        <v>100</v>
      </c>
      <c r="O45" s="73"/>
      <c r="P45" s="73"/>
      <c r="Q45" s="73"/>
      <c r="R45" s="73"/>
      <c r="S45" s="73">
        <f>700</f>
        <v>700</v>
      </c>
      <c r="T45" s="73"/>
      <c r="U45" s="73"/>
      <c r="V45" s="84">
        <f t="shared" si="27"/>
        <v>5006.53</v>
      </c>
      <c r="W45" s="85"/>
      <c r="X45" s="85"/>
      <c r="Y45" s="85"/>
      <c r="Z45" s="85"/>
      <c r="AA45" s="85"/>
      <c r="AB45" s="85"/>
      <c r="AC45" s="85"/>
      <c r="AD45" s="93">
        <v>254</v>
      </c>
      <c r="AE45" s="85">
        <v>69.26</v>
      </c>
      <c r="AF45" s="85">
        <v>13.85</v>
      </c>
      <c r="AG45" s="73">
        <v>107</v>
      </c>
      <c r="AH45" s="73">
        <f t="shared" si="28"/>
        <v>444.11</v>
      </c>
      <c r="AI45" s="97">
        <v>12066.96</v>
      </c>
      <c r="AJ45" s="101">
        <v>20000</v>
      </c>
      <c r="AK45" s="98">
        <v>1832.44</v>
      </c>
      <c r="AL45" s="98"/>
      <c r="AM45" s="98"/>
      <c r="AN45" s="98"/>
      <c r="AO45" s="98"/>
      <c r="AP45" s="98"/>
      <c r="AQ45" s="97">
        <f t="shared" si="29"/>
        <v>17073.49</v>
      </c>
      <c r="AR45" s="97">
        <f t="shared" si="30"/>
        <v>2276.55</v>
      </c>
      <c r="AS45" s="107">
        <f t="shared" si="31"/>
        <v>25000</v>
      </c>
      <c r="AT45" s="107"/>
      <c r="AU45" s="97">
        <f t="shared" si="23"/>
        <v>-10203.06</v>
      </c>
      <c r="AV45" s="108">
        <f>5*MAX(0,AU45*{0.6;2;4;5;6;7;9}%-{0;504;3384;6384;10584;17184;36384})</f>
        <v>0</v>
      </c>
      <c r="AW45" s="117"/>
      <c r="AX45" s="108">
        <f t="shared" si="24"/>
        <v>0</v>
      </c>
      <c r="AY45" s="76"/>
      <c r="AZ45" s="112">
        <f t="shared" si="32"/>
        <v>4562.42</v>
      </c>
      <c r="BA45" s="113"/>
    </row>
    <row r="46" s="17" customFormat="1" ht="25" customHeight="1" spans="1:53">
      <c r="A46" s="22">
        <v>45</v>
      </c>
      <c r="B46" s="43" t="s">
        <v>193</v>
      </c>
      <c r="C46" s="44" t="s">
        <v>167</v>
      </c>
      <c r="D46" s="52" t="s">
        <v>186</v>
      </c>
      <c r="E46" s="63" t="s">
        <v>56</v>
      </c>
      <c r="F46" s="44" t="s">
        <v>68</v>
      </c>
      <c r="G46" s="45" t="s">
        <v>194</v>
      </c>
      <c r="H46" s="45" t="s">
        <v>195</v>
      </c>
      <c r="I46" s="44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>
        <v>444.11</v>
      </c>
      <c r="V46" s="84">
        <f t="shared" si="27"/>
        <v>444.11</v>
      </c>
      <c r="W46" s="85"/>
      <c r="X46" s="85"/>
      <c r="Y46" s="85"/>
      <c r="Z46" s="85"/>
      <c r="AA46" s="85"/>
      <c r="AB46" s="85"/>
      <c r="AC46" s="85"/>
      <c r="AD46" s="93"/>
      <c r="AE46" s="85"/>
      <c r="AF46" s="85"/>
      <c r="AG46" s="73"/>
      <c r="AH46" s="73"/>
      <c r="AI46" s="97">
        <v>10685.12</v>
      </c>
      <c r="AJ46" s="101">
        <v>15000</v>
      </c>
      <c r="AK46" s="98">
        <v>1776.44</v>
      </c>
      <c r="AL46" s="98"/>
      <c r="AM46" s="98"/>
      <c r="AN46" s="98"/>
      <c r="AO46" s="98"/>
      <c r="AP46" s="98"/>
      <c r="AQ46" s="97">
        <f t="shared" si="29"/>
        <v>11129.23</v>
      </c>
      <c r="AR46" s="97">
        <f t="shared" si="30"/>
        <v>1776.44</v>
      </c>
      <c r="AS46" s="107">
        <f t="shared" si="31"/>
        <v>20000</v>
      </c>
      <c r="AT46" s="107"/>
      <c r="AU46" s="97"/>
      <c r="AV46" s="109"/>
      <c r="AW46" s="117"/>
      <c r="AX46" s="108">
        <f t="shared" si="24"/>
        <v>0</v>
      </c>
      <c r="AY46" s="76"/>
      <c r="AZ46" s="112">
        <f t="shared" si="32"/>
        <v>444.11</v>
      </c>
      <c r="BA46" s="113" t="s">
        <v>196</v>
      </c>
    </row>
    <row r="47" s="17" customFormat="1" ht="25" customHeight="1" spans="1:53">
      <c r="A47" s="22">
        <v>55</v>
      </c>
      <c r="B47" s="43" t="s">
        <v>197</v>
      </c>
      <c r="C47" s="44" t="s">
        <v>54</v>
      </c>
      <c r="D47" s="52" t="s">
        <v>198</v>
      </c>
      <c r="E47" s="44" t="s">
        <v>89</v>
      </c>
      <c r="F47" s="44" t="s">
        <v>68</v>
      </c>
      <c r="G47" s="45" t="s">
        <v>199</v>
      </c>
      <c r="H47" s="45" t="s">
        <v>200</v>
      </c>
      <c r="I47" s="44"/>
      <c r="J47" s="73">
        <v>1830</v>
      </c>
      <c r="K47" s="73">
        <f t="shared" si="25"/>
        <v>600</v>
      </c>
      <c r="L47" s="73">
        <f t="shared" si="26"/>
        <v>400</v>
      </c>
      <c r="M47" s="73">
        <v>200</v>
      </c>
      <c r="N47" s="73">
        <v>100</v>
      </c>
      <c r="O47" s="73"/>
      <c r="P47" s="73">
        <v>40</v>
      </c>
      <c r="Q47" s="73"/>
      <c r="R47" s="73">
        <f>1830/21.75/8*15.5*1.5+1830/21.75/8*42.5*2</f>
        <v>1138.49</v>
      </c>
      <c r="S47" s="73"/>
      <c r="T47" s="73"/>
      <c r="U47" s="73"/>
      <c r="V47" s="84">
        <f t="shared" si="27"/>
        <v>4308.49</v>
      </c>
      <c r="W47" s="85">
        <v>431.52</v>
      </c>
      <c r="X47" s="85">
        <v>19.42</v>
      </c>
      <c r="Y47" s="85">
        <v>210.34</v>
      </c>
      <c r="Z47" s="85">
        <v>32.36</v>
      </c>
      <c r="AA47" s="85">
        <v>7.28</v>
      </c>
      <c r="AB47" s="85">
        <v>25.89</v>
      </c>
      <c r="AC47" s="85">
        <v>107</v>
      </c>
      <c r="AD47" s="93">
        <v>254</v>
      </c>
      <c r="AE47" s="85">
        <v>69.26</v>
      </c>
      <c r="AF47" s="85">
        <v>13.85</v>
      </c>
      <c r="AG47" s="73">
        <v>107</v>
      </c>
      <c r="AH47" s="73">
        <f t="shared" si="28"/>
        <v>444.11</v>
      </c>
      <c r="AI47" s="102">
        <v>25482.63</v>
      </c>
      <c r="AJ47" s="102">
        <v>40000</v>
      </c>
      <c r="AK47" s="102">
        <v>3552.88</v>
      </c>
      <c r="AL47" s="98"/>
      <c r="AM47" s="98"/>
      <c r="AN47" s="98"/>
      <c r="AO47" s="98"/>
      <c r="AP47" s="98"/>
      <c r="AQ47" s="97">
        <f t="shared" si="29"/>
        <v>29791.12</v>
      </c>
      <c r="AR47" s="97">
        <f t="shared" si="30"/>
        <v>3996.99</v>
      </c>
      <c r="AS47" s="107">
        <f t="shared" si="31"/>
        <v>45000</v>
      </c>
      <c r="AT47" s="107"/>
      <c r="AU47" s="97">
        <f>AQ47-AR47-AS47-AT47</f>
        <v>-19205.87</v>
      </c>
      <c r="AV47" s="108">
        <f>5*MAX(0,AU47*{0.6;2;4;5;6;7;9}%-{0;504;3384;6384;10584;17184;36384})</f>
        <v>0</v>
      </c>
      <c r="AW47" s="117">
        <v>0</v>
      </c>
      <c r="AX47" s="108">
        <f t="shared" si="24"/>
        <v>0</v>
      </c>
      <c r="AY47" s="76"/>
      <c r="AZ47" s="112">
        <f t="shared" si="32"/>
        <v>3864.38</v>
      </c>
      <c r="BA47" s="113"/>
    </row>
    <row r="48" s="17" customFormat="1" ht="22" customHeight="1" spans="1:53">
      <c r="A48" s="49"/>
      <c r="B48" s="25" t="s">
        <v>201</v>
      </c>
      <c r="C48" s="26"/>
      <c r="D48" s="24"/>
      <c r="E48" s="24"/>
      <c r="F48" s="24"/>
      <c r="G48" s="45"/>
      <c r="H48" s="45"/>
      <c r="I48" s="24"/>
      <c r="J48" s="77">
        <f>SUM(J39:J47)</f>
        <v>14640</v>
      </c>
      <c r="K48" s="77">
        <f t="shared" ref="K48:V48" si="33">SUM(K39:K47)</f>
        <v>9878.98</v>
      </c>
      <c r="L48" s="77">
        <f t="shared" si="33"/>
        <v>6645.3</v>
      </c>
      <c r="M48" s="77">
        <f t="shared" si="33"/>
        <v>1400</v>
      </c>
      <c r="N48" s="77">
        <f t="shared" si="33"/>
        <v>800</v>
      </c>
      <c r="O48" s="77">
        <f t="shared" si="33"/>
        <v>300</v>
      </c>
      <c r="P48" s="77">
        <f t="shared" si="33"/>
        <v>180</v>
      </c>
      <c r="Q48" s="77">
        <f t="shared" si="33"/>
        <v>0</v>
      </c>
      <c r="R48" s="77">
        <f t="shared" si="33"/>
        <v>2513.62</v>
      </c>
      <c r="S48" s="77">
        <f t="shared" si="33"/>
        <v>1850</v>
      </c>
      <c r="T48" s="77">
        <f t="shared" si="33"/>
        <v>0</v>
      </c>
      <c r="U48" s="77">
        <f t="shared" si="33"/>
        <v>471.37</v>
      </c>
      <c r="V48" s="77">
        <f t="shared" si="33"/>
        <v>38679.27</v>
      </c>
      <c r="W48" s="77">
        <f t="shared" ref="W48:AZ48" si="34">SUM(W39:W47)</f>
        <v>2157.6</v>
      </c>
      <c r="X48" s="77">
        <f t="shared" si="34"/>
        <v>97.1</v>
      </c>
      <c r="Y48" s="77">
        <f t="shared" si="34"/>
        <v>1051.7</v>
      </c>
      <c r="Z48" s="77">
        <f t="shared" si="34"/>
        <v>161.8</v>
      </c>
      <c r="AA48" s="77">
        <f t="shared" si="34"/>
        <v>36.4</v>
      </c>
      <c r="AB48" s="77">
        <f t="shared" si="34"/>
        <v>129.45</v>
      </c>
      <c r="AC48" s="77">
        <f t="shared" si="34"/>
        <v>559</v>
      </c>
      <c r="AD48" s="77">
        <f t="shared" si="34"/>
        <v>2104</v>
      </c>
      <c r="AE48" s="77">
        <f t="shared" si="34"/>
        <v>558.32</v>
      </c>
      <c r="AF48" s="77">
        <f t="shared" si="34"/>
        <v>111.65</v>
      </c>
      <c r="AG48" s="77">
        <f t="shared" si="34"/>
        <v>892</v>
      </c>
      <c r="AH48" s="77">
        <f t="shared" si="34"/>
        <v>3665.97</v>
      </c>
      <c r="AI48" s="77">
        <f t="shared" si="34"/>
        <v>282525.64</v>
      </c>
      <c r="AJ48" s="77">
        <f t="shared" si="34"/>
        <v>315000</v>
      </c>
      <c r="AK48" s="77">
        <f t="shared" si="34"/>
        <v>29229.58</v>
      </c>
      <c r="AL48" s="77">
        <f t="shared" si="34"/>
        <v>0</v>
      </c>
      <c r="AM48" s="77">
        <f t="shared" si="34"/>
        <v>0</v>
      </c>
      <c r="AN48" s="77">
        <f t="shared" si="34"/>
        <v>8000</v>
      </c>
      <c r="AO48" s="77">
        <f t="shared" si="34"/>
        <v>0</v>
      </c>
      <c r="AP48" s="77">
        <f t="shared" si="34"/>
        <v>0</v>
      </c>
      <c r="AQ48" s="77">
        <f t="shared" si="34"/>
        <v>321204.91</v>
      </c>
      <c r="AR48" s="77">
        <f t="shared" si="34"/>
        <v>32895.55</v>
      </c>
      <c r="AS48" s="77">
        <f t="shared" si="34"/>
        <v>360000</v>
      </c>
      <c r="AT48" s="77">
        <f t="shared" si="34"/>
        <v>9000</v>
      </c>
      <c r="AU48" s="77">
        <f t="shared" si="34"/>
        <v>-70043.43</v>
      </c>
      <c r="AV48" s="77">
        <f t="shared" si="34"/>
        <v>213.5</v>
      </c>
      <c r="AW48" s="77">
        <f t="shared" si="34"/>
        <v>132.65</v>
      </c>
      <c r="AX48" s="77">
        <f t="shared" si="34"/>
        <v>3.58</v>
      </c>
      <c r="AY48" s="77">
        <f t="shared" si="34"/>
        <v>0</v>
      </c>
      <c r="AZ48" s="77">
        <f t="shared" si="34"/>
        <v>35009.72</v>
      </c>
      <c r="BA48" s="36"/>
    </row>
    <row r="49" s="17" customFormat="1" ht="25" customHeight="1" spans="1:53">
      <c r="A49" s="22">
        <v>46</v>
      </c>
      <c r="B49" s="43" t="s">
        <v>202</v>
      </c>
      <c r="C49" s="44" t="s">
        <v>54</v>
      </c>
      <c r="D49" s="44" t="s">
        <v>63</v>
      </c>
      <c r="E49" s="44" t="s">
        <v>56</v>
      </c>
      <c r="F49" s="44" t="s">
        <v>57</v>
      </c>
      <c r="G49" s="45" t="s">
        <v>203</v>
      </c>
      <c r="H49" s="45" t="s">
        <v>204</v>
      </c>
      <c r="I49" s="44"/>
      <c r="J49" s="73">
        <v>1830</v>
      </c>
      <c r="K49" s="73">
        <v>3500</v>
      </c>
      <c r="L49" s="73">
        <f>2670*1.066</f>
        <v>2846.22</v>
      </c>
      <c r="M49" s="73">
        <v>200</v>
      </c>
      <c r="N49" s="73">
        <v>100</v>
      </c>
      <c r="O49" s="73"/>
      <c r="P49" s="73">
        <v>40</v>
      </c>
      <c r="Q49" s="73"/>
      <c r="R49" s="73"/>
      <c r="S49" s="73"/>
      <c r="T49" s="73"/>
      <c r="U49" s="73"/>
      <c r="V49" s="84">
        <f>SUM(J49:S49)-T49+U49</f>
        <v>8516.22</v>
      </c>
      <c r="W49" s="85">
        <v>462.08</v>
      </c>
      <c r="X49" s="85">
        <v>19.42</v>
      </c>
      <c r="Y49" s="85">
        <v>210.34</v>
      </c>
      <c r="Z49" s="85">
        <v>32.36</v>
      </c>
      <c r="AA49" s="85">
        <v>7.28</v>
      </c>
      <c r="AB49" s="85">
        <v>25.89</v>
      </c>
      <c r="AC49" s="85">
        <v>137</v>
      </c>
      <c r="AD49" s="44">
        <v>294</v>
      </c>
      <c r="AE49" s="44">
        <v>73.5</v>
      </c>
      <c r="AF49" s="44">
        <v>14.7</v>
      </c>
      <c r="AG49" s="73">
        <v>137</v>
      </c>
      <c r="AH49" s="73">
        <f>SUM(AD49:AG49)</f>
        <v>519.2</v>
      </c>
      <c r="AI49" s="102">
        <v>67230.43</v>
      </c>
      <c r="AJ49" s="102">
        <v>40000</v>
      </c>
      <c r="AK49" s="102">
        <v>4063.42</v>
      </c>
      <c r="AL49" s="102">
        <v>8000</v>
      </c>
      <c r="AM49" s="102">
        <v>16000</v>
      </c>
      <c r="AN49" s="102">
        <v>0</v>
      </c>
      <c r="AO49" s="102">
        <v>0</v>
      </c>
      <c r="AP49" s="102">
        <v>0</v>
      </c>
      <c r="AQ49" s="97">
        <f t="shared" ref="AQ49:AQ58" si="35">V49+AI49</f>
        <v>75746.65</v>
      </c>
      <c r="AR49" s="97">
        <f t="shared" ref="AR49:AR58" si="36">AH49+AK49</f>
        <v>4582.62</v>
      </c>
      <c r="AS49" s="107">
        <f t="shared" ref="AS49:AS58" si="37">AJ49+5000</f>
        <v>45000</v>
      </c>
      <c r="AT49" s="107">
        <f>AL49+AM49+3000</f>
        <v>27000</v>
      </c>
      <c r="AU49" s="97">
        <f t="shared" ref="AU49:AU58" si="38">AQ49-AR49-AS49-AT49</f>
        <v>-835.97</v>
      </c>
      <c r="AV49" s="108">
        <f>5*MAX(0,AU49*{0.6;2;4;5;6;7;9}%-{0;504;3384;6384;10584;17184;36384})</f>
        <v>0</v>
      </c>
      <c r="AW49" s="117">
        <v>0</v>
      </c>
      <c r="AX49" s="108">
        <f>IF(+AV49-AW49&gt;0,AV49-AW49,0)</f>
        <v>0</v>
      </c>
      <c r="AY49" s="76"/>
      <c r="AZ49" s="112">
        <f t="shared" ref="AZ49:AZ58" si="39">V49-AH49-AX49</f>
        <v>7997.02</v>
      </c>
      <c r="BA49" s="115"/>
    </row>
    <row r="50" s="17" customFormat="1" ht="25" customHeight="1" spans="1:53">
      <c r="A50" s="22">
        <v>47</v>
      </c>
      <c r="B50" s="43" t="s">
        <v>205</v>
      </c>
      <c r="C50" s="44" t="s">
        <v>54</v>
      </c>
      <c r="D50" s="44" t="s">
        <v>206</v>
      </c>
      <c r="E50" s="44" t="s">
        <v>56</v>
      </c>
      <c r="F50" s="44" t="s">
        <v>57</v>
      </c>
      <c r="G50" s="45" t="s">
        <v>207</v>
      </c>
      <c r="H50" s="45" t="s">
        <v>208</v>
      </c>
      <c r="I50" s="44"/>
      <c r="J50" s="73">
        <v>1830</v>
      </c>
      <c r="K50" s="73">
        <v>1800</v>
      </c>
      <c r="L50" s="73">
        <f>870*1.03</f>
        <v>896.1</v>
      </c>
      <c r="M50" s="73">
        <v>200</v>
      </c>
      <c r="N50" s="73">
        <v>100</v>
      </c>
      <c r="O50" s="73"/>
      <c r="P50" s="73">
        <v>40</v>
      </c>
      <c r="Q50" s="73"/>
      <c r="R50" s="73"/>
      <c r="S50" s="73"/>
      <c r="T50" s="73"/>
      <c r="U50" s="73"/>
      <c r="V50" s="84">
        <f>SUM(J50:S50)-T50+U50</f>
        <v>4866.1</v>
      </c>
      <c r="W50" s="85">
        <v>431.52</v>
      </c>
      <c r="X50" s="85">
        <v>19.42</v>
      </c>
      <c r="Y50" s="85">
        <v>210.34</v>
      </c>
      <c r="Z50" s="85">
        <v>32.36</v>
      </c>
      <c r="AA50" s="85">
        <v>7.28</v>
      </c>
      <c r="AB50" s="85">
        <v>25.89</v>
      </c>
      <c r="AC50" s="85">
        <v>107</v>
      </c>
      <c r="AD50" s="93">
        <v>270</v>
      </c>
      <c r="AE50" s="85">
        <v>69.26</v>
      </c>
      <c r="AF50" s="85">
        <v>13.85</v>
      </c>
      <c r="AG50" s="73">
        <v>107</v>
      </c>
      <c r="AH50" s="73">
        <f>SUM(AD50:AG50)</f>
        <v>460.11</v>
      </c>
      <c r="AI50" s="102">
        <v>26910.57</v>
      </c>
      <c r="AJ50" s="102">
        <v>40000</v>
      </c>
      <c r="AK50" s="102">
        <v>3648.88</v>
      </c>
      <c r="AL50" s="98"/>
      <c r="AM50" s="98"/>
      <c r="AN50" s="98"/>
      <c r="AO50" s="98"/>
      <c r="AP50" s="98"/>
      <c r="AQ50" s="97">
        <f t="shared" si="35"/>
        <v>31776.67</v>
      </c>
      <c r="AR50" s="97">
        <f t="shared" si="36"/>
        <v>4108.99</v>
      </c>
      <c r="AS50" s="107">
        <f t="shared" si="37"/>
        <v>45000</v>
      </c>
      <c r="AT50" s="107"/>
      <c r="AU50" s="97">
        <f t="shared" si="38"/>
        <v>-17332.32</v>
      </c>
      <c r="AV50" s="108">
        <f>5*MAX(0,AU50*{0.6;2;4;5;6;7;9}%-{0;504;3384;6384;10584;17184;36384})</f>
        <v>0</v>
      </c>
      <c r="AW50" s="117">
        <v>0</v>
      </c>
      <c r="AX50" s="108">
        <f>IF(+AV50-AW50&gt;0,AV50-AW50,0)</f>
        <v>0</v>
      </c>
      <c r="AY50" s="76"/>
      <c r="AZ50" s="112">
        <f t="shared" si="39"/>
        <v>4405.99</v>
      </c>
      <c r="BA50" s="115"/>
    </row>
    <row r="51" s="17" customFormat="1" ht="25" customHeight="1" spans="1:53">
      <c r="A51" s="22">
        <v>48</v>
      </c>
      <c r="B51" s="43" t="s">
        <v>209</v>
      </c>
      <c r="C51" s="44" t="s">
        <v>54</v>
      </c>
      <c r="D51" s="44" t="s">
        <v>210</v>
      </c>
      <c r="E51" s="44" t="s">
        <v>56</v>
      </c>
      <c r="F51" s="44" t="s">
        <v>57</v>
      </c>
      <c r="G51" s="45" t="s">
        <v>211</v>
      </c>
      <c r="H51" s="45" t="s">
        <v>212</v>
      </c>
      <c r="I51" s="44"/>
      <c r="J51" s="73">
        <f>1830</f>
        <v>1830</v>
      </c>
      <c r="K51" s="73">
        <f>2400</f>
        <v>2400</v>
      </c>
      <c r="L51" s="73">
        <f>1770*1.035</f>
        <v>1831.95</v>
      </c>
      <c r="M51" s="73">
        <v>200</v>
      </c>
      <c r="N51" s="73">
        <v>100</v>
      </c>
      <c r="O51" s="73"/>
      <c r="P51" s="73"/>
      <c r="Q51" s="73"/>
      <c r="R51" s="73"/>
      <c r="S51" s="73"/>
      <c r="T51" s="73"/>
      <c r="U51" s="73"/>
      <c r="V51" s="84">
        <f>SUM(J51:S51)-T51+U51</f>
        <v>6361.95</v>
      </c>
      <c r="W51" s="85"/>
      <c r="X51" s="85"/>
      <c r="Y51" s="85"/>
      <c r="Z51" s="85"/>
      <c r="AA51" s="85"/>
      <c r="AB51" s="85"/>
      <c r="AC51" s="85"/>
      <c r="AD51" s="93">
        <f>270</f>
        <v>270</v>
      </c>
      <c r="AE51" s="85">
        <f>69.26</f>
        <v>69.26</v>
      </c>
      <c r="AF51" s="85">
        <f>13.85</f>
        <v>13.85</v>
      </c>
      <c r="AG51" s="73">
        <f>119</f>
        <v>119</v>
      </c>
      <c r="AH51" s="73">
        <f t="shared" ref="AH51:AH59" si="40">SUM(AD51:AG51)</f>
        <v>472.11</v>
      </c>
      <c r="AI51" s="102">
        <v>25527.92</v>
      </c>
      <c r="AJ51" s="102">
        <v>25000</v>
      </c>
      <c r="AK51" s="102">
        <v>2832.66</v>
      </c>
      <c r="AL51" s="98"/>
      <c r="AM51" s="98"/>
      <c r="AN51" s="98"/>
      <c r="AO51" s="98"/>
      <c r="AP51" s="98"/>
      <c r="AQ51" s="97">
        <f t="shared" si="35"/>
        <v>31889.87</v>
      </c>
      <c r="AR51" s="97">
        <f t="shared" si="36"/>
        <v>3304.77</v>
      </c>
      <c r="AS51" s="107">
        <f t="shared" si="37"/>
        <v>30000</v>
      </c>
      <c r="AT51" s="107"/>
      <c r="AU51" s="97">
        <f t="shared" si="38"/>
        <v>-1414.9</v>
      </c>
      <c r="AV51" s="108">
        <f>5*MAX(0,AU51*{0.6;2;4;5;6;7;9}%-{0;504;3384;6384;10584;17184;36384})</f>
        <v>0</v>
      </c>
      <c r="AW51" s="117">
        <v>0</v>
      </c>
      <c r="AX51" s="108">
        <f t="shared" ref="AX51:AX59" si="41">IF(+AV51-AW51&gt;0,AV51-AW51,0)</f>
        <v>0</v>
      </c>
      <c r="AY51" s="76"/>
      <c r="AZ51" s="112">
        <f t="shared" si="39"/>
        <v>5889.84</v>
      </c>
      <c r="BA51" s="115"/>
    </row>
    <row r="52" s="17" customFormat="1" ht="25" customHeight="1" spans="1:53">
      <c r="A52" s="22">
        <v>49</v>
      </c>
      <c r="B52" s="64" t="s">
        <v>213</v>
      </c>
      <c r="C52" s="44" t="s">
        <v>54</v>
      </c>
      <c r="D52" s="44" t="s">
        <v>214</v>
      </c>
      <c r="E52" s="44" t="s">
        <v>89</v>
      </c>
      <c r="F52" s="44" t="s">
        <v>84</v>
      </c>
      <c r="G52" s="45" t="s">
        <v>215</v>
      </c>
      <c r="H52" s="45" t="s">
        <v>216</v>
      </c>
      <c r="I52" s="44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84">
        <v>2000</v>
      </c>
      <c r="W52" s="85"/>
      <c r="X52" s="85"/>
      <c r="Y52" s="85"/>
      <c r="Z52" s="85"/>
      <c r="AA52" s="85"/>
      <c r="AB52" s="85"/>
      <c r="AC52" s="85"/>
      <c r="AD52" s="93"/>
      <c r="AE52" s="85"/>
      <c r="AF52" s="85"/>
      <c r="AG52" s="73"/>
      <c r="AH52" s="73">
        <f t="shared" si="40"/>
        <v>0</v>
      </c>
      <c r="AI52" s="102">
        <v>10000</v>
      </c>
      <c r="AJ52" s="102">
        <v>25000</v>
      </c>
      <c r="AK52" s="102">
        <v>0</v>
      </c>
      <c r="AL52" s="98"/>
      <c r="AM52" s="98"/>
      <c r="AN52" s="98"/>
      <c r="AO52" s="98"/>
      <c r="AP52" s="98"/>
      <c r="AQ52" s="97">
        <f t="shared" si="35"/>
        <v>12000</v>
      </c>
      <c r="AR52" s="97">
        <f t="shared" si="36"/>
        <v>0</v>
      </c>
      <c r="AS52" s="107">
        <f t="shared" si="37"/>
        <v>30000</v>
      </c>
      <c r="AT52" s="107"/>
      <c r="AU52" s="97">
        <f t="shared" si="38"/>
        <v>-18000</v>
      </c>
      <c r="AV52" s="108">
        <f>5*MAX(0,AU52*{0.6;2;4;5;6;7;9}%-{0;504;3384;6384;10584;17184;36384})</f>
        <v>0</v>
      </c>
      <c r="AW52" s="117">
        <v>0</v>
      </c>
      <c r="AX52" s="108">
        <f t="shared" si="41"/>
        <v>0</v>
      </c>
      <c r="AY52" s="76"/>
      <c r="AZ52" s="112">
        <f t="shared" si="39"/>
        <v>2000</v>
      </c>
      <c r="BA52" s="115"/>
    </row>
    <row r="53" s="17" customFormat="1" ht="25" customHeight="1" spans="1:53">
      <c r="A53" s="22">
        <v>50</v>
      </c>
      <c r="B53" s="43" t="s">
        <v>217</v>
      </c>
      <c r="C53" s="44" t="s">
        <v>54</v>
      </c>
      <c r="D53" s="44" t="s">
        <v>218</v>
      </c>
      <c r="E53" s="44" t="s">
        <v>89</v>
      </c>
      <c r="F53" s="44" t="s">
        <v>68</v>
      </c>
      <c r="G53" s="45" t="s">
        <v>219</v>
      </c>
      <c r="H53" s="45" t="s">
        <v>220</v>
      </c>
      <c r="I53" s="44"/>
      <c r="J53" s="73">
        <v>1830</v>
      </c>
      <c r="K53" s="73">
        <f>400</f>
        <v>400</v>
      </c>
      <c r="L53" s="73">
        <f>300</f>
        <v>300</v>
      </c>
      <c r="M53" s="73">
        <v>200</v>
      </c>
      <c r="N53" s="73">
        <v>100</v>
      </c>
      <c r="O53" s="73"/>
      <c r="P53" s="73">
        <v>40</v>
      </c>
      <c r="Q53" s="73"/>
      <c r="R53" s="73">
        <f>1830/21.75/8*0*1.5+1830/21.75/8*33.5*2</f>
        <v>704.66</v>
      </c>
      <c r="S53" s="73"/>
      <c r="T53" s="73"/>
      <c r="U53" s="73"/>
      <c r="V53" s="84">
        <f>SUM(J53:S53)-T53+U53</f>
        <v>3574.66</v>
      </c>
      <c r="W53" s="85">
        <v>431.52</v>
      </c>
      <c r="X53" s="85">
        <v>19.42</v>
      </c>
      <c r="Y53" s="85">
        <v>210.34</v>
      </c>
      <c r="Z53" s="85">
        <v>32.36</v>
      </c>
      <c r="AA53" s="85">
        <v>7.28</v>
      </c>
      <c r="AB53" s="85">
        <v>25.89</v>
      </c>
      <c r="AC53" s="85">
        <v>107</v>
      </c>
      <c r="AD53" s="93">
        <v>254</v>
      </c>
      <c r="AE53" s="85">
        <v>69.26</v>
      </c>
      <c r="AF53" s="85">
        <v>13.85</v>
      </c>
      <c r="AG53" s="73">
        <v>107</v>
      </c>
      <c r="AH53" s="73">
        <f t="shared" si="40"/>
        <v>444.11</v>
      </c>
      <c r="AI53" s="102">
        <v>23767.25</v>
      </c>
      <c r="AJ53" s="102">
        <v>40000</v>
      </c>
      <c r="AK53" s="102">
        <v>3552.88</v>
      </c>
      <c r="AL53" s="98"/>
      <c r="AM53" s="98"/>
      <c r="AN53" s="98"/>
      <c r="AO53" s="98"/>
      <c r="AP53" s="98"/>
      <c r="AQ53" s="97">
        <f t="shared" si="35"/>
        <v>27341.91</v>
      </c>
      <c r="AR53" s="97">
        <f t="shared" si="36"/>
        <v>3996.99</v>
      </c>
      <c r="AS53" s="107">
        <f t="shared" si="37"/>
        <v>45000</v>
      </c>
      <c r="AT53" s="107"/>
      <c r="AU53" s="97">
        <f t="shared" si="38"/>
        <v>-21655.08</v>
      </c>
      <c r="AV53" s="108">
        <f>5*MAX(0,AU53*{0.6;2;4;5;6;7;9}%-{0;504;3384;6384;10584;17184;36384})</f>
        <v>0</v>
      </c>
      <c r="AW53" s="117">
        <v>0</v>
      </c>
      <c r="AX53" s="108">
        <f t="shared" si="41"/>
        <v>0</v>
      </c>
      <c r="AY53" s="76"/>
      <c r="AZ53" s="112">
        <f t="shared" si="39"/>
        <v>3130.55</v>
      </c>
      <c r="BA53" s="115"/>
    </row>
    <row r="54" s="17" customFormat="1" ht="25" customHeight="1" spans="1:53">
      <c r="A54" s="22">
        <v>51</v>
      </c>
      <c r="B54" s="43" t="s">
        <v>221</v>
      </c>
      <c r="C54" s="44" t="s">
        <v>54</v>
      </c>
      <c r="D54" s="44" t="s">
        <v>214</v>
      </c>
      <c r="E54" s="44" t="s">
        <v>89</v>
      </c>
      <c r="F54" s="44" t="s">
        <v>84</v>
      </c>
      <c r="G54" s="45" t="s">
        <v>222</v>
      </c>
      <c r="H54" s="45" t="s">
        <v>223</v>
      </c>
      <c r="I54" s="44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84">
        <v>2000</v>
      </c>
      <c r="W54" s="85"/>
      <c r="X54" s="85"/>
      <c r="Y54" s="85"/>
      <c r="Z54" s="85"/>
      <c r="AA54" s="85"/>
      <c r="AB54" s="85"/>
      <c r="AC54" s="85"/>
      <c r="AD54" s="85" t="s">
        <v>224</v>
      </c>
      <c r="AE54" s="85"/>
      <c r="AF54" s="85" t="s">
        <v>224</v>
      </c>
      <c r="AG54" s="73"/>
      <c r="AH54" s="73">
        <f t="shared" si="40"/>
        <v>0</v>
      </c>
      <c r="AI54" s="102">
        <v>12000</v>
      </c>
      <c r="AJ54" s="102">
        <v>40000</v>
      </c>
      <c r="AK54" s="98">
        <v>0</v>
      </c>
      <c r="AL54" s="98"/>
      <c r="AM54" s="98"/>
      <c r="AN54" s="98"/>
      <c r="AO54" s="98"/>
      <c r="AP54" s="98"/>
      <c r="AQ54" s="97">
        <f t="shared" si="35"/>
        <v>14000</v>
      </c>
      <c r="AR54" s="97">
        <f t="shared" si="36"/>
        <v>0</v>
      </c>
      <c r="AS54" s="107">
        <f t="shared" si="37"/>
        <v>45000</v>
      </c>
      <c r="AT54" s="107"/>
      <c r="AU54" s="97">
        <f t="shared" si="38"/>
        <v>-31000</v>
      </c>
      <c r="AV54" s="108">
        <f>5*MAX(0,AU54*{0.6;2;4;5;6;7;9}%-{0;504;3384;6384;10584;17184;36384})</f>
        <v>0</v>
      </c>
      <c r="AW54" s="117">
        <v>0</v>
      </c>
      <c r="AX54" s="108">
        <f t="shared" si="41"/>
        <v>0</v>
      </c>
      <c r="AY54" s="76"/>
      <c r="AZ54" s="112">
        <f t="shared" si="39"/>
        <v>2000</v>
      </c>
      <c r="BA54" s="115"/>
    </row>
    <row r="55" s="17" customFormat="1" ht="25" customHeight="1" spans="1:53">
      <c r="A55" s="22">
        <v>52</v>
      </c>
      <c r="B55" s="43" t="s">
        <v>225</v>
      </c>
      <c r="C55" s="44" t="s">
        <v>54</v>
      </c>
      <c r="D55" s="44" t="s">
        <v>214</v>
      </c>
      <c r="E55" s="44" t="s">
        <v>89</v>
      </c>
      <c r="F55" s="44" t="s">
        <v>84</v>
      </c>
      <c r="G55" s="45" t="s">
        <v>226</v>
      </c>
      <c r="H55" s="45" t="s">
        <v>227</v>
      </c>
      <c r="I55" s="44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84">
        <v>2000</v>
      </c>
      <c r="W55" s="85">
        <v>431.52</v>
      </c>
      <c r="X55" s="85">
        <v>19.42</v>
      </c>
      <c r="Y55" s="85">
        <v>210.34</v>
      </c>
      <c r="Z55" s="85">
        <v>32.36</v>
      </c>
      <c r="AA55" s="85">
        <v>7.28</v>
      </c>
      <c r="AB55" s="85">
        <v>25.89</v>
      </c>
      <c r="AC55" s="85">
        <v>107</v>
      </c>
      <c r="AD55" s="85"/>
      <c r="AE55" s="85"/>
      <c r="AF55" s="85"/>
      <c r="AG55" s="73"/>
      <c r="AH55" s="73">
        <f t="shared" si="40"/>
        <v>0</v>
      </c>
      <c r="AI55" s="102">
        <v>12000</v>
      </c>
      <c r="AJ55" s="102">
        <v>40000</v>
      </c>
      <c r="AK55" s="102">
        <v>0</v>
      </c>
      <c r="AL55" s="98"/>
      <c r="AM55" s="98"/>
      <c r="AN55" s="98"/>
      <c r="AO55" s="98"/>
      <c r="AP55" s="98"/>
      <c r="AQ55" s="97">
        <f t="shared" si="35"/>
        <v>14000</v>
      </c>
      <c r="AR55" s="97">
        <f t="shared" si="36"/>
        <v>0</v>
      </c>
      <c r="AS55" s="107">
        <f t="shared" si="37"/>
        <v>45000</v>
      </c>
      <c r="AT55" s="107"/>
      <c r="AU55" s="97">
        <f t="shared" si="38"/>
        <v>-31000</v>
      </c>
      <c r="AV55" s="108">
        <f>5*MAX(0,AU55*{0.6;2;4;5;6;7;9}%-{0;504;3384;6384;10584;17184;36384})</f>
        <v>0</v>
      </c>
      <c r="AW55" s="117">
        <v>0</v>
      </c>
      <c r="AX55" s="108">
        <f t="shared" si="41"/>
        <v>0</v>
      </c>
      <c r="AY55" s="76"/>
      <c r="AZ55" s="112">
        <f t="shared" si="39"/>
        <v>2000</v>
      </c>
      <c r="BA55" s="115"/>
    </row>
    <row r="56" s="17" customFormat="1" ht="25" customHeight="1" spans="1:53">
      <c r="A56" s="22">
        <v>53</v>
      </c>
      <c r="B56" s="43" t="s">
        <v>228</v>
      </c>
      <c r="C56" s="44" t="s">
        <v>54</v>
      </c>
      <c r="D56" s="44" t="s">
        <v>214</v>
      </c>
      <c r="E56" s="44" t="s">
        <v>89</v>
      </c>
      <c r="F56" s="44" t="s">
        <v>84</v>
      </c>
      <c r="G56" s="45" t="s">
        <v>229</v>
      </c>
      <c r="H56" s="45" t="s">
        <v>230</v>
      </c>
      <c r="I56" s="44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84">
        <v>2000</v>
      </c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73"/>
      <c r="AH56" s="73">
        <f t="shared" si="40"/>
        <v>0</v>
      </c>
      <c r="AI56" s="102">
        <v>12000</v>
      </c>
      <c r="AJ56" s="102">
        <v>40000</v>
      </c>
      <c r="AK56" s="98">
        <v>0</v>
      </c>
      <c r="AL56" s="98"/>
      <c r="AM56" s="98"/>
      <c r="AN56" s="98"/>
      <c r="AO56" s="98"/>
      <c r="AP56" s="98"/>
      <c r="AQ56" s="97">
        <f t="shared" si="35"/>
        <v>14000</v>
      </c>
      <c r="AR56" s="97">
        <f t="shared" si="36"/>
        <v>0</v>
      </c>
      <c r="AS56" s="107">
        <f t="shared" si="37"/>
        <v>45000</v>
      </c>
      <c r="AT56" s="107"/>
      <c r="AU56" s="97">
        <f t="shared" si="38"/>
        <v>-31000</v>
      </c>
      <c r="AV56" s="108">
        <f>5*MAX(0,AU56*{0.6;2;4;5;6;7;9}%-{0;504;3384;6384;10584;17184;36384})</f>
        <v>0</v>
      </c>
      <c r="AW56" s="117">
        <v>0</v>
      </c>
      <c r="AX56" s="108">
        <f t="shared" si="41"/>
        <v>0</v>
      </c>
      <c r="AY56" s="76"/>
      <c r="AZ56" s="112">
        <f t="shared" si="39"/>
        <v>2000</v>
      </c>
      <c r="BA56" s="115"/>
    </row>
    <row r="57" s="17" customFormat="1" ht="25" customHeight="1" spans="1:53">
      <c r="A57" s="22">
        <v>54</v>
      </c>
      <c r="B57" s="43" t="s">
        <v>231</v>
      </c>
      <c r="C57" s="44" t="s">
        <v>54</v>
      </c>
      <c r="D57" s="44" t="s">
        <v>218</v>
      </c>
      <c r="E57" s="44" t="s">
        <v>89</v>
      </c>
      <c r="F57" s="44" t="s">
        <v>68</v>
      </c>
      <c r="G57" s="45" t="s">
        <v>232</v>
      </c>
      <c r="H57" s="45" t="s">
        <v>233</v>
      </c>
      <c r="I57" s="44"/>
      <c r="J57" s="73">
        <v>1830</v>
      </c>
      <c r="K57" s="73">
        <f>400</f>
        <v>400</v>
      </c>
      <c r="L57" s="73">
        <f>300</f>
        <v>300</v>
      </c>
      <c r="M57" s="73">
        <v>200</v>
      </c>
      <c r="N57" s="73">
        <v>100</v>
      </c>
      <c r="O57" s="73"/>
      <c r="P57" s="73">
        <v>20</v>
      </c>
      <c r="Q57" s="73"/>
      <c r="R57" s="73">
        <f>1830/21.75/8*50*1.5+1830/21.75/8*32*2</f>
        <v>1461.9</v>
      </c>
      <c r="S57" s="73"/>
      <c r="T57" s="73"/>
      <c r="U57" s="73"/>
      <c r="V57" s="84">
        <f>SUM(J57:S57)-T57+U57</f>
        <v>4311.9</v>
      </c>
      <c r="W57" s="85">
        <v>431.52</v>
      </c>
      <c r="X57" s="85">
        <v>19.42</v>
      </c>
      <c r="Y57" s="85">
        <v>210.34</v>
      </c>
      <c r="Z57" s="85">
        <v>32.36</v>
      </c>
      <c r="AA57" s="85">
        <v>7.28</v>
      </c>
      <c r="AB57" s="85">
        <v>25.89</v>
      </c>
      <c r="AC57" s="85">
        <v>107</v>
      </c>
      <c r="AD57" s="93">
        <v>254</v>
      </c>
      <c r="AE57" s="85">
        <v>69.26</v>
      </c>
      <c r="AF57" s="85">
        <v>13.85</v>
      </c>
      <c r="AG57" s="73">
        <v>107</v>
      </c>
      <c r="AH57" s="73">
        <f t="shared" si="40"/>
        <v>444.11</v>
      </c>
      <c r="AI57" s="98">
        <v>30960.7</v>
      </c>
      <c r="AJ57" s="102">
        <v>40000</v>
      </c>
      <c r="AK57" s="98">
        <v>3552.88</v>
      </c>
      <c r="AL57" s="98"/>
      <c r="AM57" s="98"/>
      <c r="AN57" s="98"/>
      <c r="AO57" s="98"/>
      <c r="AP57" s="98"/>
      <c r="AQ57" s="97">
        <f t="shared" si="35"/>
        <v>35272.6</v>
      </c>
      <c r="AR57" s="97">
        <f t="shared" si="36"/>
        <v>3996.99</v>
      </c>
      <c r="AS57" s="107">
        <f t="shared" si="37"/>
        <v>45000</v>
      </c>
      <c r="AT57" s="107"/>
      <c r="AU57" s="97">
        <f t="shared" si="38"/>
        <v>-13724.39</v>
      </c>
      <c r="AV57" s="108">
        <f>5*MAX(0,AU57*{0.6;2;4;5;6;7;9}%-{0;504;3384;6384;10584;17184;36384})</f>
        <v>0</v>
      </c>
      <c r="AW57" s="117">
        <v>0</v>
      </c>
      <c r="AX57" s="108">
        <f t="shared" si="41"/>
        <v>0</v>
      </c>
      <c r="AY57" s="76"/>
      <c r="AZ57" s="112">
        <f t="shared" si="39"/>
        <v>3867.79</v>
      </c>
      <c r="BA57" s="115"/>
    </row>
    <row r="58" s="17" customFormat="1" ht="25" customHeight="1" spans="1:53">
      <c r="A58" s="22">
        <v>27</v>
      </c>
      <c r="B58" s="51" t="s">
        <v>234</v>
      </c>
      <c r="C58" s="45" t="s">
        <v>82</v>
      </c>
      <c r="D58" s="52" t="s">
        <v>235</v>
      </c>
      <c r="E58" s="44" t="s">
        <v>89</v>
      </c>
      <c r="F58" s="44" t="s">
        <v>84</v>
      </c>
      <c r="G58" s="130" t="s">
        <v>236</v>
      </c>
      <c r="H58" s="130" t="s">
        <v>237</v>
      </c>
      <c r="I58" s="44"/>
      <c r="J58" s="73">
        <v>1830</v>
      </c>
      <c r="K58" s="73">
        <f>400</f>
        <v>400</v>
      </c>
      <c r="L58" s="73">
        <f>300</f>
        <v>300</v>
      </c>
      <c r="M58" s="73">
        <v>200</v>
      </c>
      <c r="N58" s="73">
        <v>100</v>
      </c>
      <c r="O58" s="73"/>
      <c r="P58" s="73">
        <v>20</v>
      </c>
      <c r="Q58" s="73"/>
      <c r="R58" s="73">
        <f>1830/21.75/8*10*1.5+1830/21.75/8*14*2</f>
        <v>452.24</v>
      </c>
      <c r="S58" s="73"/>
      <c r="T58" s="73"/>
      <c r="U58" s="73"/>
      <c r="V58" s="84">
        <f>SUM(J58:S58)-T58+U58</f>
        <v>3302.24</v>
      </c>
      <c r="W58" s="85">
        <v>431.52</v>
      </c>
      <c r="X58" s="85">
        <v>19.42</v>
      </c>
      <c r="Y58" s="85">
        <v>210.34</v>
      </c>
      <c r="Z58" s="85">
        <v>32.36</v>
      </c>
      <c r="AA58" s="85">
        <v>7.28</v>
      </c>
      <c r="AB58" s="85">
        <v>25.89</v>
      </c>
      <c r="AC58" s="85">
        <v>107</v>
      </c>
      <c r="AD58" s="93">
        <v>254</v>
      </c>
      <c r="AE58" s="85">
        <v>69.26</v>
      </c>
      <c r="AF58" s="85">
        <v>13.85</v>
      </c>
      <c r="AG58" s="73">
        <v>107</v>
      </c>
      <c r="AH58" s="73">
        <f t="shared" si="40"/>
        <v>444.11</v>
      </c>
      <c r="AI58" s="98">
        <v>24192.72</v>
      </c>
      <c r="AJ58" s="102">
        <v>40000</v>
      </c>
      <c r="AK58" s="98">
        <v>3552.88</v>
      </c>
      <c r="AL58" s="98"/>
      <c r="AM58" s="98"/>
      <c r="AN58" s="98"/>
      <c r="AO58" s="98"/>
      <c r="AP58" s="98"/>
      <c r="AQ58" s="97">
        <f t="shared" si="35"/>
        <v>27494.96</v>
      </c>
      <c r="AR58" s="97">
        <f t="shared" si="36"/>
        <v>3996.99</v>
      </c>
      <c r="AS58" s="107">
        <f t="shared" si="37"/>
        <v>45000</v>
      </c>
      <c r="AT58" s="107"/>
      <c r="AU58" s="97">
        <f t="shared" si="38"/>
        <v>-21502.03</v>
      </c>
      <c r="AV58" s="108">
        <f>5*MAX(0,AU58*{0.6;2;4;5;6;7;9}%-{0;504;3384;6384;10584;17184;36384})</f>
        <v>0</v>
      </c>
      <c r="AW58" s="117"/>
      <c r="AX58" s="108">
        <f t="shared" si="41"/>
        <v>0</v>
      </c>
      <c r="AY58" s="76"/>
      <c r="AZ58" s="112">
        <f t="shared" si="39"/>
        <v>2858.13</v>
      </c>
      <c r="BA58" s="113"/>
    </row>
    <row r="59" s="38" customFormat="1" ht="23" customHeight="1" spans="1:53">
      <c r="A59" s="49"/>
      <c r="B59" s="25" t="s">
        <v>238</v>
      </c>
      <c r="C59" s="26"/>
      <c r="D59" s="24"/>
      <c r="E59" s="24"/>
      <c r="F59" s="24"/>
      <c r="G59" s="45"/>
      <c r="H59" s="50"/>
      <c r="I59" s="24"/>
      <c r="J59" s="77">
        <f>SUM(J49:J58)</f>
        <v>10980</v>
      </c>
      <c r="K59" s="77">
        <f t="shared" ref="K59:V59" si="42">SUM(K49:K58)</f>
        <v>8900</v>
      </c>
      <c r="L59" s="77">
        <f t="shared" si="42"/>
        <v>6474.27</v>
      </c>
      <c r="M59" s="77">
        <f t="shared" si="42"/>
        <v>1200</v>
      </c>
      <c r="N59" s="77">
        <f t="shared" si="42"/>
        <v>600</v>
      </c>
      <c r="O59" s="77">
        <f t="shared" si="42"/>
        <v>0</v>
      </c>
      <c r="P59" s="77">
        <f t="shared" si="42"/>
        <v>160</v>
      </c>
      <c r="Q59" s="77">
        <f t="shared" si="42"/>
        <v>0</v>
      </c>
      <c r="R59" s="77">
        <f t="shared" si="42"/>
        <v>2618.8</v>
      </c>
      <c r="S59" s="77">
        <f t="shared" si="42"/>
        <v>0</v>
      </c>
      <c r="T59" s="77">
        <f t="shared" si="42"/>
        <v>0</v>
      </c>
      <c r="U59" s="77">
        <f t="shared" si="42"/>
        <v>0</v>
      </c>
      <c r="V59" s="77">
        <f t="shared" si="42"/>
        <v>38933.07</v>
      </c>
      <c r="W59" s="77">
        <f t="shared" ref="W59:AZ59" si="43">SUM(W49:W58)</f>
        <v>2619.68</v>
      </c>
      <c r="X59" s="77">
        <f t="shared" si="43"/>
        <v>116.52</v>
      </c>
      <c r="Y59" s="77">
        <f t="shared" si="43"/>
        <v>1262.04</v>
      </c>
      <c r="Z59" s="77">
        <f t="shared" si="43"/>
        <v>194.16</v>
      </c>
      <c r="AA59" s="77">
        <f t="shared" si="43"/>
        <v>43.68</v>
      </c>
      <c r="AB59" s="77">
        <f t="shared" si="43"/>
        <v>155.34</v>
      </c>
      <c r="AC59" s="77">
        <f t="shared" si="43"/>
        <v>672</v>
      </c>
      <c r="AD59" s="77">
        <f t="shared" si="43"/>
        <v>1596</v>
      </c>
      <c r="AE59" s="77">
        <f t="shared" si="43"/>
        <v>419.8</v>
      </c>
      <c r="AF59" s="77">
        <f t="shared" si="43"/>
        <v>83.95</v>
      </c>
      <c r="AG59" s="77">
        <f t="shared" si="43"/>
        <v>684</v>
      </c>
      <c r="AH59" s="77">
        <f t="shared" si="43"/>
        <v>2783.75</v>
      </c>
      <c r="AI59" s="77">
        <f t="shared" si="43"/>
        <v>244589.59</v>
      </c>
      <c r="AJ59" s="77">
        <f t="shared" si="43"/>
        <v>370000</v>
      </c>
      <c r="AK59" s="77">
        <f t="shared" si="43"/>
        <v>21203.6</v>
      </c>
      <c r="AL59" s="77">
        <f t="shared" si="43"/>
        <v>8000</v>
      </c>
      <c r="AM59" s="77">
        <f t="shared" si="43"/>
        <v>16000</v>
      </c>
      <c r="AN59" s="77">
        <f t="shared" si="43"/>
        <v>0</v>
      </c>
      <c r="AO59" s="77">
        <f t="shared" si="43"/>
        <v>0</v>
      </c>
      <c r="AP59" s="77">
        <f t="shared" si="43"/>
        <v>0</v>
      </c>
      <c r="AQ59" s="77">
        <f t="shared" si="43"/>
        <v>283522.66</v>
      </c>
      <c r="AR59" s="77">
        <f t="shared" si="43"/>
        <v>23987.35</v>
      </c>
      <c r="AS59" s="77">
        <f t="shared" si="43"/>
        <v>420000</v>
      </c>
      <c r="AT59" s="77">
        <f t="shared" si="43"/>
        <v>27000</v>
      </c>
      <c r="AU59" s="77">
        <f t="shared" si="43"/>
        <v>-187464.69</v>
      </c>
      <c r="AV59" s="77">
        <f t="shared" si="43"/>
        <v>0</v>
      </c>
      <c r="AW59" s="77">
        <f t="shared" si="43"/>
        <v>0</v>
      </c>
      <c r="AX59" s="77">
        <f t="shared" si="43"/>
        <v>0</v>
      </c>
      <c r="AY59" s="77">
        <f t="shared" si="43"/>
        <v>0</v>
      </c>
      <c r="AZ59" s="77">
        <f t="shared" si="43"/>
        <v>36149.32</v>
      </c>
      <c r="BA59" s="36"/>
    </row>
    <row r="60" s="38" customFormat="1" ht="30" customHeight="1" spans="1:53">
      <c r="A60" s="65" t="s">
        <v>239</v>
      </c>
      <c r="B60" s="66"/>
      <c r="C60" s="67"/>
      <c r="D60" s="67"/>
      <c r="E60" s="67"/>
      <c r="F60" s="67"/>
      <c r="G60" s="68"/>
      <c r="H60" s="68"/>
      <c r="I60" s="78"/>
      <c r="J60" s="79">
        <f>J59+J48+J38+J36+J17+J11+J8</f>
        <v>75030</v>
      </c>
      <c r="K60" s="79">
        <f t="shared" ref="K60:U60" si="44">K59+K48+K38+K36+K17+K11+K8</f>
        <v>38761.93</v>
      </c>
      <c r="L60" s="79">
        <f t="shared" si="44"/>
        <v>30352.58</v>
      </c>
      <c r="M60" s="79">
        <f t="shared" si="44"/>
        <v>7800</v>
      </c>
      <c r="N60" s="79">
        <f t="shared" si="44"/>
        <v>4100</v>
      </c>
      <c r="O60" s="79">
        <f t="shared" si="44"/>
        <v>6261.48</v>
      </c>
      <c r="P60" s="79">
        <f t="shared" si="44"/>
        <v>1060</v>
      </c>
      <c r="Q60" s="79">
        <f t="shared" si="44"/>
        <v>0</v>
      </c>
      <c r="R60" s="79">
        <f t="shared" si="44"/>
        <v>23253.65</v>
      </c>
      <c r="S60" s="79">
        <f t="shared" si="44"/>
        <v>2650</v>
      </c>
      <c r="T60" s="79">
        <f t="shared" si="44"/>
        <v>0</v>
      </c>
      <c r="U60" s="79">
        <f t="shared" si="44"/>
        <v>700.37</v>
      </c>
      <c r="V60" s="79">
        <f>V8+V11+V17+V36+V38+V48+V59+V5</f>
        <v>211749.46</v>
      </c>
      <c r="W60" s="79">
        <f>W59+W48+W38+W36+W17+W11+W8</f>
        <v>12594.62</v>
      </c>
      <c r="X60" s="79">
        <f t="shared" ref="S60:AY60" si="45">X59+X48+X38+X36+X17+X11+X8</f>
        <v>773.52</v>
      </c>
      <c r="Y60" s="79">
        <f t="shared" si="45"/>
        <v>6132.22</v>
      </c>
      <c r="Z60" s="79">
        <f t="shared" si="45"/>
        <v>945.72</v>
      </c>
      <c r="AA60" s="79">
        <f t="shared" si="45"/>
        <v>237.01</v>
      </c>
      <c r="AB60" s="79">
        <f t="shared" si="45"/>
        <v>857.81</v>
      </c>
      <c r="AC60" s="79">
        <f t="shared" si="45"/>
        <v>3384.76</v>
      </c>
      <c r="AD60" s="79">
        <f t="shared" si="45"/>
        <v>10694</v>
      </c>
      <c r="AE60" s="79">
        <f t="shared" si="45"/>
        <v>2860.86</v>
      </c>
      <c r="AF60" s="79">
        <f t="shared" si="45"/>
        <v>572.1</v>
      </c>
      <c r="AG60" s="79">
        <f t="shared" si="45"/>
        <v>4519</v>
      </c>
      <c r="AH60" s="79">
        <f t="shared" si="45"/>
        <v>18645.96</v>
      </c>
      <c r="AI60" s="79">
        <f t="shared" si="45"/>
        <v>1399351.14</v>
      </c>
      <c r="AJ60" s="79">
        <f t="shared" si="45"/>
        <v>1745000</v>
      </c>
      <c r="AK60" s="79">
        <f t="shared" si="45"/>
        <v>142299.24</v>
      </c>
      <c r="AL60" s="79">
        <f t="shared" si="45"/>
        <v>23000</v>
      </c>
      <c r="AM60" s="79">
        <f t="shared" si="45"/>
        <v>32000</v>
      </c>
      <c r="AN60" s="79">
        <f t="shared" si="45"/>
        <v>16000</v>
      </c>
      <c r="AO60" s="79">
        <f t="shared" si="45"/>
        <v>0</v>
      </c>
      <c r="AP60" s="79">
        <f t="shared" si="45"/>
        <v>0</v>
      </c>
      <c r="AQ60" s="79">
        <f t="shared" si="45"/>
        <v>1598421.15</v>
      </c>
      <c r="AR60" s="79">
        <f t="shared" si="45"/>
        <v>160945.2</v>
      </c>
      <c r="AS60" s="79">
        <f t="shared" si="45"/>
        <v>1980000</v>
      </c>
      <c r="AT60" s="79">
        <f t="shared" si="45"/>
        <v>7089.88</v>
      </c>
      <c r="AU60" s="79">
        <f t="shared" si="45"/>
        <v>-597023.98</v>
      </c>
      <c r="AV60" s="79">
        <f t="shared" si="45"/>
        <v>1498.67</v>
      </c>
      <c r="AW60" s="79">
        <f t="shared" si="45"/>
        <v>1231.67</v>
      </c>
      <c r="AX60" s="79">
        <f>AX8+AX11+AX17+AX36+AX38+AX48+AX59+AX5</f>
        <v>855.75</v>
      </c>
      <c r="AY60" s="79"/>
      <c r="AZ60" s="79">
        <f>AZ8+AZ11+AZ17+AZ36+AZ38+AZ48+AZ59+AZ5</f>
        <v>191728.55</v>
      </c>
      <c r="BA60" s="120"/>
    </row>
    <row r="61" s="39" customFormat="1" ht="29.1" customHeight="1" spans="1:53">
      <c r="A61" s="69" t="s">
        <v>240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</row>
    <row r="62" s="39" customFormat="1" spans="7:52">
      <c r="G62" s="70"/>
      <c r="H62" s="70"/>
      <c r="V62" s="91"/>
      <c r="W62" s="91"/>
      <c r="X62" s="91"/>
      <c r="Y62" s="91"/>
      <c r="Z62" s="91"/>
      <c r="AA62" s="91"/>
      <c r="AB62" s="91"/>
      <c r="AC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Z62" s="91"/>
    </row>
    <row r="66" spans="10:20">
      <c r="J66" s="122"/>
      <c r="K66" s="122"/>
      <c r="L66" s="122"/>
      <c r="R66" s="122"/>
      <c r="T66" s="122"/>
    </row>
    <row r="67" spans="8:22">
      <c r="H67" s="121">
        <v>250887.09</v>
      </c>
      <c r="J67" s="122"/>
      <c r="K67" s="122"/>
      <c r="L67" s="122"/>
      <c r="P67" s="123"/>
      <c r="Q67" s="123"/>
      <c r="R67" s="125"/>
      <c r="S67" s="126"/>
      <c r="T67" s="125"/>
      <c r="U67" s="126"/>
      <c r="V67" s="127"/>
    </row>
    <row r="68" spans="16:22">
      <c r="P68" s="123"/>
      <c r="Q68" s="123"/>
      <c r="R68" s="126"/>
      <c r="S68" s="126"/>
      <c r="T68" s="123"/>
      <c r="U68" s="126"/>
      <c r="V68" s="127"/>
    </row>
    <row r="69" spans="16:22">
      <c r="P69" s="123"/>
      <c r="Q69" s="123"/>
      <c r="R69" s="126"/>
      <c r="S69" s="126"/>
      <c r="T69" s="123"/>
      <c r="U69" s="126"/>
      <c r="V69" s="128"/>
    </row>
    <row r="70" spans="16:22">
      <c r="P70" s="124"/>
      <c r="Q70" s="124"/>
      <c r="R70" s="124"/>
      <c r="S70" s="124"/>
      <c r="T70" s="124"/>
      <c r="U70" s="124"/>
      <c r="V70" s="127"/>
    </row>
    <row r="71" spans="16:22">
      <c r="P71" s="124"/>
      <c r="Q71" s="124"/>
      <c r="R71" s="129"/>
      <c r="S71" s="124"/>
      <c r="T71" s="124"/>
      <c r="U71" s="129"/>
      <c r="V71" s="127"/>
    </row>
    <row r="72" spans="16:22">
      <c r="P72" s="124"/>
      <c r="Q72" s="124"/>
      <c r="R72" s="129"/>
      <c r="S72" s="124"/>
      <c r="T72" s="124"/>
      <c r="U72" s="129"/>
      <c r="V72" s="127"/>
    </row>
    <row r="75" spans="16:19">
      <c r="P75" s="28"/>
      <c r="R75" s="69"/>
      <c r="S75" s="69"/>
    </row>
    <row r="76" spans="16:19">
      <c r="P76" s="28"/>
      <c r="R76" s="69"/>
      <c r="S76" s="69"/>
    </row>
    <row r="77" spans="16:19">
      <c r="P77" s="28"/>
      <c r="R77" s="69"/>
      <c r="S77" s="69"/>
    </row>
    <row r="78" spans="16:19">
      <c r="P78" s="28"/>
      <c r="R78" s="69"/>
      <c r="S78" s="69"/>
    </row>
    <row r="89" spans="18:20">
      <c r="R89" s="69"/>
      <c r="S89" s="69"/>
      <c r="T89" s="69"/>
    </row>
    <row r="90" spans="18:20">
      <c r="R90" s="69"/>
      <c r="S90" s="69"/>
      <c r="T90" s="28"/>
    </row>
    <row r="91" spans="18:20">
      <c r="R91" s="69"/>
      <c r="S91" s="69"/>
      <c r="T91" s="28"/>
    </row>
  </sheetData>
  <autoFilter ref="A1:BA61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17:C17"/>
    <mergeCell ref="B36:C36"/>
    <mergeCell ref="B38:C38"/>
    <mergeCell ref="B48:C48"/>
    <mergeCell ref="B59:C59"/>
    <mergeCell ref="A60:C60"/>
    <mergeCell ref="A61:BA61"/>
    <mergeCell ref="P70:R70"/>
    <mergeCell ref="S70:U70"/>
    <mergeCell ref="R89:T8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E15" sqref="AE15"/>
    </sheetView>
  </sheetViews>
  <sheetFormatPr defaultColWidth="9" defaultRowHeight="13.5"/>
  <cols>
    <col min="4" max="5" width="10" customWidth="1"/>
    <col min="6" max="6" width="12.75" customWidth="1"/>
    <col min="7" max="7" width="15.25" customWidth="1"/>
    <col min="8" max="16" width="9" hidden="1" customWidth="1"/>
    <col min="17" max="17" width="2.625" hidden="1" customWidth="1"/>
    <col min="18" max="18" width="14.875" customWidth="1"/>
    <col min="19" max="22" width="9" hidden="1" customWidth="1"/>
    <col min="24" max="24" width="13.125" customWidth="1"/>
    <col min="25" max="25" width="22.125" customWidth="1"/>
  </cols>
  <sheetData>
    <row r="1" s="2" customFormat="1" ht="28" customHeight="1" spans="1:2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6" customFormat="1" ht="25" customHeight="1" spans="1:25">
      <c r="A2" s="4" t="s">
        <v>1</v>
      </c>
      <c r="B2" s="5" t="s">
        <v>2</v>
      </c>
      <c r="C2" s="6" t="s">
        <v>3</v>
      </c>
      <c r="D2" s="6" t="s">
        <v>4</v>
      </c>
      <c r="E2" s="18" t="s">
        <v>5</v>
      </c>
      <c r="F2" s="19"/>
      <c r="G2" s="6" t="s">
        <v>242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243</v>
      </c>
      <c r="M2" s="5" t="s">
        <v>14</v>
      </c>
      <c r="N2" s="5" t="s">
        <v>15</v>
      </c>
      <c r="O2" s="5" t="s">
        <v>16</v>
      </c>
      <c r="P2" s="6" t="s">
        <v>17</v>
      </c>
      <c r="Q2" s="6" t="s">
        <v>18</v>
      </c>
      <c r="R2" s="5" t="s">
        <v>244</v>
      </c>
      <c r="S2" s="5" t="s">
        <v>22</v>
      </c>
      <c r="T2" s="5"/>
      <c r="U2" s="5"/>
      <c r="V2" s="5"/>
      <c r="W2" s="5"/>
      <c r="X2" s="5" t="s">
        <v>245</v>
      </c>
      <c r="Y2" s="5" t="s">
        <v>36</v>
      </c>
    </row>
    <row r="3" s="16" customFormat="1" ht="25" customHeight="1" spans="1:25">
      <c r="A3" s="8"/>
      <c r="B3" s="9"/>
      <c r="C3" s="10"/>
      <c r="D3" s="10"/>
      <c r="E3" s="20"/>
      <c r="F3" s="21"/>
      <c r="G3" s="10"/>
      <c r="H3" s="9"/>
      <c r="I3" s="9"/>
      <c r="J3" s="9"/>
      <c r="K3" s="10"/>
      <c r="L3" s="10"/>
      <c r="M3" s="9"/>
      <c r="N3" s="9"/>
      <c r="O3" s="9"/>
      <c r="P3" s="10"/>
      <c r="Q3" s="10"/>
      <c r="R3" s="9"/>
      <c r="S3" s="9" t="s">
        <v>39</v>
      </c>
      <c r="T3" s="9" t="s">
        <v>41</v>
      </c>
      <c r="U3" s="9" t="s">
        <v>40</v>
      </c>
      <c r="V3" s="9" t="s">
        <v>45</v>
      </c>
      <c r="W3" s="9" t="s">
        <v>246</v>
      </c>
      <c r="X3" s="9"/>
      <c r="Y3" s="9"/>
    </row>
    <row r="4" s="17" customFormat="1" ht="30" customHeight="1" spans="1:25">
      <c r="A4" s="22">
        <v>1</v>
      </c>
      <c r="B4" s="23" t="s">
        <v>247</v>
      </c>
      <c r="C4" s="23" t="s">
        <v>248</v>
      </c>
      <c r="D4" s="24" t="s">
        <v>249</v>
      </c>
      <c r="E4" s="25"/>
      <c r="F4" s="26"/>
      <c r="G4" s="23" t="s">
        <v>250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>
        <v>1310</v>
      </c>
      <c r="S4" s="23"/>
      <c r="T4" s="23"/>
      <c r="U4" s="23"/>
      <c r="V4" s="23"/>
      <c r="W4" s="23"/>
      <c r="X4" s="23">
        <f>R4</f>
        <v>1310</v>
      </c>
      <c r="Y4" s="36" t="s">
        <v>251</v>
      </c>
    </row>
    <row r="6" spans="4:18">
      <c r="D6" s="27" t="s">
        <v>252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4:18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9" ht="22" customHeight="1" spans="3:18">
      <c r="C9" s="28"/>
      <c r="D9" s="29" t="s">
        <v>3</v>
      </c>
      <c r="E9" s="29" t="s">
        <v>253</v>
      </c>
      <c r="F9" s="29" t="s">
        <v>254</v>
      </c>
      <c r="G9" s="30" t="s">
        <v>255</v>
      </c>
      <c r="H9" s="29" t="s">
        <v>36</v>
      </c>
      <c r="I9" s="29"/>
      <c r="J9" s="29"/>
      <c r="K9" s="29"/>
      <c r="L9" s="29"/>
      <c r="M9" s="29"/>
      <c r="N9" s="29"/>
      <c r="O9" s="29"/>
      <c r="P9" s="29"/>
      <c r="Q9" s="29"/>
      <c r="R9" s="30" t="s">
        <v>36</v>
      </c>
    </row>
    <row r="10" ht="30" customHeight="1" spans="3:18">
      <c r="C10" s="28"/>
      <c r="D10" s="29" t="s">
        <v>248</v>
      </c>
      <c r="E10" s="31" t="s">
        <v>256</v>
      </c>
      <c r="F10" s="31">
        <v>9</v>
      </c>
      <c r="G10" s="29">
        <f>F10*20</f>
        <v>180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2"/>
    </row>
    <row r="11" ht="30" customHeight="1" spans="3:18">
      <c r="C11" s="28"/>
      <c r="D11" s="29" t="s">
        <v>257</v>
      </c>
      <c r="E11" s="31"/>
      <c r="F11" s="31"/>
      <c r="G11" s="29">
        <f>F11*20</f>
        <v>0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3"/>
    </row>
    <row r="12" ht="30" customHeight="1" spans="3:18">
      <c r="C12" s="28"/>
      <c r="D12" s="29" t="s">
        <v>258</v>
      </c>
      <c r="E12" s="31" t="s">
        <v>259</v>
      </c>
      <c r="F12" s="31">
        <v>8</v>
      </c>
      <c r="G12" s="29">
        <f>F12*20</f>
        <v>160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3"/>
    </row>
    <row r="13" ht="30" customHeight="1" spans="4:18">
      <c r="D13" s="29" t="s">
        <v>260</v>
      </c>
      <c r="E13" s="31" t="s">
        <v>259</v>
      </c>
      <c r="F13" s="31">
        <v>48.5</v>
      </c>
      <c r="G13" s="29">
        <f>F13*20</f>
        <v>970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3"/>
    </row>
    <row r="14" ht="27" customHeight="1" spans="4:18">
      <c r="D14" s="29" t="s">
        <v>261</v>
      </c>
      <c r="E14" s="29"/>
      <c r="F14" s="23">
        <f>SUM(F10:F13)</f>
        <v>65.5</v>
      </c>
      <c r="G14" s="23">
        <f>SUM(G10:G13)</f>
        <v>1310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4"/>
    </row>
    <row r="15" ht="38" customHeight="1"/>
    <row r="16" ht="28" customHeight="1" spans="2:23">
      <c r="B16" t="s">
        <v>262</v>
      </c>
      <c r="F16" t="s">
        <v>263</v>
      </c>
      <c r="R16" s="35"/>
      <c r="U16" t="s">
        <v>264</v>
      </c>
      <c r="W16" t="s">
        <v>264</v>
      </c>
    </row>
  </sheetData>
  <mergeCells count="24">
    <mergeCell ref="A1:Y1"/>
    <mergeCell ref="S2:W2"/>
    <mergeCell ref="E4:F4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R10:R14"/>
    <mergeCell ref="X2:X3"/>
    <mergeCell ref="Y2:Y3"/>
    <mergeCell ref="D6:R7"/>
    <mergeCell ref="E2:F3"/>
  </mergeCells>
  <pageMargins left="0.314583333333333" right="0.19652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Y19" sqref="Y19"/>
    </sheetView>
  </sheetViews>
  <sheetFormatPr defaultColWidth="9" defaultRowHeight="13.5" outlineLevelRow="7"/>
  <cols>
    <col min="5" max="5" width="22.125" customWidth="1"/>
    <col min="6" max="6" width="21.625" customWidth="1"/>
    <col min="8" max="17" width="9" hidden="1" customWidth="1"/>
    <col min="18" max="18" width="10.375"/>
    <col min="19" max="22" width="9" hidden="1" customWidth="1"/>
    <col min="24" max="24" width="10.375"/>
    <col min="25" max="25" width="14.125" customWidth="1"/>
  </cols>
  <sheetData>
    <row r="1" s="2" customFormat="1" ht="28" customHeight="1" spans="1:2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4.25"/>
    <row r="3" spans="1: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266</v>
      </c>
      <c r="G3" s="6" t="s">
        <v>242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243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  <c r="R3" s="5" t="s">
        <v>244</v>
      </c>
      <c r="S3" s="5" t="s">
        <v>22</v>
      </c>
      <c r="T3" s="5"/>
      <c r="U3" s="5"/>
      <c r="V3" s="5"/>
      <c r="W3" s="5"/>
      <c r="X3" s="5" t="s">
        <v>245</v>
      </c>
      <c r="Y3" s="5" t="s">
        <v>36</v>
      </c>
    </row>
    <row r="4" ht="24" spans="1:25">
      <c r="A4" s="8"/>
      <c r="B4" s="9"/>
      <c r="C4" s="10"/>
      <c r="D4" s="10"/>
      <c r="E4" s="11"/>
      <c r="F4" s="11"/>
      <c r="G4" s="10"/>
      <c r="H4" s="9"/>
      <c r="I4" s="9"/>
      <c r="J4" s="9"/>
      <c r="K4" s="10"/>
      <c r="L4" s="10"/>
      <c r="M4" s="9"/>
      <c r="N4" s="9"/>
      <c r="O4" s="9"/>
      <c r="P4" s="10"/>
      <c r="Q4" s="10"/>
      <c r="R4" s="9"/>
      <c r="S4" s="9" t="s">
        <v>39</v>
      </c>
      <c r="T4" s="9" t="s">
        <v>41</v>
      </c>
      <c r="U4" s="9" t="s">
        <v>40</v>
      </c>
      <c r="V4" s="9" t="s">
        <v>45</v>
      </c>
      <c r="W4" s="9" t="s">
        <v>267</v>
      </c>
      <c r="X4" s="9"/>
      <c r="Y4" s="9"/>
    </row>
    <row r="5" ht="30" customHeight="1" spans="1:25">
      <c r="A5" s="12">
        <v>1</v>
      </c>
      <c r="B5" s="13" t="s">
        <v>268</v>
      </c>
      <c r="C5" s="13" t="s">
        <v>257</v>
      </c>
      <c r="D5" s="13" t="s">
        <v>249</v>
      </c>
      <c r="E5" s="13" t="s">
        <v>269</v>
      </c>
      <c r="F5" s="131" t="s">
        <v>270</v>
      </c>
      <c r="G5" s="13" t="s">
        <v>271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3">
        <f>40*17</f>
        <v>680</v>
      </c>
      <c r="S5" s="13"/>
      <c r="T5" s="13"/>
      <c r="U5" s="13"/>
      <c r="V5" s="13"/>
      <c r="W5" s="13">
        <v>0</v>
      </c>
      <c r="X5" s="13">
        <f>R5</f>
        <v>680</v>
      </c>
      <c r="Y5" s="15"/>
    </row>
    <row r="6" ht="30" customHeight="1" spans="1:25">
      <c r="A6" s="12">
        <v>2</v>
      </c>
      <c r="B6" s="13" t="s">
        <v>272</v>
      </c>
      <c r="C6" s="13" t="s">
        <v>257</v>
      </c>
      <c r="D6" s="13" t="s">
        <v>249</v>
      </c>
      <c r="E6" s="131" t="s">
        <v>273</v>
      </c>
      <c r="F6" s="131" t="s">
        <v>274</v>
      </c>
      <c r="G6" s="13" t="s">
        <v>275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f>32*17</f>
        <v>544</v>
      </c>
      <c r="S6" s="13"/>
      <c r="T6" s="13"/>
      <c r="U6" s="13"/>
      <c r="V6" s="13"/>
      <c r="W6" s="13">
        <v>0</v>
      </c>
      <c r="X6" s="13">
        <f>R6</f>
        <v>544</v>
      </c>
      <c r="Y6" s="13"/>
    </row>
    <row r="7" ht="30" customHeight="1"/>
    <row r="8" ht="30" customHeight="1"/>
  </sheetData>
  <mergeCells count="22">
    <mergeCell ref="A1:Y1"/>
    <mergeCell ref="S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X3:X4"/>
    <mergeCell ref="Y3:Y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276</v>
      </c>
      <c r="G1">
        <v>2</v>
      </c>
      <c r="H1">
        <v>0</v>
      </c>
    </row>
    <row r="2" spans="5:8">
      <c r="E2" t="s">
        <v>2</v>
      </c>
      <c r="F2" t="s">
        <v>277</v>
      </c>
      <c r="G2">
        <v>2</v>
      </c>
      <c r="H2">
        <v>0</v>
      </c>
    </row>
    <row r="3" spans="5:8">
      <c r="E3" t="s">
        <v>3</v>
      </c>
      <c r="F3" t="s">
        <v>278</v>
      </c>
      <c r="G3">
        <v>2</v>
      </c>
      <c r="H3">
        <v>0</v>
      </c>
    </row>
    <row r="4" spans="5:8">
      <c r="E4" t="s">
        <v>4</v>
      </c>
      <c r="F4" t="s">
        <v>279</v>
      </c>
      <c r="G4">
        <v>2</v>
      </c>
      <c r="H4">
        <v>0</v>
      </c>
    </row>
    <row r="5" spans="5:8">
      <c r="E5" t="s">
        <v>5</v>
      </c>
      <c r="F5" t="s">
        <v>280</v>
      </c>
      <c r="G5">
        <v>2</v>
      </c>
      <c r="H5">
        <v>0</v>
      </c>
    </row>
    <row r="6" spans="5:8">
      <c r="E6" t="s">
        <v>6</v>
      </c>
      <c r="F6" t="s">
        <v>281</v>
      </c>
      <c r="G6">
        <v>2</v>
      </c>
      <c r="H6">
        <v>0</v>
      </c>
    </row>
    <row r="7" spans="1:8">
      <c r="A7" t="s">
        <v>282</v>
      </c>
      <c r="B7" t="s">
        <v>283</v>
      </c>
      <c r="E7" t="s">
        <v>7</v>
      </c>
      <c r="F7" t="s">
        <v>284</v>
      </c>
      <c r="G7">
        <v>2</v>
      </c>
      <c r="H7">
        <v>0</v>
      </c>
    </row>
    <row r="8" ht="27" spans="1:8">
      <c r="A8" t="s">
        <v>285</v>
      </c>
      <c r="B8">
        <v>5</v>
      </c>
      <c r="E8" s="1" t="s">
        <v>8</v>
      </c>
      <c r="F8" t="s">
        <v>286</v>
      </c>
      <c r="G8">
        <v>2</v>
      </c>
      <c r="H8">
        <v>0</v>
      </c>
    </row>
    <row r="9" ht="27" spans="5:8">
      <c r="E9" s="1" t="s">
        <v>9</v>
      </c>
      <c r="F9" t="s">
        <v>287</v>
      </c>
      <c r="G9">
        <v>2</v>
      </c>
      <c r="H9">
        <v>0</v>
      </c>
    </row>
    <row r="10" ht="27" spans="5:8">
      <c r="E10" s="1" t="s">
        <v>10</v>
      </c>
      <c r="F10" t="s">
        <v>288</v>
      </c>
      <c r="G10">
        <v>2</v>
      </c>
      <c r="H10">
        <v>0</v>
      </c>
    </row>
    <row r="11" spans="5:8">
      <c r="E11" t="s">
        <v>289</v>
      </c>
      <c r="F11" t="s">
        <v>290</v>
      </c>
      <c r="G11">
        <v>2</v>
      </c>
      <c r="H11">
        <v>0</v>
      </c>
    </row>
    <row r="12" spans="5:8">
      <c r="E12" t="s">
        <v>243</v>
      </c>
      <c r="F12" t="s">
        <v>291</v>
      </c>
      <c r="G12">
        <v>2</v>
      </c>
      <c r="H12">
        <v>0</v>
      </c>
    </row>
    <row r="13" spans="1:8">
      <c r="A13" t="s">
        <v>292</v>
      </c>
      <c r="B13" t="s">
        <v>1</v>
      </c>
      <c r="E13" t="s">
        <v>14</v>
      </c>
      <c r="F13" t="s">
        <v>293</v>
      </c>
      <c r="G13">
        <v>2</v>
      </c>
      <c r="H13">
        <v>0</v>
      </c>
    </row>
    <row r="14" spans="1:8">
      <c r="A14" t="s">
        <v>294</v>
      </c>
      <c r="B14" t="s">
        <v>36</v>
      </c>
      <c r="E14" t="s">
        <v>15</v>
      </c>
      <c r="F14" t="s">
        <v>295</v>
      </c>
      <c r="G14">
        <v>2</v>
      </c>
      <c r="H14">
        <v>0</v>
      </c>
    </row>
    <row r="15" spans="5:8">
      <c r="E15" t="s">
        <v>296</v>
      </c>
      <c r="F15" t="s">
        <v>297</v>
      </c>
      <c r="G15">
        <v>2</v>
      </c>
      <c r="H15">
        <v>0</v>
      </c>
    </row>
    <row r="16" spans="5:8">
      <c r="E16" t="s">
        <v>18</v>
      </c>
      <c r="F16" t="s">
        <v>298</v>
      </c>
      <c r="G16">
        <v>2</v>
      </c>
      <c r="H16">
        <v>0</v>
      </c>
    </row>
    <row r="17" spans="1:8">
      <c r="A17" t="s">
        <v>299</v>
      </c>
      <c r="B17" t="s">
        <v>300</v>
      </c>
      <c r="E17" t="s">
        <v>19</v>
      </c>
      <c r="F17" t="s">
        <v>301</v>
      </c>
      <c r="G17">
        <v>2</v>
      </c>
      <c r="H17">
        <v>0</v>
      </c>
    </row>
    <row r="18" ht="27" spans="5:8">
      <c r="E18" s="1" t="s">
        <v>302</v>
      </c>
      <c r="F18" t="s">
        <v>303</v>
      </c>
      <c r="G18">
        <v>2</v>
      </c>
      <c r="H18">
        <v>0</v>
      </c>
    </row>
    <row r="19" spans="5:8">
      <c r="E19" t="s">
        <v>22</v>
      </c>
      <c r="F19" t="s">
        <v>304</v>
      </c>
      <c r="G19">
        <v>2</v>
      </c>
      <c r="H19">
        <v>5</v>
      </c>
    </row>
    <row r="20" spans="5:8">
      <c r="E20" t="s">
        <v>39</v>
      </c>
      <c r="F20" t="s">
        <v>305</v>
      </c>
      <c r="G20">
        <v>2</v>
      </c>
      <c r="H20">
        <v>0</v>
      </c>
    </row>
    <row r="21" spans="5:8">
      <c r="E21" t="s">
        <v>41</v>
      </c>
      <c r="F21" t="s">
        <v>306</v>
      </c>
      <c r="G21">
        <v>2</v>
      </c>
      <c r="H21">
        <v>0</v>
      </c>
    </row>
    <row r="22" spans="5:8">
      <c r="E22" t="s">
        <v>40</v>
      </c>
      <c r="F22" t="s">
        <v>307</v>
      </c>
      <c r="G22">
        <v>2</v>
      </c>
      <c r="H22">
        <v>0</v>
      </c>
    </row>
    <row r="23" spans="5:8">
      <c r="E23" t="s">
        <v>45</v>
      </c>
      <c r="F23" t="s">
        <v>308</v>
      </c>
      <c r="G23">
        <v>2</v>
      </c>
      <c r="H23">
        <v>0</v>
      </c>
    </row>
    <row r="24" ht="27" spans="5:8">
      <c r="E24" s="1" t="s">
        <v>309</v>
      </c>
      <c r="F24" t="s">
        <v>310</v>
      </c>
      <c r="G24">
        <v>2</v>
      </c>
      <c r="H24">
        <v>0</v>
      </c>
    </row>
    <row r="25" spans="5:8">
      <c r="E25" t="s">
        <v>311</v>
      </c>
      <c r="F25" t="s">
        <v>312</v>
      </c>
      <c r="G25">
        <v>2</v>
      </c>
      <c r="H25">
        <v>0</v>
      </c>
    </row>
    <row r="26" spans="5:8">
      <c r="E26" t="s">
        <v>313</v>
      </c>
      <c r="F26" t="s">
        <v>314</v>
      </c>
      <c r="G26">
        <v>2</v>
      </c>
      <c r="H26">
        <v>0</v>
      </c>
    </row>
    <row r="27" spans="5:8">
      <c r="E27" t="s">
        <v>315</v>
      </c>
      <c r="F27" t="s">
        <v>316</v>
      </c>
      <c r="G27">
        <v>2</v>
      </c>
      <c r="H27">
        <v>0</v>
      </c>
    </row>
    <row r="28" spans="5:8">
      <c r="E28" t="s">
        <v>317</v>
      </c>
      <c r="F28" t="s">
        <v>318</v>
      </c>
      <c r="G28">
        <v>2</v>
      </c>
      <c r="H28">
        <v>0</v>
      </c>
    </row>
    <row r="29" spans="5:8">
      <c r="E29" t="s">
        <v>319</v>
      </c>
      <c r="F29" t="s">
        <v>320</v>
      </c>
      <c r="G29">
        <v>2</v>
      </c>
      <c r="H29">
        <v>0</v>
      </c>
    </row>
    <row r="30" spans="5:8">
      <c r="E30" t="s">
        <v>321</v>
      </c>
      <c r="F30" t="s">
        <v>322</v>
      </c>
      <c r="G30">
        <v>2</v>
      </c>
      <c r="H30">
        <v>0</v>
      </c>
    </row>
    <row r="31" spans="5:8">
      <c r="E31" t="s">
        <v>323</v>
      </c>
      <c r="F31" t="s">
        <v>324</v>
      </c>
      <c r="G31">
        <v>2</v>
      </c>
      <c r="H31">
        <v>0</v>
      </c>
    </row>
    <row r="32" spans="5:8">
      <c r="E32" t="s">
        <v>325</v>
      </c>
      <c r="F32" t="s">
        <v>326</v>
      </c>
      <c r="G32">
        <v>2</v>
      </c>
      <c r="H32">
        <v>0</v>
      </c>
    </row>
    <row r="33" spans="5:8">
      <c r="E33" t="s">
        <v>327</v>
      </c>
      <c r="F33" t="s">
        <v>328</v>
      </c>
      <c r="G33">
        <v>2</v>
      </c>
      <c r="H33">
        <v>0</v>
      </c>
    </row>
    <row r="34" spans="5:8">
      <c r="E34" t="s">
        <v>329</v>
      </c>
      <c r="F34" t="s">
        <v>330</v>
      </c>
      <c r="G34">
        <v>2</v>
      </c>
      <c r="H34">
        <v>0</v>
      </c>
    </row>
    <row r="35" spans="5:8">
      <c r="E35" t="s">
        <v>331</v>
      </c>
      <c r="F35" t="s">
        <v>332</v>
      </c>
      <c r="G35">
        <v>2</v>
      </c>
      <c r="H35">
        <v>0</v>
      </c>
    </row>
    <row r="36" spans="5:8">
      <c r="E36" t="s">
        <v>333</v>
      </c>
      <c r="F36" t="s">
        <v>334</v>
      </c>
      <c r="G36">
        <v>2</v>
      </c>
      <c r="H36">
        <v>0</v>
      </c>
    </row>
    <row r="37" spans="5:8">
      <c r="E37" t="s">
        <v>335</v>
      </c>
      <c r="F37" t="s">
        <v>336</v>
      </c>
      <c r="G37">
        <v>2</v>
      </c>
      <c r="H37">
        <v>0</v>
      </c>
    </row>
    <row r="38" spans="5:8">
      <c r="E38" t="s">
        <v>337</v>
      </c>
      <c r="F38" t="s">
        <v>338</v>
      </c>
      <c r="G38">
        <v>2</v>
      </c>
      <c r="H38">
        <v>0</v>
      </c>
    </row>
    <row r="39" spans="5:8">
      <c r="E39" t="s">
        <v>339</v>
      </c>
      <c r="F39" t="s">
        <v>340</v>
      </c>
      <c r="G39">
        <v>2</v>
      </c>
      <c r="H39">
        <v>0</v>
      </c>
    </row>
    <row r="40" spans="5:8">
      <c r="E40" t="s">
        <v>341</v>
      </c>
      <c r="F40" t="s">
        <v>342</v>
      </c>
      <c r="G40">
        <v>2</v>
      </c>
      <c r="H40">
        <v>0</v>
      </c>
    </row>
    <row r="41" spans="5:8">
      <c r="E41" t="s">
        <v>343</v>
      </c>
      <c r="F41" t="s">
        <v>344</v>
      </c>
      <c r="G41">
        <v>2</v>
      </c>
      <c r="H41">
        <v>0</v>
      </c>
    </row>
    <row r="42" spans="5:8">
      <c r="E42" t="s">
        <v>345</v>
      </c>
      <c r="F42" t="s">
        <v>346</v>
      </c>
      <c r="G42">
        <v>2</v>
      </c>
      <c r="H42">
        <v>0</v>
      </c>
    </row>
    <row r="43" spans="5:8">
      <c r="E43" t="s">
        <v>347</v>
      </c>
      <c r="F43" t="s">
        <v>348</v>
      </c>
      <c r="G43">
        <v>2</v>
      </c>
      <c r="H43">
        <v>0</v>
      </c>
    </row>
    <row r="44" spans="5:8">
      <c r="E44" t="s">
        <v>349</v>
      </c>
      <c r="F44" t="s">
        <v>350</v>
      </c>
      <c r="G44">
        <v>2</v>
      </c>
      <c r="H44">
        <v>0</v>
      </c>
    </row>
    <row r="45" spans="5:8">
      <c r="E45" t="s">
        <v>351</v>
      </c>
      <c r="F45" t="s">
        <v>352</v>
      </c>
      <c r="G45">
        <v>2</v>
      </c>
      <c r="H45">
        <v>0</v>
      </c>
    </row>
    <row r="46" spans="5:8">
      <c r="E46" t="s">
        <v>353</v>
      </c>
      <c r="F46" t="s">
        <v>354</v>
      </c>
      <c r="G46">
        <v>2</v>
      </c>
      <c r="H46">
        <v>0</v>
      </c>
    </row>
    <row r="47" spans="5:8">
      <c r="E47" t="s">
        <v>355</v>
      </c>
      <c r="F47" t="s">
        <v>356</v>
      </c>
      <c r="G47">
        <v>2</v>
      </c>
      <c r="H47">
        <v>0</v>
      </c>
    </row>
    <row r="48" spans="5:8">
      <c r="E48" t="s">
        <v>357</v>
      </c>
      <c r="F48" t="s">
        <v>358</v>
      </c>
      <c r="G48">
        <v>2</v>
      </c>
      <c r="H48">
        <v>0</v>
      </c>
    </row>
    <row r="49" spans="5:8">
      <c r="E49" t="s">
        <v>359</v>
      </c>
      <c r="F49" t="s">
        <v>360</v>
      </c>
      <c r="G49">
        <v>2</v>
      </c>
      <c r="H49">
        <v>0</v>
      </c>
    </row>
    <row r="50" spans="5:8">
      <c r="E50" t="s">
        <v>361</v>
      </c>
      <c r="F50" t="s">
        <v>362</v>
      </c>
      <c r="G50">
        <v>2</v>
      </c>
      <c r="H50">
        <v>0</v>
      </c>
    </row>
    <row r="51" spans="5:8">
      <c r="E51" t="s">
        <v>363</v>
      </c>
      <c r="F51" t="s">
        <v>364</v>
      </c>
      <c r="G51">
        <v>2</v>
      </c>
      <c r="H51">
        <v>0</v>
      </c>
    </row>
    <row r="52" spans="5:8">
      <c r="E52" t="s">
        <v>365</v>
      </c>
      <c r="F52" t="s">
        <v>366</v>
      </c>
      <c r="G52">
        <v>2</v>
      </c>
      <c r="H52">
        <v>0</v>
      </c>
    </row>
    <row r="53" spans="5:8">
      <c r="E53" t="s">
        <v>367</v>
      </c>
      <c r="F53" t="s">
        <v>368</v>
      </c>
      <c r="G53">
        <v>2</v>
      </c>
      <c r="H53">
        <v>0</v>
      </c>
    </row>
    <row r="54" spans="5:8">
      <c r="E54" t="s">
        <v>369</v>
      </c>
      <c r="F54" t="s">
        <v>370</v>
      </c>
      <c r="G54">
        <v>2</v>
      </c>
      <c r="H54">
        <v>0</v>
      </c>
    </row>
    <row r="55" spans="5:8">
      <c r="E55" t="s">
        <v>371</v>
      </c>
      <c r="F55" t="s">
        <v>372</v>
      </c>
      <c r="G55">
        <v>2</v>
      </c>
      <c r="H55">
        <v>0</v>
      </c>
    </row>
    <row r="56" spans="5:8">
      <c r="E56" t="s">
        <v>373</v>
      </c>
      <c r="F56" t="s">
        <v>374</v>
      </c>
      <c r="G56">
        <v>2</v>
      </c>
      <c r="H56">
        <v>0</v>
      </c>
    </row>
    <row r="57" spans="5:8">
      <c r="E57" t="s">
        <v>375</v>
      </c>
      <c r="F57" t="s">
        <v>376</v>
      </c>
      <c r="G57">
        <v>2</v>
      </c>
      <c r="H57">
        <v>0</v>
      </c>
    </row>
    <row r="58" spans="5:8">
      <c r="E58" t="s">
        <v>377</v>
      </c>
      <c r="F58" t="s">
        <v>378</v>
      </c>
      <c r="G58">
        <v>2</v>
      </c>
      <c r="H58">
        <v>0</v>
      </c>
    </row>
    <row r="59" spans="5:8">
      <c r="E59" t="s">
        <v>379</v>
      </c>
      <c r="F59" t="s">
        <v>380</v>
      </c>
      <c r="G59">
        <v>2</v>
      </c>
      <c r="H59">
        <v>0</v>
      </c>
    </row>
    <row r="60" spans="5:8">
      <c r="E60" t="s">
        <v>381</v>
      </c>
      <c r="F60" t="s">
        <v>382</v>
      </c>
      <c r="G60">
        <v>2</v>
      </c>
      <c r="H60">
        <v>0</v>
      </c>
    </row>
    <row r="61" spans="5:8">
      <c r="E61" t="s">
        <v>383</v>
      </c>
      <c r="F61" t="s">
        <v>384</v>
      </c>
      <c r="G61">
        <v>2</v>
      </c>
      <c r="H61">
        <v>0</v>
      </c>
    </row>
    <row r="62" spans="5:8">
      <c r="E62" t="s">
        <v>385</v>
      </c>
      <c r="F62" t="s">
        <v>386</v>
      </c>
      <c r="G62">
        <v>2</v>
      </c>
      <c r="H62">
        <v>0</v>
      </c>
    </row>
    <row r="63" spans="5:8">
      <c r="E63" t="s">
        <v>387</v>
      </c>
      <c r="F63" t="s">
        <v>388</v>
      </c>
      <c r="G63">
        <v>2</v>
      </c>
      <c r="H63">
        <v>0</v>
      </c>
    </row>
    <row r="64" spans="5:8">
      <c r="E64" t="s">
        <v>29</v>
      </c>
      <c r="F64" t="s">
        <v>389</v>
      </c>
      <c r="G64">
        <v>2</v>
      </c>
      <c r="H64">
        <v>0</v>
      </c>
    </row>
    <row r="65" spans="5:8">
      <c r="E65" t="s">
        <v>337</v>
      </c>
      <c r="F65" t="s">
        <v>390</v>
      </c>
      <c r="G65">
        <v>2</v>
      </c>
      <c r="H65">
        <v>0</v>
      </c>
    </row>
    <row r="66" spans="5:8">
      <c r="E66" t="s">
        <v>391</v>
      </c>
      <c r="F66" t="s">
        <v>392</v>
      </c>
      <c r="G66">
        <v>2</v>
      </c>
      <c r="H66">
        <v>0</v>
      </c>
    </row>
    <row r="67" spans="5:8">
      <c r="E67" t="s">
        <v>393</v>
      </c>
      <c r="F67" t="s">
        <v>394</v>
      </c>
      <c r="G67">
        <v>2</v>
      </c>
      <c r="H67">
        <v>0</v>
      </c>
    </row>
    <row r="68" spans="5:8">
      <c r="E68" t="s">
        <v>395</v>
      </c>
      <c r="F68" t="s">
        <v>396</v>
      </c>
      <c r="G68">
        <v>2</v>
      </c>
      <c r="H68">
        <v>0</v>
      </c>
    </row>
    <row r="69" spans="5:8">
      <c r="E69" t="s">
        <v>397</v>
      </c>
      <c r="F69" t="s">
        <v>398</v>
      </c>
      <c r="G69">
        <v>2</v>
      </c>
      <c r="H69">
        <v>0</v>
      </c>
    </row>
    <row r="70" spans="5:8">
      <c r="E70" t="s">
        <v>399</v>
      </c>
      <c r="F70" t="s">
        <v>400</v>
      </c>
      <c r="G70">
        <v>2</v>
      </c>
      <c r="H70">
        <v>0</v>
      </c>
    </row>
    <row r="71" spans="5:8">
      <c r="E71" t="s">
        <v>401</v>
      </c>
      <c r="F71" t="s">
        <v>402</v>
      </c>
      <c r="G71">
        <v>2</v>
      </c>
      <c r="H71">
        <v>0</v>
      </c>
    </row>
    <row r="72" spans="5:8">
      <c r="E72" t="s">
        <v>403</v>
      </c>
      <c r="F72" t="s">
        <v>404</v>
      </c>
      <c r="G72">
        <v>2</v>
      </c>
      <c r="H72">
        <v>0</v>
      </c>
    </row>
    <row r="73" spans="5:8">
      <c r="E73" t="s">
        <v>405</v>
      </c>
      <c r="F73" t="s">
        <v>406</v>
      </c>
      <c r="G73">
        <v>2</v>
      </c>
      <c r="H73">
        <v>0</v>
      </c>
    </row>
    <row r="74" spans="5:8">
      <c r="E74" t="s">
        <v>407</v>
      </c>
      <c r="F74" t="s">
        <v>408</v>
      </c>
      <c r="G74">
        <v>2</v>
      </c>
      <c r="H74">
        <v>0</v>
      </c>
    </row>
    <row r="75" spans="5:8">
      <c r="E75" t="s">
        <v>409</v>
      </c>
      <c r="F75" t="s">
        <v>410</v>
      </c>
      <c r="G75">
        <v>2</v>
      </c>
      <c r="H75">
        <v>0</v>
      </c>
    </row>
    <row r="76" spans="5:8">
      <c r="E76" t="s">
        <v>411</v>
      </c>
      <c r="F76" t="s">
        <v>412</v>
      </c>
      <c r="G76">
        <v>2</v>
      </c>
      <c r="H76">
        <v>0</v>
      </c>
    </row>
    <row r="77" spans="5:8">
      <c r="E77" t="s">
        <v>413</v>
      </c>
      <c r="F77" t="s">
        <v>414</v>
      </c>
      <c r="G77">
        <v>2</v>
      </c>
      <c r="H77">
        <v>0</v>
      </c>
    </row>
    <row r="78" spans="5:8">
      <c r="E78" t="s">
        <v>415</v>
      </c>
      <c r="F78" t="s">
        <v>416</v>
      </c>
      <c r="G78">
        <v>2</v>
      </c>
      <c r="H78">
        <v>0</v>
      </c>
    </row>
    <row r="79" spans="5:8">
      <c r="E79" t="s">
        <v>417</v>
      </c>
      <c r="F79" t="s">
        <v>418</v>
      </c>
      <c r="G79">
        <v>2</v>
      </c>
      <c r="H79">
        <v>0</v>
      </c>
    </row>
    <row r="80" spans="5:8">
      <c r="E80" t="s">
        <v>419</v>
      </c>
      <c r="F80" t="s">
        <v>420</v>
      </c>
      <c r="G80">
        <v>2</v>
      </c>
      <c r="H80">
        <v>0</v>
      </c>
    </row>
    <row r="81" ht="27" spans="5:8">
      <c r="E81" s="1" t="s">
        <v>34</v>
      </c>
      <c r="F81" t="s">
        <v>421</v>
      </c>
      <c r="G81">
        <v>2</v>
      </c>
      <c r="H81">
        <v>0</v>
      </c>
    </row>
    <row r="82" ht="27" spans="5:8">
      <c r="E82" s="1" t="s">
        <v>422</v>
      </c>
      <c r="F82" t="s">
        <v>423</v>
      </c>
      <c r="G82">
        <v>2</v>
      </c>
      <c r="H82">
        <v>0</v>
      </c>
    </row>
    <row r="83" spans="5:8">
      <c r="E83" t="s">
        <v>36</v>
      </c>
      <c r="F83" t="s">
        <v>424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发放</vt:lpstr>
      <vt:lpstr>劳务派遣</vt:lpstr>
      <vt:lpstr>临时工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2021-09-14T08:49:59Z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