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广亿核价\"/>
    </mc:Choice>
  </mc:AlternateContent>
  <bookViews>
    <workbookView xWindow="0" yWindow="0" windowWidth="20490" windowHeight="8010" tabRatio="934" activeTab="1"/>
  </bookViews>
  <sheets>
    <sheet name="北京网站价格统计" sheetId="32" r:id="rId1"/>
    <sheet name="汇总" sheetId="26" r:id="rId2"/>
    <sheet name="M4司机背" sheetId="24" r:id="rId3"/>
    <sheet name="K1宽车司机背" sheetId="23" r:id="rId4"/>
    <sheet name="J6F副司机背" sheetId="27" r:id="rId5"/>
    <sheet name="G9翻滚 (5)" sheetId="22" r:id="rId6"/>
    <sheet name="连接支架 g7一、二排(4)" sheetId="21" r:id="rId7"/>
    <sheet name="G7G9三排三人 (5)" sheetId="20" r:id="rId8"/>
    <sheet name="G7G9一排双人 (2)" sheetId="15" r:id="rId9"/>
    <sheet name="G7G9一排三人 (2)" sheetId="28" r:id="rId10"/>
    <sheet name="G7G9二排双人 (3)" sheetId="18" r:id="rId11"/>
    <sheet name="G7翻滚 (4)" sheetId="6" r:id="rId12"/>
    <sheet name="连接支架 g7三排(3)" sheetId="5" r:id="rId13"/>
    <sheet name="铰链 (2)" sheetId="16" r:id="rId14"/>
    <sheet name="分体1800" sheetId="29" r:id="rId15"/>
    <sheet name="右舵1800付垫" sheetId="19" r:id="rId16"/>
    <sheet name="整体1800" sheetId="30" r:id="rId17"/>
    <sheet name="连体背" sheetId="31" r:id="rId18"/>
    <sheet name="1995右舵副司机" sheetId="17" r:id="rId19"/>
    <sheet name="1695副司机坐垫" sheetId="25" r:id="rId20"/>
  </sheets>
  <definedNames>
    <definedName name="切片器_物料类别">#N/A</definedName>
  </definedNames>
  <calcPr calcId="162913"/>
</workbook>
</file>

<file path=xl/calcChain.xml><?xml version="1.0" encoding="utf-8"?>
<calcChain xmlns="http://schemas.openxmlformats.org/spreadsheetml/2006/main">
  <c r="AB8" i="26" l="1"/>
  <c r="AA4" i="26"/>
  <c r="Z5" i="26"/>
  <c r="AA5" i="26"/>
  <c r="AB5" i="26"/>
  <c r="AC5" i="26"/>
  <c r="Z6" i="26"/>
  <c r="AA6" i="26"/>
  <c r="AB6" i="26"/>
  <c r="AC6" i="26"/>
  <c r="Z7" i="26"/>
  <c r="AA7" i="26"/>
  <c r="AB7" i="26"/>
  <c r="AC7" i="26"/>
  <c r="Z8" i="26"/>
  <c r="AA8" i="26"/>
  <c r="AC8" i="26"/>
  <c r="Z9" i="26"/>
  <c r="AA9" i="26"/>
  <c r="AB9" i="26"/>
  <c r="AC9" i="26"/>
  <c r="Z10" i="26"/>
  <c r="AA10" i="26"/>
  <c r="AB10" i="26"/>
  <c r="AC10" i="26"/>
  <c r="Z11" i="26"/>
  <c r="AA11" i="26"/>
  <c r="AB11" i="26"/>
  <c r="AC11" i="26"/>
  <c r="Z12" i="26"/>
  <c r="AA12" i="26"/>
  <c r="AB12" i="26"/>
  <c r="AC12" i="26"/>
  <c r="Z13" i="26"/>
  <c r="AA13" i="26"/>
  <c r="AB13" i="26"/>
  <c r="AC13" i="26"/>
  <c r="Z14" i="26"/>
  <c r="AA14" i="26"/>
  <c r="AB14" i="26"/>
  <c r="AC14" i="26"/>
  <c r="AB4" i="26"/>
  <c r="AC4" i="26"/>
  <c r="Z4" i="26"/>
  <c r="M10" i="20"/>
  <c r="M9" i="20"/>
  <c r="M7" i="20"/>
  <c r="M6" i="20"/>
  <c r="M5" i="20"/>
  <c r="M4" i="20"/>
  <c r="M3" i="20"/>
  <c r="M12" i="20"/>
  <c r="M11" i="20"/>
  <c r="L13" i="15"/>
  <c r="L11" i="15"/>
  <c r="L10" i="15"/>
  <c r="L8" i="15"/>
  <c r="M6" i="28"/>
  <c r="M12" i="28" s="1"/>
  <c r="L7" i="15"/>
  <c r="L6" i="15"/>
  <c r="L5" i="15"/>
  <c r="L4" i="15"/>
  <c r="M10" i="28"/>
  <c r="M9" i="28"/>
  <c r="M7" i="28"/>
  <c r="M5" i="28"/>
  <c r="M4" i="28"/>
  <c r="M3" i="28"/>
  <c r="R13" i="26"/>
  <c r="S13" i="26"/>
  <c r="M14" i="20" l="1"/>
  <c r="I9" i="15"/>
  <c r="J4" i="15"/>
  <c r="J5" i="15"/>
  <c r="J6" i="15"/>
  <c r="J7" i="15"/>
  <c r="J8" i="15"/>
  <c r="J9" i="15"/>
  <c r="I19" i="20"/>
  <c r="J3" i="20"/>
  <c r="J4" i="20"/>
  <c r="J5" i="20"/>
  <c r="J6" i="20"/>
  <c r="J7" i="20"/>
  <c r="J8" i="20"/>
  <c r="J9" i="20"/>
  <c r="J10" i="20"/>
  <c r="I8" i="20"/>
  <c r="I9" i="20"/>
  <c r="I10" i="20"/>
  <c r="I11" i="20"/>
  <c r="I12" i="20"/>
  <c r="U14" i="26"/>
  <c r="T14" i="26"/>
  <c r="V14" i="26"/>
  <c r="W14" i="26"/>
  <c r="I29" i="23"/>
  <c r="I28" i="23"/>
  <c r="I27" i="23"/>
  <c r="I26" i="23"/>
  <c r="I25" i="23"/>
  <c r="I24" i="23"/>
  <c r="I23" i="23"/>
  <c r="I22" i="23"/>
  <c r="I21" i="23"/>
  <c r="I20" i="23"/>
  <c r="I19" i="23"/>
  <c r="J6" i="23"/>
  <c r="J8" i="23"/>
  <c r="J9" i="23"/>
  <c r="J4" i="23"/>
  <c r="I4" i="23"/>
  <c r="R4" i="26"/>
  <c r="S4" i="26"/>
  <c r="I18" i="28" l="1"/>
  <c r="U12" i="26"/>
  <c r="S12" i="26"/>
  <c r="F50" i="5"/>
  <c r="F49" i="5"/>
  <c r="I22" i="5"/>
  <c r="U13" i="26"/>
  <c r="J5" i="16"/>
  <c r="J12" i="18"/>
  <c r="J11" i="18"/>
  <c r="J10" i="28"/>
  <c r="J9" i="28"/>
  <c r="J12" i="20"/>
  <c r="J11" i="20"/>
  <c r="J11" i="15"/>
  <c r="J10" i="15"/>
  <c r="U10" i="26"/>
  <c r="U9" i="26"/>
  <c r="U8" i="26"/>
  <c r="U6" i="26"/>
  <c r="T6" i="26"/>
  <c r="V6" i="26"/>
  <c r="W6" i="26"/>
  <c r="I22" i="21" l="1"/>
  <c r="W7" i="26" l="1"/>
  <c r="U7" i="26" l="1"/>
  <c r="T7" i="26" s="1"/>
  <c r="I22" i="22"/>
  <c r="U4" i="26"/>
  <c r="T4" i="26" s="1"/>
  <c r="U5" i="26"/>
  <c r="T5" i="26" s="1"/>
  <c r="T12" i="26"/>
  <c r="T13" i="26"/>
  <c r="T8" i="26"/>
  <c r="T9" i="26"/>
  <c r="T10" i="26"/>
  <c r="T11" i="26"/>
  <c r="U11" i="26"/>
  <c r="I22" i="6"/>
  <c r="C52" i="22"/>
  <c r="P48" i="22"/>
  <c r="J45" i="22"/>
  <c r="E45" i="22"/>
  <c r="P44" i="22"/>
  <c r="J44" i="22"/>
  <c r="E44" i="22"/>
  <c r="E43" i="22"/>
  <c r="E42" i="22"/>
  <c r="E41" i="22"/>
  <c r="J40" i="22"/>
  <c r="E40" i="22"/>
  <c r="J39" i="22"/>
  <c r="E39" i="22"/>
  <c r="J38" i="22"/>
  <c r="E38" i="22"/>
  <c r="J37" i="22"/>
  <c r="J42" i="22" s="1"/>
  <c r="C51" i="22" s="1"/>
  <c r="E37" i="22"/>
  <c r="J36" i="22"/>
  <c r="I30" i="22"/>
  <c r="I29" i="22"/>
  <c r="I28" i="22"/>
  <c r="I27" i="22"/>
  <c r="I26" i="22"/>
  <c r="I25" i="22"/>
  <c r="I24" i="22"/>
  <c r="I23" i="22"/>
  <c r="I21" i="22"/>
  <c r="I20" i="22"/>
  <c r="I19" i="22"/>
  <c r="I18" i="22"/>
  <c r="I17" i="22"/>
  <c r="I16" i="22"/>
  <c r="I15" i="22"/>
  <c r="I9" i="22"/>
  <c r="J9" i="22" s="1"/>
  <c r="G9" i="22"/>
  <c r="K9" i="22" s="1"/>
  <c r="J8" i="22"/>
  <c r="I8" i="22"/>
  <c r="G8" i="22"/>
  <c r="K8" i="22" s="1"/>
  <c r="I7" i="22"/>
  <c r="J7" i="22" s="1"/>
  <c r="G7" i="22"/>
  <c r="I6" i="22"/>
  <c r="J6" i="22" s="1"/>
  <c r="G6" i="22"/>
  <c r="J5" i="22"/>
  <c r="I5" i="22"/>
  <c r="G5" i="22"/>
  <c r="K5" i="22" s="1"/>
  <c r="I4" i="22"/>
  <c r="J4" i="22" s="1"/>
  <c r="G4" i="22"/>
  <c r="K4" i="22" s="1"/>
  <c r="I3" i="22"/>
  <c r="J3" i="22" s="1"/>
  <c r="G3" i="22"/>
  <c r="R12" i="26"/>
  <c r="R8" i="26"/>
  <c r="R9" i="26"/>
  <c r="R10" i="26"/>
  <c r="E46" i="22" l="1"/>
  <c r="C50" i="22" s="1"/>
  <c r="I33" i="22"/>
  <c r="C49" i="22" s="1"/>
  <c r="K3" i="22"/>
  <c r="K7" i="22"/>
  <c r="K6" i="22"/>
  <c r="K11" i="22" l="1"/>
  <c r="C48" i="22" s="1"/>
  <c r="F47" i="22" s="1"/>
  <c r="F49" i="22" s="1"/>
  <c r="F50" i="22" l="1"/>
  <c r="F48" i="22"/>
  <c r="F52" i="22" l="1"/>
  <c r="S7" i="26" l="1"/>
  <c r="R7" i="26" s="1"/>
  <c r="W4" i="26"/>
  <c r="V17" i="26"/>
  <c r="W17" i="26" s="1"/>
  <c r="V16" i="26"/>
  <c r="W16" i="26" s="1"/>
  <c r="V15" i="26"/>
  <c r="W15" i="26" s="1"/>
  <c r="V13" i="26"/>
  <c r="W13" i="26" s="1"/>
  <c r="V12" i="26"/>
  <c r="W12" i="26" s="1"/>
  <c r="V11" i="26"/>
  <c r="W11" i="26" s="1"/>
  <c r="V10" i="26"/>
  <c r="W10" i="26" s="1"/>
  <c r="V9" i="26"/>
  <c r="W9" i="26" s="1"/>
  <c r="V8" i="26"/>
  <c r="W8" i="26" s="1"/>
  <c r="Y7" i="26"/>
  <c r="V5" i="26"/>
  <c r="W5" i="26" s="1"/>
  <c r="V4" i="26"/>
  <c r="K17" i="32" l="1"/>
  <c r="J17" i="32"/>
  <c r="I17" i="32"/>
  <c r="H17" i="32"/>
  <c r="G17" i="32"/>
  <c r="F17" i="32"/>
  <c r="E17" i="32"/>
  <c r="Q17" i="32" s="1"/>
  <c r="P16" i="32"/>
  <c r="O16" i="32"/>
  <c r="N16" i="32"/>
  <c r="M16" i="32"/>
  <c r="L16" i="32"/>
  <c r="K16" i="32"/>
  <c r="J16" i="32"/>
  <c r="I16" i="32"/>
  <c r="H16" i="32"/>
  <c r="G16" i="32"/>
  <c r="F16" i="32"/>
  <c r="E16" i="32"/>
  <c r="Q16" i="32" s="1"/>
  <c r="P15" i="32"/>
  <c r="O15" i="32"/>
  <c r="N15" i="32"/>
  <c r="M15" i="32"/>
  <c r="L15" i="32"/>
  <c r="K15" i="32"/>
  <c r="J15" i="32"/>
  <c r="I15" i="32"/>
  <c r="H15" i="32"/>
  <c r="G15" i="32"/>
  <c r="F15" i="32"/>
  <c r="E15" i="32"/>
  <c r="Q15" i="32" s="1"/>
  <c r="K13" i="32"/>
  <c r="J13" i="32"/>
  <c r="I13" i="32"/>
  <c r="H13" i="32"/>
  <c r="G13" i="32"/>
  <c r="F13" i="32"/>
  <c r="E13" i="32"/>
  <c r="Q13" i="32" s="1"/>
  <c r="P12" i="32"/>
  <c r="O12" i="32"/>
  <c r="N12" i="32"/>
  <c r="M12" i="32"/>
  <c r="L12" i="32"/>
  <c r="K12" i="32"/>
  <c r="J12" i="32"/>
  <c r="I12" i="32"/>
  <c r="H12" i="32"/>
  <c r="G12" i="32"/>
  <c r="F12" i="32"/>
  <c r="E12" i="32"/>
  <c r="Q12" i="32" s="1"/>
  <c r="P11" i="32"/>
  <c r="O11" i="32"/>
  <c r="N11" i="32"/>
  <c r="M11" i="32"/>
  <c r="L11" i="32"/>
  <c r="K11" i="32"/>
  <c r="J11" i="32"/>
  <c r="I11" i="32"/>
  <c r="H11" i="32"/>
  <c r="G11" i="32"/>
  <c r="F11" i="32"/>
  <c r="E11" i="32"/>
  <c r="Q11" i="32" s="1"/>
  <c r="K9" i="32"/>
  <c r="J9" i="32"/>
  <c r="I9" i="32"/>
  <c r="H9" i="32"/>
  <c r="G9" i="32"/>
  <c r="F9" i="32"/>
  <c r="E9" i="32"/>
  <c r="Q9" i="32" s="1"/>
  <c r="P8" i="32"/>
  <c r="O8" i="32"/>
  <c r="N8" i="32"/>
  <c r="M8" i="32"/>
  <c r="L8" i="32"/>
  <c r="K8" i="32"/>
  <c r="J8" i="32"/>
  <c r="I8" i="32"/>
  <c r="H8" i="32"/>
  <c r="G8" i="32"/>
  <c r="F8" i="32"/>
  <c r="E8" i="32"/>
  <c r="Q8" i="32" s="1"/>
  <c r="P7" i="32"/>
  <c r="O7" i="32"/>
  <c r="N7" i="32"/>
  <c r="M7" i="32"/>
  <c r="L7" i="32"/>
  <c r="K7" i="32"/>
  <c r="J7" i="32"/>
  <c r="I7" i="32"/>
  <c r="H7" i="32"/>
  <c r="G7" i="32"/>
  <c r="F7" i="32"/>
  <c r="E7" i="32"/>
  <c r="Q7" i="32" s="1"/>
  <c r="K4" i="32"/>
  <c r="J4" i="32"/>
  <c r="I4" i="32"/>
  <c r="H4" i="32"/>
  <c r="G4" i="32"/>
  <c r="F4" i="32"/>
  <c r="E4" i="32"/>
  <c r="Q4" i="32" s="1"/>
  <c r="P3" i="32"/>
  <c r="O3" i="32"/>
  <c r="N3" i="32"/>
  <c r="M3" i="32"/>
  <c r="L3" i="32"/>
  <c r="K3" i="32"/>
  <c r="J3" i="32"/>
  <c r="I3" i="32"/>
  <c r="H3" i="32"/>
  <c r="G3" i="32"/>
  <c r="F3" i="32"/>
  <c r="E3" i="32"/>
  <c r="Q3" i="32" s="1"/>
  <c r="P2" i="32"/>
  <c r="O2" i="32"/>
  <c r="N2" i="32"/>
  <c r="M2" i="32"/>
  <c r="L2" i="32"/>
  <c r="K2" i="32"/>
  <c r="J2" i="32"/>
  <c r="I2" i="32"/>
  <c r="H2" i="32"/>
  <c r="G2" i="32"/>
  <c r="F2" i="32"/>
  <c r="E2" i="32"/>
  <c r="Q2" i="32" s="1"/>
  <c r="R8" i="32" l="1"/>
  <c r="R9" i="32"/>
  <c r="R12" i="32"/>
  <c r="R13" i="32"/>
  <c r="R3" i="32"/>
  <c r="R4" i="32"/>
  <c r="R16" i="32"/>
  <c r="R17" i="32"/>
  <c r="H21" i="25" l="1"/>
  <c r="G16" i="25"/>
  <c r="G8" i="25"/>
  <c r="G7" i="25"/>
  <c r="G6" i="25"/>
  <c r="G5" i="25"/>
  <c r="H8" i="25" s="1"/>
  <c r="G8" i="17"/>
  <c r="G7" i="17"/>
  <c r="G6" i="17"/>
  <c r="G5" i="17"/>
  <c r="E37" i="31"/>
  <c r="J36" i="31"/>
  <c r="C45" i="31" s="1"/>
  <c r="E36" i="31"/>
  <c r="E35" i="31"/>
  <c r="E34" i="31"/>
  <c r="E33" i="31"/>
  <c r="J32" i="31"/>
  <c r="E32" i="31"/>
  <c r="J31" i="31"/>
  <c r="E31" i="31"/>
  <c r="J30" i="31"/>
  <c r="E30" i="31"/>
  <c r="J29" i="31"/>
  <c r="J34" i="31" s="1"/>
  <c r="C44" i="31" s="1"/>
  <c r="E29" i="31"/>
  <c r="E39" i="31" s="1"/>
  <c r="C43" i="31" s="1"/>
  <c r="J28" i="31"/>
  <c r="I21" i="31"/>
  <c r="I20" i="31"/>
  <c r="I19" i="31"/>
  <c r="I18" i="31"/>
  <c r="I17" i="31"/>
  <c r="I16" i="31"/>
  <c r="I15" i="31"/>
  <c r="I13" i="31"/>
  <c r="I12" i="31"/>
  <c r="I25" i="31" s="1"/>
  <c r="C42" i="31" s="1"/>
  <c r="F40" i="31" s="1"/>
  <c r="I11" i="31"/>
  <c r="I6" i="31"/>
  <c r="J6" i="31" s="1"/>
  <c r="K6" i="31" s="1"/>
  <c r="I5" i="31"/>
  <c r="J5" i="31" s="1"/>
  <c r="G5" i="31"/>
  <c r="K5" i="31" s="1"/>
  <c r="I4" i="31"/>
  <c r="J4" i="31" s="1"/>
  <c r="G4" i="31"/>
  <c r="K4" i="31" s="1"/>
  <c r="J3" i="31"/>
  <c r="I3" i="31"/>
  <c r="G3" i="31"/>
  <c r="K3" i="31" s="1"/>
  <c r="K7" i="31" s="1"/>
  <c r="C41" i="31" s="1"/>
  <c r="E37" i="30"/>
  <c r="E36" i="30"/>
  <c r="J35" i="30"/>
  <c r="C44" i="30" s="1"/>
  <c r="E35" i="30"/>
  <c r="E34" i="30"/>
  <c r="E33" i="30"/>
  <c r="E32" i="30"/>
  <c r="J31" i="30"/>
  <c r="E31" i="30"/>
  <c r="J30" i="30"/>
  <c r="E30" i="30"/>
  <c r="J29" i="30"/>
  <c r="E29" i="30"/>
  <c r="J28" i="30"/>
  <c r="E28" i="30"/>
  <c r="J27" i="30"/>
  <c r="J33" i="30" s="1"/>
  <c r="C43" i="30" s="1"/>
  <c r="I20" i="30"/>
  <c r="I19" i="30"/>
  <c r="I18" i="30"/>
  <c r="I17" i="30"/>
  <c r="I16" i="30"/>
  <c r="I15" i="30"/>
  <c r="I14" i="30"/>
  <c r="I12" i="30"/>
  <c r="I11" i="30"/>
  <c r="I10" i="30"/>
  <c r="J5" i="30"/>
  <c r="K5" i="30" s="1"/>
  <c r="I5" i="30"/>
  <c r="I4" i="30"/>
  <c r="J4" i="30" s="1"/>
  <c r="G4" i="30"/>
  <c r="J3" i="30"/>
  <c r="I3" i="30"/>
  <c r="G3" i="30"/>
  <c r="E36" i="19"/>
  <c r="J35" i="19"/>
  <c r="C44" i="19" s="1"/>
  <c r="E35" i="19"/>
  <c r="E34" i="19"/>
  <c r="E33" i="19"/>
  <c r="E32" i="19"/>
  <c r="J31" i="19"/>
  <c r="E31" i="19"/>
  <c r="J30" i="19"/>
  <c r="E30" i="19"/>
  <c r="J29" i="19"/>
  <c r="E29" i="19"/>
  <c r="J28" i="19"/>
  <c r="J33" i="19" s="1"/>
  <c r="C43" i="19" s="1"/>
  <c r="E28" i="19"/>
  <c r="E38" i="19" s="1"/>
  <c r="C42" i="19" s="1"/>
  <c r="J27" i="19"/>
  <c r="I21" i="19"/>
  <c r="I20" i="19"/>
  <c r="I19" i="19"/>
  <c r="I18" i="19"/>
  <c r="I17" i="19"/>
  <c r="I16" i="19"/>
  <c r="I15" i="19"/>
  <c r="I14" i="19"/>
  <c r="I12" i="19"/>
  <c r="I24" i="19" s="1"/>
  <c r="C41" i="19" s="1"/>
  <c r="I11" i="19"/>
  <c r="I10" i="19"/>
  <c r="J5" i="19"/>
  <c r="K5" i="19" s="1"/>
  <c r="I5" i="19"/>
  <c r="I4" i="19"/>
  <c r="J4" i="19" s="1"/>
  <c r="G4" i="19"/>
  <c r="J3" i="19"/>
  <c r="I3" i="19"/>
  <c r="G3" i="19"/>
  <c r="E36" i="29"/>
  <c r="J35" i="29"/>
  <c r="C44" i="29" s="1"/>
  <c r="E35" i="29"/>
  <c r="E34" i="29"/>
  <c r="E33" i="29"/>
  <c r="E32" i="29"/>
  <c r="J31" i="29"/>
  <c r="E31" i="29"/>
  <c r="J30" i="29"/>
  <c r="E30" i="29"/>
  <c r="J29" i="29"/>
  <c r="E29" i="29"/>
  <c r="J28" i="29"/>
  <c r="J33" i="29" s="1"/>
  <c r="C43" i="29" s="1"/>
  <c r="E28" i="29"/>
  <c r="E38" i="29" s="1"/>
  <c r="C42" i="29" s="1"/>
  <c r="J27" i="29"/>
  <c r="I20" i="29"/>
  <c r="I19" i="29"/>
  <c r="I18" i="29"/>
  <c r="I17" i="29"/>
  <c r="I16" i="29"/>
  <c r="I15" i="29"/>
  <c r="I14" i="29"/>
  <c r="I12" i="29"/>
  <c r="I11" i="29"/>
  <c r="I24" i="29" s="1"/>
  <c r="C41" i="29" s="1"/>
  <c r="I10" i="29"/>
  <c r="I5" i="29"/>
  <c r="J5" i="29" s="1"/>
  <c r="K5" i="29" s="1"/>
  <c r="I4" i="29"/>
  <c r="J4" i="29" s="1"/>
  <c r="G4" i="29"/>
  <c r="K4" i="29" s="1"/>
  <c r="I3" i="29"/>
  <c r="J3" i="29" s="1"/>
  <c r="G3" i="29"/>
  <c r="K3" i="29" s="1"/>
  <c r="T218" i="16"/>
  <c r="O218" i="16"/>
  <c r="C218" i="16"/>
  <c r="T214" i="16"/>
  <c r="O214" i="16"/>
  <c r="J211" i="16"/>
  <c r="E211" i="16"/>
  <c r="J210" i="16"/>
  <c r="E210" i="16"/>
  <c r="E209" i="16"/>
  <c r="E208" i="16"/>
  <c r="E207" i="16"/>
  <c r="E206" i="16"/>
  <c r="J205" i="16"/>
  <c r="E205" i="16"/>
  <c r="J204" i="16"/>
  <c r="E204" i="16"/>
  <c r="J203" i="16"/>
  <c r="E203" i="16"/>
  <c r="E212" i="16" s="1"/>
  <c r="C216" i="16" s="1"/>
  <c r="J202" i="16"/>
  <c r="I196" i="16"/>
  <c r="I195" i="16"/>
  <c r="I194" i="16"/>
  <c r="I193" i="16"/>
  <c r="I192" i="16"/>
  <c r="I191" i="16"/>
  <c r="I190" i="16"/>
  <c r="I187" i="16"/>
  <c r="I186" i="16"/>
  <c r="I185" i="16"/>
  <c r="I184" i="16"/>
  <c r="I183" i="16"/>
  <c r="I199" i="16" s="1"/>
  <c r="C215" i="16" s="1"/>
  <c r="I182" i="16"/>
  <c r="I181" i="16"/>
  <c r="J176" i="16"/>
  <c r="I176" i="16"/>
  <c r="G176" i="16"/>
  <c r="J175" i="16"/>
  <c r="I175" i="16"/>
  <c r="G175" i="16"/>
  <c r="K175" i="16" s="1"/>
  <c r="I174" i="16"/>
  <c r="J174" i="16" s="1"/>
  <c r="G174" i="16"/>
  <c r="K174" i="16" s="1"/>
  <c r="I173" i="16"/>
  <c r="J173" i="16" s="1"/>
  <c r="G173" i="16"/>
  <c r="J172" i="16"/>
  <c r="I172" i="16"/>
  <c r="G172" i="16"/>
  <c r="K172" i="16" s="1"/>
  <c r="I171" i="16"/>
  <c r="J171" i="16" s="1"/>
  <c r="K171" i="16" s="1"/>
  <c r="G171" i="16"/>
  <c r="T164" i="16"/>
  <c r="O164" i="16"/>
  <c r="T160" i="16"/>
  <c r="O160" i="16"/>
  <c r="C160" i="16"/>
  <c r="J156" i="16"/>
  <c r="E156" i="16"/>
  <c r="J155" i="16"/>
  <c r="C163" i="16" s="1"/>
  <c r="E155" i="16"/>
  <c r="E154" i="16"/>
  <c r="E153" i="16"/>
  <c r="E152" i="16"/>
  <c r="E151" i="16"/>
  <c r="J150" i="16"/>
  <c r="E150" i="16"/>
  <c r="J149" i="16"/>
  <c r="J153" i="16" s="1"/>
  <c r="C162" i="16" s="1"/>
  <c r="E149" i="16"/>
  <c r="J148" i="16"/>
  <c r="E148" i="16"/>
  <c r="E157" i="16" s="1"/>
  <c r="C161" i="16" s="1"/>
  <c r="J147" i="16"/>
  <c r="I141" i="16"/>
  <c r="I140" i="16"/>
  <c r="I139" i="16"/>
  <c r="I138" i="16"/>
  <c r="I137" i="16"/>
  <c r="I136" i="16"/>
  <c r="I135" i="16"/>
  <c r="I132" i="16"/>
  <c r="I131" i="16"/>
  <c r="I130" i="16"/>
  <c r="I129" i="16"/>
  <c r="I128" i="16"/>
  <c r="I127" i="16"/>
  <c r="I144" i="16" s="1"/>
  <c r="I126" i="16"/>
  <c r="K121" i="16"/>
  <c r="I121" i="16"/>
  <c r="J121" i="16" s="1"/>
  <c r="G121" i="16"/>
  <c r="J120" i="16"/>
  <c r="I120" i="16"/>
  <c r="G120" i="16"/>
  <c r="J119" i="16"/>
  <c r="I119" i="16"/>
  <c r="G119" i="16"/>
  <c r="K119" i="16" s="1"/>
  <c r="I118" i="16"/>
  <c r="J118" i="16" s="1"/>
  <c r="G118" i="16"/>
  <c r="I117" i="16"/>
  <c r="J117" i="16" s="1"/>
  <c r="G117" i="16"/>
  <c r="K117" i="16" s="1"/>
  <c r="J116" i="16"/>
  <c r="I116" i="16"/>
  <c r="G116" i="16"/>
  <c r="K116" i="16" s="1"/>
  <c r="O106" i="16"/>
  <c r="C106" i="16"/>
  <c r="C104" i="16"/>
  <c r="O102" i="16"/>
  <c r="J99" i="16"/>
  <c r="E99" i="16"/>
  <c r="J98" i="16"/>
  <c r="E98" i="16"/>
  <c r="E97" i="16"/>
  <c r="E96" i="16"/>
  <c r="E95" i="16"/>
  <c r="E94" i="16"/>
  <c r="J93" i="16"/>
  <c r="E93" i="16"/>
  <c r="J92" i="16"/>
  <c r="E92" i="16"/>
  <c r="J91" i="16"/>
  <c r="J96" i="16" s="1"/>
  <c r="C105" i="16" s="1"/>
  <c r="E91" i="16"/>
  <c r="E100" i="16" s="1"/>
  <c r="J90" i="16"/>
  <c r="I84" i="16"/>
  <c r="I83" i="16"/>
  <c r="I82" i="16"/>
  <c r="I81" i="16"/>
  <c r="I80" i="16"/>
  <c r="I79" i="16"/>
  <c r="I78" i="16"/>
  <c r="I75" i="16"/>
  <c r="I74" i="16"/>
  <c r="I73" i="16"/>
  <c r="I72" i="16"/>
  <c r="I71" i="16"/>
  <c r="I87" i="16" s="1"/>
  <c r="C103" i="16" s="1"/>
  <c r="I70" i="16"/>
  <c r="I69" i="16"/>
  <c r="I64" i="16"/>
  <c r="J64" i="16" s="1"/>
  <c r="G64" i="16"/>
  <c r="I63" i="16"/>
  <c r="J63" i="16" s="1"/>
  <c r="G63" i="16"/>
  <c r="K63" i="16" s="1"/>
  <c r="J62" i="16"/>
  <c r="I62" i="16"/>
  <c r="G62" i="16"/>
  <c r="K62" i="16" s="1"/>
  <c r="I61" i="16"/>
  <c r="J61" i="16" s="1"/>
  <c r="K61" i="16" s="1"/>
  <c r="G61" i="16"/>
  <c r="I60" i="16"/>
  <c r="J60" i="16" s="1"/>
  <c r="G60" i="16"/>
  <c r="J59" i="16"/>
  <c r="I59" i="16"/>
  <c r="G59" i="16"/>
  <c r="K59" i="16" s="1"/>
  <c r="O52" i="16"/>
  <c r="O48" i="16"/>
  <c r="J45" i="16"/>
  <c r="E45" i="16"/>
  <c r="J44" i="16"/>
  <c r="C52" i="16" s="1"/>
  <c r="E44" i="16"/>
  <c r="E43" i="16"/>
  <c r="E42" i="16"/>
  <c r="E41" i="16"/>
  <c r="E40" i="16"/>
  <c r="J39" i="16"/>
  <c r="E39" i="16"/>
  <c r="J38" i="16"/>
  <c r="J42" i="16" s="1"/>
  <c r="C51" i="16" s="1"/>
  <c r="E38" i="16"/>
  <c r="J37" i="16"/>
  <c r="E37" i="16"/>
  <c r="E46" i="16" s="1"/>
  <c r="C50" i="16" s="1"/>
  <c r="J36" i="16"/>
  <c r="I30" i="16"/>
  <c r="I29" i="16"/>
  <c r="I28" i="16"/>
  <c r="I27" i="16"/>
  <c r="I26" i="16"/>
  <c r="I25" i="16"/>
  <c r="I24" i="16"/>
  <c r="I21" i="16"/>
  <c r="I20" i="16"/>
  <c r="I19" i="16"/>
  <c r="I18" i="16"/>
  <c r="I17" i="16"/>
  <c r="I16" i="16"/>
  <c r="I33" i="16" s="1"/>
  <c r="C49" i="16" s="1"/>
  <c r="I15" i="16"/>
  <c r="I10" i="16"/>
  <c r="J10" i="16" s="1"/>
  <c r="K10" i="16" s="1"/>
  <c r="G10" i="16"/>
  <c r="I9" i="16"/>
  <c r="J9" i="16" s="1"/>
  <c r="G9" i="16"/>
  <c r="J8" i="16"/>
  <c r="I8" i="16"/>
  <c r="G8" i="16"/>
  <c r="K8" i="16" s="1"/>
  <c r="K7" i="16"/>
  <c r="I7" i="16"/>
  <c r="J7" i="16" s="1"/>
  <c r="G7" i="16"/>
  <c r="J6" i="16"/>
  <c r="I6" i="16"/>
  <c r="G6" i="16"/>
  <c r="I5" i="16"/>
  <c r="G5" i="16"/>
  <c r="K5" i="16" s="1"/>
  <c r="P54" i="15"/>
  <c r="P50" i="15"/>
  <c r="E43" i="15"/>
  <c r="J42" i="15"/>
  <c r="C51" i="15" s="1"/>
  <c r="E42" i="15"/>
  <c r="E41" i="15"/>
  <c r="E40" i="15"/>
  <c r="E39" i="15"/>
  <c r="J38" i="15"/>
  <c r="E38" i="15"/>
  <c r="J37" i="15"/>
  <c r="E37" i="15"/>
  <c r="J36" i="15"/>
  <c r="E36" i="15"/>
  <c r="J35" i="15"/>
  <c r="J40" i="15" s="1"/>
  <c r="C50" i="15" s="1"/>
  <c r="E35" i="15"/>
  <c r="J34" i="15"/>
  <c r="I29" i="15"/>
  <c r="I28" i="15"/>
  <c r="I27" i="15"/>
  <c r="I26" i="15"/>
  <c r="I25" i="15"/>
  <c r="I24" i="15"/>
  <c r="I23" i="15"/>
  <c r="I22" i="15"/>
  <c r="I20" i="15"/>
  <c r="I19" i="15"/>
  <c r="I18" i="15"/>
  <c r="I17" i="15"/>
  <c r="I16" i="15"/>
  <c r="I11" i="15"/>
  <c r="G11" i="15"/>
  <c r="I10" i="15"/>
  <c r="K10" i="15" s="1"/>
  <c r="G10" i="15"/>
  <c r="G9" i="15"/>
  <c r="I8" i="15"/>
  <c r="G8" i="15"/>
  <c r="K8" i="15" s="1"/>
  <c r="K7" i="15"/>
  <c r="I7" i="15"/>
  <c r="G7" i="15"/>
  <c r="I6" i="15"/>
  <c r="G6" i="15"/>
  <c r="I5" i="15"/>
  <c r="G5" i="15"/>
  <c r="K5" i="15" s="1"/>
  <c r="I4" i="15"/>
  <c r="G4" i="15"/>
  <c r="K4" i="15" s="1"/>
  <c r="O52" i="5"/>
  <c r="C52" i="5"/>
  <c r="O48" i="5"/>
  <c r="J45" i="5"/>
  <c r="E45" i="5"/>
  <c r="J44" i="5"/>
  <c r="E44" i="5"/>
  <c r="E43" i="5"/>
  <c r="E42" i="5"/>
  <c r="E41" i="5"/>
  <c r="E40" i="5"/>
  <c r="J39" i="5"/>
  <c r="E39" i="5"/>
  <c r="J38" i="5"/>
  <c r="E38" i="5"/>
  <c r="J37" i="5"/>
  <c r="E37" i="5"/>
  <c r="J36" i="5"/>
  <c r="J42" i="5" s="1"/>
  <c r="C51" i="5" s="1"/>
  <c r="I30" i="5"/>
  <c r="I29" i="5"/>
  <c r="I28" i="5"/>
  <c r="I27" i="5"/>
  <c r="I26" i="5"/>
  <c r="I25" i="5"/>
  <c r="I24" i="5"/>
  <c r="I23" i="5"/>
  <c r="I21" i="5"/>
  <c r="I20" i="5"/>
  <c r="I19" i="5"/>
  <c r="I18" i="5"/>
  <c r="I17" i="5"/>
  <c r="I16" i="5"/>
  <c r="I15" i="5"/>
  <c r="J10" i="5"/>
  <c r="I10" i="5"/>
  <c r="G10" i="5"/>
  <c r="K9" i="5"/>
  <c r="I9" i="5"/>
  <c r="J9" i="5" s="1"/>
  <c r="G9" i="5"/>
  <c r="J8" i="5"/>
  <c r="I8" i="5"/>
  <c r="G8" i="5"/>
  <c r="J7" i="5"/>
  <c r="I7" i="5"/>
  <c r="G7" i="5"/>
  <c r="K7" i="5" s="1"/>
  <c r="I6" i="5"/>
  <c r="J6" i="5" s="1"/>
  <c r="G6" i="5"/>
  <c r="K6" i="5" s="1"/>
  <c r="I5" i="5"/>
  <c r="J5" i="5" s="1"/>
  <c r="G5" i="5"/>
  <c r="I4" i="5"/>
  <c r="J4" i="5" s="1"/>
  <c r="G4" i="5"/>
  <c r="J3" i="5"/>
  <c r="I3" i="5"/>
  <c r="G3" i="5"/>
  <c r="K3" i="5" s="1"/>
  <c r="P50" i="6"/>
  <c r="P46" i="6"/>
  <c r="J45" i="6"/>
  <c r="E45" i="6"/>
  <c r="J44" i="6"/>
  <c r="C52" i="6" s="1"/>
  <c r="E44" i="6"/>
  <c r="E43" i="6"/>
  <c r="E42" i="6"/>
  <c r="E41" i="6"/>
  <c r="E40" i="6"/>
  <c r="J39" i="6"/>
  <c r="E39" i="6"/>
  <c r="J38" i="6"/>
  <c r="E38" i="6"/>
  <c r="J37" i="6"/>
  <c r="E37" i="6"/>
  <c r="J36" i="6"/>
  <c r="I30" i="6"/>
  <c r="I29" i="6"/>
  <c r="I28" i="6"/>
  <c r="I27" i="6"/>
  <c r="I26" i="6"/>
  <c r="I25" i="6"/>
  <c r="I24" i="6"/>
  <c r="I23" i="6"/>
  <c r="I21" i="6"/>
  <c r="I20" i="6"/>
  <c r="I19" i="6"/>
  <c r="I18" i="6"/>
  <c r="I17" i="6"/>
  <c r="I16" i="6"/>
  <c r="I15" i="6"/>
  <c r="J7" i="6"/>
  <c r="I7" i="6"/>
  <c r="G7" i="6"/>
  <c r="J6" i="6"/>
  <c r="I6" i="6"/>
  <c r="G6" i="6"/>
  <c r="K6" i="6" s="1"/>
  <c r="I5" i="6"/>
  <c r="J5" i="6" s="1"/>
  <c r="G5" i="6"/>
  <c r="K5" i="6" s="1"/>
  <c r="I4" i="6"/>
  <c r="J4" i="6" s="1"/>
  <c r="G4" i="6"/>
  <c r="J3" i="6"/>
  <c r="I3" i="6"/>
  <c r="G3" i="6"/>
  <c r="K3" i="6" s="1"/>
  <c r="O52" i="18"/>
  <c r="O48" i="18"/>
  <c r="E47" i="18"/>
  <c r="J46" i="18"/>
  <c r="C55" i="18" s="1"/>
  <c r="E46" i="18"/>
  <c r="E45" i="18"/>
  <c r="E44" i="18"/>
  <c r="E43" i="18"/>
  <c r="J42" i="18"/>
  <c r="E42" i="18"/>
  <c r="J41" i="18"/>
  <c r="E41" i="18"/>
  <c r="E49" i="18" s="1"/>
  <c r="C53" i="18" s="1"/>
  <c r="J40" i="18"/>
  <c r="E40" i="18"/>
  <c r="J39" i="18"/>
  <c r="J44" i="18" s="1"/>
  <c r="C54" i="18" s="1"/>
  <c r="E39" i="18"/>
  <c r="J38" i="18"/>
  <c r="I32" i="18"/>
  <c r="I31" i="18"/>
  <c r="I30" i="18"/>
  <c r="I29" i="18"/>
  <c r="I28" i="18"/>
  <c r="I27" i="18"/>
  <c r="I26" i="18"/>
  <c r="I25" i="18"/>
  <c r="I23" i="18"/>
  <c r="I22" i="18"/>
  <c r="I21" i="18"/>
  <c r="I20" i="18"/>
  <c r="I19" i="18"/>
  <c r="I18" i="18"/>
  <c r="I17" i="18"/>
  <c r="I35" i="18" s="1"/>
  <c r="C52" i="18" s="1"/>
  <c r="I12" i="18"/>
  <c r="G12" i="18"/>
  <c r="I11" i="18"/>
  <c r="G11" i="18"/>
  <c r="K11" i="18" s="1"/>
  <c r="K10" i="18"/>
  <c r="I10" i="18"/>
  <c r="J10" i="18" s="1"/>
  <c r="G10" i="18"/>
  <c r="J9" i="18"/>
  <c r="I9" i="18"/>
  <c r="G9" i="18"/>
  <c r="J8" i="18"/>
  <c r="I8" i="18"/>
  <c r="G8" i="18"/>
  <c r="K8" i="18" s="1"/>
  <c r="I7" i="18"/>
  <c r="J7" i="18" s="1"/>
  <c r="G7" i="18"/>
  <c r="K7" i="18" s="1"/>
  <c r="I6" i="18"/>
  <c r="J6" i="18" s="1"/>
  <c r="G6" i="18"/>
  <c r="K6" i="18" s="1"/>
  <c r="J5" i="18"/>
  <c r="I5" i="18"/>
  <c r="G5" i="18"/>
  <c r="K5" i="18" s="1"/>
  <c r="I4" i="18"/>
  <c r="J4" i="18" s="1"/>
  <c r="K4" i="18" s="1"/>
  <c r="G4" i="18"/>
  <c r="I3" i="18"/>
  <c r="J3" i="18" s="1"/>
  <c r="G3" i="18"/>
  <c r="O49" i="28"/>
  <c r="O45" i="28"/>
  <c r="E41" i="28"/>
  <c r="J40" i="28"/>
  <c r="C49" i="28" s="1"/>
  <c r="E40" i="28"/>
  <c r="E39" i="28"/>
  <c r="E38" i="28"/>
  <c r="E37" i="28"/>
  <c r="J36" i="28"/>
  <c r="E36" i="28"/>
  <c r="J35" i="28"/>
  <c r="E35" i="28"/>
  <c r="J34" i="28"/>
  <c r="E34" i="28"/>
  <c r="J33" i="28"/>
  <c r="E33" i="28"/>
  <c r="J32" i="28"/>
  <c r="J38" i="28" s="1"/>
  <c r="C48" i="28" s="1"/>
  <c r="I26" i="28"/>
  <c r="I25" i="28"/>
  <c r="I24" i="28"/>
  <c r="I23" i="28"/>
  <c r="I22" i="28"/>
  <c r="I21" i="28"/>
  <c r="I20" i="28"/>
  <c r="I19" i="28"/>
  <c r="I17" i="28"/>
  <c r="I16" i="28"/>
  <c r="I15" i="28"/>
  <c r="I10" i="28"/>
  <c r="G10" i="28"/>
  <c r="K9" i="28"/>
  <c r="I9" i="28"/>
  <c r="G9" i="28"/>
  <c r="J8" i="28"/>
  <c r="I8" i="28"/>
  <c r="G8" i="28"/>
  <c r="J7" i="28"/>
  <c r="I7" i="28"/>
  <c r="G7" i="28"/>
  <c r="K7" i="28" s="1"/>
  <c r="I6" i="28"/>
  <c r="J6" i="28" s="1"/>
  <c r="G6" i="28"/>
  <c r="K6" i="28" s="1"/>
  <c r="J5" i="28"/>
  <c r="I5" i="28"/>
  <c r="G5" i="28"/>
  <c r="K5" i="28" s="1"/>
  <c r="J4" i="28"/>
  <c r="I4" i="28"/>
  <c r="G4" i="28"/>
  <c r="K4" i="28" s="1"/>
  <c r="I3" i="28"/>
  <c r="J3" i="28" s="1"/>
  <c r="G3" i="28"/>
  <c r="O47" i="20"/>
  <c r="E44" i="20"/>
  <c r="O43" i="20"/>
  <c r="E43" i="20"/>
  <c r="E42" i="20"/>
  <c r="J41" i="20"/>
  <c r="C51" i="20" s="1"/>
  <c r="E41" i="20"/>
  <c r="E40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I27" i="20"/>
  <c r="I26" i="20"/>
  <c r="I25" i="20"/>
  <c r="I24" i="20"/>
  <c r="I23" i="20"/>
  <c r="I22" i="20"/>
  <c r="I21" i="20"/>
  <c r="I20" i="20"/>
  <c r="I18" i="20"/>
  <c r="I17" i="20"/>
  <c r="K12" i="20"/>
  <c r="G12" i="20"/>
  <c r="G11" i="20"/>
  <c r="G10" i="20"/>
  <c r="G9" i="20"/>
  <c r="K9" i="20" s="1"/>
  <c r="G8" i="20"/>
  <c r="I7" i="20"/>
  <c r="G7" i="20"/>
  <c r="K7" i="20" s="1"/>
  <c r="I6" i="20"/>
  <c r="K6" i="20" s="1"/>
  <c r="G6" i="20"/>
  <c r="I5" i="20"/>
  <c r="G5" i="20"/>
  <c r="I4" i="20"/>
  <c r="G4" i="20"/>
  <c r="K4" i="20" s="1"/>
  <c r="K3" i="20"/>
  <c r="I3" i="20"/>
  <c r="G3" i="20"/>
  <c r="C52" i="21"/>
  <c r="P46" i="21"/>
  <c r="J45" i="21"/>
  <c r="E45" i="21"/>
  <c r="J44" i="21"/>
  <c r="E44" i="21"/>
  <c r="E43" i="21"/>
  <c r="P42" i="21"/>
  <c r="E42" i="21"/>
  <c r="E41" i="21"/>
  <c r="E40" i="21"/>
  <c r="J39" i="21"/>
  <c r="E39" i="21"/>
  <c r="J38" i="21"/>
  <c r="E38" i="21"/>
  <c r="J37" i="21"/>
  <c r="E37" i="21"/>
  <c r="J36" i="21"/>
  <c r="I30" i="21"/>
  <c r="I29" i="21"/>
  <c r="I28" i="21"/>
  <c r="I27" i="21"/>
  <c r="I26" i="21"/>
  <c r="I25" i="21"/>
  <c r="I24" i="21"/>
  <c r="I23" i="21"/>
  <c r="I21" i="21"/>
  <c r="I20" i="21"/>
  <c r="I19" i="21"/>
  <c r="I18" i="21"/>
  <c r="I17" i="21"/>
  <c r="I16" i="21"/>
  <c r="I15" i="21"/>
  <c r="I33" i="21" s="1"/>
  <c r="C49" i="21" s="1"/>
  <c r="J10" i="21"/>
  <c r="I10" i="21"/>
  <c r="G10" i="21"/>
  <c r="K10" i="21" s="1"/>
  <c r="I9" i="21"/>
  <c r="J9" i="21" s="1"/>
  <c r="K9" i="21" s="1"/>
  <c r="G9" i="21"/>
  <c r="I8" i="21"/>
  <c r="J8" i="21" s="1"/>
  <c r="G8" i="21"/>
  <c r="J7" i="21"/>
  <c r="I7" i="21"/>
  <c r="G7" i="21"/>
  <c r="K7" i="21" s="1"/>
  <c r="K6" i="21"/>
  <c r="I6" i="21"/>
  <c r="J6" i="21" s="1"/>
  <c r="G6" i="21"/>
  <c r="J5" i="21"/>
  <c r="I5" i="21"/>
  <c r="G5" i="21"/>
  <c r="I4" i="21"/>
  <c r="J4" i="21" s="1"/>
  <c r="G4" i="21"/>
  <c r="I3" i="21"/>
  <c r="J3" i="21" s="1"/>
  <c r="G3" i="21"/>
  <c r="K3" i="21" s="1"/>
  <c r="C48" i="27"/>
  <c r="P47" i="27"/>
  <c r="P43" i="27"/>
  <c r="J41" i="27"/>
  <c r="E39" i="27"/>
  <c r="E38" i="27"/>
  <c r="E37" i="27"/>
  <c r="E36" i="27"/>
  <c r="E35" i="27"/>
  <c r="J34" i="27"/>
  <c r="J38" i="27" s="1"/>
  <c r="C47" i="27" s="1"/>
  <c r="E34" i="27"/>
  <c r="J33" i="27"/>
  <c r="E33" i="27"/>
  <c r="I21" i="27"/>
  <c r="I20" i="27"/>
  <c r="I19" i="27"/>
  <c r="I18" i="27"/>
  <c r="I5" i="27"/>
  <c r="J5" i="27" s="1"/>
  <c r="G5" i="27"/>
  <c r="K5" i="27" s="1"/>
  <c r="J4" i="27"/>
  <c r="I4" i="27"/>
  <c r="G4" i="27"/>
  <c r="K4" i="27" s="1"/>
  <c r="K7" i="27" s="1"/>
  <c r="C44" i="27" s="1"/>
  <c r="L66" i="23"/>
  <c r="G66" i="23"/>
  <c r="L62" i="23"/>
  <c r="G62" i="23"/>
  <c r="D52" i="23"/>
  <c r="L51" i="23"/>
  <c r="J44" i="23"/>
  <c r="E44" i="23"/>
  <c r="J43" i="23"/>
  <c r="C51" i="23" s="1"/>
  <c r="E43" i="23"/>
  <c r="E42" i="23"/>
  <c r="E41" i="23"/>
  <c r="E40" i="23"/>
  <c r="E39" i="23"/>
  <c r="K38" i="23"/>
  <c r="E38" i="23"/>
  <c r="J37" i="23"/>
  <c r="E37" i="23"/>
  <c r="J36" i="23"/>
  <c r="J41" i="23" s="1"/>
  <c r="C50" i="23" s="1"/>
  <c r="E36" i="23"/>
  <c r="J35" i="23"/>
  <c r="I18" i="23"/>
  <c r="I17" i="23"/>
  <c r="I16" i="23"/>
  <c r="I15" i="23"/>
  <c r="I14" i="23"/>
  <c r="I9" i="23"/>
  <c r="G9" i="23"/>
  <c r="K9" i="23" s="1"/>
  <c r="I8" i="23"/>
  <c r="G8" i="23"/>
  <c r="K8" i="23" s="1"/>
  <c r="I7" i="23"/>
  <c r="J7" i="23" s="1"/>
  <c r="G7" i="23"/>
  <c r="I6" i="23"/>
  <c r="G6" i="23"/>
  <c r="K6" i="23" s="1"/>
  <c r="I5" i="23"/>
  <c r="J5" i="23" s="1"/>
  <c r="G5" i="23"/>
  <c r="G4" i="23"/>
  <c r="K4" i="23" s="1"/>
  <c r="D89" i="24"/>
  <c r="L88" i="24"/>
  <c r="F88" i="24"/>
  <c r="C88" i="24"/>
  <c r="K78" i="24"/>
  <c r="R76" i="24"/>
  <c r="E74" i="24"/>
  <c r="E73" i="24"/>
  <c r="R72" i="24"/>
  <c r="E72" i="24"/>
  <c r="E71" i="24"/>
  <c r="J70" i="24"/>
  <c r="E70" i="24"/>
  <c r="E69" i="24"/>
  <c r="E68" i="24"/>
  <c r="E67" i="24"/>
  <c r="C86" i="24" s="1"/>
  <c r="E66" i="24"/>
  <c r="K52" i="24"/>
  <c r="G52" i="24"/>
  <c r="G51" i="24"/>
  <c r="K51" i="24" s="1"/>
  <c r="G50" i="24"/>
  <c r="K50" i="24" s="1"/>
  <c r="K49" i="24"/>
  <c r="K53" i="24" s="1"/>
  <c r="C84" i="24" s="1"/>
  <c r="G49" i="24"/>
  <c r="D43" i="24"/>
  <c r="L42" i="24"/>
  <c r="R38" i="24"/>
  <c r="R34" i="24"/>
  <c r="K32" i="24"/>
  <c r="E27" i="24"/>
  <c r="E26" i="24"/>
  <c r="E25" i="24"/>
  <c r="J24" i="24"/>
  <c r="E24" i="24"/>
  <c r="E23" i="24"/>
  <c r="E22" i="24"/>
  <c r="E21" i="24"/>
  <c r="E20" i="24"/>
  <c r="C40" i="24" s="1"/>
  <c r="F37" i="24" s="1"/>
  <c r="F42" i="24" s="1"/>
  <c r="G6" i="24"/>
  <c r="K6" i="24" s="1"/>
  <c r="G5" i="24"/>
  <c r="K5" i="24" s="1"/>
  <c r="K4" i="24"/>
  <c r="G4" i="24"/>
  <c r="F23" i="26"/>
  <c r="F22" i="26"/>
  <c r="F21" i="26"/>
  <c r="F20" i="26"/>
  <c r="F19" i="26"/>
  <c r="F18" i="26"/>
  <c r="Q17" i="26"/>
  <c r="P17" i="26"/>
  <c r="F17" i="26"/>
  <c r="Q16" i="26"/>
  <c r="P16" i="26"/>
  <c r="F16" i="26"/>
  <c r="Q15" i="26"/>
  <c r="P15" i="26"/>
  <c r="F15" i="26"/>
  <c r="Q14" i="26"/>
  <c r="P14" i="26"/>
  <c r="F14" i="26"/>
  <c r="Q13" i="26"/>
  <c r="P13" i="26"/>
  <c r="F13" i="26"/>
  <c r="Q12" i="26"/>
  <c r="P12" i="26"/>
  <c r="F12" i="26"/>
  <c r="Q11" i="26"/>
  <c r="P11" i="26"/>
  <c r="F11" i="26"/>
  <c r="Q10" i="26"/>
  <c r="P10" i="26"/>
  <c r="F10" i="26"/>
  <c r="Q9" i="26"/>
  <c r="P9" i="26"/>
  <c r="F9" i="26"/>
  <c r="Q8" i="26"/>
  <c r="P8" i="26"/>
  <c r="F8" i="26"/>
  <c r="Q7" i="26"/>
  <c r="P7" i="26"/>
  <c r="F7" i="26"/>
  <c r="Q6" i="26"/>
  <c r="P6" i="26"/>
  <c r="F6" i="26"/>
  <c r="Q5" i="26"/>
  <c r="P5" i="26"/>
  <c r="F5" i="26"/>
  <c r="Q4" i="26"/>
  <c r="P4" i="26"/>
  <c r="F4" i="26"/>
  <c r="I32" i="15" l="1"/>
  <c r="C48" i="15" s="1"/>
  <c r="E45" i="20"/>
  <c r="C49" i="20" s="1"/>
  <c r="I30" i="20"/>
  <c r="C48" i="20" s="1"/>
  <c r="K8" i="20"/>
  <c r="K10" i="20"/>
  <c r="K7" i="23"/>
  <c r="E45" i="23"/>
  <c r="C49" i="23" s="1"/>
  <c r="I32" i="23"/>
  <c r="C48" i="23" s="1"/>
  <c r="E46" i="6"/>
  <c r="C50" i="6" s="1"/>
  <c r="J42" i="6"/>
  <c r="C51" i="6" s="1"/>
  <c r="E46" i="5"/>
  <c r="C50" i="5" s="1"/>
  <c r="K4" i="21"/>
  <c r="I33" i="6"/>
  <c r="C49" i="6" s="1"/>
  <c r="K5" i="23"/>
  <c r="I29" i="27"/>
  <c r="C45" i="27" s="1"/>
  <c r="F43" i="27" s="1"/>
  <c r="E42" i="27"/>
  <c r="C46" i="27" s="1"/>
  <c r="E46" i="21"/>
  <c r="C50" i="21" s="1"/>
  <c r="J39" i="20"/>
  <c r="C50" i="20" s="1"/>
  <c r="K10" i="28"/>
  <c r="E43" i="28"/>
  <c r="C47" i="28" s="1"/>
  <c r="K10" i="5"/>
  <c r="E45" i="15"/>
  <c r="C49" i="15" s="1"/>
  <c r="F39" i="29"/>
  <c r="K3" i="28"/>
  <c r="K4" i="6"/>
  <c r="K11" i="6" s="1"/>
  <c r="C48" i="6" s="1"/>
  <c r="F41" i="31"/>
  <c r="F43" i="31"/>
  <c r="F45" i="31" s="1"/>
  <c r="F42" i="31"/>
  <c r="K5" i="21"/>
  <c r="K11" i="21" s="1"/>
  <c r="C48" i="21" s="1"/>
  <c r="J42" i="21"/>
  <c r="C51" i="21" s="1"/>
  <c r="K11" i="20"/>
  <c r="K8" i="28"/>
  <c r="K9" i="18"/>
  <c r="K7" i="6"/>
  <c r="K8" i="5"/>
  <c r="K6" i="15"/>
  <c r="K6" i="16"/>
  <c r="K11" i="16" s="1"/>
  <c r="C48" i="16" s="1"/>
  <c r="F47" i="16" s="1"/>
  <c r="K6" i="29"/>
  <c r="C40" i="29" s="1"/>
  <c r="K3" i="19"/>
  <c r="K3" i="30"/>
  <c r="B26" i="25"/>
  <c r="K7" i="24"/>
  <c r="K8" i="21"/>
  <c r="K5" i="20"/>
  <c r="I29" i="28"/>
  <c r="C46" i="28" s="1"/>
  <c r="K3" i="18"/>
  <c r="K12" i="18"/>
  <c r="K4" i="5"/>
  <c r="K11" i="5" s="1"/>
  <c r="C48" i="5" s="1"/>
  <c r="K5" i="5"/>
  <c r="I33" i="5"/>
  <c r="C49" i="5" s="1"/>
  <c r="K11" i="15"/>
  <c r="K64" i="16"/>
  <c r="K118" i="16"/>
  <c r="K122" i="16" s="1"/>
  <c r="C159" i="16" s="1"/>
  <c r="F158" i="16" s="1"/>
  <c r="K120" i="16"/>
  <c r="K173" i="16"/>
  <c r="K177" i="16" s="1"/>
  <c r="C214" i="16" s="1"/>
  <c r="K176" i="16"/>
  <c r="E38" i="30"/>
  <c r="C42" i="30" s="1"/>
  <c r="B25" i="17"/>
  <c r="K9" i="15"/>
  <c r="K9" i="16"/>
  <c r="K60" i="16"/>
  <c r="K65" i="16" s="1"/>
  <c r="C102" i="16" s="1"/>
  <c r="F101" i="16" s="1"/>
  <c r="J208" i="16"/>
  <c r="C217" i="16" s="1"/>
  <c r="F213" i="16" s="1"/>
  <c r="K4" i="19"/>
  <c r="K4" i="30"/>
  <c r="I24" i="30"/>
  <c r="C41" i="30" s="1"/>
  <c r="K13" i="20" l="1"/>
  <c r="C47" i="20" s="1"/>
  <c r="F46" i="20" s="1"/>
  <c r="F48" i="20" s="1"/>
  <c r="K10" i="23"/>
  <c r="C47" i="23" s="1"/>
  <c r="F46" i="23" s="1"/>
  <c r="F47" i="5"/>
  <c r="F48" i="5" s="1"/>
  <c r="K13" i="18"/>
  <c r="C51" i="18" s="1"/>
  <c r="F50" i="18" s="1"/>
  <c r="F51" i="18" s="1"/>
  <c r="K12" i="15"/>
  <c r="C47" i="15" s="1"/>
  <c r="F46" i="15" s="1"/>
  <c r="F48" i="15" s="1"/>
  <c r="F47" i="6"/>
  <c r="F49" i="6" s="1"/>
  <c r="F216" i="16"/>
  <c r="F214" i="16"/>
  <c r="F215" i="16"/>
  <c r="F160" i="16"/>
  <c r="F159" i="16"/>
  <c r="F161" i="16"/>
  <c r="F50" i="16"/>
  <c r="F49" i="16"/>
  <c r="F48" i="16"/>
  <c r="F104" i="16"/>
  <c r="F103" i="16"/>
  <c r="F102" i="16"/>
  <c r="F53" i="18"/>
  <c r="F47" i="21"/>
  <c r="F45" i="27"/>
  <c r="F44" i="27"/>
  <c r="F48" i="27" s="1"/>
  <c r="B27" i="17"/>
  <c r="B28" i="17"/>
  <c r="B32" i="17" s="1"/>
  <c r="K6" i="30"/>
  <c r="C40" i="30" s="1"/>
  <c r="F39" i="30" s="1"/>
  <c r="F40" i="29"/>
  <c r="F42" i="29"/>
  <c r="F41" i="29"/>
  <c r="B28" i="25"/>
  <c r="B29" i="25"/>
  <c r="B33" i="25" s="1"/>
  <c r="K6" i="19"/>
  <c r="C40" i="19" s="1"/>
  <c r="F39" i="19" s="1"/>
  <c r="K11" i="28"/>
  <c r="C45" i="28" s="1"/>
  <c r="F44" i="28" s="1"/>
  <c r="F46" i="28" s="1"/>
  <c r="F49" i="15" l="1"/>
  <c r="F47" i="15"/>
  <c r="F48" i="23"/>
  <c r="F47" i="23"/>
  <c r="F49" i="23"/>
  <c r="F52" i="5"/>
  <c r="F52" i="18"/>
  <c r="F48" i="6"/>
  <c r="F50" i="6"/>
  <c r="F40" i="30"/>
  <c r="F42" i="30"/>
  <c r="F44" i="30" s="1"/>
  <c r="F41" i="30"/>
  <c r="F49" i="20"/>
  <c r="F47" i="20"/>
  <c r="F47" i="28"/>
  <c r="F45" i="28"/>
  <c r="F44" i="29"/>
  <c r="F51" i="23"/>
  <c r="S14" i="26" s="1"/>
  <c r="R14" i="26" s="1"/>
  <c r="F50" i="21"/>
  <c r="F48" i="21"/>
  <c r="F49" i="21"/>
  <c r="F55" i="18"/>
  <c r="F106" i="16"/>
  <c r="F52" i="16"/>
  <c r="F218" i="16"/>
  <c r="F40" i="19"/>
  <c r="F42" i="19"/>
  <c r="F44" i="19" s="1"/>
  <c r="F41" i="19"/>
  <c r="F163" i="16"/>
  <c r="F51" i="15" l="1"/>
  <c r="F52" i="6"/>
  <c r="F52" i="21"/>
  <c r="S6" i="26" s="1"/>
  <c r="R6" i="26" s="1"/>
  <c r="F49" i="28"/>
  <c r="F51" i="20"/>
  <c r="S5" i="26" s="1"/>
  <c r="R5" i="26" s="1"/>
  <c r="S11" i="26" l="1"/>
  <c r="R11" i="26" s="1"/>
</calcChain>
</file>

<file path=xl/comments1.xml><?xml version="1.0" encoding="utf-8"?>
<comments xmlns="http://schemas.openxmlformats.org/spreadsheetml/2006/main">
  <authors>
    <author>zzf</author>
  </authors>
  <commentLis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采用每月天津第一次价格</t>
        </r>
      </text>
    </comment>
  </commentList>
</comments>
</file>

<file path=xl/comments2.xml><?xml version="1.0" encoding="utf-8"?>
<comments xmlns="http://schemas.openxmlformats.org/spreadsheetml/2006/main">
  <authors>
    <author>zzf</author>
  </authors>
  <commentList>
    <comment ref="S4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图纸无重量，根据报价单、图纸尺寸推算</t>
        </r>
      </text>
    </comment>
    <comment ref="S5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图纸无重量，根据报价单、图纸尺寸推算</t>
        </r>
      </text>
    </comment>
    <comment ref="S6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部分图纸无重量</t>
        </r>
      </text>
    </comment>
    <comment ref="V7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复核后净重</t>
        </r>
      </text>
    </comment>
    <comment ref="Y7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原净重</t>
        </r>
      </text>
    </comment>
    <comment ref="U8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看检验指导书，物料应能套裁，供应商申报毛重太高，因无图纸，故以净重推算</t>
        </r>
      </text>
    </comment>
    <comment ref="S12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图纸无重量，根据报价单、二排链接支架推算</t>
        </r>
      </text>
    </comment>
    <comment ref="S13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图纸无重量，根据报价单、图纸尺寸推算</t>
        </r>
      </text>
    </comment>
    <comment ref="S14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图纸错误，根据报价单、实物照片推算</t>
        </r>
      </text>
    </comment>
  </commentList>
</comments>
</file>

<file path=xl/sharedStrings.xml><?xml version="1.0" encoding="utf-8"?>
<sst xmlns="http://schemas.openxmlformats.org/spreadsheetml/2006/main" count="2794" uniqueCount="503">
  <si>
    <t>序号</t>
  </si>
  <si>
    <t>物料编码</t>
  </si>
  <si>
    <t>产品名称</t>
  </si>
  <si>
    <t>核算价格</t>
  </si>
  <si>
    <t>销售价格</t>
  </si>
  <si>
    <t>利润</t>
  </si>
  <si>
    <t>备注</t>
  </si>
  <si>
    <t>含税销售价格</t>
  </si>
  <si>
    <t>广亿核算价格</t>
  </si>
  <si>
    <t>潍坊核算价格</t>
  </si>
  <si>
    <t>SLI0000634</t>
  </si>
  <si>
    <t>G7/g9一排三人座骨架</t>
  </si>
  <si>
    <t>此成本价格不包括贴息扣点</t>
  </si>
  <si>
    <t>SLI0001067</t>
  </si>
  <si>
    <t>G7/g9三人三排座骨架</t>
  </si>
  <si>
    <t>SLI0000619</t>
  </si>
  <si>
    <t>G7/g9一二排链接支架</t>
  </si>
  <si>
    <t>SLI0000439</t>
  </si>
  <si>
    <t>G9翻滚</t>
  </si>
  <si>
    <t>SLI0000614</t>
  </si>
  <si>
    <t>G7铰链左</t>
  </si>
  <si>
    <t>SLI0000420</t>
  </si>
  <si>
    <t>G9铰链右</t>
  </si>
  <si>
    <t>SLI0001070</t>
  </si>
  <si>
    <t>前翻10人翻滚支架铰链</t>
  </si>
  <si>
    <t>SLI0000623</t>
  </si>
  <si>
    <t>G7翻滚成本</t>
  </si>
  <si>
    <t>SLI0001068</t>
  </si>
  <si>
    <t>G7/g9三排连接支架</t>
  </si>
  <si>
    <t>SLI0000144</t>
  </si>
  <si>
    <t>1995副垫右舵</t>
  </si>
  <si>
    <t>SLI0000618</t>
  </si>
  <si>
    <t>G7/g9一排双人座骨架</t>
  </si>
  <si>
    <t>SLI0000012</t>
  </si>
  <si>
    <t>1695副背</t>
  </si>
  <si>
    <t>SLI0000324</t>
  </si>
  <si>
    <t>K1宽车司机靠背</t>
  </si>
  <si>
    <t>SLI0000802</t>
  </si>
  <si>
    <t>M4副司机背</t>
  </si>
  <si>
    <t>SLI0000782</t>
  </si>
  <si>
    <t>M4司机背</t>
  </si>
  <si>
    <t>SLI0002142</t>
  </si>
  <si>
    <t>J6F-BA95前座副背骨架</t>
  </si>
  <si>
    <t>SLI0000098</t>
  </si>
  <si>
    <t>右舵1800付垫</t>
  </si>
  <si>
    <t>SLI0000080</t>
  </si>
  <si>
    <t>1800分体座</t>
  </si>
  <si>
    <t>SLI0000104</t>
  </si>
  <si>
    <t>1800整体座</t>
  </si>
  <si>
    <t>SLI0002344</t>
  </si>
  <si>
    <t>连体背</t>
  </si>
  <si>
    <t>m4副背报潍坊</t>
  </si>
  <si>
    <t>零件名称</t>
  </si>
  <si>
    <t>图号编号</t>
  </si>
  <si>
    <t>材料名称</t>
  </si>
  <si>
    <t>材料价格（元/kg)</t>
  </si>
  <si>
    <t>毛重（Kg）</t>
  </si>
  <si>
    <t>毛重金额</t>
  </si>
  <si>
    <t>材料净重（Kg）</t>
  </si>
  <si>
    <t>废料重（Kg）</t>
  </si>
  <si>
    <t>废料价格（元/kg)</t>
  </si>
  <si>
    <t>材料成本（元）</t>
  </si>
  <si>
    <t>焊管25*1.5*1400</t>
  </si>
  <si>
    <t>q235</t>
  </si>
  <si>
    <t>头枕管12*1.5*600</t>
  </si>
  <si>
    <t>支撑管25*1.5*355</t>
  </si>
  <si>
    <t>q335</t>
  </si>
  <si>
    <t>工序名称</t>
  </si>
  <si>
    <t>加工设备</t>
  </si>
  <si>
    <t>规格/型号</t>
  </si>
  <si>
    <t>工序次数</t>
  </si>
  <si>
    <t>工序每道单价/元</t>
  </si>
  <si>
    <t>合计金额</t>
  </si>
  <si>
    <t>下料</t>
  </si>
  <si>
    <t>截管机</t>
  </si>
  <si>
    <t>弯管</t>
  </si>
  <si>
    <t>弯管机</t>
  </si>
  <si>
    <t>实物称重</t>
  </si>
  <si>
    <t>挂簧</t>
  </si>
  <si>
    <t>调磨</t>
  </si>
  <si>
    <t>砸头枕窝</t>
  </si>
  <si>
    <t>40压力机</t>
  </si>
  <si>
    <t>合计</t>
  </si>
  <si>
    <t>外协件</t>
  </si>
  <si>
    <t>焊接</t>
  </si>
  <si>
    <t>焊接长度（CM)</t>
  </si>
  <si>
    <t>价格元/CM</t>
  </si>
  <si>
    <t>合计金额（元）</t>
  </si>
  <si>
    <t>问题：1</t>
  </si>
  <si>
    <t>问题：2</t>
  </si>
  <si>
    <t>名称</t>
  </si>
  <si>
    <t>使用量</t>
  </si>
  <si>
    <t>单价</t>
  </si>
  <si>
    <t>焊螺母</t>
  </si>
  <si>
    <t>实际</t>
  </si>
  <si>
    <t>标红处公式计算错误</t>
  </si>
  <si>
    <t>头枕钢丝</t>
  </si>
  <si>
    <t>整体焊接</t>
  </si>
  <si>
    <t>焊接长度</t>
  </si>
  <si>
    <t>侧翼支撑钢丝</t>
  </si>
  <si>
    <t>背上支撑钢丝</t>
  </si>
  <si>
    <t>左旁接板</t>
  </si>
  <si>
    <t>右旋转轴固定座</t>
  </si>
  <si>
    <t>挂簧钩</t>
  </si>
  <si>
    <t>蛇簧1</t>
  </si>
  <si>
    <t>蛇簧2</t>
  </si>
  <si>
    <t>螺母φ8</t>
  </si>
  <si>
    <t>模具名称</t>
  </si>
  <si>
    <t>金额</t>
  </si>
  <si>
    <t>分摊件数</t>
  </si>
  <si>
    <t>分摊金额</t>
  </si>
  <si>
    <t>2020年</t>
  </si>
  <si>
    <t>2021年</t>
  </si>
  <si>
    <t>差值</t>
  </si>
  <si>
    <t>总成焊胎</t>
  </si>
  <si>
    <t>4700元/吨</t>
  </si>
  <si>
    <t>6100元/吨</t>
  </si>
  <si>
    <t>1400元</t>
  </si>
  <si>
    <t>总成检胎</t>
  </si>
  <si>
    <t>表面处理</t>
  </si>
  <si>
    <r>
      <rPr>
        <sz val="11"/>
        <color theme="1"/>
        <rFont val="宋体"/>
        <family val="3"/>
        <charset val="134"/>
        <scheme val="minor"/>
      </rPr>
      <t>元</t>
    </r>
    <r>
      <rPr>
        <sz val="11"/>
        <color indexed="8"/>
        <rFont val="宋体"/>
        <family val="3"/>
        <charset val="134"/>
      </rPr>
      <t>/</t>
    </r>
    <r>
      <rPr>
        <sz val="11"/>
        <color theme="1"/>
        <rFont val="宋体"/>
        <family val="3"/>
        <charset val="134"/>
        <scheme val="minor"/>
      </rPr>
      <t>（M</t>
    </r>
    <r>
      <rPr>
        <vertAlign val="superscript"/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</si>
  <si>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  <scheme val="minor"/>
      </rPr>
      <t>面积（M</t>
    </r>
    <r>
      <rPr>
        <vertAlign val="superscript"/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）</t>
    </r>
  </si>
  <si>
    <t>实物称重/KG</t>
  </si>
  <si>
    <t>差值/元</t>
  </si>
  <si>
    <t>电泳</t>
  </si>
  <si>
    <t>弯管检具两套</t>
  </si>
  <si>
    <t>喷涂</t>
  </si>
  <si>
    <t>费用名称</t>
  </si>
  <si>
    <t>合计总金额</t>
  </si>
  <si>
    <t>原价</t>
  </si>
  <si>
    <t>涨幅价</t>
  </si>
  <si>
    <t>材料费</t>
  </si>
  <si>
    <t>管理费</t>
  </si>
  <si>
    <t>制造费</t>
  </si>
  <si>
    <t>财务费</t>
  </si>
  <si>
    <t>外协费用</t>
  </si>
  <si>
    <t>包装运输</t>
  </si>
  <si>
    <t>模具分摊</t>
  </si>
  <si>
    <t>焊接费用</t>
  </si>
  <si>
    <t>价格</t>
  </si>
  <si>
    <t>销价26.22</t>
  </si>
  <si>
    <t>m4正背</t>
  </si>
  <si>
    <t>焊管25*1.5*1500</t>
  </si>
  <si>
    <t>夹心管22*1.5*200</t>
  </si>
  <si>
    <t>支撑管22*1.5*402</t>
  </si>
  <si>
    <t>拍扁</t>
  </si>
  <si>
    <t>80T压力机</t>
  </si>
  <si>
    <t>冲孔清边</t>
  </si>
  <si>
    <t>2.59KG</t>
  </si>
  <si>
    <t>焊阶梯螺栓</t>
  </si>
  <si>
    <t>右旁接板</t>
  </si>
  <si>
    <t>右旋转阶梯螺栓</t>
  </si>
  <si>
    <t>含税</t>
  </si>
  <si>
    <t>销价29.4</t>
  </si>
  <si>
    <t>k1宽车司机靠背报潍坊</t>
  </si>
  <si>
    <t>焊管25*2.0*640</t>
  </si>
  <si>
    <t>Q235</t>
  </si>
  <si>
    <t>侧板钢板</t>
  </si>
  <si>
    <t>连接板钢板</t>
  </si>
  <si>
    <t>灭火器钢板</t>
  </si>
  <si>
    <t>剪板机</t>
  </si>
  <si>
    <t>6*2000</t>
  </si>
  <si>
    <t>100元/吨</t>
  </si>
  <si>
    <t>2、3、4</t>
  </si>
  <si>
    <t>4*2000</t>
  </si>
  <si>
    <t>300元/吨</t>
  </si>
  <si>
    <t>液压机</t>
  </si>
  <si>
    <t>315T</t>
  </si>
  <si>
    <t>200T</t>
  </si>
  <si>
    <t>落片</t>
  </si>
  <si>
    <t>压力机</t>
  </si>
  <si>
    <t>160T</t>
  </si>
  <si>
    <t>折弯</t>
  </si>
  <si>
    <t>125T</t>
  </si>
  <si>
    <t>2、3、4、</t>
  </si>
  <si>
    <t>冲孔</t>
  </si>
  <si>
    <t>100T</t>
  </si>
  <si>
    <t>80T</t>
  </si>
  <si>
    <t>40T</t>
  </si>
  <si>
    <t>切管</t>
  </si>
  <si>
    <t>500以下0.05 ；1米0.065； 1米上0.08</t>
  </si>
  <si>
    <t>砸头枕</t>
  </si>
  <si>
    <t>钻孔</t>
  </si>
  <si>
    <t>攻丝</t>
  </si>
  <si>
    <t>扩孔</t>
  </si>
  <si>
    <t>压扁</t>
  </si>
  <si>
    <t>切边</t>
  </si>
  <si>
    <t>调平/整形</t>
  </si>
  <si>
    <t>镜杆0.2元  座椅0.4元</t>
  </si>
  <si>
    <t>挂簧套扣</t>
  </si>
  <si>
    <t>问题：3</t>
  </si>
  <si>
    <t>焊接总成</t>
  </si>
  <si>
    <t>公式计算错误</t>
  </si>
  <si>
    <t>蛇簧</t>
  </si>
  <si>
    <t>焊接灭火器螺母</t>
  </si>
  <si>
    <t>焊管管壁</t>
  </si>
  <si>
    <t>挂簧勾</t>
  </si>
  <si>
    <t>靠背框线</t>
  </si>
  <si>
    <t>底连接板钢丝</t>
  </si>
  <si>
    <t>头枕导管</t>
  </si>
  <si>
    <t>宽车</t>
  </si>
  <si>
    <r>
      <rPr>
        <sz val="11"/>
        <color theme="1"/>
        <rFont val="宋体"/>
        <family val="3"/>
        <charset val="134"/>
        <scheme val="minor"/>
      </rPr>
      <t>元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</si>
  <si>
    <r>
      <rPr>
        <sz val="11"/>
        <color theme="1"/>
        <rFont val="宋体"/>
        <family val="3"/>
        <charset val="134"/>
        <scheme val="minor"/>
      </rPr>
      <t>面积（M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</si>
  <si>
    <t>2.92KG</t>
  </si>
  <si>
    <t>销价38.53</t>
  </si>
  <si>
    <t>窄车</t>
  </si>
  <si>
    <t>窄车价格36.24</t>
  </si>
  <si>
    <t>2.77KG</t>
  </si>
  <si>
    <t>J6F-BA95前座副背骨架焊接总成</t>
  </si>
  <si>
    <t>物料号</t>
  </si>
  <si>
    <t>图号</t>
  </si>
  <si>
    <t>6901820X2001A</t>
  </si>
  <si>
    <t>靠背弯管25*2.0*1340</t>
  </si>
  <si>
    <t>Q195焊管</t>
  </si>
  <si>
    <t>背下支撑管25*1.5*355</t>
  </si>
  <si>
    <t>落片、折弯、冲孔</t>
  </si>
  <si>
    <t>截料、折弯2</t>
  </si>
  <si>
    <t>2.2KG</t>
  </si>
  <si>
    <t>靠背弯管/背下支撑管</t>
  </si>
  <si>
    <t>靠背弯管</t>
  </si>
  <si>
    <t>背下支撑管</t>
  </si>
  <si>
    <t>切弧</t>
  </si>
  <si>
    <t>打包装带</t>
  </si>
  <si>
    <t>焊螺母2</t>
  </si>
  <si>
    <t>45cm</t>
  </si>
  <si>
    <t>旋转轴固定座</t>
  </si>
  <si>
    <t>靠背侧翼钢丝</t>
  </si>
  <si>
    <t>靠背支撑钢丝</t>
  </si>
  <si>
    <t>支撑钢丝总成</t>
  </si>
  <si>
    <t>m10螺母</t>
  </si>
  <si>
    <r>
      <rPr>
        <sz val="11"/>
        <color theme="1"/>
        <rFont val="宋体"/>
        <family val="3"/>
        <charset val="134"/>
        <scheme val="minor"/>
      </rPr>
      <t>元/M</t>
    </r>
    <r>
      <rPr>
        <vertAlign val="superscript"/>
        <sz val="11"/>
        <color indexed="8"/>
        <rFont val="宋体"/>
        <family val="3"/>
        <charset val="134"/>
      </rPr>
      <t>2</t>
    </r>
  </si>
  <si>
    <t>G9翻滚成本核算表报潍坊</t>
  </si>
  <si>
    <t>左侧边管</t>
  </si>
  <si>
    <t>22*1.5*900</t>
  </si>
  <si>
    <t>右侧边管</t>
  </si>
  <si>
    <t>22*1.5*700</t>
  </si>
  <si>
    <t>左/右边管</t>
  </si>
  <si>
    <t>22*1.5*290*2</t>
  </si>
  <si>
    <t>横管</t>
  </si>
  <si>
    <t>22*1.5*670</t>
  </si>
  <si>
    <t>前横管</t>
  </si>
  <si>
    <t>22*1.5*450</t>
  </si>
  <si>
    <t>后横管</t>
  </si>
  <si>
    <t>夹心</t>
  </si>
  <si>
    <t>18*1.5*100*8</t>
  </si>
  <si>
    <t>压型</t>
  </si>
  <si>
    <t>落片、冲孔</t>
  </si>
  <si>
    <t>落片 、冲孔</t>
  </si>
  <si>
    <t>1、2、3、4、5、6、7</t>
  </si>
  <si>
    <t>左/右侧边管</t>
  </si>
  <si>
    <t>缠气垫膜</t>
  </si>
  <si>
    <t>平垫</t>
  </si>
  <si>
    <t>边管焊平光垫2个</t>
  </si>
  <si>
    <t>M8螺母</t>
  </si>
  <si>
    <t>焊滑槽</t>
  </si>
  <si>
    <t>安装锁片</t>
  </si>
  <si>
    <t>焊限位片6</t>
  </si>
  <si>
    <t>U型焊接件</t>
  </si>
  <si>
    <t>焊总成</t>
  </si>
  <si>
    <t>限位挡片</t>
  </si>
  <si>
    <t>滑槽</t>
  </si>
  <si>
    <t>滑槽手柄</t>
  </si>
  <si>
    <t>销价51.01</t>
  </si>
  <si>
    <t>G7/G9一二排连接支架成本核算表报潍坊</t>
  </si>
  <si>
    <t>连接支架圆管22*1.5*1000</t>
  </si>
  <si>
    <t>内衬管19*1.5*1000</t>
  </si>
  <si>
    <t>1、2</t>
  </si>
  <si>
    <t>1米上1</t>
  </si>
  <si>
    <t>锁紧件连接板、底块</t>
  </si>
  <si>
    <t>铰链连接件焊销轴</t>
  </si>
  <si>
    <t>M10六方螺母</t>
  </si>
  <si>
    <t>锁紧件连接板焊螺母2</t>
  </si>
  <si>
    <t>底块焊螺母2</t>
  </si>
  <si>
    <t>铰链连接件</t>
  </si>
  <si>
    <t>销轴</t>
  </si>
  <si>
    <t>销价18.76</t>
  </si>
  <si>
    <t>后横管25*1.5*1130</t>
  </si>
  <si>
    <t>中间管25*1.5*390*2</t>
  </si>
  <si>
    <t>边管25*1.5*1920</t>
  </si>
  <si>
    <t>拉杆铁丝4*1150*2根</t>
  </si>
  <si>
    <t>65Mn</t>
  </si>
  <si>
    <t>前椅腿25*1.5*300*2</t>
  </si>
  <si>
    <t>夹心管22*1.5*100*2</t>
  </si>
  <si>
    <t>前椅腿横管25*1.5*500</t>
  </si>
  <si>
    <t>后横管（短）25*1.5*280*2</t>
  </si>
  <si>
    <t>背垫连接板117*87*4*2</t>
  </si>
  <si>
    <t>Q235钢板</t>
  </si>
  <si>
    <t>椅腿加强支架70*80*2.5*4</t>
  </si>
  <si>
    <t>9、10</t>
  </si>
  <si>
    <t>落片4、冲孔4、压型4</t>
  </si>
  <si>
    <t>1、2、3、5、6、7、8</t>
  </si>
  <si>
    <t>500下6根、1米上2</t>
  </si>
  <si>
    <t>边管</t>
  </si>
  <si>
    <t>1、2、8</t>
  </si>
  <si>
    <t>前椅腿</t>
  </si>
  <si>
    <t>背垫连接板、安全带螺母</t>
  </si>
  <si>
    <t>冲孔切边</t>
  </si>
  <si>
    <t>挂簧、打卡子</t>
  </si>
  <si>
    <t>连接板焊螺母</t>
  </si>
  <si>
    <t>安全带螺母支架</t>
  </si>
  <si>
    <t>安全带支架焊螺母</t>
  </si>
  <si>
    <t>安全带螺母</t>
  </si>
  <si>
    <t>前椅腿焊平垫</t>
  </si>
  <si>
    <t>挂簧卡子</t>
  </si>
  <si>
    <t>焊接U型件螺母</t>
  </si>
  <si>
    <t>安全带下支架</t>
  </si>
  <si>
    <t>焊接安装锁螺母</t>
  </si>
  <si>
    <t>六角螺母10Mm</t>
  </si>
  <si>
    <t>夹码钉连接卡子</t>
  </si>
  <si>
    <r>
      <rPr>
        <sz val="11"/>
        <color theme="1"/>
        <rFont val="宋体"/>
        <family val="3"/>
        <charset val="134"/>
        <scheme val="minor"/>
      </rPr>
      <t>面积M</t>
    </r>
    <r>
      <rPr>
        <vertAlign val="superscript"/>
        <sz val="11"/>
        <color theme="1"/>
        <rFont val="宋体"/>
        <family val="3"/>
        <charset val="134"/>
        <scheme val="minor"/>
      </rPr>
      <t>2</t>
    </r>
  </si>
  <si>
    <t>前椅腿平垫</t>
  </si>
  <si>
    <t>后椅腿固定支架</t>
  </si>
  <si>
    <t>销价92.24</t>
  </si>
  <si>
    <t>G7/G9一排三人座骨架报潍坊</t>
  </si>
  <si>
    <t>前椅腿25*1.5*110*2</t>
  </si>
  <si>
    <t>7、8</t>
  </si>
  <si>
    <t>1、2、3、5、6、</t>
  </si>
  <si>
    <t>1、2、</t>
  </si>
  <si>
    <t>销价79.09</t>
  </si>
  <si>
    <t>G7/G9二排双人座骨架报潍坊</t>
  </si>
  <si>
    <t>后横管25*1.5*971</t>
  </si>
  <si>
    <t>边管25*1.5*1770</t>
  </si>
  <si>
    <t>拉杆铁丝4*1004*2根</t>
  </si>
  <si>
    <t>后横管25*1.5*400</t>
  </si>
  <si>
    <t>后横管25*1.5*230</t>
  </si>
  <si>
    <t>1、2、7、8</t>
  </si>
  <si>
    <t>销价68</t>
  </si>
  <si>
    <t>G7翻滚成本核算表报潍坊</t>
  </si>
  <si>
    <r>
      <rPr>
        <sz val="11"/>
        <color theme="1"/>
        <rFont val="宋体"/>
        <family val="3"/>
        <charset val="134"/>
        <scheme val="minor"/>
      </rPr>
      <t>22*1.5</t>
    </r>
    <r>
      <rPr>
        <sz val="11"/>
        <color theme="1"/>
        <rFont val="宋体"/>
        <family val="3"/>
        <charset val="134"/>
        <scheme val="minor"/>
      </rPr>
      <t>*1130</t>
    </r>
  </si>
  <si>
    <r>
      <rPr>
        <sz val="11"/>
        <color theme="1"/>
        <rFont val="宋体"/>
        <family val="3"/>
        <charset val="134"/>
        <scheme val="minor"/>
      </rPr>
      <t>22*1.5</t>
    </r>
    <r>
      <rPr>
        <sz val="11"/>
        <color theme="1"/>
        <rFont val="宋体"/>
        <family val="3"/>
        <charset val="134"/>
        <scheme val="minor"/>
      </rPr>
      <t>*430</t>
    </r>
  </si>
  <si>
    <r>
      <rPr>
        <sz val="11"/>
        <color theme="1"/>
        <rFont val="宋体"/>
        <family val="3"/>
        <charset val="134"/>
        <scheme val="minor"/>
      </rPr>
      <t>22*1.5</t>
    </r>
    <r>
      <rPr>
        <sz val="11"/>
        <color theme="1"/>
        <rFont val="宋体"/>
        <family val="3"/>
        <charset val="134"/>
        <scheme val="minor"/>
      </rPr>
      <t>*660</t>
    </r>
  </si>
  <si>
    <r>
      <rPr>
        <sz val="11"/>
        <color theme="1"/>
        <rFont val="宋体"/>
        <family val="3"/>
        <charset val="134"/>
        <scheme val="minor"/>
      </rPr>
      <t>22*1.5</t>
    </r>
    <r>
      <rPr>
        <sz val="11"/>
        <color theme="1"/>
        <rFont val="宋体"/>
        <family val="3"/>
        <charset val="134"/>
        <scheme val="minor"/>
      </rPr>
      <t>*970</t>
    </r>
  </si>
  <si>
    <t>18*1.5*100*4</t>
  </si>
  <si>
    <t>1、2、3、4、5</t>
  </si>
  <si>
    <t>销价24.19</t>
  </si>
  <si>
    <t>G7/G9三排连接支架成本核算表报潍坊</t>
  </si>
  <si>
    <t>连接支架圆管22*1.5*1100</t>
  </si>
  <si>
    <t>内衬管19*1.5*1100</t>
  </si>
  <si>
    <t>销价19.92</t>
  </si>
  <si>
    <t>G7/G9一排双人座骨架报潍坊</t>
  </si>
  <si>
    <t>1、2、3、5、6</t>
  </si>
  <si>
    <t>前椅腿25*1.5*315*2</t>
  </si>
  <si>
    <t>G7铰链成本核算表报潍坊</t>
  </si>
  <si>
    <t>317*150*4钢板</t>
  </si>
  <si>
    <t>销价7.55</t>
  </si>
  <si>
    <t>G9铰链成本核算表报潍坊</t>
  </si>
  <si>
    <t>305*144*4钢板</t>
  </si>
  <si>
    <t>销价7.53</t>
  </si>
  <si>
    <t>K1窄车右铰链成本核算表报潍坊</t>
  </si>
  <si>
    <t>240*106*4钢板</t>
  </si>
  <si>
    <t>小</t>
  </si>
  <si>
    <t>大</t>
  </si>
  <si>
    <t>销价4.31</t>
  </si>
  <si>
    <t>前翻10人翻滚支架铰链成本核算表报潍坊</t>
  </si>
  <si>
    <t>70*78*4钢板</t>
  </si>
  <si>
    <t>销价1.5</t>
  </si>
  <si>
    <t>分体1800坐垫</t>
  </si>
  <si>
    <t>焊管22*1.5*1600</t>
  </si>
  <si>
    <t>焊管22*1.5*730</t>
  </si>
  <si>
    <t>压管</t>
  </si>
  <si>
    <t>挂黄</t>
  </si>
  <si>
    <t>套管打捆</t>
  </si>
  <si>
    <t>右脚架</t>
  </si>
  <si>
    <t>左前固定板</t>
  </si>
  <si>
    <t>左后固定板</t>
  </si>
  <si>
    <t>横梁</t>
  </si>
  <si>
    <t>焊接螺栓</t>
  </si>
  <si>
    <t>右前螺栓</t>
  </si>
  <si>
    <t>销价</t>
  </si>
  <si>
    <t>焊管19*1.5*1600</t>
  </si>
  <si>
    <t>焊管19*1.5*750</t>
  </si>
  <si>
    <t>钢丝</t>
  </si>
  <si>
    <t>螺栓</t>
  </si>
  <si>
    <t>钣金焊接件</t>
  </si>
  <si>
    <t>销价22.6</t>
  </si>
  <si>
    <t>整体1800坐垫</t>
  </si>
  <si>
    <t>右前固定板</t>
  </si>
  <si>
    <t>右后固定板</t>
  </si>
  <si>
    <t>焊管25*1.5*780*2</t>
  </si>
  <si>
    <t>焊管12*1.5*590</t>
  </si>
  <si>
    <t>Q196焊管</t>
  </si>
  <si>
    <t>1.2.3.4</t>
  </si>
  <si>
    <t>左旋转轴固定座</t>
  </si>
  <si>
    <t>螺母</t>
  </si>
  <si>
    <t>产品价格分析表</t>
  </si>
  <si>
    <t>产品名称：</t>
  </si>
  <si>
    <t>1995付垫右舵</t>
  </si>
  <si>
    <t>04.02.149</t>
  </si>
  <si>
    <t>制造成本</t>
  </si>
  <si>
    <t>规格及工序描述</t>
  </si>
  <si>
    <t>单位</t>
  </si>
  <si>
    <t>耗用量</t>
  </si>
  <si>
    <t>焊管20*1.2*1800、20*1.2*998、20*1.2*390</t>
  </si>
  <si>
    <t>千克</t>
  </si>
  <si>
    <t>方管20*20*380*2、20*20*290*2、20*20*40*2</t>
  </si>
  <si>
    <t>钢丝5*380*2、5*300*1、5*830*1、5*325*1</t>
  </si>
  <si>
    <t>5*355*1、5*50*2</t>
  </si>
  <si>
    <t>工序费</t>
  </si>
  <si>
    <t>项目工种</t>
  </si>
  <si>
    <t>分配率</t>
  </si>
  <si>
    <t>工部</t>
  </si>
  <si>
    <t>小时</t>
  </si>
  <si>
    <t>调试</t>
  </si>
  <si>
    <t>采购零部件费</t>
  </si>
  <si>
    <t>螺丝</t>
  </si>
  <si>
    <t>冲压件</t>
  </si>
  <si>
    <t>包装费</t>
  </si>
  <si>
    <t>喷涂费</t>
  </si>
  <si>
    <t>运费</t>
  </si>
  <si>
    <t>制作费用</t>
  </si>
  <si>
    <t>小计</t>
  </si>
  <si>
    <t>营业成本</t>
  </si>
  <si>
    <t>管理费用</t>
  </si>
  <si>
    <t>财务费用</t>
  </si>
  <si>
    <t>其他费用</t>
  </si>
  <si>
    <t>毛坯件合计</t>
  </si>
  <si>
    <t>成品价格</t>
  </si>
  <si>
    <t>含表面处理费</t>
  </si>
  <si>
    <t>1695付背</t>
  </si>
  <si>
    <t>04.02.165</t>
  </si>
  <si>
    <t>25*2.0*1590</t>
  </si>
  <si>
    <t>25*2.0*620</t>
  </si>
  <si>
    <t>12*2.0*426</t>
  </si>
  <si>
    <t>6*860</t>
  </si>
  <si>
    <t>调试挂簧</t>
  </si>
  <si>
    <t>材料类别</t>
    <phoneticPr fontId="23" type="noConversion"/>
  </si>
  <si>
    <t>规格型号</t>
    <phoneticPr fontId="23" type="noConversion"/>
  </si>
  <si>
    <t>年度</t>
    <phoneticPr fontId="23" type="noConversion"/>
  </si>
  <si>
    <t>1月</t>
    <phoneticPr fontId="23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</si>
  <si>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</si>
  <si>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</si>
  <si>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</si>
  <si>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</si>
  <si>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</si>
  <si>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</si>
  <si>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</si>
  <si>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</si>
  <si>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</si>
  <si>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</si>
  <si>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</si>
  <si>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均价</t>
    <phoneticPr fontId="23" type="noConversion"/>
  </si>
  <si>
    <t>同比涨幅</t>
    <phoneticPr fontId="23" type="noConversion"/>
  </si>
  <si>
    <t>钢板 热</t>
    <phoneticPr fontId="23" type="noConversion"/>
  </si>
  <si>
    <t>Q235  5.0</t>
    <phoneticPr fontId="23" type="noConversion"/>
  </si>
  <si>
    <t>吨</t>
    <phoneticPr fontId="23" type="noConversion"/>
  </si>
  <si>
    <t>钢板 热</t>
    <phoneticPr fontId="23" type="noConversion"/>
  </si>
  <si>
    <t>Q235  5.0</t>
    <phoneticPr fontId="23" type="noConversion"/>
  </si>
  <si>
    <t>吨</t>
    <phoneticPr fontId="23" type="noConversion"/>
  </si>
  <si>
    <t>2.0的含税高300元/吨，+265.49元；3.0的含税高200元/吨，+176.99元</t>
    <phoneticPr fontId="23" type="noConversion"/>
  </si>
  <si>
    <t>焊管</t>
    <phoneticPr fontId="23" type="noConversion"/>
  </si>
  <si>
    <t>Q195-225  1寸*3.25mm</t>
    <phoneticPr fontId="23" type="noConversion"/>
  </si>
  <si>
    <t>天津友发</t>
    <phoneticPr fontId="23" type="noConversion"/>
  </si>
  <si>
    <t>焊管</t>
    <phoneticPr fontId="23" type="noConversion"/>
  </si>
  <si>
    <t>Q195-225  1寸*3.25mm</t>
    <phoneticPr fontId="23" type="noConversion"/>
  </si>
  <si>
    <t>吨</t>
    <phoneticPr fontId="23" type="noConversion"/>
  </si>
  <si>
    <t>钢板 冷</t>
    <phoneticPr fontId="23" type="noConversion"/>
  </si>
  <si>
    <t>ST12  1.0*1250*C</t>
    <phoneticPr fontId="23" type="noConversion"/>
  </si>
  <si>
    <t>鞍钢</t>
    <phoneticPr fontId="23" type="noConversion"/>
  </si>
  <si>
    <t>吨</t>
    <phoneticPr fontId="23" type="noConversion"/>
  </si>
  <si>
    <t>SPCC  1.0*1250*C</t>
    <phoneticPr fontId="23" type="noConversion"/>
  </si>
  <si>
    <t>G7/G9三排三人座骨架报潍坊</t>
    <phoneticPr fontId="23" type="noConversion"/>
  </si>
  <si>
    <t>未税</t>
    <phoneticPr fontId="23" type="noConversion"/>
  </si>
  <si>
    <t>含税</t>
    <phoneticPr fontId="23" type="noConversion"/>
  </si>
  <si>
    <t>北京测算价格</t>
    <phoneticPr fontId="23" type="noConversion"/>
  </si>
  <si>
    <t>净重kg</t>
    <phoneticPr fontId="23" type="noConversion"/>
  </si>
  <si>
    <t>实物称重KG</t>
    <phoneticPr fontId="23" type="noConversion"/>
  </si>
  <si>
    <t>调整前未税每公斤价格</t>
    <phoneticPr fontId="23" type="noConversion"/>
  </si>
  <si>
    <t>图号</t>
    <phoneticPr fontId="23" type="noConversion"/>
  </si>
  <si>
    <r>
      <t>@</t>
    </r>
    <r>
      <rPr>
        <sz val="11"/>
        <color theme="1"/>
        <rFont val="宋体"/>
        <family val="3"/>
        <charset val="134"/>
        <scheme val="minor"/>
      </rPr>
      <t>FTK1Z-7511130</t>
    </r>
    <phoneticPr fontId="23" type="noConversion"/>
  </si>
  <si>
    <t>按图纸测算</t>
    <phoneticPr fontId="23" type="noConversion"/>
  </si>
  <si>
    <t>潍坊核算价格涨幅</t>
    <phoneticPr fontId="23" type="noConversion"/>
  </si>
  <si>
    <t>广亿核算价格涨幅</t>
    <phoneticPr fontId="23" type="noConversion"/>
  </si>
  <si>
    <t>@FTK1Z-7533100</t>
    <phoneticPr fontId="23" type="noConversion"/>
  </si>
  <si>
    <t>图纸无重量</t>
    <phoneticPr fontId="23" type="noConversion"/>
  </si>
  <si>
    <t>@FTK1-7651100</t>
    <phoneticPr fontId="23" type="noConversion"/>
  </si>
  <si>
    <t>@FTK1-7571110</t>
    <phoneticPr fontId="23" type="noConversion"/>
  </si>
  <si>
    <t>备注</t>
    <phoneticPr fontId="23" type="noConversion"/>
  </si>
  <si>
    <t>图纸错误</t>
    <phoneticPr fontId="23" type="noConversion"/>
  </si>
  <si>
    <t>G9翻滚</t>
    <phoneticPr fontId="23" type="noConversion"/>
  </si>
  <si>
    <t>G7/g9一排双人座骨架</t>
    <phoneticPr fontId="23" type="noConversion"/>
  </si>
  <si>
    <t>SLI0000618</t>
    <phoneticPr fontId="23" type="noConversion"/>
  </si>
  <si>
    <t>G7/g9三人三排座骨架</t>
    <phoneticPr fontId="23" type="noConversion"/>
  </si>
  <si>
    <t>SLI0001067</t>
    <phoneticPr fontId="23" type="noConversion"/>
  </si>
  <si>
    <t>G7/g9一排三人座骨架</t>
    <phoneticPr fontId="23" type="noConversion"/>
  </si>
  <si>
    <t>SLI0000634</t>
    <phoneticPr fontId="23" type="noConversion"/>
  </si>
  <si>
    <t>供应商多报芯子管重量</t>
    <phoneticPr fontId="23" type="noConversion"/>
  </si>
  <si>
    <t>无图纸</t>
    <phoneticPr fontId="23" type="noConversion"/>
  </si>
  <si>
    <t>此次不调整</t>
    <phoneticPr fontId="23" type="noConversion"/>
  </si>
  <si>
    <t>@FTK1Z-7521110</t>
    <phoneticPr fontId="23" type="noConversion"/>
  </si>
  <si>
    <t>G7/g9三排连接支架</t>
    <phoneticPr fontId="23" type="noConversion"/>
  </si>
  <si>
    <t>SLI0001068</t>
    <phoneticPr fontId="23" type="noConversion"/>
  </si>
  <si>
    <t>FTK1Z-7501110</t>
    <phoneticPr fontId="23" type="noConversion"/>
  </si>
  <si>
    <t>G7/g9一二排链接支架</t>
    <phoneticPr fontId="23" type="noConversion"/>
  </si>
  <si>
    <t>SLI0000619</t>
    <phoneticPr fontId="23" type="noConversion"/>
  </si>
  <si>
    <t>按基础价格、钢材差价</t>
    <phoneticPr fontId="23" type="noConversion"/>
  </si>
  <si>
    <t>FTK1-6805000/6905000</t>
    <phoneticPr fontId="23" type="noConversion"/>
  </si>
  <si>
    <t>K1宽车司机靠背</t>
    <phoneticPr fontId="23" type="noConversion"/>
  </si>
  <si>
    <t>SLI0000324</t>
    <phoneticPr fontId="23" type="noConversion"/>
  </si>
  <si>
    <t>图纸错误</t>
    <phoneticPr fontId="23" type="noConversion"/>
  </si>
  <si>
    <r>
      <t>8</t>
    </r>
    <r>
      <rPr>
        <sz val="11"/>
        <color theme="1"/>
        <rFont val="宋体"/>
        <family val="3"/>
        <charset val="134"/>
        <scheme val="minor"/>
      </rPr>
      <t>0T+60T</t>
    </r>
    <phoneticPr fontId="23" type="noConversion"/>
  </si>
  <si>
    <t>参考</t>
    <phoneticPr fontId="23" type="noConversion"/>
  </si>
  <si>
    <r>
      <t>@</t>
    </r>
    <r>
      <rPr>
        <sz val="11"/>
        <color theme="1"/>
        <rFont val="宋体"/>
        <family val="3"/>
        <charset val="134"/>
        <scheme val="minor"/>
      </rPr>
      <t>FTK1-7511130</t>
    </r>
    <phoneticPr fontId="23" type="noConversion"/>
  </si>
  <si>
    <t>SLI0000439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</si>
</sst>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;_耀"/>
    <numFmt numFmtId="177" formatCode="0.00_ "/>
    <numFmt numFmtId="178" formatCode="0.0_ "/>
    <numFmt numFmtId="179" formatCode="0.0%"/>
    <numFmt numFmtId="180" formatCode="0.000_ "/>
  </numFmts>
  <fonts count="29" x14ac:knownFonts="1">
    <font>
      <sz val="11"/>
      <color theme="1"/>
      <name val="宋体"/>
      <charset val="134"/>
      <scheme val="minor"/>
    </font>
    <font>
      <sz val="25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indexed="8"/>
      <name val="宋体"/>
      <family val="3"/>
      <charset val="134"/>
    </font>
    <font>
      <sz val="17"/>
      <color indexed="8"/>
      <name val="宋体"/>
      <family val="3"/>
      <charset val="134"/>
    </font>
    <font>
      <sz val="15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11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vertAlign val="superscript"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7" fillId="9" borderId="16" applyNumberFormat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17" fillId="9" borderId="16" applyNumberFormat="0" applyAlignment="0" applyProtection="0">
      <alignment vertical="center"/>
    </xf>
    <xf numFmtId="0" fontId="19" fillId="0" borderId="0"/>
    <xf numFmtId="0" fontId="22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2" fillId="0" borderId="0" xfId="13"/>
    <xf numFmtId="0" fontId="3" fillId="0" borderId="1" xfId="13" applyFont="1" applyBorder="1" applyAlignment="1">
      <alignment vertical="center" shrinkToFit="1"/>
    </xf>
    <xf numFmtId="0" fontId="5" fillId="0" borderId="2" xfId="13" applyFont="1" applyBorder="1" applyAlignment="1">
      <alignment horizontal="center" vertical="center" shrinkToFit="1"/>
    </xf>
    <xf numFmtId="0" fontId="6" fillId="0" borderId="2" xfId="13" applyFont="1" applyBorder="1" applyAlignment="1">
      <alignment horizontal="center" vertical="center" shrinkToFit="1"/>
    </xf>
    <xf numFmtId="0" fontId="7" fillId="0" borderId="2" xfId="13" applyFont="1" applyBorder="1" applyAlignment="1">
      <alignment horizontal="center" vertical="center" shrinkToFit="1"/>
    </xf>
    <xf numFmtId="178" fontId="6" fillId="0" borderId="2" xfId="13" applyNumberFormat="1" applyFont="1" applyBorder="1" applyAlignment="1">
      <alignment horizontal="center" vertical="center" shrinkToFit="1"/>
    </xf>
    <xf numFmtId="0" fontId="7" fillId="0" borderId="5" xfId="13" applyFont="1" applyBorder="1" applyAlignment="1">
      <alignment horizontal="center" vertical="center" shrinkToFit="1"/>
    </xf>
    <xf numFmtId="0" fontId="6" fillId="2" borderId="2" xfId="14" applyFont="1" applyFill="1" applyBorder="1" applyAlignment="1">
      <alignment horizontal="center" vertical="center"/>
    </xf>
    <xf numFmtId="0" fontId="6" fillId="2" borderId="3" xfId="14" applyFont="1" applyFill="1" applyBorder="1" applyAlignment="1">
      <alignment horizontal="center" vertical="center"/>
    </xf>
    <xf numFmtId="0" fontId="7" fillId="0" borderId="9" xfId="13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2" fillId="0" borderId="0" xfId="12"/>
    <xf numFmtId="0" fontId="3" fillId="0" borderId="1" xfId="12" applyFont="1" applyBorder="1" applyAlignment="1">
      <alignment vertical="center" shrinkToFit="1"/>
    </xf>
    <xf numFmtId="0" fontId="5" fillId="0" borderId="2" xfId="12" applyFont="1" applyBorder="1" applyAlignment="1">
      <alignment horizontal="center" vertical="center" shrinkToFit="1"/>
    </xf>
    <xf numFmtId="0" fontId="6" fillId="0" borderId="2" xfId="12" applyFont="1" applyBorder="1" applyAlignment="1">
      <alignment horizontal="center" vertical="center" shrinkToFit="1"/>
    </xf>
    <xf numFmtId="0" fontId="7" fillId="0" borderId="2" xfId="12" applyFont="1" applyBorder="1" applyAlignment="1">
      <alignment horizontal="center" vertical="center" shrinkToFit="1"/>
    </xf>
    <xf numFmtId="178" fontId="6" fillId="0" borderId="2" xfId="12" applyNumberFormat="1" applyFont="1" applyBorder="1" applyAlignment="1">
      <alignment horizontal="center" vertical="center" shrinkToFit="1"/>
    </xf>
    <xf numFmtId="0" fontId="7" fillId="0" borderId="5" xfId="12" applyFont="1" applyBorder="1" applyAlignment="1">
      <alignment horizontal="center" vertical="center" shrinkToFit="1"/>
    </xf>
    <xf numFmtId="0" fontId="6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/>
    </xf>
    <xf numFmtId="0" fontId="7" fillId="0" borderId="9" xfId="1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NumberFormat="1" applyBorder="1" applyAlignment="1">
      <alignment vertical="top" shrinkToFit="1"/>
    </xf>
    <xf numFmtId="0" fontId="0" fillId="0" borderId="8" xfId="0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176" fontId="0" fillId="4" borderId="2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2" fillId="0" borderId="1" xfId="10" applyFont="1" applyBorder="1" applyAlignment="1">
      <alignment horizontal="center" vertical="center"/>
    </xf>
    <xf numFmtId="0" fontId="22" fillId="0" borderId="2" xfId="10" applyBorder="1" applyAlignment="1">
      <alignment horizontal="center" vertical="center" shrinkToFit="1"/>
    </xf>
    <xf numFmtId="176" fontId="22" fillId="0" borderId="2" xfId="10" applyNumberFormat="1" applyBorder="1" applyAlignment="1">
      <alignment horizontal="center" vertical="center" shrinkToFit="1"/>
    </xf>
    <xf numFmtId="0" fontId="22" fillId="0" borderId="6" xfId="10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shrinkToFit="1"/>
    </xf>
    <xf numFmtId="0" fontId="22" fillId="0" borderId="8" xfId="10" applyBorder="1" applyAlignment="1">
      <alignment horizontal="center" vertical="center" shrinkToFit="1"/>
    </xf>
    <xf numFmtId="0" fontId="22" fillId="0" borderId="2" xfId="10" applyBorder="1" applyAlignment="1">
      <alignment horizontal="center" vertical="center"/>
    </xf>
    <xf numFmtId="0" fontId="22" fillId="0" borderId="2" xfId="10" applyNumberFormat="1" applyBorder="1" applyAlignment="1">
      <alignment vertical="top" shrinkToFit="1"/>
    </xf>
    <xf numFmtId="0" fontId="2" fillId="0" borderId="2" xfId="0" applyFont="1" applyFill="1" applyBorder="1" applyAlignment="1"/>
    <xf numFmtId="0" fontId="22" fillId="0" borderId="4" xfId="10" applyFill="1" applyBorder="1" applyAlignment="1">
      <alignment horizontal="center" vertical="center" shrinkToFit="1"/>
    </xf>
    <xf numFmtId="0" fontId="22" fillId="0" borderId="0" xfId="10">
      <alignment vertical="center"/>
    </xf>
    <xf numFmtId="0" fontId="22" fillId="0" borderId="5" xfId="10" applyBorder="1" applyAlignment="1">
      <alignment horizontal="center" vertical="center"/>
    </xf>
    <xf numFmtId="0" fontId="22" fillId="0" borderId="2" xfId="10" applyBorder="1" applyAlignment="1">
      <alignment vertical="center" shrinkToFit="1"/>
    </xf>
    <xf numFmtId="176" fontId="22" fillId="0" borderId="2" xfId="10" applyNumberFormat="1" applyBorder="1">
      <alignment vertical="center"/>
    </xf>
    <xf numFmtId="0" fontId="22" fillId="0" borderId="2" xfId="10" applyBorder="1">
      <alignment vertical="center"/>
    </xf>
    <xf numFmtId="177" fontId="22" fillId="0" borderId="2" xfId="10" applyNumberFormat="1" applyBorder="1" applyAlignment="1">
      <alignment horizontal="center" vertical="center" shrinkToFit="1"/>
    </xf>
    <xf numFmtId="0" fontId="22" fillId="4" borderId="2" xfId="10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0" fillId="7" borderId="2" xfId="0" applyFill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177" fontId="0" fillId="0" borderId="0" xfId="0" applyNumberFormat="1">
      <alignment vertical="center"/>
    </xf>
    <xf numFmtId="176" fontId="11" fillId="4" borderId="2" xfId="0" applyNumberFormat="1" applyFont="1" applyFill="1" applyBorder="1">
      <alignment vertical="center"/>
    </xf>
    <xf numFmtId="177" fontId="0" fillId="7" borderId="0" xfId="0" applyNumberFormat="1" applyFill="1">
      <alignment vertical="center"/>
    </xf>
    <xf numFmtId="0" fontId="0" fillId="6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3" applyBorder="1" applyAlignment="1">
      <alignment horizontal="center" vertical="center"/>
    </xf>
    <xf numFmtId="0" fontId="16" fillId="0" borderId="2" xfId="3" applyFill="1" applyBorder="1" applyAlignment="1">
      <alignment horizontal="center" vertical="center"/>
    </xf>
    <xf numFmtId="0" fontId="24" fillId="6" borderId="2" xfId="15" applyFont="1" applyFill="1" applyBorder="1" applyAlignment="1">
      <alignment horizontal="center" vertical="center"/>
    </xf>
    <xf numFmtId="0" fontId="25" fillId="0" borderId="2" xfId="16" applyFont="1" applyBorder="1" applyAlignment="1">
      <alignment horizontal="center" vertical="center"/>
    </xf>
    <xf numFmtId="43" fontId="25" fillId="0" borderId="2" xfId="17" applyFont="1" applyBorder="1" applyAlignment="1">
      <alignment horizontal="center" vertical="center"/>
    </xf>
    <xf numFmtId="0" fontId="25" fillId="0" borderId="2" xfId="16" applyFont="1" applyBorder="1">
      <alignment vertical="center"/>
    </xf>
    <xf numFmtId="0" fontId="25" fillId="0" borderId="0" xfId="16" applyFont="1">
      <alignment vertical="center"/>
    </xf>
    <xf numFmtId="0" fontId="15" fillId="0" borderId="2" xfId="16" applyBorder="1" applyAlignment="1">
      <alignment horizontal="center" vertical="center"/>
    </xf>
    <xf numFmtId="0" fontId="15" fillId="0" borderId="2" xfId="16" applyBorder="1">
      <alignment vertical="center"/>
    </xf>
    <xf numFmtId="43" fontId="0" fillId="0" borderId="2" xfId="17" applyFont="1" applyBorder="1">
      <alignment vertical="center"/>
    </xf>
    <xf numFmtId="0" fontId="15" fillId="0" borderId="0" xfId="16">
      <alignment vertical="center"/>
    </xf>
    <xf numFmtId="179" fontId="0" fillId="0" borderId="2" xfId="18" applyNumberFormat="1" applyFont="1" applyBorder="1">
      <alignment vertical="center"/>
    </xf>
    <xf numFmtId="0" fontId="15" fillId="0" borderId="0" xfId="16" applyAlignment="1">
      <alignment horizontal="center" vertical="center"/>
    </xf>
    <xf numFmtId="43" fontId="0" fillId="0" borderId="0" xfId="17" applyFo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/>
    </xf>
    <xf numFmtId="43" fontId="0" fillId="0" borderId="2" xfId="2" applyFont="1" applyFill="1" applyBorder="1" applyAlignment="1">
      <alignment horizontal="center" vertical="center"/>
    </xf>
    <xf numFmtId="43" fontId="0" fillId="0" borderId="2" xfId="2" applyFont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2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3" fontId="0" fillId="0" borderId="1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176" fontId="0" fillId="5" borderId="2" xfId="0" applyNumberFormat="1" applyFill="1" applyBorder="1" applyAlignment="1">
      <alignment horizontal="center" vertical="center" shrinkToFit="1"/>
    </xf>
    <xf numFmtId="43" fontId="15" fillId="0" borderId="2" xfId="2" applyFont="1" applyBorder="1">
      <alignment vertical="center"/>
    </xf>
    <xf numFmtId="0" fontId="15" fillId="0" borderId="18" xfId="0" applyFont="1" applyBorder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/>
    </xf>
    <xf numFmtId="43" fontId="0" fillId="3" borderId="2" xfId="2" applyFont="1" applyFill="1" applyBorder="1">
      <alignment vertical="center"/>
    </xf>
    <xf numFmtId="0" fontId="0" fillId="3" borderId="0" xfId="0" applyFill="1" applyAlignment="1">
      <alignment horizontal="center" vertical="center"/>
    </xf>
    <xf numFmtId="179" fontId="0" fillId="0" borderId="2" xfId="4" applyNumberFormat="1" applyFont="1" applyBorder="1">
      <alignment vertical="center"/>
    </xf>
    <xf numFmtId="0" fontId="16" fillId="10" borderId="2" xfId="3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49" fontId="0" fillId="10" borderId="18" xfId="0" applyNumberFormat="1" applyFill="1" applyBorder="1" applyAlignment="1">
      <alignment horizontal="center" vertical="center"/>
    </xf>
    <xf numFmtId="43" fontId="0" fillId="10" borderId="2" xfId="2" applyFont="1" applyFill="1" applyBorder="1" applyAlignment="1">
      <alignment horizontal="center" vertical="center"/>
    </xf>
    <xf numFmtId="179" fontId="0" fillId="10" borderId="2" xfId="4" applyNumberFormat="1" applyFont="1" applyFill="1" applyBorder="1">
      <alignment vertical="center"/>
    </xf>
    <xf numFmtId="43" fontId="0" fillId="10" borderId="2" xfId="2" applyFont="1" applyFill="1" applyBorder="1">
      <alignment vertical="center"/>
    </xf>
    <xf numFmtId="0" fontId="0" fillId="10" borderId="18" xfId="0" applyFill="1" applyBorder="1" applyAlignment="1">
      <alignment horizontal="center" vertical="center"/>
    </xf>
    <xf numFmtId="43" fontId="0" fillId="10" borderId="18" xfId="0" applyNumberFormat="1" applyFill="1" applyBorder="1" applyAlignment="1">
      <alignment horizontal="center" vertical="center"/>
    </xf>
    <xf numFmtId="0" fontId="15" fillId="10" borderId="18" xfId="0" applyFont="1" applyFill="1" applyBorder="1">
      <alignment vertical="center"/>
    </xf>
    <xf numFmtId="0" fontId="25" fillId="11" borderId="2" xfId="0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shrinkToFit="1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6" fillId="0" borderId="17" xfId="15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6" xfId="10" applyBorder="1" applyAlignment="1">
      <alignment horizontal="center" vertical="center"/>
    </xf>
    <xf numFmtId="0" fontId="22" fillId="0" borderId="8" xfId="10" applyBorder="1" applyAlignment="1">
      <alignment horizontal="center" vertical="center"/>
    </xf>
    <xf numFmtId="177" fontId="22" fillId="4" borderId="6" xfId="10" applyNumberFormat="1" applyFill="1" applyBorder="1" applyAlignment="1">
      <alignment horizontal="center" vertical="center"/>
    </xf>
    <xf numFmtId="177" fontId="22" fillId="4" borderId="7" xfId="10" applyNumberFormat="1" applyFill="1" applyBorder="1" applyAlignment="1">
      <alignment horizontal="center" vertical="center"/>
    </xf>
    <xf numFmtId="177" fontId="22" fillId="4" borderId="8" xfId="10" applyNumberFormat="1" applyFill="1" applyBorder="1" applyAlignment="1">
      <alignment horizontal="center" vertical="center"/>
    </xf>
    <xf numFmtId="177" fontId="22" fillId="0" borderId="6" xfId="10" applyNumberFormat="1" applyBorder="1" applyAlignment="1">
      <alignment horizontal="center" vertical="center"/>
    </xf>
    <xf numFmtId="177" fontId="22" fillId="0" borderId="7" xfId="10" applyNumberFormat="1" applyBorder="1" applyAlignment="1">
      <alignment horizontal="center" vertical="center"/>
    </xf>
    <xf numFmtId="177" fontId="22" fillId="0" borderId="8" xfId="10" applyNumberFormat="1" applyBorder="1" applyAlignment="1">
      <alignment horizontal="center" vertical="center"/>
    </xf>
    <xf numFmtId="0" fontId="22" fillId="0" borderId="7" xfId="10" applyBorder="1">
      <alignment vertical="center"/>
    </xf>
    <xf numFmtId="0" fontId="22" fillId="0" borderId="8" xfId="10" applyBorder="1">
      <alignment vertical="center"/>
    </xf>
    <xf numFmtId="0" fontId="22" fillId="0" borderId="6" xfId="10" applyBorder="1" applyAlignment="1">
      <alignment horizontal="center" vertical="center" shrinkToFit="1"/>
    </xf>
    <xf numFmtId="0" fontId="22" fillId="0" borderId="8" xfId="10" applyBorder="1" applyAlignment="1">
      <alignment horizontal="center" vertical="center" shrinkToFit="1"/>
    </xf>
    <xf numFmtId="0" fontId="12" fillId="0" borderId="1" xfId="10" applyFont="1" applyBorder="1" applyAlignment="1">
      <alignment horizontal="center" vertical="center"/>
    </xf>
    <xf numFmtId="0" fontId="22" fillId="0" borderId="1" xfId="10" applyBorder="1">
      <alignment vertical="center"/>
    </xf>
    <xf numFmtId="0" fontId="12" fillId="0" borderId="7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177" fontId="11" fillId="4" borderId="2" xfId="0" applyNumberFormat="1" applyFont="1" applyFill="1" applyBorder="1" applyAlignment="1">
      <alignment horizontal="center" vertical="center"/>
    </xf>
    <xf numFmtId="0" fontId="7" fillId="0" borderId="13" xfId="12" applyFont="1" applyBorder="1" applyAlignment="1">
      <alignment horizontal="center" vertical="center" shrinkToFit="1"/>
    </xf>
    <xf numFmtId="0" fontId="7" fillId="0" borderId="14" xfId="12" applyFont="1" applyBorder="1" applyAlignment="1">
      <alignment horizontal="center" vertical="center" shrinkToFit="1"/>
    </xf>
    <xf numFmtId="0" fontId="7" fillId="0" borderId="15" xfId="12" applyFont="1" applyBorder="1" applyAlignment="1">
      <alignment horizontal="center" vertical="center" shrinkToFit="1"/>
    </xf>
    <xf numFmtId="177" fontId="7" fillId="0" borderId="6" xfId="12" applyNumberFormat="1" applyFont="1" applyBorder="1" applyAlignment="1">
      <alignment horizontal="center" vertical="center" shrinkToFit="1"/>
    </xf>
    <xf numFmtId="0" fontId="7" fillId="0" borderId="7" xfId="12" applyFont="1" applyBorder="1" applyAlignment="1">
      <alignment horizontal="center" vertical="center" shrinkToFit="1"/>
    </xf>
    <xf numFmtId="0" fontId="7" fillId="0" borderId="8" xfId="12" applyFont="1" applyBorder="1" applyAlignment="1">
      <alignment horizontal="center" vertical="center" shrinkToFit="1"/>
    </xf>
    <xf numFmtId="0" fontId="7" fillId="0" borderId="2" xfId="12" applyFont="1" applyBorder="1" applyAlignment="1">
      <alignment horizontal="center" vertical="center" shrinkToFit="1"/>
    </xf>
    <xf numFmtId="0" fontId="7" fillId="0" borderId="3" xfId="12" applyFont="1" applyBorder="1" applyAlignment="1">
      <alignment horizontal="center" vertical="center" shrinkToFit="1"/>
    </xf>
    <xf numFmtId="0" fontId="7" fillId="0" borderId="4" xfId="12" applyFont="1" applyBorder="1" applyAlignment="1">
      <alignment horizontal="center" vertical="center" shrinkToFit="1"/>
    </xf>
    <xf numFmtId="0" fontId="7" fillId="0" borderId="5" xfId="12" applyFont="1" applyBorder="1" applyAlignment="1">
      <alignment horizontal="center" vertical="center" shrinkToFit="1"/>
    </xf>
    <xf numFmtId="0" fontId="4" fillId="0" borderId="2" xfId="12" applyFont="1" applyBorder="1" applyAlignment="1">
      <alignment horizontal="center" vertical="center" shrinkToFit="1"/>
    </xf>
    <xf numFmtId="177" fontId="7" fillId="0" borderId="7" xfId="12" applyNumberFormat="1" applyFont="1" applyBorder="1" applyAlignment="1">
      <alignment horizontal="center" vertical="center" shrinkToFit="1"/>
    </xf>
    <xf numFmtId="177" fontId="7" fillId="0" borderId="8" xfId="12" applyNumberFormat="1" applyFont="1" applyBorder="1" applyAlignment="1">
      <alignment horizontal="center" vertical="center" shrinkToFit="1"/>
    </xf>
    <xf numFmtId="0" fontId="7" fillId="0" borderId="6" xfId="12" applyFont="1" applyBorder="1" applyAlignment="1">
      <alignment horizontal="center" vertical="center" shrinkToFit="1"/>
    </xf>
    <xf numFmtId="177" fontId="7" fillId="0" borderId="10" xfId="12" applyNumberFormat="1" applyFont="1" applyBorder="1" applyAlignment="1">
      <alignment horizontal="center" vertical="center" shrinkToFit="1"/>
    </xf>
    <xf numFmtId="177" fontId="7" fillId="0" borderId="11" xfId="12" applyNumberFormat="1" applyFont="1" applyBorder="1" applyAlignment="1">
      <alignment horizontal="center" vertical="center" shrinkToFit="1"/>
    </xf>
    <xf numFmtId="177" fontId="7" fillId="0" borderId="12" xfId="12" applyNumberFormat="1" applyFont="1" applyBorder="1" applyAlignment="1">
      <alignment horizontal="center" vertical="center" shrinkToFit="1"/>
    </xf>
    <xf numFmtId="0" fontId="1" fillId="0" borderId="0" xfId="12" applyFont="1" applyAlignment="1">
      <alignment horizontal="center" vertical="center" shrinkToFit="1"/>
    </xf>
    <xf numFmtId="0" fontId="3" fillId="0" borderId="1" xfId="12" applyFont="1" applyBorder="1" applyAlignment="1">
      <alignment horizontal="left" vertical="center" shrinkToFit="1"/>
    </xf>
    <xf numFmtId="0" fontId="3" fillId="0" borderId="1" xfId="12" applyFont="1" applyBorder="1" applyAlignment="1">
      <alignment horizontal="center" vertical="center" shrinkToFit="1"/>
    </xf>
    <xf numFmtId="177" fontId="7" fillId="0" borderId="6" xfId="13" applyNumberFormat="1" applyFont="1" applyBorder="1" applyAlignment="1">
      <alignment horizontal="center" vertical="center" shrinkToFit="1"/>
    </xf>
    <xf numFmtId="0" fontId="7" fillId="0" borderId="7" xfId="13" applyFont="1" applyBorder="1" applyAlignment="1">
      <alignment horizontal="center" vertical="center" shrinkToFit="1"/>
    </xf>
    <xf numFmtId="0" fontId="7" fillId="0" borderId="8" xfId="13" applyFont="1" applyBorder="1" applyAlignment="1">
      <alignment horizontal="center" vertical="center" shrinkToFit="1"/>
    </xf>
    <xf numFmtId="0" fontId="7" fillId="0" borderId="2" xfId="13" applyFont="1" applyBorder="1" applyAlignment="1">
      <alignment horizontal="center" vertical="center" shrinkToFit="1"/>
    </xf>
    <xf numFmtId="0" fontId="7" fillId="0" borderId="3" xfId="13" applyFont="1" applyBorder="1" applyAlignment="1">
      <alignment horizontal="center" vertical="center" shrinkToFit="1"/>
    </xf>
    <xf numFmtId="0" fontId="7" fillId="0" borderId="4" xfId="13" applyFont="1" applyBorder="1" applyAlignment="1">
      <alignment horizontal="center" vertical="center" shrinkToFit="1"/>
    </xf>
    <xf numFmtId="0" fontId="7" fillId="0" borderId="5" xfId="13" applyFont="1" applyBorder="1" applyAlignment="1">
      <alignment horizontal="center" vertical="center" shrinkToFit="1"/>
    </xf>
    <xf numFmtId="177" fontId="7" fillId="0" borderId="7" xfId="13" applyNumberFormat="1" applyFont="1" applyBorder="1" applyAlignment="1">
      <alignment horizontal="center" vertical="center" shrinkToFit="1"/>
    </xf>
    <xf numFmtId="177" fontId="7" fillId="0" borderId="8" xfId="13" applyNumberFormat="1" applyFont="1" applyBorder="1" applyAlignment="1">
      <alignment horizontal="center" vertical="center" shrinkToFit="1"/>
    </xf>
    <xf numFmtId="0" fontId="7" fillId="0" borderId="6" xfId="13" applyFont="1" applyBorder="1" applyAlignment="1">
      <alignment horizontal="center" vertical="center" shrinkToFit="1"/>
    </xf>
    <xf numFmtId="177" fontId="7" fillId="0" borderId="10" xfId="13" applyNumberFormat="1" applyFont="1" applyBorder="1" applyAlignment="1">
      <alignment horizontal="center" vertical="center" shrinkToFit="1"/>
    </xf>
    <xf numFmtId="177" fontId="7" fillId="0" borderId="11" xfId="13" applyNumberFormat="1" applyFont="1" applyBorder="1" applyAlignment="1">
      <alignment horizontal="center" vertical="center" shrinkToFit="1"/>
    </xf>
    <xf numFmtId="177" fontId="7" fillId="0" borderId="12" xfId="13" applyNumberFormat="1" applyFont="1" applyBorder="1" applyAlignment="1">
      <alignment horizontal="center" vertical="center" shrinkToFit="1"/>
    </xf>
    <xf numFmtId="0" fontId="7" fillId="0" borderId="13" xfId="13" applyFont="1" applyBorder="1" applyAlignment="1">
      <alignment horizontal="center" vertical="center" shrinkToFit="1"/>
    </xf>
    <xf numFmtId="0" fontId="7" fillId="0" borderId="14" xfId="13" applyFont="1" applyBorder="1" applyAlignment="1">
      <alignment horizontal="center" vertical="center" shrinkToFit="1"/>
    </xf>
    <xf numFmtId="0" fontId="7" fillId="0" borderId="15" xfId="13" applyFont="1" applyBorder="1" applyAlignment="1">
      <alignment horizontal="center" vertical="center" shrinkToFit="1"/>
    </xf>
    <xf numFmtId="0" fontId="4" fillId="0" borderId="2" xfId="13" applyFont="1" applyBorder="1" applyAlignment="1">
      <alignment horizontal="center" vertical="center" shrinkToFit="1"/>
    </xf>
    <xf numFmtId="0" fontId="1" fillId="0" borderId="0" xfId="13" applyFont="1" applyAlignment="1">
      <alignment horizontal="center" vertical="center" shrinkToFit="1"/>
    </xf>
    <xf numFmtId="0" fontId="3" fillId="0" borderId="1" xfId="13" applyFont="1" applyBorder="1" applyAlignment="1">
      <alignment horizontal="left" vertical="center" shrinkToFit="1"/>
    </xf>
    <xf numFmtId="0" fontId="3" fillId="0" borderId="1" xfId="13" applyFont="1" applyBorder="1" applyAlignment="1">
      <alignment horizontal="center" vertical="center" shrinkToFit="1"/>
    </xf>
    <xf numFmtId="43" fontId="0" fillId="0" borderId="0" xfId="0" applyNumberFormat="1">
      <alignment vertical="center"/>
    </xf>
    <xf numFmtId="43" fontId="0" fillId="0" borderId="2" xfId="2" applyFont="1" applyFill="1" applyBorder="1">
      <alignment vertical="center"/>
    </xf>
  </cellXfs>
  <cellStyles count="19">
    <cellStyle name="Normal_Blank quotation sheet" xfId="9"/>
    <cellStyle name="百分比" xfId="4" builtinId="5"/>
    <cellStyle name="百分比 2" xfId="7"/>
    <cellStyle name="百分比 3" xfId="11"/>
    <cellStyle name="百分比 4" xfId="18"/>
    <cellStyle name="常规" xfId="0" builtinId="0"/>
    <cellStyle name="常规 2" xfId="12"/>
    <cellStyle name="常规 2 2 2" xfId="15"/>
    <cellStyle name="常规 3" xfId="13"/>
    <cellStyle name="常规 4" xfId="16"/>
    <cellStyle name="常规 5" xfId="10"/>
    <cellStyle name="常规 6" xfId="6"/>
    <cellStyle name="常规_Sheet1" xfId="14"/>
    <cellStyle name="常规_Sheet1 2" xfId="5"/>
    <cellStyle name="超链接" xfId="3" builtinId="8"/>
    <cellStyle name="千位分隔" xfId="2" builtinId="3"/>
    <cellStyle name="千位分隔 2" xfId="17"/>
    <cellStyle name="输出 2" xfId="8"/>
    <cellStyle name="输出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"/>
  <sheetViews>
    <sheetView workbookViewId="0">
      <selection activeCell="N19" sqref="N19"/>
    </sheetView>
  </sheetViews>
  <sheetFormatPr defaultRowHeight="13.5" x14ac:dyDescent="0.15"/>
  <cols>
    <col min="1" max="1" width="9" style="97"/>
    <col min="2" max="2" width="20.125" style="97" customWidth="1"/>
    <col min="3" max="3" width="5.125" style="97" customWidth="1"/>
    <col min="4" max="4" width="6.375" style="99" customWidth="1"/>
    <col min="5" max="16" width="7.125" style="97" customWidth="1"/>
    <col min="17" max="17" width="11" style="100" customWidth="1"/>
    <col min="18" max="16384" width="9" style="97"/>
  </cols>
  <sheetData>
    <row r="1" spans="1:19" s="93" customFormat="1" ht="29.25" customHeight="1" x14ac:dyDescent="0.15">
      <c r="A1" s="89" t="s">
        <v>425</v>
      </c>
      <c r="B1" s="89" t="s">
        <v>426</v>
      </c>
      <c r="C1" s="89" t="s">
        <v>390</v>
      </c>
      <c r="D1" s="90" t="s">
        <v>427</v>
      </c>
      <c r="E1" s="90" t="s">
        <v>428</v>
      </c>
      <c r="F1" s="90" t="s">
        <v>429</v>
      </c>
      <c r="G1" s="90" t="s">
        <v>430</v>
      </c>
      <c r="H1" s="90" t="s">
        <v>431</v>
      </c>
      <c r="I1" s="90" t="s">
        <v>432</v>
      </c>
      <c r="J1" s="90" t="s">
        <v>433</v>
      </c>
      <c r="K1" s="90" t="s">
        <v>434</v>
      </c>
      <c r="L1" s="90" t="s">
        <v>435</v>
      </c>
      <c r="M1" s="90" t="s">
        <v>436</v>
      </c>
      <c r="N1" s="90" t="s">
        <v>437</v>
      </c>
      <c r="O1" s="90" t="s">
        <v>438</v>
      </c>
      <c r="P1" s="90" t="s">
        <v>439</v>
      </c>
      <c r="Q1" s="91" t="s">
        <v>440</v>
      </c>
      <c r="R1" s="92" t="s">
        <v>441</v>
      </c>
    </row>
    <row r="2" spans="1:19" ht="14.25" customHeight="1" x14ac:dyDescent="0.15">
      <c r="A2" s="94" t="s">
        <v>442</v>
      </c>
      <c r="B2" s="94" t="s">
        <v>443</v>
      </c>
      <c r="C2" s="94" t="s">
        <v>444</v>
      </c>
      <c r="D2" s="94">
        <v>2019</v>
      </c>
      <c r="E2" s="95">
        <f>3580/1.13</f>
        <v>3168.1415929203545</v>
      </c>
      <c r="F2" s="95">
        <f>3750/1.13</f>
        <v>3318.5840707964603</v>
      </c>
      <c r="G2" s="95">
        <f>3770/1.13</f>
        <v>3336.2831858407085</v>
      </c>
      <c r="H2" s="95">
        <f>3820/1.13</f>
        <v>3380.5309734513276</v>
      </c>
      <c r="I2" s="95">
        <f>3950/1.13</f>
        <v>3495.5752212389384</v>
      </c>
      <c r="J2" s="95">
        <f>3850/1.13</f>
        <v>3407.0796460176994</v>
      </c>
      <c r="K2" s="95">
        <f>3950/1.13</f>
        <v>3495.5752212389384</v>
      </c>
      <c r="L2" s="95">
        <f>3850/1.13</f>
        <v>3407.0796460176994</v>
      </c>
      <c r="M2" s="95">
        <f>3660/1.13</f>
        <v>3238.9380530973453</v>
      </c>
      <c r="N2" s="95">
        <f>3640/1.13</f>
        <v>3221.2389380530976</v>
      </c>
      <c r="O2" s="95">
        <f>3550/1.13</f>
        <v>3141.5929203539827</v>
      </c>
      <c r="P2" s="95">
        <f>3750/1.13</f>
        <v>3318.5840707964603</v>
      </c>
      <c r="Q2" s="96">
        <f t="shared" ref="Q2:Q3" si="0">AVERAGE(E2:P2)</f>
        <v>3327.4336283185844</v>
      </c>
      <c r="R2" s="95"/>
    </row>
    <row r="3" spans="1:19" ht="14.25" customHeight="1" x14ac:dyDescent="0.15">
      <c r="A3" s="94" t="s">
        <v>445</v>
      </c>
      <c r="B3" s="94" t="s">
        <v>446</v>
      </c>
      <c r="C3" s="94" t="s">
        <v>444</v>
      </c>
      <c r="D3" s="94">
        <v>2020</v>
      </c>
      <c r="E3" s="95">
        <f>3750/1.13</f>
        <v>3318.5840707964603</v>
      </c>
      <c r="F3" s="95">
        <f>3750/1.13</f>
        <v>3318.5840707964603</v>
      </c>
      <c r="G3" s="95">
        <f>3350/1.13</f>
        <v>2964.6017699115046</v>
      </c>
      <c r="H3" s="95">
        <f>3270/1.13</f>
        <v>2893.8053097345137</v>
      </c>
      <c r="I3" s="95">
        <f>3370/1.13</f>
        <v>2982.3008849557523</v>
      </c>
      <c r="J3" s="95">
        <f>3700/1.13</f>
        <v>3274.3362831858412</v>
      </c>
      <c r="K3" s="95">
        <f>3730/1.13</f>
        <v>3300.8849557522126</v>
      </c>
      <c r="L3" s="95">
        <f>3890/1.13</f>
        <v>3442.4778761061948</v>
      </c>
      <c r="M3" s="95">
        <f>3960/1.13</f>
        <v>3504.4247787610625</v>
      </c>
      <c r="N3" s="95">
        <f>3880/1.13</f>
        <v>3433.6283185840712</v>
      </c>
      <c r="O3" s="95">
        <f>3860/1.13</f>
        <v>3415.9292035398234</v>
      </c>
      <c r="P3" s="95">
        <f>4100/1.13</f>
        <v>3628.318584070797</v>
      </c>
      <c r="Q3" s="96">
        <f t="shared" si="0"/>
        <v>3289.8230088495579</v>
      </c>
      <c r="R3" s="98">
        <f>(Q3-Q2)/Q2</f>
        <v>-1.1303191489361675E-2</v>
      </c>
    </row>
    <row r="4" spans="1:19" ht="14.25" customHeight="1" x14ac:dyDescent="0.15">
      <c r="A4" s="94" t="s">
        <v>445</v>
      </c>
      <c r="B4" s="94" t="s">
        <v>446</v>
      </c>
      <c r="C4" s="94" t="s">
        <v>447</v>
      </c>
      <c r="D4" s="94">
        <v>2021</v>
      </c>
      <c r="E4" s="95">
        <f>4460/1.13</f>
        <v>3946.9026548672568</v>
      </c>
      <c r="F4" s="95">
        <f>4410/1.13</f>
        <v>3902.6548672566373</v>
      </c>
      <c r="G4" s="95">
        <f>4770/1.13</f>
        <v>4221.2389380530976</v>
      </c>
      <c r="H4" s="95">
        <f>5410/1.13</f>
        <v>4787.6106194690274</v>
      </c>
      <c r="I4" s="95">
        <f>5900/1.13</f>
        <v>5221.2389380530976</v>
      </c>
      <c r="J4" s="95">
        <f>5450/1.13</f>
        <v>4823.0088495575228</v>
      </c>
      <c r="K4" s="95">
        <f>5350/1.13</f>
        <v>4734.5132743362838</v>
      </c>
      <c r="L4" s="95"/>
      <c r="M4" s="95"/>
      <c r="N4" s="95"/>
      <c r="O4" s="95"/>
      <c r="P4" s="95"/>
      <c r="Q4" s="96">
        <f>AVERAGE(E4:P4)</f>
        <v>4519.5954487989893</v>
      </c>
      <c r="R4" s="98">
        <f>(Q4-Q3)/Q3</f>
        <v>0.37381112498799118</v>
      </c>
    </row>
    <row r="5" spans="1:19" ht="14.25" customHeight="1" x14ac:dyDescent="0.15">
      <c r="A5" s="139" t="s">
        <v>448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7" spans="1:19" x14ac:dyDescent="0.15">
      <c r="A7" s="94" t="s">
        <v>449</v>
      </c>
      <c r="B7" s="94" t="s">
        <v>450</v>
      </c>
      <c r="C7" s="94" t="s">
        <v>447</v>
      </c>
      <c r="D7" s="94">
        <v>2019</v>
      </c>
      <c r="E7" s="95">
        <f>4100/1.13</f>
        <v>3628.318584070797</v>
      </c>
      <c r="F7" s="95">
        <f>4120/1.13</f>
        <v>3646.0176991150447</v>
      </c>
      <c r="G7" s="95">
        <f>4180/1.13</f>
        <v>3699.1150442477879</v>
      </c>
      <c r="H7" s="95">
        <f>4170/1.13</f>
        <v>3690.2654867256642</v>
      </c>
      <c r="I7" s="95">
        <f>4310/1.13</f>
        <v>3814.1592920353987</v>
      </c>
      <c r="J7" s="95">
        <f>4290/1.13</f>
        <v>3796.460176991151</v>
      </c>
      <c r="K7" s="95">
        <f>4340/1.13</f>
        <v>3840.7079646017701</v>
      </c>
      <c r="L7" s="95">
        <f>4370/1.13</f>
        <v>3867.2566371681419</v>
      </c>
      <c r="M7" s="95">
        <f>4150/1.13</f>
        <v>3672.5663716814161</v>
      </c>
      <c r="N7" s="95">
        <f>4190/1.13</f>
        <v>3707.964601769912</v>
      </c>
      <c r="O7" s="95">
        <f>4080/1.13</f>
        <v>3610.6194690265488</v>
      </c>
      <c r="P7" s="95">
        <f>4160/1.13</f>
        <v>3681.4159292035401</v>
      </c>
      <c r="Q7" s="96">
        <f t="shared" ref="Q7:Q9" si="1">AVERAGE(E7:P7)</f>
        <v>3721.2389380530972</v>
      </c>
      <c r="R7" s="95"/>
      <c r="S7" s="97" t="s">
        <v>451</v>
      </c>
    </row>
    <row r="8" spans="1:19" x14ac:dyDescent="0.15">
      <c r="A8" s="94" t="s">
        <v>452</v>
      </c>
      <c r="B8" s="94" t="s">
        <v>453</v>
      </c>
      <c r="C8" s="94" t="s">
        <v>454</v>
      </c>
      <c r="D8" s="94">
        <v>2020</v>
      </c>
      <c r="E8" s="95">
        <f>4100/1.13</f>
        <v>3628.318584070797</v>
      </c>
      <c r="F8" s="95">
        <f>4050/1.13</f>
        <v>3584.0707964601775</v>
      </c>
      <c r="G8" s="95">
        <f>3820/1.13</f>
        <v>3380.5309734513276</v>
      </c>
      <c r="H8" s="95">
        <f>3800/1.13</f>
        <v>3362.8318584070798</v>
      </c>
      <c r="I8" s="95">
        <f>3840/1.13</f>
        <v>3398.2300884955757</v>
      </c>
      <c r="J8" s="95">
        <f>4130/1.13</f>
        <v>3654.8672566371683</v>
      </c>
      <c r="K8" s="95">
        <f>4130/1.13</f>
        <v>3654.8672566371683</v>
      </c>
      <c r="L8" s="95">
        <f>4210/1.13</f>
        <v>3725.6637168141597</v>
      </c>
      <c r="M8" s="95">
        <f>4290/1.13</f>
        <v>3796.460176991151</v>
      </c>
      <c r="N8" s="95">
        <f>4270/1.13</f>
        <v>3778.7610619469028</v>
      </c>
      <c r="O8" s="95">
        <f>4290/1.13</f>
        <v>3796.460176991151</v>
      </c>
      <c r="P8" s="95">
        <f>4450/1.13</f>
        <v>3938.0530973451332</v>
      </c>
      <c r="Q8" s="96">
        <f t="shared" si="1"/>
        <v>3641.5929203539831</v>
      </c>
      <c r="R8" s="98">
        <f t="shared" ref="R8:R9" si="2">(Q8-Q7)/Q7</f>
        <v>-2.1403091557669177E-2</v>
      </c>
      <c r="S8" s="97" t="s">
        <v>451</v>
      </c>
    </row>
    <row r="9" spans="1:19" x14ac:dyDescent="0.15">
      <c r="A9" s="94" t="s">
        <v>452</v>
      </c>
      <c r="B9" s="94" t="s">
        <v>453</v>
      </c>
      <c r="C9" s="94" t="s">
        <v>454</v>
      </c>
      <c r="D9" s="94">
        <v>2021</v>
      </c>
      <c r="E9" s="95">
        <f>4690/1.13</f>
        <v>4150.4424778761068</v>
      </c>
      <c r="F9" s="95">
        <f>4710/1.13</f>
        <v>4168.141592920354</v>
      </c>
      <c r="G9" s="95">
        <f>5120/1.13</f>
        <v>4530.9734513274343</v>
      </c>
      <c r="H9" s="95">
        <f>5540/1.13</f>
        <v>4902.6548672566378</v>
      </c>
      <c r="I9" s="95">
        <f>5870/1.13</f>
        <v>5194.6902654867263</v>
      </c>
      <c r="J9" s="95">
        <f>5920/1.13</f>
        <v>5238.9380530973458</v>
      </c>
      <c r="K9" s="95">
        <f>5730/1.13</f>
        <v>5070.7964601769918</v>
      </c>
      <c r="L9" s="95"/>
      <c r="M9" s="95"/>
      <c r="N9" s="95"/>
      <c r="O9" s="95"/>
      <c r="P9" s="95"/>
      <c r="Q9" s="96">
        <f t="shared" si="1"/>
        <v>4750.9481668773715</v>
      </c>
      <c r="R9" s="98">
        <f t="shared" si="2"/>
        <v>0.3046346120465197</v>
      </c>
      <c r="S9" s="97" t="s">
        <v>451</v>
      </c>
    </row>
    <row r="10" spans="1:19" x14ac:dyDescent="0.15">
      <c r="B10" s="99"/>
    </row>
    <row r="11" spans="1:19" x14ac:dyDescent="0.15">
      <c r="A11" s="94" t="s">
        <v>455</v>
      </c>
      <c r="B11" s="94" t="s">
        <v>456</v>
      </c>
      <c r="C11" s="94" t="s">
        <v>454</v>
      </c>
      <c r="D11" s="94">
        <v>2019</v>
      </c>
      <c r="E11" s="95">
        <f>4080/1.13</f>
        <v>3610.6194690265488</v>
      </c>
      <c r="F11" s="95">
        <f>4170/1.13</f>
        <v>3690.2654867256642</v>
      </c>
      <c r="G11" s="95">
        <f>4270/1.13</f>
        <v>3778.7610619469028</v>
      </c>
      <c r="H11" s="95">
        <f>4280/1.13</f>
        <v>3787.6106194690269</v>
      </c>
      <c r="I11" s="95">
        <f>4320/1.13</f>
        <v>3823.0088495575224</v>
      </c>
      <c r="J11" s="95">
        <f>4070/1.13</f>
        <v>3601.7699115044252</v>
      </c>
      <c r="K11" s="95">
        <f>4220/1.13</f>
        <v>3734.5132743362838</v>
      </c>
      <c r="L11" s="95">
        <f>4340/1.13</f>
        <v>3840.7079646017701</v>
      </c>
      <c r="M11" s="95">
        <f>4180/1.13</f>
        <v>3699.1150442477879</v>
      </c>
      <c r="N11" s="95">
        <f>4190/1.13</f>
        <v>3707.964601769912</v>
      </c>
      <c r="O11" s="95">
        <f>4040/1.13</f>
        <v>3575.2212389380534</v>
      </c>
      <c r="P11" s="95">
        <f>4200/1.13</f>
        <v>3716.8141592920356</v>
      </c>
      <c r="Q11" s="96">
        <f t="shared" ref="Q11:Q13" si="3">AVERAGE(E11:P11)</f>
        <v>3713.864306784661</v>
      </c>
      <c r="R11" s="95"/>
      <c r="S11" s="97" t="s">
        <v>457</v>
      </c>
    </row>
    <row r="12" spans="1:19" x14ac:dyDescent="0.15">
      <c r="A12" s="94" t="s">
        <v>455</v>
      </c>
      <c r="B12" s="94" t="s">
        <v>456</v>
      </c>
      <c r="C12" s="94" t="s">
        <v>458</v>
      </c>
      <c r="D12" s="94">
        <v>2020</v>
      </c>
      <c r="E12" s="95">
        <f>4230/1.13</f>
        <v>3743.3628318584074</v>
      </c>
      <c r="F12" s="95">
        <f>4250/1.13</f>
        <v>3761.0619469026551</v>
      </c>
      <c r="G12" s="95">
        <f>3990/1.13</f>
        <v>3530.9734513274338</v>
      </c>
      <c r="H12" s="95">
        <f>3730/1.13</f>
        <v>3300.8849557522126</v>
      </c>
      <c r="I12" s="95">
        <f>3700/1.13</f>
        <v>3274.3362831858412</v>
      </c>
      <c r="J12" s="95">
        <f>4030/1.13</f>
        <v>3566.3716814159297</v>
      </c>
      <c r="K12" s="95">
        <f>4070/1.13</f>
        <v>3601.7699115044252</v>
      </c>
      <c r="L12" s="95">
        <f>4050/1.13</f>
        <v>3584.0707964601775</v>
      </c>
      <c r="M12" s="95">
        <f>4330/1.13</f>
        <v>3831.8584070796464</v>
      </c>
      <c r="N12" s="95">
        <f>4500/1.13</f>
        <v>3982.3008849557527</v>
      </c>
      <c r="O12" s="95">
        <f>4570/1.13</f>
        <v>4044.24778761062</v>
      </c>
      <c r="P12" s="95">
        <f>4870/1.13</f>
        <v>4309.7345132743367</v>
      </c>
      <c r="Q12" s="96">
        <f t="shared" si="3"/>
        <v>3710.9144542772865</v>
      </c>
      <c r="R12" s="98">
        <f t="shared" ref="R12:R13" si="4">(Q12-Q11)/Q11</f>
        <v>-7.9428117553611622E-4</v>
      </c>
      <c r="S12" s="97" t="s">
        <v>457</v>
      </c>
    </row>
    <row r="13" spans="1:19" x14ac:dyDescent="0.15">
      <c r="A13" s="94" t="s">
        <v>455</v>
      </c>
      <c r="B13" s="94" t="s">
        <v>456</v>
      </c>
      <c r="C13" s="94" t="s">
        <v>454</v>
      </c>
      <c r="D13" s="94">
        <v>2021</v>
      </c>
      <c r="E13" s="95">
        <f>5500/1.13</f>
        <v>4867.2566371681423</v>
      </c>
      <c r="F13" s="95">
        <f>5220/1.13</f>
        <v>4619.4690265486734</v>
      </c>
      <c r="G13" s="95">
        <f>5400/1.13</f>
        <v>4778.7610619469033</v>
      </c>
      <c r="H13" s="95">
        <f>5750/1.13</f>
        <v>5088.4955752212391</v>
      </c>
      <c r="I13" s="95">
        <f>6250/1.13</f>
        <v>5530.9734513274343</v>
      </c>
      <c r="J13" s="95">
        <f>6150/1.13</f>
        <v>5442.4778761061953</v>
      </c>
      <c r="K13" s="95">
        <f>6020/1.13</f>
        <v>5327.4336283185849</v>
      </c>
      <c r="L13" s="95"/>
      <c r="M13" s="95"/>
      <c r="N13" s="95"/>
      <c r="O13" s="95"/>
      <c r="P13" s="95"/>
      <c r="Q13" s="96">
        <f t="shared" si="3"/>
        <v>5093.5524652338809</v>
      </c>
      <c r="R13" s="98">
        <f t="shared" si="4"/>
        <v>0.3725868725868724</v>
      </c>
      <c r="S13" s="97" t="s">
        <v>457</v>
      </c>
    </row>
    <row r="14" spans="1:19" x14ac:dyDescent="0.15">
      <c r="B14" s="99"/>
    </row>
    <row r="15" spans="1:19" x14ac:dyDescent="0.15">
      <c r="A15" s="94" t="s">
        <v>455</v>
      </c>
      <c r="B15" s="94" t="s">
        <v>459</v>
      </c>
      <c r="C15" s="94" t="s">
        <v>454</v>
      </c>
      <c r="D15" s="94">
        <v>2019</v>
      </c>
      <c r="E15" s="95">
        <f>4060/1.13</f>
        <v>3592.9203539823011</v>
      </c>
      <c r="F15" s="95">
        <f>4150/1.13</f>
        <v>3672.5663716814161</v>
      </c>
      <c r="G15" s="95">
        <f>4250/1.13</f>
        <v>3761.0619469026551</v>
      </c>
      <c r="H15" s="95">
        <f>4260/1.13</f>
        <v>3769.9115044247792</v>
      </c>
      <c r="I15" s="95">
        <f>4300/1.13</f>
        <v>3805.3097345132746</v>
      </c>
      <c r="J15" s="95">
        <f>4050/1.13</f>
        <v>3584.0707964601775</v>
      </c>
      <c r="K15" s="95">
        <f>4200/1.13</f>
        <v>3716.8141592920356</v>
      </c>
      <c r="L15" s="95">
        <f>4330/1.13</f>
        <v>3831.8584070796464</v>
      </c>
      <c r="M15" s="95">
        <f>4170/1.13</f>
        <v>3690.2654867256642</v>
      </c>
      <c r="N15" s="95">
        <f>4180/1.13</f>
        <v>3699.1150442477879</v>
      </c>
      <c r="O15" s="95">
        <f>4030/1.13</f>
        <v>3566.3716814159297</v>
      </c>
      <c r="P15" s="95">
        <f>4190/1.13</f>
        <v>3707.964601769912</v>
      </c>
      <c r="Q15" s="96">
        <f t="shared" ref="Q15:Q17" si="5">AVERAGE(E15:P15)</f>
        <v>3699.8525073746318</v>
      </c>
      <c r="R15" s="95"/>
      <c r="S15" s="97" t="s">
        <v>457</v>
      </c>
    </row>
    <row r="16" spans="1:19" x14ac:dyDescent="0.15">
      <c r="A16" s="94" t="s">
        <v>455</v>
      </c>
      <c r="B16" s="94" t="s">
        <v>459</v>
      </c>
      <c r="C16" s="94" t="s">
        <v>454</v>
      </c>
      <c r="D16" s="94">
        <v>2020</v>
      </c>
      <c r="E16" s="95">
        <f>4220/1.13</f>
        <v>3734.5132743362838</v>
      </c>
      <c r="F16" s="95">
        <f>4240/1.13</f>
        <v>3752.2123893805315</v>
      </c>
      <c r="G16" s="95">
        <f>3980/1.13</f>
        <v>3522.1238938053102</v>
      </c>
      <c r="H16" s="95">
        <f>3720/1.13</f>
        <v>3292.035398230089</v>
      </c>
      <c r="I16" s="95">
        <f>3690/1.13</f>
        <v>3265.4867256637172</v>
      </c>
      <c r="J16" s="95">
        <f>4020/1.13</f>
        <v>3557.5221238938057</v>
      </c>
      <c r="K16" s="95">
        <f>4060/1.13</f>
        <v>3592.9203539823011</v>
      </c>
      <c r="L16" s="95">
        <f>4040/1.13</f>
        <v>3575.2212389380534</v>
      </c>
      <c r="M16" s="95">
        <f>4320/1.13</f>
        <v>3823.0088495575224</v>
      </c>
      <c r="N16" s="95">
        <f>4490/1.13</f>
        <v>3973.4513274336286</v>
      </c>
      <c r="O16" s="95">
        <f>4560/1.13</f>
        <v>4035.3982300884959</v>
      </c>
      <c r="P16" s="95">
        <f>4860/1.13</f>
        <v>4300.8849557522126</v>
      </c>
      <c r="Q16" s="96">
        <f t="shared" si="5"/>
        <v>3702.0648967551629</v>
      </c>
      <c r="R16" s="98">
        <f t="shared" ref="R16:R17" si="6">(Q16-Q15)/Q15</f>
        <v>5.9796691249752146E-4</v>
      </c>
      <c r="S16" s="97" t="s">
        <v>457</v>
      </c>
    </row>
    <row r="17" spans="1:19" x14ac:dyDescent="0.15">
      <c r="A17" s="94" t="s">
        <v>455</v>
      </c>
      <c r="B17" s="94" t="s">
        <v>459</v>
      </c>
      <c r="C17" s="94" t="s">
        <v>454</v>
      </c>
      <c r="D17" s="94">
        <v>2021</v>
      </c>
      <c r="E17" s="95">
        <f>5490/1.13</f>
        <v>4858.4070796460182</v>
      </c>
      <c r="F17" s="95">
        <f>5210/1.13</f>
        <v>4610.6194690265493</v>
      </c>
      <c r="G17" s="95">
        <f>5390/1.13</f>
        <v>4769.9115044247792</v>
      </c>
      <c r="H17" s="95">
        <f>5740/1.13</f>
        <v>5079.6460176991159</v>
      </c>
      <c r="I17" s="95">
        <f>6240/1.13</f>
        <v>5522.1238938053102</v>
      </c>
      <c r="J17" s="95">
        <f>6140/1.13</f>
        <v>5433.6283185840712</v>
      </c>
      <c r="K17" s="95">
        <f>6010/1.13</f>
        <v>5318.5840707964608</v>
      </c>
      <c r="L17" s="95"/>
      <c r="M17" s="95"/>
      <c r="N17" s="95"/>
      <c r="O17" s="95"/>
      <c r="P17" s="95"/>
      <c r="Q17" s="96">
        <f t="shared" si="5"/>
        <v>5084.7029077117577</v>
      </c>
      <c r="R17" s="98">
        <f t="shared" si="6"/>
        <v>0.37347751849743871</v>
      </c>
      <c r="S17" s="97" t="s">
        <v>457</v>
      </c>
    </row>
  </sheetData>
  <mergeCells count="1">
    <mergeCell ref="A5:R5"/>
  </mergeCells>
  <phoneticPr fontId="23" type="noConversion"/>
  <pageMargins left="0.7" right="0.7" top="0.75" bottom="0.75" header="0.3" footer="0.3"/>
  <pageSetup orientation="portrait" horizontalDpi="200" verticalDpi="200" copies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2"/>
  <sheetViews>
    <sheetView zoomScale="90" zoomScaleNormal="90" workbookViewId="0">
      <selection activeCell="F3" sqref="F3:F10"/>
    </sheetView>
  </sheetViews>
  <sheetFormatPr defaultColWidth="9" defaultRowHeight="13.5" x14ac:dyDescent="0.15"/>
  <cols>
    <col min="1" max="1" width="4.875" customWidth="1"/>
    <col min="2" max="2" width="25.625" customWidth="1"/>
    <col min="3" max="3" width="10.625" customWidth="1"/>
    <col min="4" max="4" width="13.5" customWidth="1"/>
    <col min="5" max="9" width="11.75" customWidth="1"/>
    <col min="10" max="10" width="12.75" customWidth="1"/>
    <col min="11" max="11" width="10.25" customWidth="1"/>
    <col min="12" max="12" width="5.875" customWidth="1"/>
  </cols>
  <sheetData>
    <row r="1" spans="1:13" ht="36" customHeight="1" x14ac:dyDescent="0.15">
      <c r="A1" s="162" t="s">
        <v>313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M1" t="s">
        <v>10</v>
      </c>
    </row>
    <row r="2" spans="1:13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3" ht="13.5" customHeight="1" x14ac:dyDescent="0.15">
      <c r="A3" s="22">
        <v>1</v>
      </c>
      <c r="B3" s="117" t="s">
        <v>276</v>
      </c>
      <c r="C3" s="22"/>
      <c r="D3" s="22" t="s">
        <v>213</v>
      </c>
      <c r="E3" s="23">
        <v>6.07</v>
      </c>
      <c r="F3" s="23">
        <v>0.99</v>
      </c>
      <c r="G3" s="23">
        <f t="shared" ref="G3:G10" si="0">E3*F3</f>
        <v>6.0093000000000005</v>
      </c>
      <c r="H3" s="23">
        <v>0.99</v>
      </c>
      <c r="I3" s="23">
        <f t="shared" ref="I3:I10" si="1">F3-H3</f>
        <v>0</v>
      </c>
      <c r="J3" s="23">
        <f t="shared" ref="J3:J8" si="2">I3*1.1</f>
        <v>0</v>
      </c>
      <c r="K3" s="23">
        <f t="shared" ref="K3:K10" si="3">G3-J3</f>
        <v>6.0093000000000005</v>
      </c>
      <c r="M3">
        <f>0.025*3.14*1.13</f>
        <v>8.8705000000000006E-2</v>
      </c>
    </row>
    <row r="4" spans="1:13" ht="13.5" customHeight="1" x14ac:dyDescent="0.15">
      <c r="A4" s="22">
        <v>2</v>
      </c>
      <c r="B4" s="117" t="s">
        <v>277</v>
      </c>
      <c r="C4" s="22"/>
      <c r="D4" s="22" t="s">
        <v>213</v>
      </c>
      <c r="E4" s="23">
        <v>6.07</v>
      </c>
      <c r="F4" s="23">
        <v>0.68</v>
      </c>
      <c r="G4" s="23">
        <f t="shared" si="0"/>
        <v>4.1276000000000002</v>
      </c>
      <c r="H4" s="23">
        <v>0.68</v>
      </c>
      <c r="I4" s="23">
        <f t="shared" si="1"/>
        <v>0</v>
      </c>
      <c r="J4" s="23">
        <f t="shared" si="2"/>
        <v>0</v>
      </c>
      <c r="K4" s="23">
        <f t="shared" si="3"/>
        <v>4.1276000000000002</v>
      </c>
      <c r="M4">
        <f>0.025*3.14*0.78</f>
        <v>6.1230000000000014E-2</v>
      </c>
    </row>
    <row r="5" spans="1:13" ht="13.5" customHeight="1" x14ac:dyDescent="0.15">
      <c r="A5" s="22">
        <v>3</v>
      </c>
      <c r="B5" s="117" t="s">
        <v>278</v>
      </c>
      <c r="C5" s="22"/>
      <c r="D5" s="22" t="s">
        <v>213</v>
      </c>
      <c r="E5" s="23">
        <v>6.07</v>
      </c>
      <c r="F5" s="23">
        <v>1.67</v>
      </c>
      <c r="G5" s="23">
        <f t="shared" si="0"/>
        <v>10.136900000000001</v>
      </c>
      <c r="H5" s="23">
        <v>1.67</v>
      </c>
      <c r="I5" s="23">
        <f t="shared" si="1"/>
        <v>0</v>
      </c>
      <c r="J5" s="23">
        <f t="shared" si="2"/>
        <v>0</v>
      </c>
      <c r="K5" s="23">
        <f t="shared" si="3"/>
        <v>10.136900000000001</v>
      </c>
      <c r="M5">
        <f>0.025*3.14*1.92</f>
        <v>0.15072000000000002</v>
      </c>
    </row>
    <row r="6" spans="1:13" ht="13.5" customHeight="1" x14ac:dyDescent="0.15">
      <c r="A6" s="22">
        <v>4</v>
      </c>
      <c r="B6" s="117" t="s">
        <v>279</v>
      </c>
      <c r="C6" s="22"/>
      <c r="D6" s="22" t="s">
        <v>280</v>
      </c>
      <c r="E6" s="23">
        <v>5.5</v>
      </c>
      <c r="F6" s="23">
        <v>0.22800000000000001</v>
      </c>
      <c r="G6" s="23">
        <f t="shared" si="0"/>
        <v>1.254</v>
      </c>
      <c r="H6" s="23">
        <v>0.22800000000000001</v>
      </c>
      <c r="I6" s="23">
        <f t="shared" si="1"/>
        <v>0</v>
      </c>
      <c r="J6" s="23">
        <f t="shared" si="2"/>
        <v>0</v>
      </c>
      <c r="K6" s="23">
        <f t="shared" si="3"/>
        <v>1.254</v>
      </c>
      <c r="M6">
        <f>0.004*3.14*1.15*2</f>
        <v>2.8887999999999997E-2</v>
      </c>
    </row>
    <row r="7" spans="1:13" ht="13.5" customHeight="1" x14ac:dyDescent="0.15">
      <c r="A7" s="22">
        <v>5</v>
      </c>
      <c r="B7" s="117" t="s">
        <v>314</v>
      </c>
      <c r="C7" s="22"/>
      <c r="D7" s="22" t="s">
        <v>213</v>
      </c>
      <c r="E7" s="23">
        <v>6.07</v>
      </c>
      <c r="F7" s="23">
        <v>0.2</v>
      </c>
      <c r="G7" s="23">
        <f t="shared" si="0"/>
        <v>1.2140000000000002</v>
      </c>
      <c r="H7" s="23">
        <v>0.2</v>
      </c>
      <c r="I7" s="23">
        <f t="shared" si="1"/>
        <v>0</v>
      </c>
      <c r="J7" s="23">
        <f t="shared" si="2"/>
        <v>0</v>
      </c>
      <c r="K7" s="23">
        <f t="shared" si="3"/>
        <v>1.2140000000000002</v>
      </c>
      <c r="M7">
        <f>0.025*3.14*0.22</f>
        <v>1.7270000000000004E-2</v>
      </c>
    </row>
    <row r="8" spans="1:13" ht="13.5" customHeight="1" x14ac:dyDescent="0.15">
      <c r="A8" s="22">
        <v>6</v>
      </c>
      <c r="B8" s="117" t="s">
        <v>282</v>
      </c>
      <c r="C8" s="22"/>
      <c r="D8" s="22" t="s">
        <v>213</v>
      </c>
      <c r="E8" s="23">
        <v>6.07</v>
      </c>
      <c r="F8" s="22">
        <v>0.27</v>
      </c>
      <c r="G8" s="22">
        <f t="shared" si="0"/>
        <v>1.6389000000000002</v>
      </c>
      <c r="H8" s="22">
        <v>0.27</v>
      </c>
      <c r="I8" s="22">
        <f t="shared" si="1"/>
        <v>0</v>
      </c>
      <c r="J8" s="22">
        <f t="shared" si="2"/>
        <v>0</v>
      </c>
      <c r="K8" s="22">
        <f t="shared" si="3"/>
        <v>1.6389000000000002</v>
      </c>
    </row>
    <row r="9" spans="1:13" ht="13.5" customHeight="1" x14ac:dyDescent="0.15">
      <c r="A9" s="22">
        <v>7</v>
      </c>
      <c r="B9" s="117" t="s">
        <v>285</v>
      </c>
      <c r="C9" s="22"/>
      <c r="D9" s="22" t="s">
        <v>286</v>
      </c>
      <c r="E9" s="23">
        <v>5.9</v>
      </c>
      <c r="F9" s="22">
        <v>0.64</v>
      </c>
      <c r="G9" s="22">
        <f t="shared" si="0"/>
        <v>3.7760000000000002</v>
      </c>
      <c r="H9" s="22">
        <v>0.5</v>
      </c>
      <c r="I9" s="22">
        <f t="shared" si="1"/>
        <v>0.14000000000000001</v>
      </c>
      <c r="J9" s="22">
        <f>I9*2</f>
        <v>0.28000000000000003</v>
      </c>
      <c r="K9" s="22">
        <f t="shared" si="3"/>
        <v>3.4960000000000004</v>
      </c>
      <c r="M9">
        <f>0.117*0.087*2*2</f>
        <v>4.0716000000000002E-2</v>
      </c>
    </row>
    <row r="10" spans="1:13" ht="13.5" customHeight="1" x14ac:dyDescent="0.15">
      <c r="A10" s="22">
        <v>8</v>
      </c>
      <c r="B10" s="117" t="s">
        <v>287</v>
      </c>
      <c r="C10" s="22"/>
      <c r="D10" s="22" t="s">
        <v>286</v>
      </c>
      <c r="E10" s="23">
        <v>5.9</v>
      </c>
      <c r="F10" s="22">
        <v>0.44</v>
      </c>
      <c r="G10" s="22">
        <f t="shared" si="0"/>
        <v>2.5960000000000001</v>
      </c>
      <c r="H10" s="22">
        <v>0.32</v>
      </c>
      <c r="I10" s="22">
        <f t="shared" si="1"/>
        <v>0.12</v>
      </c>
      <c r="J10" s="22">
        <f>I10*2</f>
        <v>0.24</v>
      </c>
      <c r="K10" s="22">
        <f t="shared" si="3"/>
        <v>2.3559999999999999</v>
      </c>
      <c r="M10">
        <f>0.07*0.08*4*2</f>
        <v>4.4800000000000006E-2</v>
      </c>
    </row>
    <row r="11" spans="1:13" ht="13.5" customHeight="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SUM(K3:K10)</f>
        <v>30.232700000000001</v>
      </c>
    </row>
    <row r="12" spans="1:13" ht="13.5" customHeight="1" x14ac:dyDescent="0.15">
      <c r="A12" s="22" t="s">
        <v>0</v>
      </c>
      <c r="B12" s="22" t="s">
        <v>52</v>
      </c>
      <c r="C12" s="22" t="s">
        <v>53</v>
      </c>
      <c r="D12" s="22" t="s">
        <v>67</v>
      </c>
      <c r="E12" s="22" t="s">
        <v>68</v>
      </c>
      <c r="F12" s="22" t="s">
        <v>69</v>
      </c>
      <c r="G12" s="22" t="s">
        <v>70</v>
      </c>
      <c r="H12" s="22" t="s">
        <v>71</v>
      </c>
      <c r="I12" s="22" t="s">
        <v>72</v>
      </c>
      <c r="J12" s="149" t="s">
        <v>6</v>
      </c>
      <c r="K12" s="150"/>
      <c r="M12">
        <f>SUM(M3:M11)</f>
        <v>0.43232900000000002</v>
      </c>
    </row>
    <row r="13" spans="1:13" ht="13.5" customHeight="1" x14ac:dyDescent="0.15">
      <c r="A13" s="22">
        <v>1</v>
      </c>
      <c r="B13" s="22"/>
      <c r="C13" s="22"/>
      <c r="D13" s="22"/>
      <c r="E13" s="22" t="s">
        <v>160</v>
      </c>
      <c r="F13" s="22" t="s">
        <v>161</v>
      </c>
      <c r="G13" s="22"/>
      <c r="H13" s="22" t="s">
        <v>162</v>
      </c>
      <c r="I13" s="22"/>
      <c r="J13" s="149"/>
      <c r="K13" s="150"/>
    </row>
    <row r="14" spans="1:13" ht="13.5" customHeight="1" x14ac:dyDescent="0.15">
      <c r="A14" s="22">
        <v>2</v>
      </c>
      <c r="B14" s="22" t="s">
        <v>315</v>
      </c>
      <c r="C14" s="22"/>
      <c r="D14" s="22"/>
      <c r="E14" s="22" t="s">
        <v>160</v>
      </c>
      <c r="F14" s="22" t="s">
        <v>164</v>
      </c>
      <c r="G14" s="22"/>
      <c r="H14" s="22" t="s">
        <v>165</v>
      </c>
      <c r="I14" s="22">
        <v>0.3</v>
      </c>
      <c r="J14" s="149"/>
      <c r="K14" s="150"/>
    </row>
    <row r="15" spans="1:13" ht="13.5" customHeight="1" x14ac:dyDescent="0.15">
      <c r="A15" s="22">
        <v>7</v>
      </c>
      <c r="B15" s="22"/>
      <c r="C15" s="22"/>
      <c r="D15" s="22"/>
      <c r="E15" s="22" t="s">
        <v>170</v>
      </c>
      <c r="F15" s="22" t="s">
        <v>176</v>
      </c>
      <c r="G15" s="22"/>
      <c r="H15" s="22">
        <v>0.08</v>
      </c>
      <c r="I15" s="22">
        <f t="shared" ref="I15:I17" si="4">G15*H15</f>
        <v>0</v>
      </c>
      <c r="J15" s="149"/>
      <c r="K15" s="150"/>
    </row>
    <row r="16" spans="1:13" ht="13.5" customHeight="1" x14ac:dyDescent="0.15">
      <c r="A16" s="22">
        <v>8</v>
      </c>
      <c r="B16" s="22" t="s">
        <v>315</v>
      </c>
      <c r="C16" s="22"/>
      <c r="D16" s="22" t="s">
        <v>289</v>
      </c>
      <c r="E16" s="22" t="s">
        <v>170</v>
      </c>
      <c r="F16" s="22" t="s">
        <v>177</v>
      </c>
      <c r="G16" s="22">
        <v>12</v>
      </c>
      <c r="H16" s="22">
        <v>0.05</v>
      </c>
      <c r="I16" s="22">
        <f t="shared" si="4"/>
        <v>0.60000000000000009</v>
      </c>
      <c r="J16" s="149"/>
      <c r="K16" s="150"/>
    </row>
    <row r="17" spans="1:11" ht="13.5" customHeight="1" x14ac:dyDescent="0.15">
      <c r="A17" s="22">
        <v>9</v>
      </c>
      <c r="B17" s="22"/>
      <c r="C17" s="22"/>
      <c r="D17" s="22"/>
      <c r="E17" s="22" t="s">
        <v>170</v>
      </c>
      <c r="F17" s="22" t="s">
        <v>178</v>
      </c>
      <c r="G17" s="22"/>
      <c r="H17" s="22">
        <v>0.05</v>
      </c>
      <c r="I17" s="22">
        <f t="shared" si="4"/>
        <v>0</v>
      </c>
      <c r="J17" s="149"/>
      <c r="K17" s="150"/>
    </row>
    <row r="18" spans="1:11" ht="13.5" customHeight="1" x14ac:dyDescent="0.15">
      <c r="A18" s="22">
        <v>10</v>
      </c>
      <c r="B18" s="22" t="s">
        <v>316</v>
      </c>
      <c r="C18" s="22" t="s">
        <v>291</v>
      </c>
      <c r="D18" s="22" t="s">
        <v>179</v>
      </c>
      <c r="E18" s="22"/>
      <c r="F18" s="22"/>
      <c r="G18" s="22">
        <v>4</v>
      </c>
      <c r="H18" s="22">
        <v>0.05</v>
      </c>
      <c r="I18" s="108">
        <f t="shared" ref="I18:I26" si="5">G18*H18</f>
        <v>0.2</v>
      </c>
      <c r="J18" s="149" t="s">
        <v>180</v>
      </c>
      <c r="K18" s="150"/>
    </row>
    <row r="19" spans="1:11" ht="13.5" customHeight="1" x14ac:dyDescent="0.15">
      <c r="A19" s="22">
        <v>11</v>
      </c>
      <c r="B19" s="22" t="s">
        <v>292</v>
      </c>
      <c r="C19" s="22"/>
      <c r="D19" s="22" t="s">
        <v>75</v>
      </c>
      <c r="E19" s="22"/>
      <c r="F19" s="22"/>
      <c r="G19" s="22">
        <v>2</v>
      </c>
      <c r="H19" s="22">
        <v>0.05</v>
      </c>
      <c r="I19" s="22">
        <f t="shared" si="5"/>
        <v>0.1</v>
      </c>
      <c r="J19" s="149"/>
      <c r="K19" s="150"/>
    </row>
    <row r="20" spans="1:11" ht="13.5" customHeight="1" x14ac:dyDescent="0.15">
      <c r="A20" s="22">
        <v>12</v>
      </c>
      <c r="B20" s="22" t="s">
        <v>317</v>
      </c>
      <c r="C20" s="22"/>
      <c r="D20" s="22" t="s">
        <v>221</v>
      </c>
      <c r="E20" s="22"/>
      <c r="F20" s="22"/>
      <c r="G20" s="22">
        <v>6</v>
      </c>
      <c r="H20" s="22">
        <v>0.04</v>
      </c>
      <c r="I20" s="22">
        <f t="shared" si="5"/>
        <v>0.24</v>
      </c>
      <c r="J20" s="149"/>
      <c r="K20" s="150"/>
    </row>
    <row r="21" spans="1:11" ht="13.5" customHeight="1" x14ac:dyDescent="0.15">
      <c r="A21" s="22">
        <v>13</v>
      </c>
      <c r="B21" s="22" t="s">
        <v>294</v>
      </c>
      <c r="C21" s="22"/>
      <c r="D21" s="22" t="s">
        <v>145</v>
      </c>
      <c r="E21" s="22"/>
      <c r="F21" s="22"/>
      <c r="G21" s="22">
        <v>2</v>
      </c>
      <c r="H21" s="22">
        <v>0.05</v>
      </c>
      <c r="I21" s="22">
        <f t="shared" si="5"/>
        <v>0.1</v>
      </c>
      <c r="J21" s="149"/>
      <c r="K21" s="150"/>
    </row>
    <row r="22" spans="1:11" ht="13.5" customHeight="1" x14ac:dyDescent="0.15">
      <c r="A22" s="22">
        <v>14</v>
      </c>
      <c r="B22" s="22" t="s">
        <v>295</v>
      </c>
      <c r="C22" s="22"/>
      <c r="D22" s="22" t="s">
        <v>183</v>
      </c>
      <c r="E22" s="22"/>
      <c r="F22" s="22"/>
      <c r="G22" s="22">
        <v>10</v>
      </c>
      <c r="H22" s="22">
        <v>0.05</v>
      </c>
      <c r="I22" s="117">
        <f t="shared" si="5"/>
        <v>0.5</v>
      </c>
      <c r="J22" s="149"/>
      <c r="K22" s="150"/>
    </row>
    <row r="23" spans="1:11" ht="13.5" customHeight="1" x14ac:dyDescent="0.15">
      <c r="A23" s="22">
        <v>15</v>
      </c>
      <c r="B23" s="22" t="s">
        <v>294</v>
      </c>
      <c r="C23" s="22"/>
      <c r="D23" s="22" t="s">
        <v>296</v>
      </c>
      <c r="E23" s="22"/>
      <c r="F23" s="22"/>
      <c r="G23" s="22">
        <v>2</v>
      </c>
      <c r="H23" s="22">
        <v>0.04</v>
      </c>
      <c r="I23" s="22">
        <f t="shared" si="5"/>
        <v>0.08</v>
      </c>
      <c r="J23" s="149"/>
      <c r="K23" s="150"/>
    </row>
    <row r="24" spans="1:11" ht="13.5" customHeight="1" x14ac:dyDescent="0.15">
      <c r="A24" s="22">
        <v>16</v>
      </c>
      <c r="B24" s="22" t="s">
        <v>242</v>
      </c>
      <c r="C24" s="22"/>
      <c r="D24" s="22" t="s">
        <v>175</v>
      </c>
      <c r="E24" s="22"/>
      <c r="F24" s="22"/>
      <c r="G24" s="22">
        <v>2</v>
      </c>
      <c r="H24" s="22">
        <v>0.04</v>
      </c>
      <c r="I24" s="22">
        <f t="shared" si="5"/>
        <v>0.08</v>
      </c>
      <c r="J24" s="24"/>
      <c r="K24" s="25"/>
    </row>
    <row r="25" spans="1:11" ht="13.5" customHeight="1" x14ac:dyDescent="0.15">
      <c r="A25" s="22">
        <v>17</v>
      </c>
      <c r="B25" s="22" t="s">
        <v>294</v>
      </c>
      <c r="C25" s="22"/>
      <c r="D25" s="22" t="s">
        <v>185</v>
      </c>
      <c r="E25" s="22"/>
      <c r="F25" s="22"/>
      <c r="G25" s="22">
        <v>2</v>
      </c>
      <c r="H25" s="22">
        <v>0.05</v>
      </c>
      <c r="I25" s="22">
        <f t="shared" si="5"/>
        <v>0.1</v>
      </c>
      <c r="J25" s="149"/>
      <c r="K25" s="150"/>
    </row>
    <row r="26" spans="1:11" ht="13.5" customHeight="1" x14ac:dyDescent="0.15">
      <c r="A26" s="22">
        <v>18</v>
      </c>
      <c r="B26" s="22"/>
      <c r="C26" s="22"/>
      <c r="D26" s="22"/>
      <c r="E26" s="22"/>
      <c r="F26" s="22"/>
      <c r="G26" s="22"/>
      <c r="H26" s="22">
        <v>0.08</v>
      </c>
      <c r="I26" s="22">
        <f t="shared" si="5"/>
        <v>0</v>
      </c>
      <c r="J26" s="149"/>
      <c r="K26" s="150"/>
    </row>
    <row r="27" spans="1:11" ht="13.5" customHeight="1" x14ac:dyDescent="0.15">
      <c r="A27" s="22">
        <v>19</v>
      </c>
      <c r="B27" s="22"/>
      <c r="C27" s="22"/>
      <c r="D27" s="22" t="s">
        <v>187</v>
      </c>
      <c r="E27" s="22"/>
      <c r="F27" s="22"/>
      <c r="G27" s="22"/>
      <c r="H27" s="22"/>
      <c r="I27" s="117">
        <v>0.2</v>
      </c>
      <c r="J27" s="149" t="s">
        <v>188</v>
      </c>
      <c r="K27" s="150"/>
    </row>
    <row r="28" spans="1:11" ht="13.5" customHeight="1" x14ac:dyDescent="0.15">
      <c r="A28" s="22"/>
      <c r="B28" s="22"/>
      <c r="C28" s="22"/>
      <c r="D28" s="149" t="s">
        <v>297</v>
      </c>
      <c r="E28" s="153"/>
      <c r="F28" s="153"/>
      <c r="G28" s="153"/>
      <c r="H28" s="150"/>
      <c r="I28" s="22">
        <v>0.8</v>
      </c>
      <c r="J28" s="24"/>
      <c r="K28" s="25"/>
    </row>
    <row r="29" spans="1:11" ht="13.5" customHeight="1" x14ac:dyDescent="0.15">
      <c r="A29" s="149" t="s">
        <v>82</v>
      </c>
      <c r="B29" s="153"/>
      <c r="C29" s="153"/>
      <c r="D29" s="153"/>
      <c r="E29" s="153"/>
      <c r="F29" s="153"/>
      <c r="G29" s="153"/>
      <c r="H29" s="150"/>
      <c r="I29" s="42">
        <f>SUM(I13:I28)</f>
        <v>3.3000000000000007</v>
      </c>
      <c r="J29" s="22"/>
      <c r="K29" s="22"/>
    </row>
    <row r="30" spans="1:11" ht="13.5" customHeight="1" x14ac:dyDescent="0.15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0"/>
    </row>
    <row r="31" spans="1:11" ht="13.5" customHeight="1" x14ac:dyDescent="0.15">
      <c r="A31" s="149" t="s">
        <v>83</v>
      </c>
      <c r="B31" s="153"/>
      <c r="C31" s="153"/>
      <c r="D31" s="153"/>
      <c r="E31" s="150"/>
      <c r="F31" s="154" t="s">
        <v>84</v>
      </c>
      <c r="G31" s="154"/>
      <c r="H31" s="22" t="s">
        <v>85</v>
      </c>
      <c r="I31" s="22" t="s">
        <v>86</v>
      </c>
      <c r="J31" s="22" t="s">
        <v>87</v>
      </c>
      <c r="K31" s="25" t="s">
        <v>6</v>
      </c>
    </row>
    <row r="32" spans="1:11" ht="13.5" customHeight="1" x14ac:dyDescent="0.15">
      <c r="A32" s="22" t="s">
        <v>0</v>
      </c>
      <c r="B32" s="22" t="s">
        <v>90</v>
      </c>
      <c r="C32" s="22" t="s">
        <v>91</v>
      </c>
      <c r="D32" s="22" t="s">
        <v>92</v>
      </c>
      <c r="E32" s="22" t="s">
        <v>72</v>
      </c>
      <c r="F32" s="154" t="s">
        <v>298</v>
      </c>
      <c r="G32" s="154"/>
      <c r="H32" s="22">
        <v>12</v>
      </c>
      <c r="I32" s="22">
        <v>0.05</v>
      </c>
      <c r="J32" s="36">
        <f t="shared" ref="J32:J36" si="6">I32*H32</f>
        <v>0.60000000000000009</v>
      </c>
      <c r="K32" s="22"/>
    </row>
    <row r="33" spans="1:15" ht="13.5" customHeight="1" x14ac:dyDescent="0.15">
      <c r="A33" s="26">
        <v>1</v>
      </c>
      <c r="B33" s="22" t="s">
        <v>299</v>
      </c>
      <c r="C33" s="22">
        <v>4</v>
      </c>
      <c r="D33" s="22">
        <v>0.45</v>
      </c>
      <c r="E33" s="22">
        <f t="shared" ref="E33:E41" si="7">D33*C33</f>
        <v>1.8</v>
      </c>
      <c r="F33" s="149" t="s">
        <v>300</v>
      </c>
      <c r="G33" s="150"/>
      <c r="H33" s="22">
        <v>15</v>
      </c>
      <c r="I33" s="22">
        <v>0.05</v>
      </c>
      <c r="J33" s="36">
        <f t="shared" si="6"/>
        <v>0.75</v>
      </c>
      <c r="K33" s="22"/>
    </row>
    <row r="34" spans="1:15" ht="13.5" customHeight="1" x14ac:dyDescent="0.15">
      <c r="A34" s="26">
        <v>2</v>
      </c>
      <c r="B34" s="22" t="s">
        <v>301</v>
      </c>
      <c r="C34" s="22">
        <v>6</v>
      </c>
      <c r="D34" s="22">
        <v>0.32</v>
      </c>
      <c r="E34" s="117">
        <f t="shared" si="7"/>
        <v>1.92</v>
      </c>
      <c r="F34" s="149" t="s">
        <v>302</v>
      </c>
      <c r="G34" s="150"/>
      <c r="H34" s="22">
        <v>4</v>
      </c>
      <c r="I34" s="22">
        <v>0.05</v>
      </c>
      <c r="J34" s="36">
        <f t="shared" si="6"/>
        <v>0.2</v>
      </c>
      <c r="K34" s="22"/>
    </row>
    <row r="35" spans="1:15" ht="13.5" customHeight="1" x14ac:dyDescent="0.15">
      <c r="A35" s="26">
        <v>3</v>
      </c>
      <c r="B35" s="22" t="s">
        <v>193</v>
      </c>
      <c r="C35" s="22">
        <v>9</v>
      </c>
      <c r="D35" s="22">
        <v>1</v>
      </c>
      <c r="E35" s="22">
        <f t="shared" si="7"/>
        <v>9</v>
      </c>
      <c r="F35" s="149" t="s">
        <v>191</v>
      </c>
      <c r="G35" s="150"/>
      <c r="H35" s="45">
        <v>150</v>
      </c>
      <c r="I35" s="22">
        <v>0.05</v>
      </c>
      <c r="J35" s="36">
        <f t="shared" si="6"/>
        <v>7.5</v>
      </c>
      <c r="K35" s="22"/>
    </row>
    <row r="36" spans="1:15" ht="13.5" customHeight="1" x14ac:dyDescent="0.15">
      <c r="A36" s="26">
        <v>4</v>
      </c>
      <c r="B36" s="22" t="s">
        <v>303</v>
      </c>
      <c r="C36" s="22">
        <v>18</v>
      </c>
      <c r="D36" s="22">
        <v>0.15</v>
      </c>
      <c r="E36" s="22">
        <f t="shared" si="7"/>
        <v>2.6999999999999997</v>
      </c>
      <c r="F36" s="149"/>
      <c r="G36" s="150"/>
      <c r="H36" s="22"/>
      <c r="I36" s="22">
        <v>0.06</v>
      </c>
      <c r="J36" s="36">
        <f t="shared" si="6"/>
        <v>0</v>
      </c>
      <c r="K36" s="22"/>
    </row>
    <row r="37" spans="1:15" ht="13.5" customHeight="1" x14ac:dyDescent="0.15">
      <c r="A37" s="26">
        <v>5</v>
      </c>
      <c r="B37" s="22" t="s">
        <v>305</v>
      </c>
      <c r="C37" s="22">
        <v>2</v>
      </c>
      <c r="D37" s="27">
        <v>1.8</v>
      </c>
      <c r="E37" s="27">
        <f t="shared" si="7"/>
        <v>3.6</v>
      </c>
      <c r="F37" s="149"/>
      <c r="G37" s="150"/>
      <c r="H37" s="22"/>
      <c r="I37" s="22"/>
      <c r="J37" s="36"/>
      <c r="K37" s="22"/>
    </row>
    <row r="38" spans="1:15" ht="13.5" customHeight="1" x14ac:dyDescent="0.15">
      <c r="A38" s="26">
        <v>6</v>
      </c>
      <c r="B38" s="22" t="s">
        <v>307</v>
      </c>
      <c r="C38" s="22">
        <v>4</v>
      </c>
      <c r="D38" s="22">
        <v>0.04</v>
      </c>
      <c r="E38" s="22">
        <f t="shared" si="7"/>
        <v>0.16</v>
      </c>
      <c r="F38" s="149" t="s">
        <v>82</v>
      </c>
      <c r="G38" s="150"/>
      <c r="H38" s="22"/>
      <c r="I38" s="22"/>
      <c r="J38" s="43">
        <f>SUM(J32:J37)</f>
        <v>9.0500000000000007</v>
      </c>
      <c r="K38" s="22"/>
    </row>
    <row r="39" spans="1:15" ht="13.5" customHeight="1" x14ac:dyDescent="0.15">
      <c r="A39" s="26">
        <v>7</v>
      </c>
      <c r="B39" s="22" t="s">
        <v>308</v>
      </c>
      <c r="C39" s="22">
        <v>18</v>
      </c>
      <c r="D39" s="22">
        <v>0.03</v>
      </c>
      <c r="E39" s="22">
        <f t="shared" si="7"/>
        <v>0.54</v>
      </c>
      <c r="F39" s="149" t="s">
        <v>119</v>
      </c>
      <c r="G39" s="150"/>
      <c r="H39" s="28" t="s">
        <v>201</v>
      </c>
      <c r="I39" s="22" t="s">
        <v>309</v>
      </c>
      <c r="J39" s="32" t="s">
        <v>87</v>
      </c>
      <c r="K39" s="22" t="s">
        <v>6</v>
      </c>
    </row>
    <row r="40" spans="1:15" ht="13.5" customHeight="1" x14ac:dyDescent="0.15">
      <c r="A40" s="26">
        <v>8</v>
      </c>
      <c r="B40" s="22" t="s">
        <v>310</v>
      </c>
      <c r="C40" s="22">
        <v>2</v>
      </c>
      <c r="D40" s="22">
        <v>0.1</v>
      </c>
      <c r="E40" s="22">
        <f t="shared" si="7"/>
        <v>0.2</v>
      </c>
      <c r="F40" s="149" t="s">
        <v>126</v>
      </c>
      <c r="G40" s="150"/>
      <c r="H40" s="22">
        <v>10</v>
      </c>
      <c r="I40" s="45">
        <v>0.68</v>
      </c>
      <c r="J40" s="22">
        <f>I40*H40</f>
        <v>6.8000000000000007</v>
      </c>
      <c r="K40" s="22"/>
      <c r="M40" s="35" t="s">
        <v>111</v>
      </c>
      <c r="N40" s="35" t="s">
        <v>112</v>
      </c>
      <c r="O40" s="35" t="s">
        <v>113</v>
      </c>
    </row>
    <row r="41" spans="1:15" ht="13.5" customHeight="1" x14ac:dyDescent="0.15">
      <c r="A41" s="26">
        <v>9</v>
      </c>
      <c r="B41" s="22" t="s">
        <v>311</v>
      </c>
      <c r="C41" s="22">
        <v>2</v>
      </c>
      <c r="D41" s="22">
        <v>1.3</v>
      </c>
      <c r="E41" s="22">
        <f t="shared" si="7"/>
        <v>2.6</v>
      </c>
      <c r="F41" s="149"/>
      <c r="G41" s="150"/>
      <c r="H41" s="29"/>
      <c r="I41" s="22"/>
      <c r="J41" s="22"/>
      <c r="K41" s="22"/>
      <c r="M41" s="35" t="s">
        <v>115</v>
      </c>
      <c r="N41" s="35" t="s">
        <v>116</v>
      </c>
      <c r="O41" s="35" t="s">
        <v>117</v>
      </c>
    </row>
    <row r="42" spans="1:15" ht="13.5" customHeight="1" x14ac:dyDescent="0.15">
      <c r="A42" s="26"/>
      <c r="B42" s="22"/>
      <c r="C42" s="22"/>
      <c r="D42" s="22"/>
      <c r="E42" s="22"/>
      <c r="F42" s="145"/>
      <c r="G42" s="146"/>
      <c r="H42" s="22"/>
      <c r="I42" s="22"/>
      <c r="J42" s="22"/>
      <c r="K42" s="22"/>
    </row>
    <row r="43" spans="1:15" ht="13.5" customHeight="1" x14ac:dyDescent="0.15">
      <c r="A43" s="145" t="s">
        <v>82</v>
      </c>
      <c r="B43" s="151"/>
      <c r="C43" s="151"/>
      <c r="D43" s="146"/>
      <c r="E43" s="30">
        <f>SUM(E33:E42)</f>
        <v>22.52</v>
      </c>
    </row>
    <row r="44" spans="1:15" ht="13.5" customHeight="1" x14ac:dyDescent="0.15">
      <c r="A44" s="152" t="s">
        <v>127</v>
      </c>
      <c r="B44" s="152"/>
      <c r="C44" s="31" t="s">
        <v>108</v>
      </c>
      <c r="E44" s="32" t="s">
        <v>128</v>
      </c>
      <c r="F44" s="147">
        <f>C49+C48+C47+C46+C45</f>
        <v>74.002200000000016</v>
      </c>
      <c r="G44" s="147"/>
      <c r="H44" s="147"/>
      <c r="I44" s="147"/>
      <c r="J44" s="147"/>
      <c r="K44" s="147"/>
      <c r="M44" s="26" t="s">
        <v>122</v>
      </c>
      <c r="N44" s="26" t="s">
        <v>123</v>
      </c>
      <c r="O44" s="26" t="s">
        <v>82</v>
      </c>
    </row>
    <row r="45" spans="1:15" ht="13.5" customHeight="1" x14ac:dyDescent="0.15">
      <c r="A45" s="148" t="s">
        <v>131</v>
      </c>
      <c r="B45" s="148"/>
      <c r="C45" s="33">
        <f>K11</f>
        <v>30.232700000000001</v>
      </c>
      <c r="E45" s="34" t="s">
        <v>132</v>
      </c>
      <c r="F45" s="147">
        <f>F44*0.03</f>
        <v>2.2200660000000005</v>
      </c>
      <c r="G45" s="147"/>
      <c r="H45" s="147"/>
      <c r="I45" s="147"/>
      <c r="J45" s="147"/>
      <c r="K45" s="147"/>
      <c r="M45" s="26">
        <v>5.69</v>
      </c>
      <c r="N45" s="26">
        <v>1.4</v>
      </c>
      <c r="O45" s="26">
        <f>M45*N45</f>
        <v>7.9660000000000002</v>
      </c>
    </row>
    <row r="46" spans="1:15" ht="13.5" customHeight="1" x14ac:dyDescent="0.15">
      <c r="A46" s="148" t="s">
        <v>133</v>
      </c>
      <c r="B46" s="148"/>
      <c r="C46" s="37">
        <f>I29*1.17</f>
        <v>3.8610000000000007</v>
      </c>
      <c r="E46" s="34" t="s">
        <v>134</v>
      </c>
      <c r="F46" s="147">
        <f>F44*0.03</f>
        <v>2.2200660000000005</v>
      </c>
      <c r="G46" s="147"/>
      <c r="H46" s="147"/>
      <c r="I46" s="147"/>
      <c r="J46" s="147"/>
      <c r="K46" s="147"/>
    </row>
    <row r="47" spans="1:15" ht="13.5" customHeight="1" x14ac:dyDescent="0.15">
      <c r="A47" s="148" t="s">
        <v>135</v>
      </c>
      <c r="B47" s="148"/>
      <c r="C47" s="33">
        <f>E43</f>
        <v>22.52</v>
      </c>
      <c r="E47" s="34" t="s">
        <v>136</v>
      </c>
      <c r="F47" s="147">
        <f>F44*0.02</f>
        <v>1.4800440000000004</v>
      </c>
      <c r="G47" s="147"/>
      <c r="H47" s="147"/>
      <c r="I47" s="147"/>
      <c r="J47" s="147"/>
      <c r="K47" s="147"/>
    </row>
    <row r="48" spans="1:15" ht="13.5" customHeight="1" x14ac:dyDescent="0.15">
      <c r="A48" s="148" t="s">
        <v>138</v>
      </c>
      <c r="B48" s="148"/>
      <c r="C48" s="37">
        <f>J38*1.17</f>
        <v>10.5885</v>
      </c>
      <c r="E48" s="34" t="s">
        <v>5</v>
      </c>
      <c r="F48" s="147"/>
      <c r="G48" s="147"/>
      <c r="H48" s="147"/>
      <c r="I48" s="147"/>
      <c r="J48" s="147"/>
      <c r="K48" s="147"/>
      <c r="M48" s="26" t="s">
        <v>129</v>
      </c>
      <c r="N48" s="26" t="s">
        <v>130</v>
      </c>
      <c r="O48" s="26" t="s">
        <v>82</v>
      </c>
    </row>
    <row r="49" spans="1:16" ht="13.5" customHeight="1" x14ac:dyDescent="0.15">
      <c r="A49" s="148" t="s">
        <v>119</v>
      </c>
      <c r="B49" s="148"/>
      <c r="C49" s="33">
        <f>J40+J42</f>
        <v>6.8000000000000007</v>
      </c>
      <c r="E49" s="34" t="s">
        <v>139</v>
      </c>
      <c r="F49" s="147">
        <f>F48+F47+F46+F45+F44</f>
        <v>79.922376000000014</v>
      </c>
      <c r="G49" s="147"/>
      <c r="H49" s="147"/>
      <c r="I49" s="147"/>
      <c r="J49" s="147"/>
      <c r="K49" s="147"/>
      <c r="M49" s="26">
        <v>79.09</v>
      </c>
      <c r="N49" s="26">
        <v>7.9660000000000002</v>
      </c>
      <c r="O49" s="44">
        <f>M49+N49</f>
        <v>87.055999999999997</v>
      </c>
      <c r="P49" t="s">
        <v>152</v>
      </c>
    </row>
    <row r="50" spans="1:16" x14ac:dyDescent="0.15">
      <c r="A50" s="161"/>
      <c r="B50" s="161"/>
      <c r="H50" t="s">
        <v>152</v>
      </c>
      <c r="I50" t="s">
        <v>318</v>
      </c>
    </row>
    <row r="51" spans="1:16" x14ac:dyDescent="0.15">
      <c r="A51" s="161"/>
      <c r="B51" s="161"/>
    </row>
    <row r="52" spans="1:16" x14ac:dyDescent="0.15">
      <c r="A52" s="161"/>
      <c r="B52" s="161"/>
    </row>
  </sheetData>
  <mergeCells count="49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J26:K26"/>
    <mergeCell ref="J27:K27"/>
    <mergeCell ref="D28:H28"/>
    <mergeCell ref="A29:H29"/>
    <mergeCell ref="A30:K30"/>
    <mergeCell ref="A31:E3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A43:D43"/>
    <mergeCell ref="A44:B44"/>
    <mergeCell ref="F44:K44"/>
    <mergeCell ref="A45:B45"/>
    <mergeCell ref="F45:K45"/>
    <mergeCell ref="A46:B46"/>
    <mergeCell ref="F46:K46"/>
    <mergeCell ref="A47:B47"/>
    <mergeCell ref="F47:K47"/>
    <mergeCell ref="A51:B51"/>
    <mergeCell ref="A52:B52"/>
    <mergeCell ref="A48:B48"/>
    <mergeCell ref="F48:K48"/>
    <mergeCell ref="A49:B49"/>
    <mergeCell ref="F49:K49"/>
    <mergeCell ref="A50:B50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8"/>
  <sheetViews>
    <sheetView workbookViewId="0">
      <selection activeCell="A13" sqref="A13:J13"/>
    </sheetView>
  </sheetViews>
  <sheetFormatPr defaultColWidth="9" defaultRowHeight="13.5" x14ac:dyDescent="0.1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12.625" customWidth="1"/>
    <col min="9" max="9" width="7.75" customWidth="1"/>
    <col min="10" max="10" width="8.875" customWidth="1"/>
    <col min="11" max="11" width="6.5" customWidth="1"/>
    <col min="12" max="12" width="12.25" customWidth="1"/>
    <col min="13" max="13" width="13.125" customWidth="1"/>
  </cols>
  <sheetData>
    <row r="1" spans="1:11" ht="36" customHeight="1" x14ac:dyDescent="0.15">
      <c r="A1" s="162" t="s">
        <v>319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1" ht="13.5" customHeight="1" x14ac:dyDescent="0.15">
      <c r="A3" s="22">
        <v>1</v>
      </c>
      <c r="B3" s="22" t="s">
        <v>320</v>
      </c>
      <c r="C3" s="22"/>
      <c r="D3" s="22" t="s">
        <v>213</v>
      </c>
      <c r="E3" s="23">
        <v>6.1</v>
      </c>
      <c r="F3" s="23">
        <v>0.85</v>
      </c>
      <c r="G3" s="23">
        <f>E3*F3</f>
        <v>5.1849999999999996</v>
      </c>
      <c r="H3" s="23">
        <v>0.85</v>
      </c>
      <c r="I3" s="23">
        <f>F3-H3</f>
        <v>0</v>
      </c>
      <c r="J3" s="23">
        <f>I3*1.1</f>
        <v>0</v>
      </c>
      <c r="K3" s="23">
        <f>G3-J3</f>
        <v>5.1849999999999996</v>
      </c>
    </row>
    <row r="4" spans="1:11" ht="13.5" customHeight="1" x14ac:dyDescent="0.15">
      <c r="A4" s="22">
        <v>2</v>
      </c>
      <c r="B4" s="22" t="s">
        <v>277</v>
      </c>
      <c r="C4" s="22"/>
      <c r="D4" s="22" t="s">
        <v>213</v>
      </c>
      <c r="E4" s="23">
        <v>6.1</v>
      </c>
      <c r="F4" s="23">
        <v>0.68</v>
      </c>
      <c r="G4" s="23">
        <f t="shared" ref="G4:G12" si="0">E4*F4</f>
        <v>4.1479999999999997</v>
      </c>
      <c r="H4" s="23">
        <v>0.68</v>
      </c>
      <c r="I4" s="23">
        <f t="shared" ref="I4:I12" si="1">F4-H4</f>
        <v>0</v>
      </c>
      <c r="J4" s="23">
        <f t="shared" ref="J4:J10" si="2">I4*1.1</f>
        <v>0</v>
      </c>
      <c r="K4" s="23">
        <f t="shared" ref="K4:K12" si="3">G4-J4</f>
        <v>4.1479999999999997</v>
      </c>
    </row>
    <row r="5" spans="1:11" ht="13.5" customHeight="1" x14ac:dyDescent="0.15">
      <c r="A5" s="22">
        <v>3</v>
      </c>
      <c r="B5" s="22" t="s">
        <v>321</v>
      </c>
      <c r="C5" s="22"/>
      <c r="D5" s="22" t="s">
        <v>213</v>
      </c>
      <c r="E5" s="23">
        <v>6.1</v>
      </c>
      <c r="F5" s="23">
        <v>1.54</v>
      </c>
      <c r="G5" s="23">
        <f t="shared" si="0"/>
        <v>9.3940000000000001</v>
      </c>
      <c r="H5" s="23">
        <v>1.54</v>
      </c>
      <c r="I5" s="23">
        <f t="shared" si="1"/>
        <v>0</v>
      </c>
      <c r="J5" s="23">
        <f t="shared" si="2"/>
        <v>0</v>
      </c>
      <c r="K5" s="23">
        <f t="shared" si="3"/>
        <v>9.3940000000000001</v>
      </c>
    </row>
    <row r="6" spans="1:11" ht="13.5" customHeight="1" x14ac:dyDescent="0.15">
      <c r="A6" s="22">
        <v>4</v>
      </c>
      <c r="B6" s="22" t="s">
        <v>322</v>
      </c>
      <c r="C6" s="22"/>
      <c r="D6" s="22" t="s">
        <v>280</v>
      </c>
      <c r="E6" s="23">
        <v>5.5</v>
      </c>
      <c r="F6" s="23">
        <v>0.2</v>
      </c>
      <c r="G6" s="23">
        <f t="shared" si="0"/>
        <v>1.1000000000000001</v>
      </c>
      <c r="H6" s="23">
        <v>0.2</v>
      </c>
      <c r="I6" s="23">
        <f t="shared" si="1"/>
        <v>0</v>
      </c>
      <c r="J6" s="23">
        <f t="shared" si="2"/>
        <v>0</v>
      </c>
      <c r="K6" s="23">
        <f t="shared" si="3"/>
        <v>1.1000000000000001</v>
      </c>
    </row>
    <row r="7" spans="1:11" ht="13.5" customHeight="1" x14ac:dyDescent="0.15">
      <c r="A7" s="22">
        <v>5</v>
      </c>
      <c r="B7" s="22" t="s">
        <v>314</v>
      </c>
      <c r="C7" s="22"/>
      <c r="D7" s="22" t="s">
        <v>213</v>
      </c>
      <c r="E7" s="23">
        <v>6.1</v>
      </c>
      <c r="F7" s="23">
        <v>0.2</v>
      </c>
      <c r="G7" s="23">
        <f t="shared" si="0"/>
        <v>1.22</v>
      </c>
      <c r="H7" s="23">
        <v>0.2</v>
      </c>
      <c r="I7" s="23">
        <f t="shared" si="1"/>
        <v>0</v>
      </c>
      <c r="J7" s="23">
        <f t="shared" si="2"/>
        <v>0</v>
      </c>
      <c r="K7" s="23">
        <f t="shared" si="3"/>
        <v>1.22</v>
      </c>
    </row>
    <row r="8" spans="1:11" ht="13.5" customHeight="1" x14ac:dyDescent="0.15">
      <c r="A8" s="22">
        <v>6</v>
      </c>
      <c r="B8" s="22" t="s">
        <v>282</v>
      </c>
      <c r="C8" s="22"/>
      <c r="D8" s="22" t="s">
        <v>213</v>
      </c>
      <c r="E8" s="23">
        <v>6.1</v>
      </c>
      <c r="F8" s="22">
        <v>0.27</v>
      </c>
      <c r="G8" s="22">
        <f t="shared" si="0"/>
        <v>1.647</v>
      </c>
      <c r="H8" s="22">
        <v>0.27</v>
      </c>
      <c r="I8" s="22">
        <f t="shared" si="1"/>
        <v>0</v>
      </c>
      <c r="J8" s="22">
        <f t="shared" si="2"/>
        <v>0</v>
      </c>
      <c r="K8" s="22">
        <f t="shared" si="3"/>
        <v>1.647</v>
      </c>
    </row>
    <row r="9" spans="1:11" ht="13.5" customHeight="1" x14ac:dyDescent="0.15">
      <c r="A9" s="22">
        <v>7</v>
      </c>
      <c r="B9" s="22" t="s">
        <v>323</v>
      </c>
      <c r="C9" s="22"/>
      <c r="D9" s="22" t="s">
        <v>213</v>
      </c>
      <c r="E9" s="23">
        <v>6.1</v>
      </c>
      <c r="F9" s="22">
        <v>0.35</v>
      </c>
      <c r="G9" s="22">
        <f t="shared" si="0"/>
        <v>2.1349999999999998</v>
      </c>
      <c r="H9" s="22">
        <v>0.35</v>
      </c>
      <c r="I9" s="22">
        <f t="shared" si="1"/>
        <v>0</v>
      </c>
      <c r="J9" s="22">
        <f t="shared" si="2"/>
        <v>0</v>
      </c>
      <c r="K9" s="22">
        <f t="shared" si="3"/>
        <v>2.1349999999999998</v>
      </c>
    </row>
    <row r="10" spans="1:11" ht="13.5" customHeight="1" x14ac:dyDescent="0.15">
      <c r="A10" s="22">
        <v>8</v>
      </c>
      <c r="B10" s="22" t="s">
        <v>324</v>
      </c>
      <c r="C10" s="22"/>
      <c r="D10" s="22" t="s">
        <v>213</v>
      </c>
      <c r="E10" s="23">
        <v>6.1</v>
      </c>
      <c r="F10" s="22">
        <v>0.2</v>
      </c>
      <c r="G10" s="22">
        <f t="shared" si="0"/>
        <v>1.22</v>
      </c>
      <c r="H10" s="22">
        <v>0.2</v>
      </c>
      <c r="I10" s="22">
        <f t="shared" si="1"/>
        <v>0</v>
      </c>
      <c r="J10" s="22">
        <f t="shared" si="2"/>
        <v>0</v>
      </c>
      <c r="K10" s="22">
        <f t="shared" si="3"/>
        <v>1.22</v>
      </c>
    </row>
    <row r="11" spans="1:11" ht="13.5" customHeight="1" x14ac:dyDescent="0.15">
      <c r="A11" s="22">
        <v>9</v>
      </c>
      <c r="B11" s="22" t="s">
        <v>285</v>
      </c>
      <c r="C11" s="22"/>
      <c r="D11" s="22" t="s">
        <v>286</v>
      </c>
      <c r="E11" s="23">
        <v>5.9</v>
      </c>
      <c r="F11" s="22">
        <v>0.64</v>
      </c>
      <c r="G11" s="22">
        <f t="shared" si="0"/>
        <v>3.7760000000000002</v>
      </c>
      <c r="H11" s="22">
        <v>0.5</v>
      </c>
      <c r="I11" s="22">
        <f t="shared" si="1"/>
        <v>0.14000000000000001</v>
      </c>
      <c r="J11" s="22">
        <f>I11*2</f>
        <v>0.28000000000000003</v>
      </c>
      <c r="K11" s="22">
        <f t="shared" si="3"/>
        <v>3.4960000000000004</v>
      </c>
    </row>
    <row r="12" spans="1:11" ht="13.5" customHeight="1" x14ac:dyDescent="0.15">
      <c r="A12" s="22">
        <v>10</v>
      </c>
      <c r="B12" s="22" t="s">
        <v>287</v>
      </c>
      <c r="C12" s="22"/>
      <c r="D12" s="22" t="s">
        <v>286</v>
      </c>
      <c r="E12" s="23">
        <v>5.9</v>
      </c>
      <c r="F12" s="22">
        <v>0.44</v>
      </c>
      <c r="G12" s="22">
        <f t="shared" si="0"/>
        <v>2.5960000000000001</v>
      </c>
      <c r="H12" s="22">
        <v>0.32</v>
      </c>
      <c r="I12" s="22">
        <f t="shared" si="1"/>
        <v>0.12</v>
      </c>
      <c r="J12" s="22">
        <f>I12*2</f>
        <v>0.24</v>
      </c>
      <c r="K12" s="22">
        <f t="shared" si="3"/>
        <v>2.3559999999999999</v>
      </c>
    </row>
    <row r="13" spans="1:11" ht="13.5" customHeight="1" x14ac:dyDescent="0.15">
      <c r="A13" s="149" t="s">
        <v>82</v>
      </c>
      <c r="B13" s="153"/>
      <c r="C13" s="153"/>
      <c r="D13" s="153"/>
      <c r="E13" s="153"/>
      <c r="F13" s="153"/>
      <c r="G13" s="153"/>
      <c r="H13" s="153"/>
      <c r="I13" s="153"/>
      <c r="J13" s="150"/>
      <c r="K13" s="23">
        <f>SUM(K3:K12)</f>
        <v>31.900999999999996</v>
      </c>
    </row>
    <row r="14" spans="1:11" ht="13.5" customHeight="1" x14ac:dyDescent="0.15">
      <c r="A14" s="22" t="s">
        <v>0</v>
      </c>
      <c r="B14" s="22" t="s">
        <v>52</v>
      </c>
      <c r="C14" s="22" t="s">
        <v>53</v>
      </c>
      <c r="D14" s="22" t="s">
        <v>67</v>
      </c>
      <c r="E14" s="22" t="s">
        <v>68</v>
      </c>
      <c r="F14" s="22" t="s">
        <v>69</v>
      </c>
      <c r="G14" s="22" t="s">
        <v>70</v>
      </c>
      <c r="H14" s="22" t="s">
        <v>71</v>
      </c>
      <c r="I14" s="22" t="s">
        <v>72</v>
      </c>
      <c r="J14" s="149" t="s">
        <v>6</v>
      </c>
      <c r="K14" s="150"/>
    </row>
    <row r="15" spans="1:11" ht="13.5" customHeight="1" x14ac:dyDescent="0.15">
      <c r="A15" s="22">
        <v>1</v>
      </c>
      <c r="B15" s="22"/>
      <c r="C15" s="22"/>
      <c r="D15" s="22"/>
      <c r="E15" s="22" t="s">
        <v>160</v>
      </c>
      <c r="F15" s="22" t="s">
        <v>161</v>
      </c>
      <c r="G15" s="22"/>
      <c r="H15" s="22" t="s">
        <v>162</v>
      </c>
      <c r="I15" s="22"/>
      <c r="J15" s="149"/>
      <c r="K15" s="150"/>
    </row>
    <row r="16" spans="1:11" ht="13.5" customHeight="1" x14ac:dyDescent="0.15">
      <c r="A16" s="22">
        <v>2</v>
      </c>
      <c r="B16" s="22" t="s">
        <v>288</v>
      </c>
      <c r="C16" s="22"/>
      <c r="D16" s="22"/>
      <c r="E16" s="22" t="s">
        <v>160</v>
      </c>
      <c r="F16" s="22" t="s">
        <v>164</v>
      </c>
      <c r="G16" s="22"/>
      <c r="H16" s="22" t="s">
        <v>165</v>
      </c>
      <c r="I16" s="22">
        <v>0.3</v>
      </c>
      <c r="J16" s="149"/>
      <c r="K16" s="150"/>
    </row>
    <row r="17" spans="1:11" ht="13.5" customHeight="1" x14ac:dyDescent="0.15">
      <c r="A17" s="22">
        <v>3</v>
      </c>
      <c r="B17" s="22"/>
      <c r="C17" s="22"/>
      <c r="D17" s="22"/>
      <c r="E17" s="22" t="s">
        <v>166</v>
      </c>
      <c r="F17" s="22" t="s">
        <v>167</v>
      </c>
      <c r="G17" s="22"/>
      <c r="H17" s="22">
        <v>0.5</v>
      </c>
      <c r="I17" s="22">
        <f>G17*H17</f>
        <v>0</v>
      </c>
      <c r="J17" s="149"/>
      <c r="K17" s="150"/>
    </row>
    <row r="18" spans="1:11" ht="13.5" customHeight="1" x14ac:dyDescent="0.15">
      <c r="A18" s="22">
        <v>4</v>
      </c>
      <c r="B18" s="22"/>
      <c r="C18" s="22"/>
      <c r="D18" s="22"/>
      <c r="E18" s="22" t="s">
        <v>166</v>
      </c>
      <c r="F18" s="22" t="s">
        <v>168</v>
      </c>
      <c r="G18" s="22"/>
      <c r="H18" s="22">
        <v>0.3</v>
      </c>
      <c r="I18" s="22">
        <f t="shared" ref="I18:I32" si="4">G18*H18</f>
        <v>0</v>
      </c>
      <c r="J18" s="149"/>
      <c r="K18" s="150"/>
    </row>
    <row r="19" spans="1:11" ht="13.5" customHeight="1" x14ac:dyDescent="0.15">
      <c r="A19" s="22">
        <v>5</v>
      </c>
      <c r="B19" s="22"/>
      <c r="C19" s="22"/>
      <c r="D19" s="22"/>
      <c r="E19" s="22" t="s">
        <v>170</v>
      </c>
      <c r="F19" s="22" t="s">
        <v>171</v>
      </c>
      <c r="G19" s="22"/>
      <c r="H19" s="22">
        <v>0.15</v>
      </c>
      <c r="I19" s="22">
        <f t="shared" si="4"/>
        <v>0</v>
      </c>
      <c r="J19" s="149"/>
      <c r="K19" s="150"/>
    </row>
    <row r="20" spans="1:11" ht="13.5" customHeight="1" x14ac:dyDescent="0.15">
      <c r="A20" s="22">
        <v>6</v>
      </c>
      <c r="B20" s="22"/>
      <c r="C20" s="22"/>
      <c r="D20" s="22"/>
      <c r="E20" s="22" t="s">
        <v>170</v>
      </c>
      <c r="F20" s="22" t="s">
        <v>173</v>
      </c>
      <c r="G20" s="22"/>
      <c r="H20" s="22">
        <v>0.15</v>
      </c>
      <c r="I20" s="22">
        <f t="shared" si="4"/>
        <v>0</v>
      </c>
      <c r="J20" s="149"/>
      <c r="K20" s="150"/>
    </row>
    <row r="21" spans="1:11" ht="13.5" customHeight="1" x14ac:dyDescent="0.15">
      <c r="A21" s="22">
        <v>7</v>
      </c>
      <c r="B21" s="22"/>
      <c r="C21" s="22"/>
      <c r="D21" s="22"/>
      <c r="E21" s="22" t="s">
        <v>170</v>
      </c>
      <c r="F21" s="22" t="s">
        <v>176</v>
      </c>
      <c r="G21" s="22"/>
      <c r="H21" s="22">
        <v>0.08</v>
      </c>
      <c r="I21" s="22">
        <f t="shared" si="4"/>
        <v>0</v>
      </c>
      <c r="J21" s="149"/>
      <c r="K21" s="150"/>
    </row>
    <row r="22" spans="1:11" ht="13.5" customHeight="1" x14ac:dyDescent="0.15">
      <c r="A22" s="22">
        <v>8</v>
      </c>
      <c r="B22" s="22" t="s">
        <v>288</v>
      </c>
      <c r="C22" s="22"/>
      <c r="D22" s="22" t="s">
        <v>289</v>
      </c>
      <c r="E22" s="22" t="s">
        <v>170</v>
      </c>
      <c r="F22" s="22" t="s">
        <v>177</v>
      </c>
      <c r="G22" s="22">
        <v>12</v>
      </c>
      <c r="H22" s="22">
        <v>0.08</v>
      </c>
      <c r="I22" s="22">
        <f t="shared" si="4"/>
        <v>0.96</v>
      </c>
      <c r="J22" s="149"/>
      <c r="K22" s="150"/>
    </row>
    <row r="23" spans="1:11" ht="13.5" customHeight="1" x14ac:dyDescent="0.15">
      <c r="A23" s="22">
        <v>9</v>
      </c>
      <c r="B23" s="22"/>
      <c r="C23" s="22"/>
      <c r="D23" s="22"/>
      <c r="E23" s="22" t="s">
        <v>170</v>
      </c>
      <c r="F23" s="22" t="s">
        <v>178</v>
      </c>
      <c r="G23" s="22"/>
      <c r="H23" s="22">
        <v>0.05</v>
      </c>
      <c r="I23" s="22">
        <f t="shared" si="4"/>
        <v>0</v>
      </c>
      <c r="J23" s="149"/>
      <c r="K23" s="150"/>
    </row>
    <row r="24" spans="1:11" ht="13.5" customHeight="1" x14ac:dyDescent="0.15">
      <c r="A24" s="22">
        <v>10</v>
      </c>
      <c r="B24" s="22" t="s">
        <v>290</v>
      </c>
      <c r="C24" s="22" t="s">
        <v>291</v>
      </c>
      <c r="D24" s="22" t="s">
        <v>179</v>
      </c>
      <c r="E24" s="22"/>
      <c r="F24" s="22"/>
      <c r="G24" s="22"/>
      <c r="H24" s="22">
        <v>0.08</v>
      </c>
      <c r="I24" s="22">
        <v>0.56000000000000005</v>
      </c>
      <c r="J24" s="149" t="s">
        <v>180</v>
      </c>
      <c r="K24" s="150"/>
    </row>
    <row r="25" spans="1:11" ht="13.5" customHeight="1" x14ac:dyDescent="0.15">
      <c r="A25" s="22">
        <v>11</v>
      </c>
      <c r="B25" s="22" t="s">
        <v>292</v>
      </c>
      <c r="C25" s="22"/>
      <c r="D25" s="22" t="s">
        <v>75</v>
      </c>
      <c r="E25" s="22"/>
      <c r="F25" s="22"/>
      <c r="G25" s="22">
        <v>2</v>
      </c>
      <c r="H25" s="22">
        <v>0.08</v>
      </c>
      <c r="I25" s="22">
        <f t="shared" si="4"/>
        <v>0.16</v>
      </c>
      <c r="J25" s="149"/>
      <c r="K25" s="150"/>
    </row>
    <row r="26" spans="1:11" ht="13.5" customHeight="1" x14ac:dyDescent="0.15">
      <c r="A26" s="22">
        <v>12</v>
      </c>
      <c r="B26" s="22" t="s">
        <v>325</v>
      </c>
      <c r="C26" s="22"/>
      <c r="D26" s="22" t="s">
        <v>221</v>
      </c>
      <c r="E26" s="22"/>
      <c r="F26" s="22"/>
      <c r="G26" s="22">
        <v>10</v>
      </c>
      <c r="H26" s="22">
        <v>0.08</v>
      </c>
      <c r="I26" s="22">
        <f t="shared" si="4"/>
        <v>0.8</v>
      </c>
      <c r="J26" s="149"/>
      <c r="K26" s="150"/>
    </row>
    <row r="27" spans="1:11" ht="13.5" customHeight="1" x14ac:dyDescent="0.15">
      <c r="A27" s="22">
        <v>13</v>
      </c>
      <c r="B27" s="22" t="s">
        <v>294</v>
      </c>
      <c r="C27" s="22"/>
      <c r="D27" s="22" t="s">
        <v>145</v>
      </c>
      <c r="E27" s="22"/>
      <c r="F27" s="22"/>
      <c r="G27" s="22">
        <v>2</v>
      </c>
      <c r="H27" s="22">
        <v>0.08</v>
      </c>
      <c r="I27" s="22">
        <f t="shared" si="4"/>
        <v>0.16</v>
      </c>
      <c r="J27" s="149"/>
      <c r="K27" s="150"/>
    </row>
    <row r="28" spans="1:11" ht="13.5" customHeight="1" x14ac:dyDescent="0.15">
      <c r="A28" s="22">
        <v>14</v>
      </c>
      <c r="B28" s="22" t="s">
        <v>295</v>
      </c>
      <c r="C28" s="22"/>
      <c r="D28" s="22" t="s">
        <v>183</v>
      </c>
      <c r="E28" s="22"/>
      <c r="F28" s="22"/>
      <c r="G28" s="22">
        <v>7</v>
      </c>
      <c r="H28" s="22">
        <v>0.08</v>
      </c>
      <c r="I28" s="22">
        <f t="shared" si="4"/>
        <v>0.56000000000000005</v>
      </c>
      <c r="J28" s="149"/>
      <c r="K28" s="150"/>
    </row>
    <row r="29" spans="1:11" ht="13.5" customHeight="1" x14ac:dyDescent="0.15">
      <c r="A29" s="22">
        <v>15</v>
      </c>
      <c r="B29" s="22" t="s">
        <v>294</v>
      </c>
      <c r="C29" s="22"/>
      <c r="D29" s="22" t="s">
        <v>296</v>
      </c>
      <c r="E29" s="22"/>
      <c r="F29" s="22"/>
      <c r="G29" s="22">
        <v>2</v>
      </c>
      <c r="H29" s="22">
        <v>0.08</v>
      </c>
      <c r="I29" s="22">
        <f t="shared" si="4"/>
        <v>0.16</v>
      </c>
      <c r="J29" s="149"/>
      <c r="K29" s="150"/>
    </row>
    <row r="30" spans="1:11" ht="13.5" customHeight="1" x14ac:dyDescent="0.15">
      <c r="A30" s="22">
        <v>16</v>
      </c>
      <c r="B30" s="22" t="s">
        <v>242</v>
      </c>
      <c r="C30" s="22"/>
      <c r="D30" s="22" t="s">
        <v>175</v>
      </c>
      <c r="E30" s="22"/>
      <c r="F30" s="22"/>
      <c r="G30" s="22">
        <v>1</v>
      </c>
      <c r="H30" s="22">
        <v>0.08</v>
      </c>
      <c r="I30" s="22">
        <f t="shared" si="4"/>
        <v>0.08</v>
      </c>
      <c r="J30" s="24"/>
      <c r="K30" s="25"/>
    </row>
    <row r="31" spans="1:11" ht="13.5" customHeight="1" x14ac:dyDescent="0.15">
      <c r="A31" s="22">
        <v>17</v>
      </c>
      <c r="B31" s="22" t="s">
        <v>294</v>
      </c>
      <c r="C31" s="22"/>
      <c r="D31" s="22" t="s">
        <v>185</v>
      </c>
      <c r="E31" s="22"/>
      <c r="F31" s="22"/>
      <c r="G31" s="22">
        <v>2</v>
      </c>
      <c r="H31" s="22">
        <v>0.08</v>
      </c>
      <c r="I31" s="22">
        <f t="shared" si="4"/>
        <v>0.16</v>
      </c>
      <c r="J31" s="149"/>
      <c r="K31" s="150"/>
    </row>
    <row r="32" spans="1:11" ht="13.5" customHeight="1" x14ac:dyDescent="0.15">
      <c r="A32" s="22">
        <v>18</v>
      </c>
      <c r="B32" s="22"/>
      <c r="C32" s="22"/>
      <c r="D32" s="22"/>
      <c r="E32" s="22"/>
      <c r="F32" s="22"/>
      <c r="G32" s="22"/>
      <c r="H32" s="22">
        <v>0.08</v>
      </c>
      <c r="I32" s="22">
        <f t="shared" si="4"/>
        <v>0</v>
      </c>
      <c r="J32" s="149"/>
      <c r="K32" s="150"/>
    </row>
    <row r="33" spans="1:15" ht="13.5" customHeight="1" x14ac:dyDescent="0.15">
      <c r="A33" s="22">
        <v>19</v>
      </c>
      <c r="B33" s="22"/>
      <c r="C33" s="22"/>
      <c r="D33" s="22" t="s">
        <v>187</v>
      </c>
      <c r="E33" s="22"/>
      <c r="F33" s="22"/>
      <c r="G33" s="22"/>
      <c r="H33" s="22"/>
      <c r="I33" s="22">
        <v>0.4</v>
      </c>
      <c r="J33" s="149" t="s">
        <v>188</v>
      </c>
      <c r="K33" s="150"/>
    </row>
    <row r="34" spans="1:15" ht="13.5" customHeight="1" x14ac:dyDescent="0.15">
      <c r="A34" s="22"/>
      <c r="B34" s="22"/>
      <c r="C34" s="22"/>
      <c r="D34" s="149" t="s">
        <v>297</v>
      </c>
      <c r="E34" s="153"/>
      <c r="F34" s="153"/>
      <c r="G34" s="153"/>
      <c r="H34" s="150"/>
      <c r="I34" s="22">
        <v>0.7</v>
      </c>
      <c r="J34" s="24"/>
      <c r="K34" s="25"/>
    </row>
    <row r="35" spans="1:15" ht="13.5" customHeight="1" x14ac:dyDescent="0.15">
      <c r="A35" s="149" t="s">
        <v>82</v>
      </c>
      <c r="B35" s="153"/>
      <c r="C35" s="153"/>
      <c r="D35" s="153"/>
      <c r="E35" s="153"/>
      <c r="F35" s="153"/>
      <c r="G35" s="153"/>
      <c r="H35" s="150"/>
      <c r="I35" s="42">
        <f>SUM(I15:I34)</f>
        <v>5.0000000000000009</v>
      </c>
      <c r="J35" s="22"/>
      <c r="K35" s="22"/>
    </row>
    <row r="36" spans="1:15" ht="13.5" customHeight="1" x14ac:dyDescent="0.15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0"/>
    </row>
    <row r="37" spans="1:15" ht="13.5" customHeight="1" x14ac:dyDescent="0.15">
      <c r="A37" s="149" t="s">
        <v>83</v>
      </c>
      <c r="B37" s="153"/>
      <c r="C37" s="153"/>
      <c r="D37" s="153"/>
      <c r="E37" s="150"/>
      <c r="F37" s="154" t="s">
        <v>84</v>
      </c>
      <c r="G37" s="154"/>
      <c r="H37" s="22" t="s">
        <v>85</v>
      </c>
      <c r="I37" s="22" t="s">
        <v>86</v>
      </c>
      <c r="J37" s="22" t="s">
        <v>87</v>
      </c>
      <c r="K37" s="25" t="s">
        <v>6</v>
      </c>
    </row>
    <row r="38" spans="1:15" ht="13.5" customHeight="1" x14ac:dyDescent="0.15">
      <c r="A38" s="22" t="s">
        <v>0</v>
      </c>
      <c r="B38" s="22" t="s">
        <v>90</v>
      </c>
      <c r="C38" s="22" t="s">
        <v>91</v>
      </c>
      <c r="D38" s="22" t="s">
        <v>92</v>
      </c>
      <c r="E38" s="22" t="s">
        <v>72</v>
      </c>
      <c r="F38" s="154" t="s">
        <v>298</v>
      </c>
      <c r="G38" s="154"/>
      <c r="H38" s="22">
        <v>12</v>
      </c>
      <c r="I38" s="22">
        <v>0.05</v>
      </c>
      <c r="J38" s="36">
        <f>I38*H38</f>
        <v>0.60000000000000009</v>
      </c>
      <c r="K38" s="22"/>
    </row>
    <row r="39" spans="1:15" ht="13.5" customHeight="1" x14ac:dyDescent="0.15">
      <c r="A39" s="26">
        <v>1</v>
      </c>
      <c r="B39" s="22" t="s">
        <v>299</v>
      </c>
      <c r="C39" s="22">
        <v>3</v>
      </c>
      <c r="D39" s="22">
        <v>0.45</v>
      </c>
      <c r="E39" s="22">
        <f>D39*C39</f>
        <v>1.35</v>
      </c>
      <c r="F39" s="149" t="s">
        <v>300</v>
      </c>
      <c r="G39" s="150"/>
      <c r="H39" s="22">
        <v>12</v>
      </c>
      <c r="I39" s="22">
        <v>0.05</v>
      </c>
      <c r="J39" s="36">
        <f t="shared" ref="J39:J42" si="5">I39*H39</f>
        <v>0.60000000000000009</v>
      </c>
      <c r="K39" s="22"/>
    </row>
    <row r="40" spans="1:15" ht="13.5" customHeight="1" x14ac:dyDescent="0.15">
      <c r="A40" s="26">
        <v>2</v>
      </c>
      <c r="B40" s="22" t="s">
        <v>301</v>
      </c>
      <c r="C40" s="22">
        <v>4</v>
      </c>
      <c r="D40" s="22">
        <v>0.55000000000000004</v>
      </c>
      <c r="E40" s="22">
        <f t="shared" ref="E40:E47" si="6">D40*C40</f>
        <v>2.2000000000000002</v>
      </c>
      <c r="F40" s="149" t="s">
        <v>302</v>
      </c>
      <c r="G40" s="150"/>
      <c r="H40" s="22">
        <v>4</v>
      </c>
      <c r="I40" s="22">
        <v>0.05</v>
      </c>
      <c r="J40" s="36">
        <f t="shared" si="5"/>
        <v>0.2</v>
      </c>
      <c r="K40" s="22"/>
    </row>
    <row r="41" spans="1:15" ht="13.5" customHeight="1" x14ac:dyDescent="0.15">
      <c r="A41" s="26">
        <v>3</v>
      </c>
      <c r="B41" s="22" t="s">
        <v>193</v>
      </c>
      <c r="C41" s="22">
        <v>8</v>
      </c>
      <c r="D41" s="22">
        <v>1</v>
      </c>
      <c r="E41" s="22">
        <f t="shared" si="6"/>
        <v>8</v>
      </c>
      <c r="F41" s="149" t="s">
        <v>191</v>
      </c>
      <c r="G41" s="150"/>
      <c r="H41" s="22">
        <v>112</v>
      </c>
      <c r="I41" s="22">
        <v>0.05</v>
      </c>
      <c r="J41" s="36">
        <f t="shared" si="5"/>
        <v>5.6000000000000005</v>
      </c>
      <c r="K41" s="22"/>
    </row>
    <row r="42" spans="1:15" ht="13.5" customHeight="1" x14ac:dyDescent="0.15">
      <c r="A42" s="26">
        <v>4</v>
      </c>
      <c r="B42" s="22" t="s">
        <v>303</v>
      </c>
      <c r="C42" s="22">
        <v>16</v>
      </c>
      <c r="D42" s="22">
        <v>0.15</v>
      </c>
      <c r="E42" s="22">
        <f t="shared" si="6"/>
        <v>2.4</v>
      </c>
      <c r="F42" s="149"/>
      <c r="G42" s="150"/>
      <c r="H42" s="22"/>
      <c r="I42" s="22">
        <v>0.06</v>
      </c>
      <c r="J42" s="36">
        <f t="shared" si="5"/>
        <v>0</v>
      </c>
      <c r="K42" s="22"/>
    </row>
    <row r="43" spans="1:15" ht="13.5" customHeight="1" x14ac:dyDescent="0.15">
      <c r="A43" s="26">
        <v>5</v>
      </c>
      <c r="B43" s="22" t="s">
        <v>305</v>
      </c>
      <c r="C43" s="22">
        <v>1</v>
      </c>
      <c r="D43" s="27">
        <v>1.8</v>
      </c>
      <c r="E43" s="27">
        <f t="shared" si="6"/>
        <v>1.8</v>
      </c>
      <c r="F43" s="149"/>
      <c r="G43" s="150"/>
      <c r="H43" s="22"/>
      <c r="I43" s="22"/>
      <c r="J43" s="36"/>
      <c r="K43" s="22"/>
      <c r="M43" s="35" t="s">
        <v>111</v>
      </c>
      <c r="N43" s="35" t="s">
        <v>112</v>
      </c>
      <c r="O43" s="35" t="s">
        <v>113</v>
      </c>
    </row>
    <row r="44" spans="1:15" ht="13.5" customHeight="1" x14ac:dyDescent="0.15">
      <c r="A44" s="26">
        <v>6</v>
      </c>
      <c r="B44" s="22" t="s">
        <v>307</v>
      </c>
      <c r="C44" s="22">
        <v>4</v>
      </c>
      <c r="D44" s="22">
        <v>0.08</v>
      </c>
      <c r="E44" s="22">
        <f t="shared" si="6"/>
        <v>0.32</v>
      </c>
      <c r="F44" s="149" t="s">
        <v>82</v>
      </c>
      <c r="G44" s="150"/>
      <c r="H44" s="22"/>
      <c r="I44" s="22"/>
      <c r="J44" s="43">
        <f>SUM(J38:J43)</f>
        <v>7.0000000000000009</v>
      </c>
      <c r="K44" s="22"/>
      <c r="M44" s="35" t="s">
        <v>115</v>
      </c>
      <c r="N44" s="35" t="s">
        <v>116</v>
      </c>
      <c r="O44" s="35" t="s">
        <v>117</v>
      </c>
    </row>
    <row r="45" spans="1:15" ht="13.5" customHeight="1" x14ac:dyDescent="0.15">
      <c r="A45" s="26">
        <v>7</v>
      </c>
      <c r="B45" s="22" t="s">
        <v>308</v>
      </c>
      <c r="C45" s="22">
        <v>16</v>
      </c>
      <c r="D45" s="22">
        <v>0.03</v>
      </c>
      <c r="E45" s="22">
        <f t="shared" si="6"/>
        <v>0.48</v>
      </c>
      <c r="F45" s="149" t="s">
        <v>119</v>
      </c>
      <c r="G45" s="150"/>
      <c r="H45" s="28" t="s">
        <v>201</v>
      </c>
      <c r="I45" s="22" t="s">
        <v>309</v>
      </c>
      <c r="J45" s="32" t="s">
        <v>87</v>
      </c>
      <c r="K45" s="22" t="s">
        <v>6</v>
      </c>
    </row>
    <row r="46" spans="1:15" ht="13.5" customHeight="1" x14ac:dyDescent="0.15">
      <c r="A46" s="26">
        <v>8</v>
      </c>
      <c r="B46" s="22" t="s">
        <v>310</v>
      </c>
      <c r="C46" s="22">
        <v>2</v>
      </c>
      <c r="D46" s="22">
        <v>0.1</v>
      </c>
      <c r="E46" s="22">
        <f t="shared" si="6"/>
        <v>0.2</v>
      </c>
      <c r="F46" s="149" t="s">
        <v>126</v>
      </c>
      <c r="G46" s="150"/>
      <c r="H46" s="22">
        <v>10</v>
      </c>
      <c r="I46" s="22">
        <v>0.5</v>
      </c>
      <c r="J46" s="22">
        <f>I46*H46</f>
        <v>5</v>
      </c>
      <c r="K46" s="22"/>
    </row>
    <row r="47" spans="1:15" ht="13.5" customHeight="1" x14ac:dyDescent="0.15">
      <c r="A47" s="26">
        <v>9</v>
      </c>
      <c r="B47" s="22" t="s">
        <v>311</v>
      </c>
      <c r="C47" s="22">
        <v>2</v>
      </c>
      <c r="D47" s="22">
        <v>1.3</v>
      </c>
      <c r="E47" s="22">
        <f t="shared" si="6"/>
        <v>2.6</v>
      </c>
      <c r="F47" s="149"/>
      <c r="G47" s="150"/>
      <c r="H47" s="29"/>
      <c r="I47" s="22"/>
      <c r="J47" s="22"/>
      <c r="K47" s="22"/>
      <c r="M47" s="26" t="s">
        <v>122</v>
      </c>
      <c r="N47" s="26" t="s">
        <v>123</v>
      </c>
      <c r="O47" s="26" t="s">
        <v>82</v>
      </c>
    </row>
    <row r="48" spans="1:15" ht="13.5" customHeight="1" x14ac:dyDescent="0.15">
      <c r="A48" s="26"/>
      <c r="B48" s="22"/>
      <c r="C48" s="22"/>
      <c r="D48" s="22"/>
      <c r="E48" s="22"/>
      <c r="F48" s="145"/>
      <c r="G48" s="146"/>
      <c r="H48" s="22"/>
      <c r="I48" s="22"/>
      <c r="J48" s="22"/>
      <c r="K48" s="22"/>
      <c r="M48" s="26">
        <v>5.7</v>
      </c>
      <c r="N48" s="26">
        <v>1.4</v>
      </c>
      <c r="O48" s="26">
        <f>M48*N48</f>
        <v>7.9799999999999995</v>
      </c>
    </row>
    <row r="49" spans="1:16" ht="13.5" customHeight="1" x14ac:dyDescent="0.15">
      <c r="A49" s="145" t="s">
        <v>82</v>
      </c>
      <c r="B49" s="151"/>
      <c r="C49" s="151"/>
      <c r="D49" s="146"/>
      <c r="E49" s="30">
        <f>SUM(E39:E48)</f>
        <v>19.350000000000001</v>
      </c>
    </row>
    <row r="50" spans="1:16" ht="13.5" customHeight="1" x14ac:dyDescent="0.15">
      <c r="A50" s="152" t="s">
        <v>127</v>
      </c>
      <c r="B50" s="152"/>
      <c r="C50" s="31" t="s">
        <v>108</v>
      </c>
      <c r="E50" s="32" t="s">
        <v>128</v>
      </c>
      <c r="F50" s="147">
        <f>C55+C54+C53+C52+C51</f>
        <v>70.290999999999997</v>
      </c>
      <c r="G50" s="147"/>
      <c r="H50" s="147"/>
      <c r="I50" s="147"/>
      <c r="J50" s="147"/>
      <c r="K50" s="147"/>
    </row>
    <row r="51" spans="1:16" ht="13.5" customHeight="1" x14ac:dyDescent="0.15">
      <c r="A51" s="148" t="s">
        <v>131</v>
      </c>
      <c r="B51" s="148"/>
      <c r="C51" s="33">
        <f>K13</f>
        <v>31.900999999999996</v>
      </c>
      <c r="E51" s="34" t="s">
        <v>132</v>
      </c>
      <c r="F51" s="147">
        <f>F50*0.03</f>
        <v>2.10873</v>
      </c>
      <c r="G51" s="147"/>
      <c r="H51" s="147"/>
      <c r="I51" s="147"/>
      <c r="J51" s="147"/>
      <c r="K51" s="147"/>
      <c r="M51" s="26" t="s">
        <v>129</v>
      </c>
      <c r="N51" s="26" t="s">
        <v>130</v>
      </c>
      <c r="O51" s="26" t="s">
        <v>82</v>
      </c>
    </row>
    <row r="52" spans="1:16" ht="13.5" customHeight="1" x14ac:dyDescent="0.15">
      <c r="A52" s="148" t="s">
        <v>133</v>
      </c>
      <c r="B52" s="148"/>
      <c r="C52" s="37">
        <f>I35*1.17</f>
        <v>5.8500000000000005</v>
      </c>
      <c r="E52" s="34" t="s">
        <v>134</v>
      </c>
      <c r="F52" s="147">
        <f>F50*0.06</f>
        <v>4.21746</v>
      </c>
      <c r="G52" s="147"/>
      <c r="H52" s="147"/>
      <c r="I52" s="147"/>
      <c r="J52" s="147"/>
      <c r="K52" s="147"/>
      <c r="M52" s="26">
        <v>68</v>
      </c>
      <c r="N52" s="26">
        <v>7.98</v>
      </c>
      <c r="O52" s="44">
        <f>M52+N52</f>
        <v>75.98</v>
      </c>
      <c r="P52" t="s">
        <v>152</v>
      </c>
    </row>
    <row r="53" spans="1:16" ht="13.5" customHeight="1" x14ac:dyDescent="0.15">
      <c r="A53" s="148" t="s">
        <v>135</v>
      </c>
      <c r="B53" s="148"/>
      <c r="C53" s="33">
        <f>E49</f>
        <v>19.350000000000001</v>
      </c>
      <c r="E53" s="34" t="s">
        <v>136</v>
      </c>
      <c r="F53" s="147">
        <f>F50*0.02</f>
        <v>1.4058200000000001</v>
      </c>
      <c r="G53" s="147"/>
      <c r="H53" s="147"/>
      <c r="I53" s="147"/>
      <c r="J53" s="147"/>
      <c r="K53" s="147"/>
    </row>
    <row r="54" spans="1:16" ht="13.5" customHeight="1" x14ac:dyDescent="0.15">
      <c r="A54" s="148" t="s">
        <v>138</v>
      </c>
      <c r="B54" s="148"/>
      <c r="C54" s="37">
        <f>J44*1.17</f>
        <v>8.1900000000000013</v>
      </c>
      <c r="E54" s="34" t="s">
        <v>5</v>
      </c>
      <c r="F54" s="147"/>
      <c r="G54" s="147"/>
      <c r="H54" s="147"/>
      <c r="I54" s="147"/>
      <c r="J54" s="147"/>
      <c r="K54" s="147"/>
    </row>
    <row r="55" spans="1:16" ht="13.5" customHeight="1" x14ac:dyDescent="0.15">
      <c r="A55" s="148" t="s">
        <v>119</v>
      </c>
      <c r="B55" s="148"/>
      <c r="C55" s="33">
        <f>J46+J48</f>
        <v>5</v>
      </c>
      <c r="E55" s="34" t="s">
        <v>139</v>
      </c>
      <c r="F55" s="180">
        <f>F54+F53+F52+F51+F50</f>
        <v>78.023009999999999</v>
      </c>
      <c r="G55" s="180"/>
      <c r="H55" s="180"/>
      <c r="I55" s="180"/>
      <c r="J55" s="180"/>
      <c r="K55" s="180"/>
    </row>
    <row r="56" spans="1:16" x14ac:dyDescent="0.15">
      <c r="A56" s="161"/>
      <c r="B56" s="161"/>
      <c r="H56" t="s">
        <v>152</v>
      </c>
      <c r="I56" t="s">
        <v>326</v>
      </c>
    </row>
    <row r="57" spans="1:16" x14ac:dyDescent="0.15">
      <c r="A57" s="161"/>
      <c r="B57" s="161"/>
    </row>
    <row r="58" spans="1:16" x14ac:dyDescent="0.15">
      <c r="A58" s="161"/>
      <c r="B58" s="161"/>
    </row>
  </sheetData>
  <mergeCells count="53">
    <mergeCell ref="A1:K1"/>
    <mergeCell ref="A13:J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1:K31"/>
    <mergeCell ref="J32:K32"/>
    <mergeCell ref="J33:K33"/>
    <mergeCell ref="D34:H34"/>
    <mergeCell ref="A35:H35"/>
    <mergeCell ref="A36:K36"/>
    <mergeCell ref="A37:E37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A49:D49"/>
    <mergeCell ref="A50:B50"/>
    <mergeCell ref="F50:K50"/>
    <mergeCell ref="A51:B51"/>
    <mergeCell ref="F51:K51"/>
    <mergeCell ref="A52:B52"/>
    <mergeCell ref="F52:K52"/>
    <mergeCell ref="A53:B53"/>
    <mergeCell ref="F53:K53"/>
    <mergeCell ref="A54:B54"/>
    <mergeCell ref="F54:K54"/>
    <mergeCell ref="A55:B55"/>
    <mergeCell ref="F55:K55"/>
    <mergeCell ref="A56:B56"/>
    <mergeCell ref="A57:B57"/>
    <mergeCell ref="A58:B58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5"/>
  <sheetViews>
    <sheetView zoomScaleNormal="100" workbookViewId="0">
      <selection activeCell="F3" sqref="F3:F7"/>
    </sheetView>
  </sheetViews>
  <sheetFormatPr defaultColWidth="9" defaultRowHeight="13.5" x14ac:dyDescent="0.15"/>
  <cols>
    <col min="1" max="1" width="4.625" customWidth="1"/>
    <col min="2" max="2" width="11.375" customWidth="1"/>
    <col min="3" max="3" width="13" customWidth="1"/>
    <col min="4" max="4" width="7.625" customWidth="1"/>
    <col min="5" max="10" width="10.125" customWidth="1"/>
    <col min="11" max="11" width="11.875" customWidth="1"/>
    <col min="12" max="12" width="1.75" customWidth="1"/>
  </cols>
  <sheetData>
    <row r="1" spans="1:13" ht="39" customHeight="1" x14ac:dyDescent="0.15">
      <c r="A1" s="162" t="s">
        <v>327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M1" t="s">
        <v>25</v>
      </c>
    </row>
    <row r="2" spans="1:13" ht="18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3" ht="12.75" customHeight="1" x14ac:dyDescent="0.15">
      <c r="A3" s="22">
        <v>1</v>
      </c>
      <c r="B3" s="46" t="s">
        <v>232</v>
      </c>
      <c r="C3" s="47" t="s">
        <v>328</v>
      </c>
      <c r="D3" s="22" t="s">
        <v>213</v>
      </c>
      <c r="E3" s="23">
        <v>6.07</v>
      </c>
      <c r="F3" s="23">
        <v>0.86</v>
      </c>
      <c r="G3" s="23">
        <f>E3*F3</f>
        <v>5.2202000000000002</v>
      </c>
      <c r="H3" s="118">
        <v>0.86</v>
      </c>
      <c r="I3" s="23">
        <f>F3-H3</f>
        <v>0</v>
      </c>
      <c r="J3" s="23">
        <f>I3*1.1</f>
        <v>0</v>
      </c>
      <c r="K3" s="23">
        <f>G3-J3</f>
        <v>5.2202000000000002</v>
      </c>
    </row>
    <row r="4" spans="1:13" ht="12.75" customHeight="1" x14ac:dyDescent="0.15">
      <c r="A4" s="22">
        <v>2</v>
      </c>
      <c r="B4" s="46" t="s">
        <v>240</v>
      </c>
      <c r="C4" s="47" t="s">
        <v>329</v>
      </c>
      <c r="D4" s="22" t="s">
        <v>213</v>
      </c>
      <c r="E4" s="23">
        <v>6.07</v>
      </c>
      <c r="F4" s="23">
        <v>0.33</v>
      </c>
      <c r="G4" s="23">
        <f t="shared" ref="G4:G7" si="0">E4*F4</f>
        <v>2.0031000000000003</v>
      </c>
      <c r="H4" s="118">
        <v>0.33</v>
      </c>
      <c r="I4" s="23">
        <f t="shared" ref="I4:I5" si="1">F4-H4</f>
        <v>0</v>
      </c>
      <c r="J4" s="23">
        <f t="shared" ref="J4:J5" si="2">I4*1.1</f>
        <v>0</v>
      </c>
      <c r="K4" s="23">
        <f t="shared" ref="K4:K7" si="3">G4-J4</f>
        <v>2.0031000000000003</v>
      </c>
    </row>
    <row r="5" spans="1:13" ht="12.75" customHeight="1" x14ac:dyDescent="0.15">
      <c r="A5" s="22">
        <v>3</v>
      </c>
      <c r="B5" s="48" t="s">
        <v>242</v>
      </c>
      <c r="C5" s="47" t="s">
        <v>330</v>
      </c>
      <c r="D5" s="22" t="s">
        <v>213</v>
      </c>
      <c r="E5" s="23">
        <v>6.07</v>
      </c>
      <c r="F5" s="23">
        <v>0.5</v>
      </c>
      <c r="G5" s="23">
        <f t="shared" si="0"/>
        <v>3.0350000000000001</v>
      </c>
      <c r="H5" s="118">
        <v>0.5</v>
      </c>
      <c r="I5" s="23">
        <f t="shared" si="1"/>
        <v>0</v>
      </c>
      <c r="J5" s="23">
        <f t="shared" si="2"/>
        <v>0</v>
      </c>
      <c r="K5" s="23">
        <f t="shared" si="3"/>
        <v>3.0350000000000001</v>
      </c>
    </row>
    <row r="6" spans="1:13" ht="12.75" customHeight="1" x14ac:dyDescent="0.15">
      <c r="A6" s="22">
        <v>4</v>
      </c>
      <c r="B6" s="48" t="s">
        <v>234</v>
      </c>
      <c r="C6" s="47" t="s">
        <v>331</v>
      </c>
      <c r="D6" s="22" t="s">
        <v>213</v>
      </c>
      <c r="E6" s="23">
        <v>6.07</v>
      </c>
      <c r="F6" s="23">
        <v>0.74</v>
      </c>
      <c r="G6" s="23">
        <f t="shared" si="0"/>
        <v>4.4918000000000005</v>
      </c>
      <c r="H6" s="118">
        <v>0.74</v>
      </c>
      <c r="I6" s="23">
        <f t="shared" ref="I6:I7" si="4">F6-H6</f>
        <v>0</v>
      </c>
      <c r="J6" s="23">
        <f t="shared" ref="J6:J7" si="5">I6*1.1</f>
        <v>0</v>
      </c>
      <c r="K6" s="23">
        <f t="shared" si="3"/>
        <v>4.4918000000000005</v>
      </c>
    </row>
    <row r="7" spans="1:13" ht="12.75" customHeight="1" x14ac:dyDescent="0.15">
      <c r="A7" s="22">
        <v>5</v>
      </c>
      <c r="B7" s="22" t="s">
        <v>243</v>
      </c>
      <c r="C7" s="22" t="s">
        <v>332</v>
      </c>
      <c r="D7" s="22" t="s">
        <v>213</v>
      </c>
      <c r="E7" s="23">
        <v>6.07</v>
      </c>
      <c r="F7" s="22">
        <v>0.25</v>
      </c>
      <c r="G7" s="23">
        <f t="shared" si="0"/>
        <v>1.5175000000000001</v>
      </c>
      <c r="H7" s="117">
        <v>0.25</v>
      </c>
      <c r="I7" s="23">
        <f t="shared" si="4"/>
        <v>0</v>
      </c>
      <c r="J7" s="23">
        <f t="shared" si="5"/>
        <v>0</v>
      </c>
      <c r="K7" s="23">
        <f t="shared" si="3"/>
        <v>1.5175000000000001</v>
      </c>
    </row>
    <row r="8" spans="1:13" ht="12.75" customHeight="1" x14ac:dyDescent="0.15">
      <c r="A8" s="22">
        <v>6</v>
      </c>
      <c r="B8" s="22"/>
      <c r="C8" s="22"/>
      <c r="D8" s="22"/>
      <c r="E8" s="23"/>
      <c r="F8" s="22"/>
      <c r="G8" s="23"/>
      <c r="H8" s="22"/>
      <c r="I8" s="23"/>
      <c r="J8" s="23"/>
      <c r="K8" s="23"/>
    </row>
    <row r="9" spans="1:13" ht="12.75" customHeight="1" x14ac:dyDescent="0.15">
      <c r="A9" s="22">
        <v>7</v>
      </c>
      <c r="B9" s="22"/>
      <c r="C9" s="22"/>
      <c r="D9" s="22"/>
      <c r="E9" s="23"/>
      <c r="F9" s="22"/>
      <c r="G9" s="23"/>
      <c r="H9" s="22"/>
      <c r="I9" s="23"/>
      <c r="J9" s="23"/>
      <c r="K9" s="23"/>
    </row>
    <row r="10" spans="1:13" ht="12.75" customHeight="1" x14ac:dyDescent="0.15">
      <c r="A10" s="22">
        <v>8</v>
      </c>
      <c r="B10" s="22"/>
      <c r="C10" s="22"/>
      <c r="D10" s="22"/>
      <c r="E10" s="22"/>
      <c r="F10" s="22"/>
      <c r="G10" s="23"/>
      <c r="H10" s="22"/>
      <c r="I10" s="23"/>
      <c r="J10" s="23"/>
      <c r="K10" s="23"/>
    </row>
    <row r="11" spans="1:13" ht="12.75" customHeight="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SUM(K3:K10)</f>
        <v>16.267600000000002</v>
      </c>
    </row>
    <row r="12" spans="1:13" ht="12.75" customHeight="1" x14ac:dyDescent="0.15">
      <c r="A12" s="22" t="s">
        <v>0</v>
      </c>
      <c r="B12" s="22" t="s">
        <v>52</v>
      </c>
      <c r="C12" s="22" t="s">
        <v>53</v>
      </c>
      <c r="D12" s="22" t="s">
        <v>67</v>
      </c>
      <c r="E12" s="22" t="s">
        <v>68</v>
      </c>
      <c r="F12" s="22" t="s">
        <v>69</v>
      </c>
      <c r="G12" s="22" t="s">
        <v>70</v>
      </c>
      <c r="H12" s="22" t="s">
        <v>71</v>
      </c>
      <c r="I12" s="22" t="s">
        <v>72</v>
      </c>
      <c r="J12" s="149" t="s">
        <v>6</v>
      </c>
      <c r="K12" s="150"/>
    </row>
    <row r="13" spans="1:13" ht="12.75" customHeight="1" x14ac:dyDescent="0.15">
      <c r="A13" s="22">
        <v>1</v>
      </c>
      <c r="B13" s="22"/>
      <c r="C13" s="22"/>
      <c r="D13" s="22"/>
      <c r="E13" s="22" t="s">
        <v>160</v>
      </c>
      <c r="F13" s="22" t="s">
        <v>161</v>
      </c>
      <c r="G13" s="22"/>
      <c r="H13" s="22" t="s">
        <v>162</v>
      </c>
      <c r="I13" s="22"/>
      <c r="J13" s="149"/>
      <c r="K13" s="150"/>
    </row>
    <row r="14" spans="1:13" ht="12.75" customHeight="1" x14ac:dyDescent="0.15">
      <c r="A14" s="22">
        <v>2</v>
      </c>
      <c r="B14" s="22"/>
      <c r="C14" s="22"/>
      <c r="D14" s="22"/>
      <c r="E14" s="22" t="s">
        <v>160</v>
      </c>
      <c r="F14" s="22" t="s">
        <v>164</v>
      </c>
      <c r="G14" s="22"/>
      <c r="H14" s="22" t="s">
        <v>165</v>
      </c>
      <c r="I14" s="22"/>
      <c r="J14" s="149"/>
      <c r="K14" s="150"/>
    </row>
    <row r="15" spans="1:13" ht="12.75" customHeight="1" x14ac:dyDescent="0.15">
      <c r="A15" s="22">
        <v>3</v>
      </c>
      <c r="B15" s="22"/>
      <c r="C15" s="22"/>
      <c r="D15" s="22"/>
      <c r="E15" s="22" t="s">
        <v>166</v>
      </c>
      <c r="F15" s="22" t="s">
        <v>167</v>
      </c>
      <c r="G15" s="22"/>
      <c r="H15" s="22">
        <v>0.5</v>
      </c>
      <c r="I15" s="22">
        <f>G15*H15</f>
        <v>0</v>
      </c>
      <c r="J15" s="149"/>
      <c r="K15" s="150"/>
    </row>
    <row r="16" spans="1:13" ht="12.75" customHeight="1" x14ac:dyDescent="0.15">
      <c r="A16" s="22">
        <v>4</v>
      </c>
      <c r="B16" s="22"/>
      <c r="C16" s="22"/>
      <c r="D16" s="22"/>
      <c r="E16" s="22" t="s">
        <v>166</v>
      </c>
      <c r="F16" s="22" t="s">
        <v>168</v>
      </c>
      <c r="G16" s="22"/>
      <c r="H16" s="22">
        <v>0.3</v>
      </c>
      <c r="I16" s="22">
        <f t="shared" ref="I16:I30" si="6">G16*H16</f>
        <v>0</v>
      </c>
      <c r="J16" s="149"/>
      <c r="K16" s="150"/>
    </row>
    <row r="17" spans="1:11" ht="12.75" customHeight="1" x14ac:dyDescent="0.15">
      <c r="A17" s="22">
        <v>5</v>
      </c>
      <c r="B17" s="22"/>
      <c r="C17" s="22"/>
      <c r="D17" s="22"/>
      <c r="E17" s="22" t="s">
        <v>170</v>
      </c>
      <c r="F17" s="22" t="s">
        <v>171</v>
      </c>
      <c r="G17" s="22"/>
      <c r="H17" s="22">
        <v>0.15</v>
      </c>
      <c r="I17" s="22">
        <f t="shared" si="6"/>
        <v>0</v>
      </c>
      <c r="J17" s="149"/>
      <c r="K17" s="150"/>
    </row>
    <row r="18" spans="1:11" ht="12.75" customHeight="1" x14ac:dyDescent="0.15">
      <c r="A18" s="22">
        <v>6</v>
      </c>
      <c r="B18" s="22"/>
      <c r="C18" s="22"/>
      <c r="D18" s="22"/>
      <c r="E18" s="22" t="s">
        <v>170</v>
      </c>
      <c r="F18" s="22" t="s">
        <v>173</v>
      </c>
      <c r="G18" s="22"/>
      <c r="H18" s="22">
        <v>0.15</v>
      </c>
      <c r="I18" s="22">
        <f t="shared" si="6"/>
        <v>0</v>
      </c>
      <c r="J18" s="149"/>
      <c r="K18" s="150"/>
    </row>
    <row r="19" spans="1:11" ht="12.75" customHeight="1" x14ac:dyDescent="0.15">
      <c r="A19" s="22">
        <v>7</v>
      </c>
      <c r="B19" s="22"/>
      <c r="C19" s="22"/>
      <c r="D19" s="22" t="s">
        <v>245</v>
      </c>
      <c r="E19" s="22" t="s">
        <v>170</v>
      </c>
      <c r="F19" s="22" t="s">
        <v>176</v>
      </c>
      <c r="G19" s="22"/>
      <c r="H19" s="22">
        <v>0.08</v>
      </c>
      <c r="I19" s="22">
        <f t="shared" si="6"/>
        <v>0</v>
      </c>
      <c r="J19" s="149"/>
      <c r="K19" s="150"/>
    </row>
    <row r="20" spans="1:11" ht="12.75" customHeight="1" x14ac:dyDescent="0.15">
      <c r="A20" s="22">
        <v>8</v>
      </c>
      <c r="B20" s="22"/>
      <c r="C20" s="22"/>
      <c r="D20" s="22" t="s">
        <v>246</v>
      </c>
      <c r="E20" s="22" t="s">
        <v>170</v>
      </c>
      <c r="F20" s="22" t="s">
        <v>177</v>
      </c>
      <c r="G20" s="22"/>
      <c r="H20" s="22">
        <v>0.08</v>
      </c>
      <c r="I20" s="22">
        <f t="shared" si="6"/>
        <v>0</v>
      </c>
      <c r="J20" s="149"/>
      <c r="K20" s="150"/>
    </row>
    <row r="21" spans="1:11" ht="12.75" customHeight="1" x14ac:dyDescent="0.15">
      <c r="A21" s="22">
        <v>9</v>
      </c>
      <c r="B21" s="22"/>
      <c r="C21" s="22"/>
      <c r="D21" s="22" t="s">
        <v>247</v>
      </c>
      <c r="E21" s="22" t="s">
        <v>170</v>
      </c>
      <c r="F21" s="22" t="s">
        <v>178</v>
      </c>
      <c r="G21" s="22"/>
      <c r="H21" s="22">
        <v>0.05</v>
      </c>
      <c r="I21" s="22">
        <f t="shared" si="6"/>
        <v>0</v>
      </c>
      <c r="J21" s="149"/>
      <c r="K21" s="150"/>
    </row>
    <row r="22" spans="1:11" ht="12.75" customHeight="1" x14ac:dyDescent="0.15">
      <c r="A22" s="22">
        <v>10</v>
      </c>
      <c r="B22" s="22" t="s">
        <v>333</v>
      </c>
      <c r="C22" s="22"/>
      <c r="D22" s="22" t="s">
        <v>179</v>
      </c>
      <c r="E22" s="22"/>
      <c r="F22" s="22"/>
      <c r="G22" s="22">
        <v>4</v>
      </c>
      <c r="H22" s="22">
        <v>0.05</v>
      </c>
      <c r="I22" s="117">
        <f t="shared" si="6"/>
        <v>0.2</v>
      </c>
      <c r="J22" s="149" t="s">
        <v>180</v>
      </c>
      <c r="K22" s="150"/>
    </row>
    <row r="23" spans="1:11" ht="12.75" customHeight="1" x14ac:dyDescent="0.15">
      <c r="A23" s="22">
        <v>11</v>
      </c>
      <c r="B23" s="49"/>
      <c r="C23" s="22"/>
      <c r="D23" s="22" t="s">
        <v>75</v>
      </c>
      <c r="E23" s="22"/>
      <c r="F23" s="22"/>
      <c r="G23" s="22"/>
      <c r="H23" s="22">
        <v>0.08</v>
      </c>
      <c r="I23" s="22">
        <f t="shared" si="6"/>
        <v>0</v>
      </c>
      <c r="J23" s="149"/>
      <c r="K23" s="150"/>
    </row>
    <row r="24" spans="1:11" ht="12.75" customHeight="1" x14ac:dyDescent="0.15">
      <c r="A24" s="22">
        <v>12</v>
      </c>
      <c r="B24" s="22"/>
      <c r="C24" s="22"/>
      <c r="D24" s="22" t="s">
        <v>221</v>
      </c>
      <c r="E24" s="22"/>
      <c r="F24" s="22"/>
      <c r="G24" s="22"/>
      <c r="H24" s="22">
        <v>0.08</v>
      </c>
      <c r="I24" s="22">
        <f t="shared" si="6"/>
        <v>0</v>
      </c>
      <c r="J24" s="149"/>
      <c r="K24" s="150"/>
    </row>
    <row r="25" spans="1:11" ht="12.75" customHeight="1" x14ac:dyDescent="0.15">
      <c r="A25" s="22">
        <v>13</v>
      </c>
      <c r="B25" s="22"/>
      <c r="C25" s="22"/>
      <c r="D25" s="22" t="s">
        <v>182</v>
      </c>
      <c r="E25" s="22"/>
      <c r="F25" s="22"/>
      <c r="G25" s="22"/>
      <c r="H25" s="22">
        <v>0.08</v>
      </c>
      <c r="I25" s="22">
        <f t="shared" si="6"/>
        <v>0</v>
      </c>
      <c r="J25" s="149"/>
      <c r="K25" s="150"/>
    </row>
    <row r="26" spans="1:11" ht="12.75" customHeight="1" x14ac:dyDescent="0.15">
      <c r="A26" s="22">
        <v>14</v>
      </c>
      <c r="B26" s="22"/>
      <c r="C26" s="22"/>
      <c r="D26" s="22" t="s">
        <v>183</v>
      </c>
      <c r="E26" s="22"/>
      <c r="F26" s="22"/>
      <c r="G26" s="22"/>
      <c r="H26" s="22">
        <v>0.08</v>
      </c>
      <c r="I26" s="22">
        <f t="shared" si="6"/>
        <v>0</v>
      </c>
      <c r="J26" s="149"/>
      <c r="K26" s="150"/>
    </row>
    <row r="27" spans="1:11" ht="12.75" customHeight="1" x14ac:dyDescent="0.15">
      <c r="A27" s="22">
        <v>15</v>
      </c>
      <c r="B27" s="22"/>
      <c r="C27" s="22"/>
      <c r="D27" s="22" t="s">
        <v>184</v>
      </c>
      <c r="E27" s="22"/>
      <c r="F27" s="22"/>
      <c r="G27" s="22"/>
      <c r="H27" s="22">
        <v>0.08</v>
      </c>
      <c r="I27" s="22">
        <f t="shared" si="6"/>
        <v>0</v>
      </c>
      <c r="J27" s="149"/>
      <c r="K27" s="150"/>
    </row>
    <row r="28" spans="1:11" ht="12.75" customHeight="1" x14ac:dyDescent="0.15">
      <c r="A28" s="22">
        <v>16</v>
      </c>
      <c r="B28" s="22" t="s">
        <v>249</v>
      </c>
      <c r="C28" s="22"/>
      <c r="D28" s="22" t="s">
        <v>175</v>
      </c>
      <c r="E28" s="22"/>
      <c r="F28" s="22"/>
      <c r="G28" s="22">
        <v>4</v>
      </c>
      <c r="H28" s="22">
        <v>0.04</v>
      </c>
      <c r="I28" s="117">
        <f t="shared" si="6"/>
        <v>0.16</v>
      </c>
      <c r="J28" s="24"/>
      <c r="K28" s="25"/>
    </row>
    <row r="29" spans="1:11" ht="12.75" customHeight="1" x14ac:dyDescent="0.15">
      <c r="A29" s="22">
        <v>17</v>
      </c>
      <c r="B29" s="22" t="s">
        <v>249</v>
      </c>
      <c r="C29" s="22"/>
      <c r="D29" s="22" t="s">
        <v>185</v>
      </c>
      <c r="E29" s="22"/>
      <c r="F29" s="22"/>
      <c r="G29" s="22">
        <v>4</v>
      </c>
      <c r="H29" s="22">
        <v>0.05</v>
      </c>
      <c r="I29" s="117">
        <f t="shared" si="6"/>
        <v>0.2</v>
      </c>
      <c r="J29" s="149"/>
      <c r="K29" s="150"/>
    </row>
    <row r="30" spans="1:11" ht="12.75" customHeight="1" x14ac:dyDescent="0.15">
      <c r="A30" s="22">
        <v>18</v>
      </c>
      <c r="B30" s="22" t="s">
        <v>249</v>
      </c>
      <c r="C30" s="22"/>
      <c r="D30" s="22" t="s">
        <v>186</v>
      </c>
      <c r="E30" s="22"/>
      <c r="F30" s="22"/>
      <c r="G30" s="22">
        <v>4</v>
      </c>
      <c r="H30" s="22">
        <v>0.04</v>
      </c>
      <c r="I30" s="117">
        <f t="shared" si="6"/>
        <v>0.16</v>
      </c>
      <c r="J30" s="149"/>
      <c r="K30" s="150"/>
    </row>
    <row r="31" spans="1:11" ht="12.75" customHeight="1" x14ac:dyDescent="0.15">
      <c r="A31" s="22">
        <v>19</v>
      </c>
      <c r="B31" s="22"/>
      <c r="C31" s="22"/>
      <c r="D31" s="22" t="s">
        <v>187</v>
      </c>
      <c r="E31" s="22"/>
      <c r="F31" s="22"/>
      <c r="G31" s="22"/>
      <c r="H31" s="22"/>
      <c r="I31" s="117">
        <v>0.2</v>
      </c>
      <c r="J31" s="149" t="s">
        <v>188</v>
      </c>
      <c r="K31" s="150"/>
    </row>
    <row r="32" spans="1:11" ht="12.75" customHeight="1" x14ac:dyDescent="0.15">
      <c r="A32" s="22"/>
      <c r="B32" s="22"/>
      <c r="C32" s="22"/>
      <c r="D32" s="149" t="s">
        <v>250</v>
      </c>
      <c r="E32" s="153"/>
      <c r="F32" s="153"/>
      <c r="G32" s="153"/>
      <c r="H32" s="150"/>
      <c r="I32" s="22"/>
      <c r="J32" s="24"/>
      <c r="K32" s="25"/>
    </row>
    <row r="33" spans="1:16" ht="12.75" customHeight="1" x14ac:dyDescent="0.15">
      <c r="A33" s="149" t="s">
        <v>82</v>
      </c>
      <c r="B33" s="153"/>
      <c r="C33" s="153"/>
      <c r="D33" s="153"/>
      <c r="E33" s="153"/>
      <c r="F33" s="153"/>
      <c r="G33" s="153"/>
      <c r="H33" s="150"/>
      <c r="I33" s="42">
        <f>SUM(I13:I32)</f>
        <v>0.92000000000000015</v>
      </c>
      <c r="J33" s="22"/>
      <c r="K33" s="22"/>
    </row>
    <row r="34" spans="1:16" ht="12.75" customHeight="1" x14ac:dyDescent="0.15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0"/>
    </row>
    <row r="35" spans="1:16" ht="12.75" customHeight="1" x14ac:dyDescent="0.15">
      <c r="A35" s="149" t="s">
        <v>83</v>
      </c>
      <c r="B35" s="153"/>
      <c r="C35" s="153"/>
      <c r="D35" s="153"/>
      <c r="E35" s="150"/>
      <c r="F35" s="154" t="s">
        <v>84</v>
      </c>
      <c r="G35" s="154"/>
      <c r="H35" s="22" t="s">
        <v>85</v>
      </c>
      <c r="I35" s="22" t="s">
        <v>86</v>
      </c>
      <c r="J35" s="22" t="s">
        <v>87</v>
      </c>
      <c r="K35" s="25" t="s">
        <v>6</v>
      </c>
    </row>
    <row r="36" spans="1:16" ht="12.75" customHeight="1" x14ac:dyDescent="0.15">
      <c r="A36" s="22" t="s">
        <v>0</v>
      </c>
      <c r="B36" s="22" t="s">
        <v>90</v>
      </c>
      <c r="C36" s="22" t="s">
        <v>91</v>
      </c>
      <c r="D36" s="22" t="s">
        <v>92</v>
      </c>
      <c r="E36" s="22" t="s">
        <v>72</v>
      </c>
      <c r="F36" s="154" t="s">
        <v>93</v>
      </c>
      <c r="G36" s="154"/>
      <c r="H36" s="22">
        <v>15</v>
      </c>
      <c r="I36" s="22">
        <v>0.05</v>
      </c>
      <c r="J36" s="36">
        <f>I36*H36</f>
        <v>0.75</v>
      </c>
      <c r="K36" s="22"/>
    </row>
    <row r="37" spans="1:16" ht="12.75" customHeight="1" x14ac:dyDescent="0.15">
      <c r="A37" s="26">
        <v>1</v>
      </c>
      <c r="B37" s="22" t="s">
        <v>251</v>
      </c>
      <c r="C37" s="22">
        <v>2</v>
      </c>
      <c r="D37" s="22">
        <v>0.1</v>
      </c>
      <c r="E37" s="22">
        <f>D37*C37</f>
        <v>0.2</v>
      </c>
      <c r="F37" s="149" t="s">
        <v>252</v>
      </c>
      <c r="G37" s="150"/>
      <c r="H37" s="22">
        <v>6</v>
      </c>
      <c r="I37" s="22">
        <v>0.05</v>
      </c>
      <c r="J37" s="36">
        <f t="shared" ref="J37:J39" si="7">I37*H37</f>
        <v>0.30000000000000004</v>
      </c>
      <c r="K37" s="22"/>
    </row>
    <row r="38" spans="1:16" ht="12.75" customHeight="1" x14ac:dyDescent="0.15">
      <c r="A38" s="26">
        <v>2</v>
      </c>
      <c r="B38" s="22" t="s">
        <v>253</v>
      </c>
      <c r="C38" s="22">
        <v>5</v>
      </c>
      <c r="D38" s="22">
        <v>0.04</v>
      </c>
      <c r="E38" s="22">
        <f t="shared" ref="E38:E45" si="8">D38*C38</f>
        <v>0.2</v>
      </c>
      <c r="F38" s="149" t="s">
        <v>191</v>
      </c>
      <c r="G38" s="150"/>
      <c r="H38" s="22">
        <v>41.6</v>
      </c>
      <c r="I38" s="22">
        <v>0.05</v>
      </c>
      <c r="J38" s="36">
        <f t="shared" si="7"/>
        <v>2.08</v>
      </c>
      <c r="K38" s="22"/>
    </row>
    <row r="39" spans="1:16" ht="12.75" customHeight="1" x14ac:dyDescent="0.15">
      <c r="A39" s="26">
        <v>3</v>
      </c>
      <c r="B39" s="22" t="s">
        <v>255</v>
      </c>
      <c r="C39" s="22">
        <v>1</v>
      </c>
      <c r="D39" s="22">
        <v>1.1000000000000001</v>
      </c>
      <c r="E39" s="22">
        <f t="shared" si="8"/>
        <v>1.1000000000000001</v>
      </c>
      <c r="F39" s="149"/>
      <c r="G39" s="150"/>
      <c r="H39" s="22"/>
      <c r="I39" s="22">
        <v>0.05</v>
      </c>
      <c r="J39" s="36">
        <f t="shared" si="7"/>
        <v>0</v>
      </c>
      <c r="K39" s="22"/>
    </row>
    <row r="40" spans="1:16" ht="12.75" customHeight="1" x14ac:dyDescent="0.15">
      <c r="A40" s="26">
        <v>4</v>
      </c>
      <c r="B40" s="22" t="s">
        <v>257</v>
      </c>
      <c r="C40" s="22">
        <v>2</v>
      </c>
      <c r="D40" s="22">
        <v>0.3</v>
      </c>
      <c r="E40" s="22">
        <f t="shared" si="8"/>
        <v>0.6</v>
      </c>
      <c r="F40" s="149"/>
      <c r="G40" s="150"/>
      <c r="H40" s="22"/>
      <c r="I40" s="22"/>
      <c r="J40" s="36"/>
      <c r="K40" s="22"/>
    </row>
    <row r="41" spans="1:16" ht="12.75" customHeight="1" x14ac:dyDescent="0.15">
      <c r="A41" s="26">
        <v>5</v>
      </c>
      <c r="B41" s="22"/>
      <c r="C41" s="22"/>
      <c r="D41" s="22"/>
      <c r="E41" s="22">
        <f t="shared" si="8"/>
        <v>0</v>
      </c>
      <c r="F41" s="149"/>
      <c r="G41" s="150"/>
      <c r="H41" s="22"/>
      <c r="I41" s="22"/>
      <c r="J41" s="36"/>
      <c r="K41" s="22"/>
      <c r="N41" s="35" t="s">
        <v>111</v>
      </c>
      <c r="O41" s="35" t="s">
        <v>112</v>
      </c>
      <c r="P41" s="35" t="s">
        <v>113</v>
      </c>
    </row>
    <row r="42" spans="1:16" ht="12.75" customHeight="1" x14ac:dyDescent="0.15">
      <c r="A42" s="26">
        <v>6</v>
      </c>
      <c r="B42" s="22"/>
      <c r="C42" s="22"/>
      <c r="D42" s="22"/>
      <c r="E42" s="22">
        <f t="shared" si="8"/>
        <v>0</v>
      </c>
      <c r="F42" s="149" t="s">
        <v>82</v>
      </c>
      <c r="G42" s="150"/>
      <c r="H42" s="22"/>
      <c r="I42" s="22"/>
      <c r="J42" s="43">
        <f>SUM(J36:J41)</f>
        <v>3.13</v>
      </c>
      <c r="K42" s="22"/>
      <c r="N42" s="35" t="s">
        <v>115</v>
      </c>
      <c r="O42" s="35" t="s">
        <v>116</v>
      </c>
      <c r="P42" s="35" t="s">
        <v>117</v>
      </c>
    </row>
    <row r="43" spans="1:16" ht="12.75" customHeight="1" x14ac:dyDescent="0.15">
      <c r="A43" s="26">
        <v>7</v>
      </c>
      <c r="B43" s="22"/>
      <c r="C43" s="22"/>
      <c r="D43" s="22"/>
      <c r="E43" s="22">
        <f t="shared" si="8"/>
        <v>0</v>
      </c>
      <c r="F43" s="149" t="s">
        <v>119</v>
      </c>
      <c r="G43" s="150"/>
      <c r="H43" s="28" t="s">
        <v>201</v>
      </c>
      <c r="I43" s="28" t="s">
        <v>202</v>
      </c>
      <c r="J43" s="32" t="s">
        <v>87</v>
      </c>
      <c r="K43" s="22" t="s">
        <v>6</v>
      </c>
    </row>
    <row r="44" spans="1:16" ht="12.75" customHeight="1" x14ac:dyDescent="0.15">
      <c r="A44" s="26">
        <v>8</v>
      </c>
      <c r="B44" s="22"/>
      <c r="C44" s="22"/>
      <c r="D44" s="22"/>
      <c r="E44" s="22">
        <f t="shared" si="8"/>
        <v>0</v>
      </c>
      <c r="F44" s="149" t="s">
        <v>124</v>
      </c>
      <c r="G44" s="150"/>
      <c r="H44" s="22">
        <v>10</v>
      </c>
      <c r="I44" s="22"/>
      <c r="J44" s="22">
        <f>I44*H44</f>
        <v>0</v>
      </c>
      <c r="K44" s="22"/>
    </row>
    <row r="45" spans="1:16" ht="12.75" customHeight="1" x14ac:dyDescent="0.15">
      <c r="A45" s="26">
        <v>9</v>
      </c>
      <c r="B45" s="22"/>
      <c r="C45" s="22"/>
      <c r="D45" s="22"/>
      <c r="E45" s="22">
        <f t="shared" si="8"/>
        <v>0</v>
      </c>
      <c r="F45" s="149" t="s">
        <v>126</v>
      </c>
      <c r="G45" s="150"/>
      <c r="H45" s="22">
        <v>12</v>
      </c>
      <c r="I45" s="22">
        <v>0.26</v>
      </c>
      <c r="J45" s="22">
        <f>I45*H45</f>
        <v>3.12</v>
      </c>
      <c r="K45" s="22"/>
      <c r="N45" s="26" t="s">
        <v>122</v>
      </c>
      <c r="O45" s="26" t="s">
        <v>123</v>
      </c>
      <c r="P45" s="26" t="s">
        <v>82</v>
      </c>
    </row>
    <row r="46" spans="1:16" ht="12.75" customHeight="1" x14ac:dyDescent="0.15">
      <c r="A46" s="145" t="s">
        <v>82</v>
      </c>
      <c r="B46" s="151"/>
      <c r="C46" s="151"/>
      <c r="D46" s="146"/>
      <c r="E46" s="30">
        <f>SUM(E37:E45)</f>
        <v>2.1</v>
      </c>
      <c r="F46" s="145"/>
      <c r="G46" s="151"/>
      <c r="H46" s="151"/>
      <c r="I46" s="151"/>
      <c r="J46" s="151"/>
      <c r="K46" s="151"/>
      <c r="N46" s="26">
        <v>2.72</v>
      </c>
      <c r="O46" s="26">
        <v>1.4</v>
      </c>
      <c r="P46" s="26">
        <f>N46*O46</f>
        <v>3.8079999999999998</v>
      </c>
    </row>
    <row r="47" spans="1:16" ht="12.75" customHeight="1" x14ac:dyDescent="0.15">
      <c r="A47" s="152" t="s">
        <v>127</v>
      </c>
      <c r="B47" s="152"/>
      <c r="C47" s="31" t="s">
        <v>108</v>
      </c>
      <c r="E47" s="32" t="s">
        <v>128</v>
      </c>
      <c r="F47" s="147">
        <f>C52+C51+C50+C49+C48</f>
        <v>26.226100000000002</v>
      </c>
      <c r="G47" s="147"/>
      <c r="H47" s="147"/>
      <c r="I47" s="147"/>
      <c r="J47" s="147"/>
      <c r="K47" s="147"/>
    </row>
    <row r="48" spans="1:16" ht="12.75" customHeight="1" x14ac:dyDescent="0.15">
      <c r="A48" s="148" t="s">
        <v>131</v>
      </c>
      <c r="B48" s="148"/>
      <c r="C48" s="33">
        <f>K11</f>
        <v>16.267600000000002</v>
      </c>
      <c r="E48" s="34" t="s">
        <v>132</v>
      </c>
      <c r="F48" s="147">
        <f>F47*0.03</f>
        <v>0.78678300000000001</v>
      </c>
      <c r="G48" s="147"/>
      <c r="H48" s="147"/>
      <c r="I48" s="147"/>
      <c r="J48" s="147"/>
      <c r="K48" s="147"/>
    </row>
    <row r="49" spans="1:17" ht="12.75" customHeight="1" x14ac:dyDescent="0.15">
      <c r="A49" s="148" t="s">
        <v>133</v>
      </c>
      <c r="B49" s="148"/>
      <c r="C49" s="37">
        <f>I33*1.17</f>
        <v>1.0764</v>
      </c>
      <c r="E49" s="34" t="s">
        <v>134</v>
      </c>
      <c r="F49" s="147">
        <f>F47*0.03</f>
        <v>0.78678300000000001</v>
      </c>
      <c r="G49" s="147"/>
      <c r="H49" s="147"/>
      <c r="I49" s="147"/>
      <c r="J49" s="147"/>
      <c r="K49" s="147"/>
      <c r="N49" s="26" t="s">
        <v>129</v>
      </c>
      <c r="O49" s="26" t="s">
        <v>130</v>
      </c>
      <c r="P49" s="26" t="s">
        <v>82</v>
      </c>
    </row>
    <row r="50" spans="1:17" ht="12.75" customHeight="1" x14ac:dyDescent="0.15">
      <c r="A50" s="148" t="s">
        <v>135</v>
      </c>
      <c r="B50" s="148"/>
      <c r="C50" s="33">
        <f>E46</f>
        <v>2.1</v>
      </c>
      <c r="E50" s="34" t="s">
        <v>136</v>
      </c>
      <c r="F50" s="147">
        <f>F47*0.02</f>
        <v>0.52452200000000004</v>
      </c>
      <c r="G50" s="147"/>
      <c r="H50" s="147"/>
      <c r="I50" s="147"/>
      <c r="J50" s="147"/>
      <c r="K50" s="147"/>
      <c r="N50" s="26">
        <v>24.19</v>
      </c>
      <c r="O50" s="26">
        <v>3.8079999999999998</v>
      </c>
      <c r="P50" s="44">
        <f>N50+O50</f>
        <v>27.998000000000001</v>
      </c>
      <c r="Q50" t="s">
        <v>152</v>
      </c>
    </row>
    <row r="51" spans="1:17" ht="12.75" customHeight="1" x14ac:dyDescent="0.15">
      <c r="A51" s="148" t="s">
        <v>138</v>
      </c>
      <c r="B51" s="148"/>
      <c r="C51" s="37">
        <f>J42*1.17</f>
        <v>3.6620999999999997</v>
      </c>
      <c r="E51" s="34" t="s">
        <v>5</v>
      </c>
      <c r="F51" s="147"/>
      <c r="G51" s="147"/>
      <c r="H51" s="147"/>
      <c r="I51" s="147"/>
      <c r="J51" s="147"/>
      <c r="K51" s="147"/>
    </row>
    <row r="52" spans="1:17" ht="12.75" customHeight="1" x14ac:dyDescent="0.15">
      <c r="A52" s="148" t="s">
        <v>119</v>
      </c>
      <c r="B52" s="148"/>
      <c r="C52" s="33">
        <f>J44+J45</f>
        <v>3.12</v>
      </c>
      <c r="E52" s="34" t="s">
        <v>139</v>
      </c>
      <c r="F52" s="156">
        <f>F51+F50+F49+F48+F47</f>
        <v>28.324188000000003</v>
      </c>
      <c r="G52" s="156"/>
      <c r="H52" s="156"/>
      <c r="I52" s="156"/>
      <c r="J52" s="156"/>
      <c r="K52" s="156"/>
    </row>
    <row r="53" spans="1:17" x14ac:dyDescent="0.15">
      <c r="A53" s="161"/>
      <c r="B53" s="161"/>
      <c r="H53" t="s">
        <v>152</v>
      </c>
      <c r="I53" t="s">
        <v>334</v>
      </c>
    </row>
    <row r="54" spans="1:17" x14ac:dyDescent="0.15">
      <c r="A54" s="161"/>
      <c r="B54" s="161"/>
    </row>
    <row r="55" spans="1:17" x14ac:dyDescent="0.15">
      <c r="A55" s="161"/>
      <c r="B55" s="161"/>
    </row>
  </sheetData>
  <mergeCells count="53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5"/>
  <sheetViews>
    <sheetView workbookViewId="0">
      <selection sqref="A1:K1"/>
    </sheetView>
  </sheetViews>
  <sheetFormatPr defaultColWidth="9" defaultRowHeight="13.5" x14ac:dyDescent="0.15"/>
  <cols>
    <col min="1" max="1" width="3.5" customWidth="1"/>
    <col min="2" max="2" width="9.25" customWidth="1"/>
    <col min="3" max="3" width="8" customWidth="1"/>
    <col min="4" max="4" width="7.875" customWidth="1"/>
    <col min="5" max="5" width="5.875" customWidth="1"/>
    <col min="6" max="6" width="6.5" customWidth="1"/>
    <col min="7" max="7" width="7.125" customWidth="1"/>
    <col min="8" max="8" width="10.125" customWidth="1"/>
    <col min="9" max="9" width="9" customWidth="1"/>
    <col min="10" max="10" width="8.375" customWidth="1"/>
    <col min="11" max="11" width="11.875" customWidth="1"/>
  </cols>
  <sheetData>
    <row r="1" spans="1:12" ht="21.75" customHeight="1" x14ac:dyDescent="0.15">
      <c r="A1" s="162" t="s">
        <v>335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t="s">
        <v>27</v>
      </c>
    </row>
    <row r="2" spans="1:12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2" ht="13.5" customHeight="1" x14ac:dyDescent="0.15">
      <c r="A3" s="22">
        <v>1</v>
      </c>
      <c r="B3" s="22" t="s">
        <v>336</v>
      </c>
      <c r="C3" s="22"/>
      <c r="D3" s="22" t="s">
        <v>213</v>
      </c>
      <c r="E3" s="23">
        <v>6.07</v>
      </c>
      <c r="F3" s="23">
        <v>0.96</v>
      </c>
      <c r="G3" s="23">
        <f>E3*F3</f>
        <v>5.8272000000000004</v>
      </c>
      <c r="H3" s="23">
        <v>0.96</v>
      </c>
      <c r="I3" s="23">
        <f>F3-H3</f>
        <v>0</v>
      </c>
      <c r="J3" s="23">
        <f>I3*1.1</f>
        <v>0</v>
      </c>
      <c r="K3" s="23">
        <f>G3-J3</f>
        <v>5.8272000000000004</v>
      </c>
    </row>
    <row r="4" spans="1:12" ht="13.5" customHeight="1" x14ac:dyDescent="0.15">
      <c r="A4" s="22">
        <v>2</v>
      </c>
      <c r="B4" s="22" t="s">
        <v>337</v>
      </c>
      <c r="C4" s="22"/>
      <c r="D4" s="22" t="s">
        <v>213</v>
      </c>
      <c r="E4" s="23">
        <v>6.07</v>
      </c>
      <c r="F4" s="23">
        <v>0.4</v>
      </c>
      <c r="G4" s="23">
        <f t="shared" ref="G4:G10" si="0">E4*F4</f>
        <v>2.4280000000000004</v>
      </c>
      <c r="H4" s="118">
        <v>0.4</v>
      </c>
      <c r="I4" s="23">
        <f t="shared" ref="I4:I10" si="1">F4-H4</f>
        <v>0</v>
      </c>
      <c r="J4" s="23">
        <f t="shared" ref="J4:J10" si="2">I4*1.1</f>
        <v>0</v>
      </c>
      <c r="K4" s="23">
        <f t="shared" ref="K4:K10" si="3">G4-J4</f>
        <v>2.4280000000000004</v>
      </c>
    </row>
    <row r="5" spans="1:12" ht="13.5" customHeight="1" x14ac:dyDescent="0.15">
      <c r="A5" s="22">
        <v>3</v>
      </c>
      <c r="B5" s="22"/>
      <c r="C5" s="22"/>
      <c r="D5" s="22"/>
      <c r="E5" s="23"/>
      <c r="F5" s="23"/>
      <c r="G5" s="23">
        <f t="shared" si="0"/>
        <v>0</v>
      </c>
      <c r="H5" s="23"/>
      <c r="I5" s="23">
        <f t="shared" si="1"/>
        <v>0</v>
      </c>
      <c r="J5" s="23">
        <f t="shared" si="2"/>
        <v>0</v>
      </c>
      <c r="K5" s="23">
        <f t="shared" si="3"/>
        <v>0</v>
      </c>
    </row>
    <row r="6" spans="1:12" ht="13.5" customHeight="1" x14ac:dyDescent="0.15">
      <c r="A6" s="22">
        <v>4</v>
      </c>
      <c r="B6" s="22"/>
      <c r="C6" s="22"/>
      <c r="D6" s="22"/>
      <c r="E6" s="23"/>
      <c r="F6" s="23"/>
      <c r="G6" s="23">
        <f t="shared" si="0"/>
        <v>0</v>
      </c>
      <c r="H6" s="23"/>
      <c r="I6" s="23">
        <f t="shared" si="1"/>
        <v>0</v>
      </c>
      <c r="J6" s="23">
        <f t="shared" si="2"/>
        <v>0</v>
      </c>
      <c r="K6" s="23">
        <f t="shared" si="3"/>
        <v>0</v>
      </c>
    </row>
    <row r="7" spans="1:12" ht="13.5" customHeight="1" x14ac:dyDescent="0.15">
      <c r="A7" s="22">
        <v>5</v>
      </c>
      <c r="B7" s="22"/>
      <c r="C7" s="22"/>
      <c r="D7" s="22"/>
      <c r="E7" s="23"/>
      <c r="F7" s="23"/>
      <c r="G7" s="23">
        <f t="shared" si="0"/>
        <v>0</v>
      </c>
      <c r="H7" s="23"/>
      <c r="I7" s="23">
        <f t="shared" si="1"/>
        <v>0</v>
      </c>
      <c r="J7" s="23">
        <f t="shared" si="2"/>
        <v>0</v>
      </c>
      <c r="K7" s="23">
        <f t="shared" si="3"/>
        <v>0</v>
      </c>
    </row>
    <row r="8" spans="1:12" ht="13.5" customHeight="1" x14ac:dyDescent="0.15">
      <c r="A8" s="22">
        <v>6</v>
      </c>
      <c r="B8" s="22"/>
      <c r="C8" s="22"/>
      <c r="D8" s="22"/>
      <c r="E8" s="23"/>
      <c r="F8" s="22"/>
      <c r="G8" s="23">
        <f t="shared" si="0"/>
        <v>0</v>
      </c>
      <c r="H8" s="22"/>
      <c r="I8" s="23">
        <f t="shared" si="1"/>
        <v>0</v>
      </c>
      <c r="J8" s="23">
        <f t="shared" si="2"/>
        <v>0</v>
      </c>
      <c r="K8" s="23">
        <f t="shared" si="3"/>
        <v>0</v>
      </c>
    </row>
    <row r="9" spans="1:12" ht="13.5" customHeight="1" x14ac:dyDescent="0.15">
      <c r="A9" s="22">
        <v>7</v>
      </c>
      <c r="B9" s="22"/>
      <c r="C9" s="22"/>
      <c r="D9" s="22"/>
      <c r="E9" s="22"/>
      <c r="F9" s="22"/>
      <c r="G9" s="23">
        <f t="shared" si="0"/>
        <v>0</v>
      </c>
      <c r="H9" s="22"/>
      <c r="I9" s="23">
        <f t="shared" si="1"/>
        <v>0</v>
      </c>
      <c r="J9" s="23">
        <f t="shared" si="2"/>
        <v>0</v>
      </c>
      <c r="K9" s="23">
        <f t="shared" si="3"/>
        <v>0</v>
      </c>
    </row>
    <row r="10" spans="1:12" ht="13.5" customHeight="1" x14ac:dyDescent="0.15">
      <c r="A10" s="22">
        <v>8</v>
      </c>
      <c r="B10" s="22"/>
      <c r="C10" s="22"/>
      <c r="D10" s="22"/>
      <c r="E10" s="22"/>
      <c r="F10" s="22"/>
      <c r="G10" s="23">
        <f t="shared" si="0"/>
        <v>0</v>
      </c>
      <c r="H10" s="22"/>
      <c r="I10" s="23">
        <f t="shared" si="1"/>
        <v>0</v>
      </c>
      <c r="J10" s="23">
        <f t="shared" si="2"/>
        <v>0</v>
      </c>
      <c r="K10" s="23">
        <f t="shared" si="3"/>
        <v>0</v>
      </c>
    </row>
    <row r="11" spans="1:12" ht="13.5" customHeight="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SUM(K3:K10)</f>
        <v>8.2552000000000003</v>
      </c>
    </row>
    <row r="12" spans="1:12" ht="13.5" customHeight="1" x14ac:dyDescent="0.15">
      <c r="A12" s="22" t="s">
        <v>0</v>
      </c>
      <c r="B12" s="22" t="s">
        <v>52</v>
      </c>
      <c r="C12" s="22" t="s">
        <v>53</v>
      </c>
      <c r="D12" s="22" t="s">
        <v>67</v>
      </c>
      <c r="E12" s="22" t="s">
        <v>68</v>
      </c>
      <c r="F12" s="22" t="s">
        <v>69</v>
      </c>
      <c r="G12" s="22" t="s">
        <v>70</v>
      </c>
      <c r="H12" s="22" t="s">
        <v>71</v>
      </c>
      <c r="I12" s="22" t="s">
        <v>72</v>
      </c>
      <c r="J12" s="149" t="s">
        <v>6</v>
      </c>
      <c r="K12" s="150"/>
    </row>
    <row r="13" spans="1:12" ht="13.5" customHeight="1" x14ac:dyDescent="0.15">
      <c r="A13" s="22">
        <v>1</v>
      </c>
      <c r="B13" s="22"/>
      <c r="C13" s="22"/>
      <c r="D13" s="22"/>
      <c r="E13" s="22" t="s">
        <v>160</v>
      </c>
      <c r="F13" s="22" t="s">
        <v>161</v>
      </c>
      <c r="G13" s="22"/>
      <c r="H13" s="22" t="s">
        <v>162</v>
      </c>
      <c r="I13" s="22"/>
      <c r="J13" s="149"/>
      <c r="K13" s="150"/>
    </row>
    <row r="14" spans="1:12" ht="13.5" customHeight="1" x14ac:dyDescent="0.15">
      <c r="A14" s="22">
        <v>2</v>
      </c>
      <c r="B14" s="22"/>
      <c r="C14" s="22"/>
      <c r="D14" s="22"/>
      <c r="E14" s="22" t="s">
        <v>160</v>
      </c>
      <c r="F14" s="22" t="s">
        <v>164</v>
      </c>
      <c r="G14" s="22"/>
      <c r="H14" s="22" t="s">
        <v>165</v>
      </c>
      <c r="I14" s="22"/>
      <c r="J14" s="149"/>
      <c r="K14" s="150"/>
    </row>
    <row r="15" spans="1:12" ht="13.5" customHeight="1" x14ac:dyDescent="0.15">
      <c r="A15" s="22">
        <v>3</v>
      </c>
      <c r="B15" s="22"/>
      <c r="C15" s="22"/>
      <c r="D15" s="22"/>
      <c r="E15" s="22" t="s">
        <v>166</v>
      </c>
      <c r="F15" s="22" t="s">
        <v>167</v>
      </c>
      <c r="G15" s="22"/>
      <c r="H15" s="22">
        <v>0.5</v>
      </c>
      <c r="I15" s="22">
        <f>G15*H15</f>
        <v>0</v>
      </c>
      <c r="J15" s="149"/>
      <c r="K15" s="150"/>
    </row>
    <row r="16" spans="1:12" ht="13.5" customHeight="1" x14ac:dyDescent="0.15">
      <c r="A16" s="22">
        <v>4</v>
      </c>
      <c r="B16" s="22"/>
      <c r="C16" s="22"/>
      <c r="D16" s="22"/>
      <c r="E16" s="22" t="s">
        <v>166</v>
      </c>
      <c r="F16" s="22" t="s">
        <v>168</v>
      </c>
      <c r="G16" s="22"/>
      <c r="H16" s="22">
        <v>0.3</v>
      </c>
      <c r="I16" s="22">
        <f t="shared" ref="I16:I30" si="4">G16*H16</f>
        <v>0</v>
      </c>
      <c r="J16" s="149"/>
      <c r="K16" s="150"/>
    </row>
    <row r="17" spans="1:11" ht="13.5" customHeight="1" x14ac:dyDescent="0.15">
      <c r="A17" s="22">
        <v>5</v>
      </c>
      <c r="B17" s="22"/>
      <c r="C17" s="22"/>
      <c r="D17" s="22"/>
      <c r="E17" s="22" t="s">
        <v>170</v>
      </c>
      <c r="F17" s="22" t="s">
        <v>171</v>
      </c>
      <c r="G17" s="22"/>
      <c r="H17" s="22">
        <v>0.15</v>
      </c>
      <c r="I17" s="22">
        <f t="shared" si="4"/>
        <v>0</v>
      </c>
      <c r="J17" s="149"/>
      <c r="K17" s="150"/>
    </row>
    <row r="18" spans="1:11" ht="13.5" customHeight="1" x14ac:dyDescent="0.15">
      <c r="A18" s="22">
        <v>6</v>
      </c>
      <c r="B18" s="22"/>
      <c r="C18" s="22"/>
      <c r="D18" s="22"/>
      <c r="E18" s="22" t="s">
        <v>170</v>
      </c>
      <c r="F18" s="22" t="s">
        <v>173</v>
      </c>
      <c r="G18" s="22"/>
      <c r="H18" s="22">
        <v>0.15</v>
      </c>
      <c r="I18" s="22">
        <f t="shared" si="4"/>
        <v>0</v>
      </c>
      <c r="J18" s="149"/>
      <c r="K18" s="150"/>
    </row>
    <row r="19" spans="1:11" ht="13.5" customHeight="1" x14ac:dyDescent="0.15">
      <c r="A19" s="22">
        <v>7</v>
      </c>
      <c r="B19" s="22"/>
      <c r="C19" s="22"/>
      <c r="D19" s="22"/>
      <c r="E19" s="22" t="s">
        <v>170</v>
      </c>
      <c r="F19" s="22" t="s">
        <v>176</v>
      </c>
      <c r="G19" s="22"/>
      <c r="H19" s="22">
        <v>0.08</v>
      </c>
      <c r="I19" s="22">
        <f t="shared" si="4"/>
        <v>0</v>
      </c>
      <c r="J19" s="149"/>
      <c r="K19" s="150"/>
    </row>
    <row r="20" spans="1:11" ht="13.5" customHeight="1" x14ac:dyDescent="0.15">
      <c r="A20" s="22">
        <v>8</v>
      </c>
      <c r="B20" s="22"/>
      <c r="C20" s="22"/>
      <c r="D20" s="22"/>
      <c r="E20" s="22" t="s">
        <v>170</v>
      </c>
      <c r="F20" s="22" t="s">
        <v>177</v>
      </c>
      <c r="G20" s="22"/>
      <c r="H20" s="22">
        <v>0.08</v>
      </c>
      <c r="I20" s="22">
        <f t="shared" si="4"/>
        <v>0</v>
      </c>
      <c r="J20" s="149"/>
      <c r="K20" s="150"/>
    </row>
    <row r="21" spans="1:11" ht="13.5" customHeight="1" x14ac:dyDescent="0.15">
      <c r="A21" s="22">
        <v>9</v>
      </c>
      <c r="B21" s="22"/>
      <c r="C21" s="22"/>
      <c r="D21" s="22"/>
      <c r="E21" s="22" t="s">
        <v>170</v>
      </c>
      <c r="F21" s="22" t="s">
        <v>178</v>
      </c>
      <c r="G21" s="22"/>
      <c r="H21" s="22">
        <v>0.05</v>
      </c>
      <c r="I21" s="22">
        <f t="shared" si="4"/>
        <v>0</v>
      </c>
      <c r="J21" s="149"/>
      <c r="K21" s="150"/>
    </row>
    <row r="22" spans="1:11" ht="13.5" customHeight="1" x14ac:dyDescent="0.15">
      <c r="A22" s="22">
        <v>10</v>
      </c>
      <c r="B22" s="22" t="s">
        <v>266</v>
      </c>
      <c r="C22" s="22" t="s">
        <v>267</v>
      </c>
      <c r="D22" s="22" t="s">
        <v>179</v>
      </c>
      <c r="E22" s="22"/>
      <c r="F22" s="22"/>
      <c r="G22" s="22">
        <v>2</v>
      </c>
      <c r="H22" s="22">
        <v>0.05</v>
      </c>
      <c r="I22" s="117">
        <f t="shared" si="4"/>
        <v>0.1</v>
      </c>
      <c r="J22" s="149" t="s">
        <v>180</v>
      </c>
      <c r="K22" s="150"/>
    </row>
    <row r="23" spans="1:11" ht="13.5" customHeight="1" x14ac:dyDescent="0.15">
      <c r="A23" s="22">
        <v>11</v>
      </c>
      <c r="B23" s="22" t="s">
        <v>264</v>
      </c>
      <c r="C23" s="22"/>
      <c r="D23" s="22" t="s">
        <v>75</v>
      </c>
      <c r="E23" s="22"/>
      <c r="F23" s="22"/>
      <c r="G23" s="22">
        <v>4</v>
      </c>
      <c r="H23" s="22">
        <v>0.05</v>
      </c>
      <c r="I23" s="117">
        <f t="shared" si="4"/>
        <v>0.2</v>
      </c>
      <c r="J23" s="149"/>
      <c r="K23" s="150"/>
    </row>
    <row r="24" spans="1:11" ht="13.5" customHeight="1" x14ac:dyDescent="0.15">
      <c r="A24" s="22">
        <v>12</v>
      </c>
      <c r="B24" s="22"/>
      <c r="C24" s="22"/>
      <c r="D24" s="22" t="s">
        <v>221</v>
      </c>
      <c r="E24" s="22"/>
      <c r="F24" s="22"/>
      <c r="G24" s="22"/>
      <c r="H24" s="22">
        <v>0.08</v>
      </c>
      <c r="I24" s="22">
        <f t="shared" si="4"/>
        <v>0</v>
      </c>
      <c r="J24" s="149"/>
      <c r="K24" s="150"/>
    </row>
    <row r="25" spans="1:11" ht="13.5" customHeight="1" x14ac:dyDescent="0.15">
      <c r="A25" s="22">
        <v>13</v>
      </c>
      <c r="B25" s="22"/>
      <c r="C25" s="22"/>
      <c r="D25" s="22" t="s">
        <v>182</v>
      </c>
      <c r="E25" s="22"/>
      <c r="F25" s="22"/>
      <c r="G25" s="22"/>
      <c r="H25" s="22">
        <v>0.08</v>
      </c>
      <c r="I25" s="22">
        <f t="shared" si="4"/>
        <v>0</v>
      </c>
      <c r="J25" s="149"/>
      <c r="K25" s="150"/>
    </row>
    <row r="26" spans="1:11" ht="13.5" customHeight="1" x14ac:dyDescent="0.15">
      <c r="A26" s="22">
        <v>14</v>
      </c>
      <c r="B26" s="22" t="s">
        <v>268</v>
      </c>
      <c r="C26" s="22"/>
      <c r="D26" s="22" t="s">
        <v>183</v>
      </c>
      <c r="E26" s="22"/>
      <c r="F26" s="22"/>
      <c r="G26" s="22">
        <v>4</v>
      </c>
      <c r="H26" s="22">
        <v>0.05</v>
      </c>
      <c r="I26" s="117">
        <f t="shared" si="4"/>
        <v>0.2</v>
      </c>
      <c r="J26" s="149"/>
      <c r="K26" s="150"/>
    </row>
    <row r="27" spans="1:11" ht="13.5" customHeight="1" x14ac:dyDescent="0.15">
      <c r="A27" s="22">
        <v>15</v>
      </c>
      <c r="B27" s="22"/>
      <c r="C27" s="22"/>
      <c r="D27" s="22" t="s">
        <v>184</v>
      </c>
      <c r="E27" s="22"/>
      <c r="F27" s="22"/>
      <c r="G27" s="22"/>
      <c r="H27" s="22">
        <v>0.08</v>
      </c>
      <c r="I27" s="22">
        <f t="shared" si="4"/>
        <v>0</v>
      </c>
      <c r="J27" s="149"/>
      <c r="K27" s="150"/>
    </row>
    <row r="28" spans="1:11" ht="13.5" customHeight="1" x14ac:dyDescent="0.15">
      <c r="A28" s="22">
        <v>16</v>
      </c>
      <c r="B28" s="22"/>
      <c r="C28" s="22"/>
      <c r="D28" s="22" t="s">
        <v>175</v>
      </c>
      <c r="E28" s="22"/>
      <c r="F28" s="22"/>
      <c r="G28" s="22"/>
      <c r="H28" s="22">
        <v>0.08</v>
      </c>
      <c r="I28" s="22">
        <f t="shared" si="4"/>
        <v>0</v>
      </c>
      <c r="J28" s="24"/>
      <c r="K28" s="25"/>
    </row>
    <row r="29" spans="1:11" ht="13.5" customHeight="1" x14ac:dyDescent="0.15">
      <c r="A29" s="22">
        <v>17</v>
      </c>
      <c r="B29" s="22"/>
      <c r="C29" s="22"/>
      <c r="D29" s="22" t="s">
        <v>185</v>
      </c>
      <c r="E29" s="22"/>
      <c r="F29" s="22"/>
      <c r="G29" s="22"/>
      <c r="H29" s="22">
        <v>0.08</v>
      </c>
      <c r="I29" s="22">
        <f t="shared" si="4"/>
        <v>0</v>
      </c>
      <c r="J29" s="149"/>
      <c r="K29" s="150"/>
    </row>
    <row r="30" spans="1:11" ht="13.5" customHeight="1" x14ac:dyDescent="0.15">
      <c r="A30" s="22">
        <v>18</v>
      </c>
      <c r="B30" s="22"/>
      <c r="C30" s="22"/>
      <c r="D30" s="22" t="s">
        <v>186</v>
      </c>
      <c r="E30" s="22"/>
      <c r="F30" s="22"/>
      <c r="G30" s="22"/>
      <c r="H30" s="22">
        <v>0.08</v>
      </c>
      <c r="I30" s="22">
        <f t="shared" si="4"/>
        <v>0</v>
      </c>
      <c r="J30" s="149"/>
      <c r="K30" s="150"/>
    </row>
    <row r="31" spans="1:11" ht="13.5" customHeight="1" x14ac:dyDescent="0.15">
      <c r="A31" s="22">
        <v>19</v>
      </c>
      <c r="B31" s="22"/>
      <c r="C31" s="22"/>
      <c r="D31" s="22" t="s">
        <v>187</v>
      </c>
      <c r="E31" s="22"/>
      <c r="F31" s="22"/>
      <c r="G31" s="22"/>
      <c r="H31" s="22"/>
      <c r="I31" s="22">
        <v>0.2</v>
      </c>
      <c r="J31" s="149" t="s">
        <v>188</v>
      </c>
      <c r="K31" s="150"/>
    </row>
    <row r="32" spans="1:11" ht="13.5" customHeight="1" x14ac:dyDescent="0.15">
      <c r="A32" s="22"/>
      <c r="B32" s="22"/>
      <c r="C32" s="22"/>
      <c r="D32" s="149"/>
      <c r="E32" s="153"/>
      <c r="F32" s="153"/>
      <c r="G32" s="153"/>
      <c r="H32" s="150"/>
      <c r="I32" s="22"/>
      <c r="J32" s="24"/>
      <c r="K32" s="25"/>
    </row>
    <row r="33" spans="1:15" ht="13.5" customHeight="1" x14ac:dyDescent="0.15">
      <c r="A33" s="149" t="s">
        <v>82</v>
      </c>
      <c r="B33" s="153"/>
      <c r="C33" s="153"/>
      <c r="D33" s="153"/>
      <c r="E33" s="153"/>
      <c r="F33" s="153"/>
      <c r="G33" s="153"/>
      <c r="H33" s="150"/>
      <c r="I33" s="42">
        <f>SUM(I13:I32)</f>
        <v>0.7</v>
      </c>
      <c r="J33" s="22"/>
      <c r="K33" s="22"/>
    </row>
    <row r="34" spans="1:15" ht="13.5" customHeight="1" x14ac:dyDescent="0.15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0"/>
    </row>
    <row r="35" spans="1:15" ht="13.5" customHeight="1" x14ac:dyDescent="0.15">
      <c r="A35" s="149" t="s">
        <v>83</v>
      </c>
      <c r="B35" s="153"/>
      <c r="C35" s="153"/>
      <c r="D35" s="153"/>
      <c r="E35" s="150"/>
      <c r="F35" s="154" t="s">
        <v>84</v>
      </c>
      <c r="G35" s="154"/>
      <c r="H35" s="22" t="s">
        <v>85</v>
      </c>
      <c r="I35" s="22" t="s">
        <v>86</v>
      </c>
      <c r="J35" s="22" t="s">
        <v>87</v>
      </c>
      <c r="K35" s="25" t="s">
        <v>6</v>
      </c>
    </row>
    <row r="36" spans="1:15" ht="13.5" customHeight="1" x14ac:dyDescent="0.15">
      <c r="A36" s="22" t="s">
        <v>0</v>
      </c>
      <c r="B36" s="22" t="s">
        <v>90</v>
      </c>
      <c r="C36" s="22" t="s">
        <v>91</v>
      </c>
      <c r="D36" s="22" t="s">
        <v>92</v>
      </c>
      <c r="E36" s="22" t="s">
        <v>72</v>
      </c>
      <c r="F36" s="154" t="s">
        <v>269</v>
      </c>
      <c r="G36" s="154"/>
      <c r="H36" s="22">
        <v>4</v>
      </c>
      <c r="I36" s="22">
        <v>0.05</v>
      </c>
      <c r="J36" s="36">
        <f>I36*H36</f>
        <v>0.2</v>
      </c>
      <c r="K36" s="22"/>
    </row>
    <row r="37" spans="1:15" ht="13.5" customHeight="1" x14ac:dyDescent="0.15">
      <c r="A37" s="26">
        <v>1</v>
      </c>
      <c r="B37" s="22" t="s">
        <v>270</v>
      </c>
      <c r="C37" s="22">
        <v>2</v>
      </c>
      <c r="D37" s="121">
        <v>0.04</v>
      </c>
      <c r="E37" s="117">
        <f>D37*C37</f>
        <v>0.08</v>
      </c>
      <c r="F37" s="149" t="s">
        <v>271</v>
      </c>
      <c r="G37" s="150"/>
      <c r="H37" s="22">
        <v>6</v>
      </c>
      <c r="I37" s="22">
        <v>0.05</v>
      </c>
      <c r="J37" s="36">
        <f t="shared" ref="J37:J39" si="5">I37*H37</f>
        <v>0.30000000000000004</v>
      </c>
      <c r="K37" s="22"/>
    </row>
    <row r="38" spans="1:15" ht="13.5" customHeight="1" x14ac:dyDescent="0.15">
      <c r="A38" s="26">
        <v>2</v>
      </c>
      <c r="B38" s="22" t="s">
        <v>255</v>
      </c>
      <c r="C38" s="22">
        <v>2</v>
      </c>
      <c r="D38" s="121">
        <v>1.1000000000000001</v>
      </c>
      <c r="E38" s="117">
        <f t="shared" ref="E38:E45" si="6">D38*C38</f>
        <v>2.2000000000000002</v>
      </c>
      <c r="F38" s="149" t="s">
        <v>272</v>
      </c>
      <c r="G38" s="150"/>
      <c r="H38" s="22">
        <v>4</v>
      </c>
      <c r="I38" s="22">
        <v>0.05</v>
      </c>
      <c r="J38" s="36">
        <f t="shared" si="5"/>
        <v>0.2</v>
      </c>
      <c r="K38" s="22"/>
    </row>
    <row r="39" spans="1:15" ht="13.5" customHeight="1" x14ac:dyDescent="0.15">
      <c r="A39" s="26">
        <v>3</v>
      </c>
      <c r="B39" s="22" t="s">
        <v>273</v>
      </c>
      <c r="C39" s="22">
        <v>2</v>
      </c>
      <c r="D39" s="121">
        <v>0.6</v>
      </c>
      <c r="E39" s="117">
        <f t="shared" si="6"/>
        <v>1.2</v>
      </c>
      <c r="F39" s="149" t="s">
        <v>191</v>
      </c>
      <c r="G39" s="150"/>
      <c r="H39" s="22">
        <v>20</v>
      </c>
      <c r="I39" s="22">
        <v>0.05</v>
      </c>
      <c r="J39" s="36">
        <f t="shared" si="5"/>
        <v>1</v>
      </c>
      <c r="K39" s="22"/>
    </row>
    <row r="40" spans="1:15" ht="13.5" customHeight="1" x14ac:dyDescent="0.15">
      <c r="A40" s="26">
        <v>4</v>
      </c>
      <c r="B40" s="22" t="s">
        <v>257</v>
      </c>
      <c r="C40" s="22">
        <v>2</v>
      </c>
      <c r="D40" s="22">
        <v>0.3</v>
      </c>
      <c r="E40" s="117">
        <f t="shared" si="6"/>
        <v>0.6</v>
      </c>
      <c r="F40" s="149"/>
      <c r="G40" s="150"/>
      <c r="H40" s="22"/>
      <c r="I40" s="22"/>
      <c r="J40" s="36"/>
      <c r="K40" s="22"/>
    </row>
    <row r="41" spans="1:15" ht="13.5" customHeight="1" x14ac:dyDescent="0.15">
      <c r="A41" s="26">
        <v>5</v>
      </c>
      <c r="B41" s="22" t="s">
        <v>274</v>
      </c>
      <c r="C41" s="22">
        <v>2</v>
      </c>
      <c r="D41" s="22">
        <v>0.2</v>
      </c>
      <c r="E41" s="117">
        <f t="shared" si="6"/>
        <v>0.4</v>
      </c>
      <c r="F41" s="149"/>
      <c r="G41" s="150"/>
      <c r="H41" s="22"/>
      <c r="I41" s="22"/>
      <c r="J41" s="36"/>
      <c r="K41" s="22"/>
    </row>
    <row r="42" spans="1:15" ht="13.5" customHeight="1" x14ac:dyDescent="0.15">
      <c r="A42" s="26">
        <v>6</v>
      </c>
      <c r="B42" s="22" t="s">
        <v>253</v>
      </c>
      <c r="C42" s="22">
        <v>2</v>
      </c>
      <c r="D42" s="22">
        <v>0.04</v>
      </c>
      <c r="E42" s="117">
        <f t="shared" si="6"/>
        <v>0.08</v>
      </c>
      <c r="F42" s="149" t="s">
        <v>82</v>
      </c>
      <c r="G42" s="150"/>
      <c r="H42" s="22"/>
      <c r="I42" s="22"/>
      <c r="J42" s="43">
        <f>SUM(J36:J41)</f>
        <v>1.7</v>
      </c>
      <c r="K42" s="22"/>
    </row>
    <row r="43" spans="1:15" ht="13.5" customHeight="1" x14ac:dyDescent="0.15">
      <c r="A43" s="26">
        <v>7</v>
      </c>
      <c r="B43" s="22"/>
      <c r="C43" s="22"/>
      <c r="D43" s="22"/>
      <c r="E43" s="22">
        <f t="shared" si="6"/>
        <v>0</v>
      </c>
      <c r="F43" s="149" t="s">
        <v>119</v>
      </c>
      <c r="G43" s="150"/>
      <c r="H43" s="28" t="s">
        <v>201</v>
      </c>
      <c r="I43" s="28" t="s">
        <v>202</v>
      </c>
      <c r="J43" s="32" t="s">
        <v>87</v>
      </c>
      <c r="K43" s="22" t="s">
        <v>6</v>
      </c>
      <c r="M43" s="35" t="s">
        <v>111</v>
      </c>
      <c r="N43" s="35" t="s">
        <v>112</v>
      </c>
      <c r="O43" s="35" t="s">
        <v>113</v>
      </c>
    </row>
    <row r="44" spans="1:15" ht="13.5" customHeight="1" x14ac:dyDescent="0.15">
      <c r="A44" s="26">
        <v>8</v>
      </c>
      <c r="B44" s="22"/>
      <c r="C44" s="22"/>
      <c r="D44" s="22"/>
      <c r="E44" s="22">
        <f t="shared" si="6"/>
        <v>0</v>
      </c>
      <c r="F44" s="149" t="s">
        <v>124</v>
      </c>
      <c r="G44" s="150"/>
      <c r="H44" s="22">
        <v>10</v>
      </c>
      <c r="I44" s="22"/>
      <c r="J44" s="22">
        <f>I44*H44</f>
        <v>0</v>
      </c>
      <c r="K44" s="22"/>
      <c r="M44" s="35" t="s">
        <v>115</v>
      </c>
      <c r="N44" s="35" t="s">
        <v>116</v>
      </c>
      <c r="O44" s="35" t="s">
        <v>117</v>
      </c>
    </row>
    <row r="45" spans="1:15" ht="13.5" customHeight="1" x14ac:dyDescent="0.15">
      <c r="A45" s="26">
        <v>9</v>
      </c>
      <c r="B45" s="22"/>
      <c r="C45" s="22"/>
      <c r="D45" s="22"/>
      <c r="E45" s="22">
        <f t="shared" si="6"/>
        <v>0</v>
      </c>
      <c r="F45" s="149" t="s">
        <v>126</v>
      </c>
      <c r="G45" s="150"/>
      <c r="H45" s="22">
        <v>12</v>
      </c>
      <c r="I45" s="22">
        <v>0.11</v>
      </c>
      <c r="J45" s="22">
        <f>I45*H45</f>
        <v>1.32</v>
      </c>
      <c r="K45" s="22"/>
    </row>
    <row r="46" spans="1:15" ht="13.5" customHeight="1" x14ac:dyDescent="0.15">
      <c r="A46" s="145" t="s">
        <v>82</v>
      </c>
      <c r="B46" s="151"/>
      <c r="C46" s="151"/>
      <c r="D46" s="146"/>
      <c r="E46" s="30">
        <f>SUM(E37:E45)</f>
        <v>4.5600000000000005</v>
      </c>
    </row>
    <row r="47" spans="1:15" ht="13.5" customHeight="1" x14ac:dyDescent="0.15">
      <c r="A47" s="152" t="s">
        <v>127</v>
      </c>
      <c r="B47" s="152"/>
      <c r="C47" s="31" t="s">
        <v>108</v>
      </c>
      <c r="E47" s="32" t="s">
        <v>128</v>
      </c>
      <c r="F47" s="147">
        <f>C52+C51+C50+C49+C48</f>
        <v>16.943200000000001</v>
      </c>
      <c r="G47" s="147"/>
      <c r="H47" s="147"/>
      <c r="I47" s="147"/>
      <c r="J47" s="147"/>
      <c r="K47" s="147"/>
      <c r="M47" s="26" t="s">
        <v>122</v>
      </c>
      <c r="N47" s="26" t="s">
        <v>123</v>
      </c>
      <c r="O47" s="26" t="s">
        <v>82</v>
      </c>
    </row>
    <row r="48" spans="1:15" ht="13.5" customHeight="1" x14ac:dyDescent="0.15">
      <c r="A48" s="148" t="s">
        <v>131</v>
      </c>
      <c r="B48" s="148"/>
      <c r="C48" s="33">
        <f>K11</f>
        <v>8.2552000000000003</v>
      </c>
      <c r="E48" s="34" t="s">
        <v>132</v>
      </c>
      <c r="F48" s="147">
        <f>F47*0.03</f>
        <v>0.50829599999999997</v>
      </c>
      <c r="G48" s="147"/>
      <c r="H48" s="147"/>
      <c r="I48" s="147"/>
      <c r="J48" s="147"/>
      <c r="K48" s="147"/>
      <c r="M48" s="26">
        <v>1.63</v>
      </c>
      <c r="N48" s="26">
        <v>1.4</v>
      </c>
      <c r="O48" s="26">
        <f>M48*N48</f>
        <v>2.2819999999999996</v>
      </c>
    </row>
    <row r="49" spans="1:16" ht="13.5" customHeight="1" x14ac:dyDescent="0.15">
      <c r="A49" s="148" t="s">
        <v>133</v>
      </c>
      <c r="B49" s="148"/>
      <c r="C49" s="37">
        <f>I33*1.17</f>
        <v>0.81899999999999995</v>
      </c>
      <c r="E49" s="34" t="s">
        <v>134</v>
      </c>
      <c r="F49" s="147">
        <f>F47*0.03</f>
        <v>0.50829599999999997</v>
      </c>
      <c r="G49" s="147"/>
      <c r="H49" s="147"/>
      <c r="I49" s="147"/>
      <c r="J49" s="147"/>
      <c r="K49" s="147"/>
    </row>
    <row r="50" spans="1:16" ht="13.5" customHeight="1" x14ac:dyDescent="0.15">
      <c r="A50" s="148" t="s">
        <v>135</v>
      </c>
      <c r="B50" s="148"/>
      <c r="C50" s="33">
        <f>E46</f>
        <v>4.5600000000000005</v>
      </c>
      <c r="E50" s="34" t="s">
        <v>136</v>
      </c>
      <c r="F50" s="147">
        <f>F47*0.02</f>
        <v>0.338864</v>
      </c>
      <c r="G50" s="147"/>
      <c r="H50" s="147"/>
      <c r="I50" s="147"/>
      <c r="J50" s="147"/>
      <c r="K50" s="147"/>
    </row>
    <row r="51" spans="1:16" ht="13.5" customHeight="1" x14ac:dyDescent="0.15">
      <c r="A51" s="148" t="s">
        <v>138</v>
      </c>
      <c r="B51" s="148"/>
      <c r="C51" s="37">
        <f>J42*1.17</f>
        <v>1.9889999999999999</v>
      </c>
      <c r="E51" s="34" t="s">
        <v>5</v>
      </c>
      <c r="F51" s="147"/>
      <c r="G51" s="147"/>
      <c r="H51" s="147"/>
      <c r="I51" s="147"/>
      <c r="J51" s="147"/>
      <c r="K51" s="147"/>
      <c r="M51" s="26" t="s">
        <v>129</v>
      </c>
      <c r="N51" s="26" t="s">
        <v>130</v>
      </c>
      <c r="O51" s="26" t="s">
        <v>82</v>
      </c>
    </row>
    <row r="52" spans="1:16" ht="13.5" customHeight="1" x14ac:dyDescent="0.15">
      <c r="A52" s="148" t="s">
        <v>119</v>
      </c>
      <c r="B52" s="148"/>
      <c r="C52" s="33">
        <f>J44+J45</f>
        <v>1.32</v>
      </c>
      <c r="E52" s="34" t="s">
        <v>139</v>
      </c>
      <c r="F52" s="156">
        <f>F51+F50+F49+F48+F47</f>
        <v>18.298656000000001</v>
      </c>
      <c r="G52" s="156"/>
      <c r="H52" s="156"/>
      <c r="I52" s="156"/>
      <c r="J52" s="156"/>
      <c r="K52" s="156"/>
      <c r="M52" s="26">
        <v>19.920000000000002</v>
      </c>
      <c r="N52" s="26">
        <v>2.282</v>
      </c>
      <c r="O52" s="44">
        <f>M52+N52</f>
        <v>22.202000000000002</v>
      </c>
      <c r="P52" t="s">
        <v>152</v>
      </c>
    </row>
    <row r="53" spans="1:16" x14ac:dyDescent="0.15">
      <c r="A53" s="161"/>
      <c r="B53" s="161"/>
      <c r="H53" t="s">
        <v>152</v>
      </c>
      <c r="I53" t="s">
        <v>338</v>
      </c>
    </row>
    <row r="54" spans="1:16" x14ac:dyDescent="0.15">
      <c r="A54" s="161"/>
      <c r="B54" s="161"/>
    </row>
    <row r="55" spans="1:16" x14ac:dyDescent="0.15">
      <c r="A55" s="161"/>
      <c r="B55" s="161"/>
    </row>
  </sheetData>
  <mergeCells count="52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U219"/>
  <sheetViews>
    <sheetView zoomScale="90" zoomScaleNormal="90" workbookViewId="0"/>
  </sheetViews>
  <sheetFormatPr defaultColWidth="9" defaultRowHeight="13.5" x14ac:dyDescent="0.15"/>
  <cols>
    <col min="1" max="1" width="4.625" customWidth="1"/>
    <col min="2" max="2" width="10.375" customWidth="1"/>
    <col min="3" max="3" width="9.75" customWidth="1"/>
    <col min="4" max="4" width="5.625" customWidth="1"/>
    <col min="5" max="5" width="5.75" customWidth="1"/>
    <col min="6" max="11" width="14.5" customWidth="1"/>
  </cols>
  <sheetData>
    <row r="2" spans="1:11" x14ac:dyDescent="0.15">
      <c r="B2" t="s">
        <v>19</v>
      </c>
    </row>
    <row r="3" spans="1:11" ht="25.5" x14ac:dyDescent="0.15">
      <c r="A3" s="162" t="s">
        <v>342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x14ac:dyDescent="0.15">
      <c r="A4" s="22" t="s">
        <v>0</v>
      </c>
      <c r="B4" s="22" t="s">
        <v>52</v>
      </c>
      <c r="C4" s="22" t="s">
        <v>53</v>
      </c>
      <c r="D4" s="22" t="s">
        <v>54</v>
      </c>
      <c r="E4" s="22" t="s">
        <v>55</v>
      </c>
      <c r="F4" s="22" t="s">
        <v>56</v>
      </c>
      <c r="G4" s="22" t="s">
        <v>57</v>
      </c>
      <c r="H4" s="22" t="s">
        <v>58</v>
      </c>
      <c r="I4" s="22" t="s">
        <v>59</v>
      </c>
      <c r="J4" s="22" t="s">
        <v>60</v>
      </c>
      <c r="K4" s="22" t="s">
        <v>61</v>
      </c>
    </row>
    <row r="5" spans="1:11" x14ac:dyDescent="0.15">
      <c r="A5" s="22">
        <v>1</v>
      </c>
      <c r="B5" s="22" t="s">
        <v>343</v>
      </c>
      <c r="C5" s="22"/>
      <c r="D5" s="22" t="s">
        <v>286</v>
      </c>
      <c r="E5" s="23">
        <v>5.9</v>
      </c>
      <c r="F5" s="23">
        <v>1.49</v>
      </c>
      <c r="G5" s="23">
        <f>E5*F5</f>
        <v>8.7910000000000004</v>
      </c>
      <c r="H5" s="23">
        <v>0.7</v>
      </c>
      <c r="I5" s="23">
        <f>F5-H5</f>
        <v>0.79</v>
      </c>
      <c r="J5" s="23">
        <f>I5*2</f>
        <v>1.58</v>
      </c>
      <c r="K5" s="23">
        <f>G5-J5</f>
        <v>7.2110000000000003</v>
      </c>
    </row>
    <row r="6" spans="1:11" x14ac:dyDescent="0.15">
      <c r="A6" s="22">
        <v>2</v>
      </c>
      <c r="B6" s="22"/>
      <c r="C6" s="22"/>
      <c r="D6" s="22"/>
      <c r="E6" s="23"/>
      <c r="F6" s="23"/>
      <c r="G6" s="23">
        <f t="shared" ref="G6:G10" si="0">E6*F6</f>
        <v>0</v>
      </c>
      <c r="H6" s="23"/>
      <c r="I6" s="23">
        <f t="shared" ref="I6:I10" si="1">F6-H6</f>
        <v>0</v>
      </c>
      <c r="J6" s="23">
        <f t="shared" ref="J6:J10" si="2">I6*1.1</f>
        <v>0</v>
      </c>
      <c r="K6" s="23">
        <f t="shared" ref="K6:K10" si="3">G6-J6</f>
        <v>0</v>
      </c>
    </row>
    <row r="7" spans="1:11" x14ac:dyDescent="0.15">
      <c r="A7" s="22">
        <v>3</v>
      </c>
      <c r="B7" s="22"/>
      <c r="C7" s="22"/>
      <c r="D7" s="22"/>
      <c r="E7" s="23"/>
      <c r="F7" s="23"/>
      <c r="G7" s="23">
        <f t="shared" si="0"/>
        <v>0</v>
      </c>
      <c r="H7" s="23"/>
      <c r="I7" s="23">
        <f t="shared" si="1"/>
        <v>0</v>
      </c>
      <c r="J7" s="23">
        <f t="shared" si="2"/>
        <v>0</v>
      </c>
      <c r="K7" s="23">
        <f t="shared" si="3"/>
        <v>0</v>
      </c>
    </row>
    <row r="8" spans="1:11" x14ac:dyDescent="0.15">
      <c r="A8" s="22">
        <v>4</v>
      </c>
      <c r="B8" s="22"/>
      <c r="C8" s="22"/>
      <c r="D8" s="22"/>
      <c r="E8" s="23"/>
      <c r="F8" s="23"/>
      <c r="G8" s="23">
        <f t="shared" si="0"/>
        <v>0</v>
      </c>
      <c r="H8" s="23"/>
      <c r="I8" s="23">
        <f t="shared" si="1"/>
        <v>0</v>
      </c>
      <c r="J8" s="23">
        <f t="shared" si="2"/>
        <v>0</v>
      </c>
      <c r="K8" s="23">
        <f t="shared" si="3"/>
        <v>0</v>
      </c>
    </row>
    <row r="9" spans="1:11" x14ac:dyDescent="0.15">
      <c r="A9" s="22">
        <v>5</v>
      </c>
      <c r="B9" s="22"/>
      <c r="C9" s="22"/>
      <c r="D9" s="22"/>
      <c r="E9" s="23"/>
      <c r="F9" s="23"/>
      <c r="G9" s="23">
        <f t="shared" si="0"/>
        <v>0</v>
      </c>
      <c r="H9" s="23"/>
      <c r="I9" s="23">
        <f t="shared" si="1"/>
        <v>0</v>
      </c>
      <c r="J9" s="23">
        <f t="shared" si="2"/>
        <v>0</v>
      </c>
      <c r="K9" s="23">
        <f t="shared" si="3"/>
        <v>0</v>
      </c>
    </row>
    <row r="10" spans="1:11" x14ac:dyDescent="0.15">
      <c r="A10" s="22">
        <v>6</v>
      </c>
      <c r="B10" s="22"/>
      <c r="C10" s="22"/>
      <c r="D10" s="22"/>
      <c r="E10" s="23"/>
      <c r="F10" s="22"/>
      <c r="G10" s="23">
        <f t="shared" si="0"/>
        <v>0</v>
      </c>
      <c r="H10" s="22"/>
      <c r="I10" s="23">
        <f t="shared" si="1"/>
        <v>0</v>
      </c>
      <c r="J10" s="23">
        <f t="shared" si="2"/>
        <v>0</v>
      </c>
      <c r="K10" s="23">
        <f t="shared" si="3"/>
        <v>0</v>
      </c>
    </row>
    <row r="11" spans="1:1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SUM(K5:K10)</f>
        <v>7.2110000000000003</v>
      </c>
    </row>
    <row r="12" spans="1:11" x14ac:dyDescent="0.15">
      <c r="A12" s="22" t="s">
        <v>0</v>
      </c>
      <c r="B12" s="22" t="s">
        <v>52</v>
      </c>
      <c r="C12" s="22" t="s">
        <v>53</v>
      </c>
      <c r="D12" s="22" t="s">
        <v>67</v>
      </c>
      <c r="E12" s="22" t="s">
        <v>68</v>
      </c>
      <c r="F12" s="22" t="s">
        <v>69</v>
      </c>
      <c r="G12" s="22" t="s">
        <v>70</v>
      </c>
      <c r="H12" s="22" t="s">
        <v>71</v>
      </c>
      <c r="I12" s="22" t="s">
        <v>72</v>
      </c>
      <c r="J12" s="149" t="s">
        <v>6</v>
      </c>
      <c r="K12" s="150"/>
    </row>
    <row r="13" spans="1:11" x14ac:dyDescent="0.15">
      <c r="A13" s="22">
        <v>1</v>
      </c>
      <c r="B13" s="22"/>
      <c r="C13" s="22"/>
      <c r="D13" s="22"/>
      <c r="E13" s="22" t="s">
        <v>160</v>
      </c>
      <c r="F13" s="22" t="s">
        <v>161</v>
      </c>
      <c r="G13" s="22"/>
      <c r="H13" s="22" t="s">
        <v>162</v>
      </c>
      <c r="I13" s="22"/>
      <c r="J13" s="149"/>
      <c r="K13" s="150"/>
    </row>
    <row r="14" spans="1:11" x14ac:dyDescent="0.15">
      <c r="A14" s="22">
        <v>2</v>
      </c>
      <c r="B14" s="22" t="s">
        <v>343</v>
      </c>
      <c r="C14" s="22"/>
      <c r="D14" s="22"/>
      <c r="E14" s="22" t="s">
        <v>160</v>
      </c>
      <c r="F14" s="22" t="s">
        <v>164</v>
      </c>
      <c r="G14" s="22"/>
      <c r="H14" s="22" t="s">
        <v>165</v>
      </c>
      <c r="I14" s="22">
        <v>0.44700000000000001</v>
      </c>
      <c r="J14" s="149"/>
      <c r="K14" s="150"/>
    </row>
    <row r="15" spans="1:11" x14ac:dyDescent="0.15">
      <c r="A15" s="22">
        <v>3</v>
      </c>
      <c r="B15" s="22"/>
      <c r="C15" s="22"/>
      <c r="D15" s="22"/>
      <c r="E15" s="22" t="s">
        <v>166</v>
      </c>
      <c r="F15" s="22" t="s">
        <v>167</v>
      </c>
      <c r="G15" s="22"/>
      <c r="H15" s="22">
        <v>0.5</v>
      </c>
      <c r="I15" s="22">
        <f>G15*H15</f>
        <v>0</v>
      </c>
      <c r="J15" s="149"/>
      <c r="K15" s="150"/>
    </row>
    <row r="16" spans="1:11" x14ac:dyDescent="0.15">
      <c r="A16" s="22">
        <v>4</v>
      </c>
      <c r="B16" s="22"/>
      <c r="C16" s="22"/>
      <c r="D16" s="22"/>
      <c r="E16" s="22" t="s">
        <v>166</v>
      </c>
      <c r="F16" s="22" t="s">
        <v>168</v>
      </c>
      <c r="G16" s="22"/>
      <c r="H16" s="22">
        <v>0.3</v>
      </c>
      <c r="I16" s="22">
        <f t="shared" ref="I16:I21" si="4">G16*H16</f>
        <v>0</v>
      </c>
      <c r="J16" s="149"/>
      <c r="K16" s="150"/>
    </row>
    <row r="17" spans="1:11" x14ac:dyDescent="0.15">
      <c r="A17" s="22">
        <v>5</v>
      </c>
      <c r="B17" s="22" t="s">
        <v>343</v>
      </c>
      <c r="C17" s="22"/>
      <c r="D17" s="22" t="s">
        <v>169</v>
      </c>
      <c r="E17" s="22" t="s">
        <v>170</v>
      </c>
      <c r="F17" s="22" t="s">
        <v>171</v>
      </c>
      <c r="G17" s="22">
        <v>1</v>
      </c>
      <c r="H17" s="22">
        <v>0.15</v>
      </c>
      <c r="I17" s="22">
        <f t="shared" si="4"/>
        <v>0.15</v>
      </c>
      <c r="J17" s="149"/>
      <c r="K17" s="150"/>
    </row>
    <row r="18" spans="1:11" x14ac:dyDescent="0.15">
      <c r="A18" s="22">
        <v>6</v>
      </c>
      <c r="B18" s="22" t="s">
        <v>343</v>
      </c>
      <c r="C18" s="22"/>
      <c r="D18" s="22" t="s">
        <v>172</v>
      </c>
      <c r="E18" s="22" t="s">
        <v>170</v>
      </c>
      <c r="F18" s="22" t="s">
        <v>173</v>
      </c>
      <c r="G18" s="22">
        <v>1</v>
      </c>
      <c r="H18" s="22">
        <v>0.15</v>
      </c>
      <c r="I18" s="22">
        <f t="shared" si="4"/>
        <v>0.15</v>
      </c>
      <c r="J18" s="149"/>
      <c r="K18" s="150"/>
    </row>
    <row r="19" spans="1:11" x14ac:dyDescent="0.15">
      <c r="A19" s="22">
        <v>7</v>
      </c>
      <c r="B19" s="22" t="s">
        <v>343</v>
      </c>
      <c r="C19" s="22"/>
      <c r="D19" s="22" t="s">
        <v>175</v>
      </c>
      <c r="E19" s="22" t="s">
        <v>170</v>
      </c>
      <c r="F19" s="22" t="s">
        <v>176</v>
      </c>
      <c r="G19" s="22">
        <v>1</v>
      </c>
      <c r="H19" s="22">
        <v>0.08</v>
      </c>
      <c r="I19" s="22">
        <f t="shared" si="4"/>
        <v>0.08</v>
      </c>
      <c r="J19" s="149"/>
      <c r="K19" s="150"/>
    </row>
    <row r="20" spans="1:11" x14ac:dyDescent="0.15">
      <c r="A20" s="22">
        <v>8</v>
      </c>
      <c r="C20" s="22"/>
      <c r="D20" s="22" t="s">
        <v>172</v>
      </c>
      <c r="E20" s="22" t="s">
        <v>170</v>
      </c>
      <c r="F20" s="22" t="s">
        <v>177</v>
      </c>
      <c r="G20" s="22"/>
      <c r="H20" s="22">
        <v>0.08</v>
      </c>
      <c r="I20" s="22">
        <f t="shared" si="4"/>
        <v>0</v>
      </c>
      <c r="J20" s="149"/>
      <c r="K20" s="150"/>
    </row>
    <row r="21" spans="1:11" x14ac:dyDescent="0.15">
      <c r="A21" s="22">
        <v>9</v>
      </c>
      <c r="C21" s="22"/>
      <c r="D21" s="22" t="s">
        <v>175</v>
      </c>
      <c r="E21" s="22" t="s">
        <v>170</v>
      </c>
      <c r="F21" s="22" t="s">
        <v>178</v>
      </c>
      <c r="G21" s="22"/>
      <c r="H21" s="22">
        <v>0.05</v>
      </c>
      <c r="I21" s="22">
        <f t="shared" si="4"/>
        <v>0</v>
      </c>
      <c r="J21" s="149"/>
      <c r="K21" s="150"/>
    </row>
    <row r="22" spans="1:11" x14ac:dyDescent="0.15">
      <c r="A22" s="22">
        <v>10</v>
      </c>
      <c r="B22" s="22"/>
      <c r="C22" s="22"/>
      <c r="D22" s="22" t="s">
        <v>179</v>
      </c>
      <c r="E22" s="22"/>
      <c r="F22" s="22"/>
      <c r="G22" s="22"/>
      <c r="H22" s="22"/>
      <c r="I22" s="22"/>
      <c r="J22" s="149" t="s">
        <v>180</v>
      </c>
      <c r="K22" s="150"/>
    </row>
    <row r="23" spans="1:11" x14ac:dyDescent="0.15">
      <c r="A23" s="22">
        <v>11</v>
      </c>
      <c r="B23" s="22"/>
      <c r="C23" s="22"/>
      <c r="D23" s="22" t="s">
        <v>75</v>
      </c>
      <c r="E23" s="22"/>
      <c r="F23" s="22"/>
      <c r="G23" s="22"/>
      <c r="H23" s="22">
        <v>0.08</v>
      </c>
      <c r="I23" s="22"/>
      <c r="J23" s="149"/>
      <c r="K23" s="150"/>
    </row>
    <row r="24" spans="1:11" x14ac:dyDescent="0.15">
      <c r="A24" s="22">
        <v>12</v>
      </c>
      <c r="B24" s="22"/>
      <c r="C24" s="22"/>
      <c r="D24" s="22" t="s">
        <v>221</v>
      </c>
      <c r="E24" s="22"/>
      <c r="F24" s="22"/>
      <c r="G24" s="22"/>
      <c r="H24" s="22">
        <v>0.08</v>
      </c>
      <c r="I24" s="22">
        <f t="shared" ref="I24:I30" si="5">G24*H24</f>
        <v>0</v>
      </c>
      <c r="J24" s="149"/>
      <c r="K24" s="150"/>
    </row>
    <row r="25" spans="1:11" x14ac:dyDescent="0.15">
      <c r="A25" s="22">
        <v>13</v>
      </c>
      <c r="B25" s="22"/>
      <c r="C25" s="22"/>
      <c r="D25" s="22" t="s">
        <v>182</v>
      </c>
      <c r="E25" s="22"/>
      <c r="F25" s="22"/>
      <c r="G25" s="22"/>
      <c r="H25" s="22">
        <v>0.08</v>
      </c>
      <c r="I25" s="22">
        <f t="shared" si="5"/>
        <v>0</v>
      </c>
      <c r="J25" s="149"/>
      <c r="K25" s="150"/>
    </row>
    <row r="26" spans="1:11" x14ac:dyDescent="0.15">
      <c r="A26" s="22">
        <v>14</v>
      </c>
      <c r="B26" s="22" t="s">
        <v>343</v>
      </c>
      <c r="C26" s="22"/>
      <c r="D26" s="22" t="s">
        <v>183</v>
      </c>
      <c r="E26" s="22"/>
      <c r="F26" s="22"/>
      <c r="G26" s="22">
        <v>1</v>
      </c>
      <c r="H26" s="22">
        <v>0.08</v>
      </c>
      <c r="I26" s="22">
        <f t="shared" si="5"/>
        <v>0.08</v>
      </c>
      <c r="J26" s="149"/>
      <c r="K26" s="150"/>
    </row>
    <row r="27" spans="1:11" x14ac:dyDescent="0.15">
      <c r="A27" s="22">
        <v>15</v>
      </c>
      <c r="B27" s="22"/>
      <c r="C27" s="22"/>
      <c r="D27" s="22" t="s">
        <v>184</v>
      </c>
      <c r="E27" s="22"/>
      <c r="F27" s="22"/>
      <c r="G27" s="22"/>
      <c r="H27" s="22">
        <v>0.08</v>
      </c>
      <c r="I27" s="22">
        <f t="shared" si="5"/>
        <v>0</v>
      </c>
      <c r="J27" s="149"/>
      <c r="K27" s="150"/>
    </row>
    <row r="28" spans="1:11" x14ac:dyDescent="0.15">
      <c r="A28" s="22">
        <v>15</v>
      </c>
      <c r="B28" s="22"/>
      <c r="C28" s="22"/>
      <c r="D28" s="22" t="s">
        <v>175</v>
      </c>
      <c r="E28" s="22"/>
      <c r="F28" s="22"/>
      <c r="G28" s="22"/>
      <c r="H28" s="22">
        <v>0.08</v>
      </c>
      <c r="I28" s="22">
        <f t="shared" si="5"/>
        <v>0</v>
      </c>
      <c r="J28" s="24"/>
      <c r="K28" s="25"/>
    </row>
    <row r="29" spans="1:11" x14ac:dyDescent="0.15">
      <c r="A29" s="22">
        <v>15</v>
      </c>
      <c r="B29" s="22"/>
      <c r="C29" s="22"/>
      <c r="D29" s="22" t="s">
        <v>185</v>
      </c>
      <c r="E29" s="22"/>
      <c r="F29" s="22"/>
      <c r="G29" s="22"/>
      <c r="H29" s="22">
        <v>0.08</v>
      </c>
      <c r="I29" s="22">
        <f t="shared" si="5"/>
        <v>0</v>
      </c>
      <c r="J29" s="149"/>
      <c r="K29" s="150"/>
    </row>
    <row r="30" spans="1:11" x14ac:dyDescent="0.15">
      <c r="A30" s="22">
        <v>15</v>
      </c>
      <c r="B30" s="22"/>
      <c r="C30" s="22"/>
      <c r="D30" s="22" t="s">
        <v>186</v>
      </c>
      <c r="E30" s="22"/>
      <c r="F30" s="22"/>
      <c r="G30" s="22"/>
      <c r="H30" s="22">
        <v>0.08</v>
      </c>
      <c r="I30" s="22">
        <f t="shared" si="5"/>
        <v>0</v>
      </c>
      <c r="J30" s="149"/>
      <c r="K30" s="150"/>
    </row>
    <row r="31" spans="1:11" x14ac:dyDescent="0.15">
      <c r="A31" s="22">
        <v>15</v>
      </c>
      <c r="B31" s="22"/>
      <c r="C31" s="22"/>
      <c r="D31" s="22" t="s">
        <v>187</v>
      </c>
      <c r="E31" s="22"/>
      <c r="F31" s="22"/>
      <c r="G31" s="22"/>
      <c r="H31" s="22"/>
      <c r="I31" s="22"/>
      <c r="J31" s="149" t="s">
        <v>188</v>
      </c>
      <c r="K31" s="150"/>
    </row>
    <row r="32" spans="1:11" x14ac:dyDescent="0.15">
      <c r="A32" s="22"/>
      <c r="B32" s="22"/>
      <c r="C32" s="22"/>
      <c r="D32" s="149" t="s">
        <v>250</v>
      </c>
      <c r="E32" s="153"/>
      <c r="F32" s="153"/>
      <c r="G32" s="153"/>
      <c r="H32" s="150"/>
      <c r="I32" s="22"/>
      <c r="J32" s="24"/>
      <c r="K32" s="25"/>
    </row>
    <row r="33" spans="1:15" x14ac:dyDescent="0.15">
      <c r="A33" s="149" t="s">
        <v>82</v>
      </c>
      <c r="B33" s="153"/>
      <c r="C33" s="153"/>
      <c r="D33" s="153"/>
      <c r="E33" s="153"/>
      <c r="F33" s="153"/>
      <c r="G33" s="153"/>
      <c r="H33" s="150"/>
      <c r="I33" s="42">
        <f>SUM(I13:I32)</f>
        <v>0.90699999999999992</v>
      </c>
      <c r="J33" s="22"/>
      <c r="K33" s="22"/>
    </row>
    <row r="34" spans="1:15" x14ac:dyDescent="0.15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0"/>
    </row>
    <row r="35" spans="1:15" x14ac:dyDescent="0.15">
      <c r="A35" s="149" t="s">
        <v>83</v>
      </c>
      <c r="B35" s="153"/>
      <c r="C35" s="153"/>
      <c r="D35" s="153"/>
      <c r="E35" s="150"/>
      <c r="F35" s="154" t="s">
        <v>84</v>
      </c>
      <c r="G35" s="154"/>
      <c r="H35" s="22" t="s">
        <v>85</v>
      </c>
      <c r="I35" s="22" t="s">
        <v>86</v>
      </c>
      <c r="J35" s="22" t="s">
        <v>87</v>
      </c>
      <c r="K35" s="25" t="s">
        <v>6</v>
      </c>
    </row>
    <row r="36" spans="1:15" x14ac:dyDescent="0.15">
      <c r="A36" s="22" t="s">
        <v>0</v>
      </c>
      <c r="B36" s="22" t="s">
        <v>90</v>
      </c>
      <c r="C36" s="22" t="s">
        <v>91</v>
      </c>
      <c r="D36" s="22" t="s">
        <v>92</v>
      </c>
      <c r="E36" s="22" t="s">
        <v>72</v>
      </c>
      <c r="F36" s="154" t="s">
        <v>93</v>
      </c>
      <c r="G36" s="154"/>
      <c r="H36" s="22">
        <v>3</v>
      </c>
      <c r="I36" s="22">
        <v>0.05</v>
      </c>
      <c r="J36" s="36">
        <f>I36*H36</f>
        <v>0.15000000000000002</v>
      </c>
      <c r="K36" s="22"/>
    </row>
    <row r="37" spans="1:15" x14ac:dyDescent="0.15">
      <c r="A37" s="26">
        <v>1</v>
      </c>
      <c r="B37" s="22" t="s">
        <v>270</v>
      </c>
      <c r="C37" s="22">
        <v>1</v>
      </c>
      <c r="D37" s="22">
        <v>0.08</v>
      </c>
      <c r="E37" s="22">
        <f>D37*C37</f>
        <v>0.08</v>
      </c>
      <c r="F37" s="149"/>
      <c r="G37" s="150"/>
      <c r="H37" s="22"/>
      <c r="I37" s="22"/>
      <c r="J37" s="36">
        <f t="shared" ref="J37:J39" si="6">I37*H37</f>
        <v>0</v>
      </c>
      <c r="K37" s="22"/>
    </row>
    <row r="38" spans="1:15" x14ac:dyDescent="0.15">
      <c r="A38" s="26">
        <v>2</v>
      </c>
      <c r="B38" s="22"/>
      <c r="C38" s="22"/>
      <c r="D38" s="22"/>
      <c r="E38" s="22">
        <f t="shared" ref="E38:E45" si="7">D38*C38</f>
        <v>0</v>
      </c>
      <c r="F38" s="149"/>
      <c r="G38" s="150"/>
      <c r="H38" s="22"/>
      <c r="I38" s="22"/>
      <c r="J38" s="36">
        <f t="shared" si="6"/>
        <v>0</v>
      </c>
      <c r="K38" s="22"/>
    </row>
    <row r="39" spans="1:15" x14ac:dyDescent="0.15">
      <c r="A39" s="26">
        <v>3</v>
      </c>
      <c r="B39" s="22"/>
      <c r="C39" s="22"/>
      <c r="D39" s="22"/>
      <c r="E39" s="22">
        <f t="shared" si="7"/>
        <v>0</v>
      </c>
      <c r="F39" s="149"/>
      <c r="G39" s="150"/>
      <c r="H39" s="22"/>
      <c r="I39" s="22"/>
      <c r="J39" s="36">
        <f t="shared" si="6"/>
        <v>0</v>
      </c>
      <c r="K39" s="22"/>
    </row>
    <row r="40" spans="1:15" x14ac:dyDescent="0.15">
      <c r="A40" s="26">
        <v>4</v>
      </c>
      <c r="B40" s="22"/>
      <c r="C40" s="22"/>
      <c r="D40" s="22"/>
      <c r="E40" s="22">
        <f t="shared" si="7"/>
        <v>0</v>
      </c>
      <c r="F40" s="149"/>
      <c r="G40" s="150"/>
      <c r="H40" s="22"/>
      <c r="I40" s="22"/>
      <c r="J40" s="36"/>
      <c r="K40" s="22"/>
    </row>
    <row r="41" spans="1:15" x14ac:dyDescent="0.15">
      <c r="A41" s="26">
        <v>5</v>
      </c>
      <c r="B41" s="22"/>
      <c r="C41" s="22"/>
      <c r="D41" s="22"/>
      <c r="E41" s="22">
        <f t="shared" si="7"/>
        <v>0</v>
      </c>
      <c r="F41" s="149"/>
      <c r="G41" s="150"/>
      <c r="H41" s="22"/>
      <c r="I41" s="22"/>
      <c r="J41" s="36"/>
      <c r="K41" s="22"/>
    </row>
    <row r="42" spans="1:15" x14ac:dyDescent="0.15">
      <c r="A42" s="26">
        <v>6</v>
      </c>
      <c r="B42" s="22"/>
      <c r="C42" s="22"/>
      <c r="D42" s="22"/>
      <c r="E42" s="22">
        <f t="shared" si="7"/>
        <v>0</v>
      </c>
      <c r="F42" s="149" t="s">
        <v>82</v>
      </c>
      <c r="G42" s="150"/>
      <c r="H42" s="22"/>
      <c r="I42" s="22"/>
      <c r="J42" s="43">
        <f>SUM(J36:J41)</f>
        <v>0.15000000000000002</v>
      </c>
      <c r="K42" s="22"/>
    </row>
    <row r="43" spans="1:15" ht="15.75" x14ac:dyDescent="0.15">
      <c r="A43" s="26">
        <v>7</v>
      </c>
      <c r="B43" s="22"/>
      <c r="C43" s="22"/>
      <c r="D43" s="22"/>
      <c r="E43" s="22">
        <f t="shared" si="7"/>
        <v>0</v>
      </c>
      <c r="F43" s="149" t="s">
        <v>119</v>
      </c>
      <c r="G43" s="150"/>
      <c r="H43" s="28" t="s">
        <v>201</v>
      </c>
      <c r="I43" s="28" t="s">
        <v>202</v>
      </c>
      <c r="J43" s="32" t="s">
        <v>87</v>
      </c>
      <c r="K43" s="22" t="s">
        <v>6</v>
      </c>
      <c r="M43" s="35" t="s">
        <v>111</v>
      </c>
      <c r="N43" s="35" t="s">
        <v>112</v>
      </c>
      <c r="O43" s="35" t="s">
        <v>113</v>
      </c>
    </row>
    <row r="44" spans="1:15" x14ac:dyDescent="0.15">
      <c r="A44" s="26">
        <v>8</v>
      </c>
      <c r="B44" s="22"/>
      <c r="C44" s="22"/>
      <c r="D44" s="22"/>
      <c r="E44" s="22">
        <f t="shared" si="7"/>
        <v>0</v>
      </c>
      <c r="F44" s="149" t="s">
        <v>124</v>
      </c>
      <c r="G44" s="150"/>
      <c r="H44" s="22">
        <v>10</v>
      </c>
      <c r="I44" s="22"/>
      <c r="J44" s="22">
        <f>I44*H44</f>
        <v>0</v>
      </c>
      <c r="K44" s="22"/>
      <c r="M44" s="35" t="s">
        <v>115</v>
      </c>
      <c r="N44" s="35" t="s">
        <v>116</v>
      </c>
      <c r="O44" s="35" t="s">
        <v>117</v>
      </c>
    </row>
    <row r="45" spans="1:15" x14ac:dyDescent="0.15">
      <c r="A45" s="26">
        <v>9</v>
      </c>
      <c r="B45" s="22"/>
      <c r="C45" s="22"/>
      <c r="D45" s="22"/>
      <c r="E45" s="22">
        <f t="shared" si="7"/>
        <v>0</v>
      </c>
      <c r="F45" s="149" t="s">
        <v>126</v>
      </c>
      <c r="G45" s="150"/>
      <c r="H45" s="22">
        <v>12</v>
      </c>
      <c r="I45" s="22">
        <v>0.11</v>
      </c>
      <c r="J45" s="22">
        <f>I45*H45</f>
        <v>1.32</v>
      </c>
      <c r="K45" s="22"/>
    </row>
    <row r="46" spans="1:15" x14ac:dyDescent="0.15">
      <c r="A46" s="145" t="s">
        <v>82</v>
      </c>
      <c r="B46" s="151"/>
      <c r="C46" s="151"/>
      <c r="D46" s="146"/>
      <c r="E46" s="30">
        <f>SUM(E37:E45)</f>
        <v>0.08</v>
      </c>
    </row>
    <row r="47" spans="1:15" x14ac:dyDescent="0.15">
      <c r="A47" s="152" t="s">
        <v>127</v>
      </c>
      <c r="B47" s="152"/>
      <c r="C47" s="31" t="s">
        <v>108</v>
      </c>
      <c r="E47" s="32" t="s">
        <v>128</v>
      </c>
      <c r="F47" s="147">
        <f>C52+C51+C50+C49+C48</f>
        <v>9.8476900000000001</v>
      </c>
      <c r="G47" s="147"/>
      <c r="H47" s="147"/>
      <c r="I47" s="147"/>
      <c r="J47" s="147"/>
      <c r="K47" s="147"/>
      <c r="M47" s="26" t="s">
        <v>122</v>
      </c>
      <c r="N47" s="26" t="s">
        <v>123</v>
      </c>
      <c r="O47" s="26" t="s">
        <v>82</v>
      </c>
    </row>
    <row r="48" spans="1:15" x14ac:dyDescent="0.15">
      <c r="A48" s="148" t="s">
        <v>131</v>
      </c>
      <c r="B48" s="148"/>
      <c r="C48" s="33">
        <f>K11</f>
        <v>7.2110000000000003</v>
      </c>
      <c r="E48" s="34" t="s">
        <v>132</v>
      </c>
      <c r="F48" s="147">
        <f>F47*0.03</f>
        <v>0.29543069999999999</v>
      </c>
      <c r="G48" s="147"/>
      <c r="H48" s="147"/>
      <c r="I48" s="147"/>
      <c r="J48" s="147"/>
      <c r="K48" s="147"/>
      <c r="M48" s="26">
        <v>0.67</v>
      </c>
      <c r="N48" s="26">
        <v>1.4</v>
      </c>
      <c r="O48" s="26">
        <f>M48*N48</f>
        <v>0.93799999999999994</v>
      </c>
    </row>
    <row r="49" spans="1:15" x14ac:dyDescent="0.15">
      <c r="A49" s="148" t="s">
        <v>133</v>
      </c>
      <c r="B49" s="148"/>
      <c r="C49" s="37">
        <f>I33*1.17</f>
        <v>1.0611899999999999</v>
      </c>
      <c r="E49" s="34" t="s">
        <v>134</v>
      </c>
      <c r="F49" s="147">
        <f>F47*0.06</f>
        <v>0.59086139999999998</v>
      </c>
      <c r="G49" s="147"/>
      <c r="H49" s="147"/>
      <c r="I49" s="147"/>
      <c r="J49" s="147"/>
      <c r="K49" s="147"/>
    </row>
    <row r="50" spans="1:15" x14ac:dyDescent="0.15">
      <c r="A50" s="148" t="s">
        <v>135</v>
      </c>
      <c r="B50" s="148"/>
      <c r="C50" s="33">
        <f>E46</f>
        <v>0.08</v>
      </c>
      <c r="E50" s="34" t="s">
        <v>136</v>
      </c>
      <c r="F50" s="147">
        <f>F47*0.02</f>
        <v>0.19695380000000001</v>
      </c>
      <c r="G50" s="147"/>
      <c r="H50" s="147"/>
      <c r="I50" s="147"/>
      <c r="J50" s="147"/>
      <c r="K50" s="147"/>
    </row>
    <row r="51" spans="1:15" x14ac:dyDescent="0.15">
      <c r="A51" s="148" t="s">
        <v>138</v>
      </c>
      <c r="B51" s="148"/>
      <c r="C51" s="37">
        <f>J42*1.17</f>
        <v>0.17550000000000002</v>
      </c>
      <c r="E51" s="34" t="s">
        <v>5</v>
      </c>
      <c r="F51" s="147"/>
      <c r="G51" s="147"/>
      <c r="H51" s="147"/>
      <c r="I51" s="147"/>
      <c r="J51" s="147"/>
      <c r="K51" s="147"/>
      <c r="M51" s="26" t="s">
        <v>129</v>
      </c>
      <c r="N51" s="26" t="s">
        <v>130</v>
      </c>
      <c r="O51" s="26" t="s">
        <v>82</v>
      </c>
    </row>
    <row r="52" spans="1:15" x14ac:dyDescent="0.15">
      <c r="A52" s="148" t="s">
        <v>119</v>
      </c>
      <c r="B52" s="148"/>
      <c r="C52" s="33">
        <f>J44+J45</f>
        <v>1.32</v>
      </c>
      <c r="E52" s="34" t="s">
        <v>139</v>
      </c>
      <c r="F52" s="156">
        <f>F51+F50+F49+F48+F47</f>
        <v>10.9309359</v>
      </c>
      <c r="G52" s="156"/>
      <c r="H52" s="156"/>
      <c r="I52" s="156"/>
      <c r="J52" s="156"/>
      <c r="K52" s="156"/>
      <c r="M52" s="26">
        <v>7.53</v>
      </c>
      <c r="N52" s="26">
        <v>0.93799999999999994</v>
      </c>
      <c r="O52" s="44">
        <f>M52+N52</f>
        <v>8.468</v>
      </c>
    </row>
    <row r="53" spans="1:15" x14ac:dyDescent="0.15">
      <c r="A53" s="38"/>
      <c r="B53" s="38"/>
      <c r="C53" s="39"/>
      <c r="E53" s="40"/>
      <c r="F53" s="41"/>
      <c r="G53" s="41"/>
      <c r="H53" s="41"/>
      <c r="I53" s="41"/>
      <c r="J53" s="41"/>
      <c r="K53" s="41"/>
    </row>
    <row r="54" spans="1:15" x14ac:dyDescent="0.15">
      <c r="A54" s="38"/>
      <c r="B54" s="38"/>
      <c r="C54" s="39"/>
      <c r="E54" s="40"/>
      <c r="F54" s="41"/>
      <c r="G54" s="41"/>
      <c r="H54" s="41"/>
      <c r="I54" s="41"/>
      <c r="J54" s="41"/>
      <c r="K54" s="41"/>
    </row>
    <row r="55" spans="1:15" x14ac:dyDescent="0.15">
      <c r="A55" s="161"/>
      <c r="B55" s="161"/>
      <c r="I55" t="s">
        <v>344</v>
      </c>
    </row>
    <row r="56" spans="1:15" x14ac:dyDescent="0.15">
      <c r="A56" s="161"/>
      <c r="B56" s="161"/>
      <c r="C56" t="s">
        <v>21</v>
      </c>
    </row>
    <row r="57" spans="1:15" ht="25.5" x14ac:dyDescent="0.15">
      <c r="A57" s="162" t="s">
        <v>345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</row>
    <row r="58" spans="1:15" x14ac:dyDescent="0.15">
      <c r="A58" s="22" t="s">
        <v>0</v>
      </c>
      <c r="B58" s="22" t="s">
        <v>52</v>
      </c>
      <c r="C58" s="22" t="s">
        <v>53</v>
      </c>
      <c r="D58" s="22" t="s">
        <v>54</v>
      </c>
      <c r="E58" s="22" t="s">
        <v>55</v>
      </c>
      <c r="F58" s="22" t="s">
        <v>56</v>
      </c>
      <c r="G58" s="22" t="s">
        <v>57</v>
      </c>
      <c r="H58" s="22" t="s">
        <v>58</v>
      </c>
      <c r="I58" s="22" t="s">
        <v>59</v>
      </c>
      <c r="J58" s="22" t="s">
        <v>60</v>
      </c>
      <c r="K58" s="22" t="s">
        <v>61</v>
      </c>
    </row>
    <row r="59" spans="1:15" x14ac:dyDescent="0.15">
      <c r="A59" s="22">
        <v>1</v>
      </c>
      <c r="B59" s="22" t="s">
        <v>346</v>
      </c>
      <c r="C59" s="22"/>
      <c r="D59" s="22" t="s">
        <v>286</v>
      </c>
      <c r="E59" s="23">
        <v>5.9</v>
      </c>
      <c r="F59" s="23">
        <v>1.38</v>
      </c>
      <c r="G59" s="23">
        <f>E59*F59</f>
        <v>8.1419999999999995</v>
      </c>
      <c r="H59" s="23">
        <v>0.7</v>
      </c>
      <c r="I59" s="23">
        <f>F59-H59</f>
        <v>0.67999999999999994</v>
      </c>
      <c r="J59" s="23">
        <f>I59*1.3</f>
        <v>0.8839999999999999</v>
      </c>
      <c r="K59" s="23">
        <f>G59-J59</f>
        <v>7.2579999999999991</v>
      </c>
    </row>
    <row r="60" spans="1:15" x14ac:dyDescent="0.15">
      <c r="A60" s="22">
        <v>2</v>
      </c>
      <c r="B60" s="22"/>
      <c r="C60" s="22"/>
      <c r="D60" s="22"/>
      <c r="E60" s="23"/>
      <c r="F60" s="23"/>
      <c r="G60" s="23">
        <f t="shared" ref="G60:G64" si="8">E60*F60</f>
        <v>0</v>
      </c>
      <c r="H60" s="23"/>
      <c r="I60" s="23">
        <f t="shared" ref="I60:I64" si="9">F60-H60</f>
        <v>0</v>
      </c>
      <c r="J60" s="23">
        <f t="shared" ref="J60:J64" si="10">I60*1.1</f>
        <v>0</v>
      </c>
      <c r="K60" s="23">
        <f t="shared" ref="K60:K64" si="11">G60-J60</f>
        <v>0</v>
      </c>
    </row>
    <row r="61" spans="1:15" x14ac:dyDescent="0.15">
      <c r="A61" s="22">
        <v>3</v>
      </c>
      <c r="B61" s="22"/>
      <c r="C61" s="22"/>
      <c r="D61" s="22"/>
      <c r="E61" s="23"/>
      <c r="F61" s="23"/>
      <c r="G61" s="23">
        <f t="shared" si="8"/>
        <v>0</v>
      </c>
      <c r="H61" s="23"/>
      <c r="I61" s="23">
        <f t="shared" si="9"/>
        <v>0</v>
      </c>
      <c r="J61" s="23">
        <f t="shared" si="10"/>
        <v>0</v>
      </c>
      <c r="K61" s="23">
        <f t="shared" si="11"/>
        <v>0</v>
      </c>
    </row>
    <row r="62" spans="1:15" x14ac:dyDescent="0.15">
      <c r="A62" s="22">
        <v>4</v>
      </c>
      <c r="B62" s="22"/>
      <c r="C62" s="22"/>
      <c r="D62" s="22"/>
      <c r="E62" s="23"/>
      <c r="F62" s="23"/>
      <c r="G62" s="23">
        <f t="shared" si="8"/>
        <v>0</v>
      </c>
      <c r="H62" s="23"/>
      <c r="I62" s="23">
        <f t="shared" si="9"/>
        <v>0</v>
      </c>
      <c r="J62" s="23">
        <f t="shared" si="10"/>
        <v>0</v>
      </c>
      <c r="K62" s="23">
        <f t="shared" si="11"/>
        <v>0</v>
      </c>
    </row>
    <row r="63" spans="1:15" x14ac:dyDescent="0.15">
      <c r="A63" s="22">
        <v>5</v>
      </c>
      <c r="B63" s="22"/>
      <c r="C63" s="22"/>
      <c r="D63" s="22"/>
      <c r="E63" s="23"/>
      <c r="F63" s="23"/>
      <c r="G63" s="23">
        <f t="shared" si="8"/>
        <v>0</v>
      </c>
      <c r="H63" s="23"/>
      <c r="I63" s="23">
        <f t="shared" si="9"/>
        <v>0</v>
      </c>
      <c r="J63" s="23">
        <f t="shared" si="10"/>
        <v>0</v>
      </c>
      <c r="K63" s="23">
        <f t="shared" si="11"/>
        <v>0</v>
      </c>
    </row>
    <row r="64" spans="1:15" x14ac:dyDescent="0.15">
      <c r="A64" s="22">
        <v>6</v>
      </c>
      <c r="B64" s="22"/>
      <c r="C64" s="22"/>
      <c r="D64" s="22"/>
      <c r="E64" s="23"/>
      <c r="F64" s="22"/>
      <c r="G64" s="23">
        <f t="shared" si="8"/>
        <v>0</v>
      </c>
      <c r="H64" s="22"/>
      <c r="I64" s="23">
        <f t="shared" si="9"/>
        <v>0</v>
      </c>
      <c r="J64" s="23">
        <f t="shared" si="10"/>
        <v>0</v>
      </c>
      <c r="K64" s="23">
        <f t="shared" si="11"/>
        <v>0</v>
      </c>
    </row>
    <row r="65" spans="1:11" x14ac:dyDescent="0.15">
      <c r="A65" s="149" t="s">
        <v>82</v>
      </c>
      <c r="B65" s="153"/>
      <c r="C65" s="153"/>
      <c r="D65" s="153"/>
      <c r="E65" s="153"/>
      <c r="F65" s="153"/>
      <c r="G65" s="153"/>
      <c r="H65" s="153"/>
      <c r="I65" s="153"/>
      <c r="J65" s="150"/>
      <c r="K65" s="23">
        <f>SUM(K59:K64)</f>
        <v>7.2579999999999991</v>
      </c>
    </row>
    <row r="66" spans="1:11" x14ac:dyDescent="0.15">
      <c r="A66" s="22" t="s">
        <v>0</v>
      </c>
      <c r="B66" s="22" t="s">
        <v>52</v>
      </c>
      <c r="C66" s="22" t="s">
        <v>53</v>
      </c>
      <c r="D66" s="22" t="s">
        <v>67</v>
      </c>
      <c r="E66" s="22" t="s">
        <v>68</v>
      </c>
      <c r="F66" s="22" t="s">
        <v>69</v>
      </c>
      <c r="G66" s="22" t="s">
        <v>70</v>
      </c>
      <c r="H66" s="22" t="s">
        <v>71</v>
      </c>
      <c r="I66" s="22" t="s">
        <v>72</v>
      </c>
      <c r="J66" s="149" t="s">
        <v>6</v>
      </c>
      <c r="K66" s="150"/>
    </row>
    <row r="67" spans="1:11" x14ac:dyDescent="0.15">
      <c r="A67" s="22">
        <v>1</v>
      </c>
      <c r="B67" s="22"/>
      <c r="C67" s="22"/>
      <c r="D67" s="22"/>
      <c r="E67" s="22" t="s">
        <v>160</v>
      </c>
      <c r="F67" s="22" t="s">
        <v>161</v>
      </c>
      <c r="G67" s="22"/>
      <c r="H67" s="22" t="s">
        <v>162</v>
      </c>
      <c r="I67" s="22"/>
      <c r="J67" s="149"/>
      <c r="K67" s="150"/>
    </row>
    <row r="68" spans="1:11" x14ac:dyDescent="0.15">
      <c r="A68" s="22">
        <v>2</v>
      </c>
      <c r="B68" s="22" t="s">
        <v>346</v>
      </c>
      <c r="C68" s="22"/>
      <c r="D68" s="22"/>
      <c r="E68" s="22" t="s">
        <v>160</v>
      </c>
      <c r="F68" s="22" t="s">
        <v>164</v>
      </c>
      <c r="G68" s="22"/>
      <c r="H68" s="22" t="s">
        <v>165</v>
      </c>
      <c r="I68" s="22">
        <v>0.44700000000000001</v>
      </c>
      <c r="J68" s="149"/>
      <c r="K68" s="150"/>
    </row>
    <row r="69" spans="1:11" x14ac:dyDescent="0.15">
      <c r="A69" s="22">
        <v>3</v>
      </c>
      <c r="B69" s="22"/>
      <c r="C69" s="22"/>
      <c r="D69" s="22"/>
      <c r="E69" s="22" t="s">
        <v>166</v>
      </c>
      <c r="F69" s="22" t="s">
        <v>167</v>
      </c>
      <c r="G69" s="22"/>
      <c r="H69" s="22">
        <v>0.5</v>
      </c>
      <c r="I69" s="22">
        <f>G69*H69</f>
        <v>0</v>
      </c>
      <c r="J69" s="149"/>
      <c r="K69" s="150"/>
    </row>
    <row r="70" spans="1:11" x14ac:dyDescent="0.15">
      <c r="A70" s="22">
        <v>4</v>
      </c>
      <c r="B70" s="22"/>
      <c r="C70" s="22"/>
      <c r="D70" s="22"/>
      <c r="E70" s="22" t="s">
        <v>166</v>
      </c>
      <c r="F70" s="22" t="s">
        <v>168</v>
      </c>
      <c r="G70" s="22"/>
      <c r="H70" s="22">
        <v>0.3</v>
      </c>
      <c r="I70" s="22">
        <f t="shared" ref="I70:I75" si="12">G70*H70</f>
        <v>0</v>
      </c>
      <c r="J70" s="149"/>
      <c r="K70" s="150"/>
    </row>
    <row r="71" spans="1:11" x14ac:dyDescent="0.15">
      <c r="A71" s="22">
        <v>5</v>
      </c>
      <c r="B71" s="22" t="s">
        <v>346</v>
      </c>
      <c r="C71" s="22"/>
      <c r="D71" s="22" t="s">
        <v>169</v>
      </c>
      <c r="E71" s="22" t="s">
        <v>170</v>
      </c>
      <c r="F71" s="22" t="s">
        <v>171</v>
      </c>
      <c r="G71" s="22">
        <v>1</v>
      </c>
      <c r="H71" s="22">
        <v>0.15</v>
      </c>
      <c r="I71" s="22">
        <f t="shared" si="12"/>
        <v>0.15</v>
      </c>
      <c r="J71" s="149"/>
      <c r="K71" s="150"/>
    </row>
    <row r="72" spans="1:11" x14ac:dyDescent="0.15">
      <c r="A72" s="22">
        <v>6</v>
      </c>
      <c r="B72" s="22" t="s">
        <v>346</v>
      </c>
      <c r="C72" s="22"/>
      <c r="D72" s="22" t="s">
        <v>172</v>
      </c>
      <c r="E72" s="22" t="s">
        <v>170</v>
      </c>
      <c r="F72" s="22" t="s">
        <v>173</v>
      </c>
      <c r="G72" s="22">
        <v>1</v>
      </c>
      <c r="H72" s="22">
        <v>0.15</v>
      </c>
      <c r="I72" s="22">
        <f t="shared" si="12"/>
        <v>0.15</v>
      </c>
      <c r="J72" s="149"/>
      <c r="K72" s="150"/>
    </row>
    <row r="73" spans="1:11" x14ac:dyDescent="0.15">
      <c r="A73" s="22">
        <v>7</v>
      </c>
      <c r="B73" s="22" t="s">
        <v>346</v>
      </c>
      <c r="C73" s="22"/>
      <c r="D73" s="22" t="s">
        <v>175</v>
      </c>
      <c r="E73" s="22" t="s">
        <v>170</v>
      </c>
      <c r="F73" s="22" t="s">
        <v>176</v>
      </c>
      <c r="G73" s="22">
        <v>1</v>
      </c>
      <c r="H73" s="22">
        <v>0.08</v>
      </c>
      <c r="I73" s="22">
        <f t="shared" si="12"/>
        <v>0.08</v>
      </c>
      <c r="J73" s="149"/>
      <c r="K73" s="150"/>
    </row>
    <row r="74" spans="1:11" x14ac:dyDescent="0.15">
      <c r="A74" s="22">
        <v>8</v>
      </c>
      <c r="C74" s="22"/>
      <c r="D74" s="22" t="s">
        <v>172</v>
      </c>
      <c r="E74" s="22" t="s">
        <v>170</v>
      </c>
      <c r="F74" s="22" t="s">
        <v>177</v>
      </c>
      <c r="G74" s="22"/>
      <c r="H74" s="22">
        <v>0.08</v>
      </c>
      <c r="I74" s="22">
        <f t="shared" si="12"/>
        <v>0</v>
      </c>
      <c r="J74" s="149"/>
      <c r="K74" s="150"/>
    </row>
    <row r="75" spans="1:11" x14ac:dyDescent="0.15">
      <c r="A75" s="22">
        <v>9</v>
      </c>
      <c r="C75" s="22"/>
      <c r="D75" s="22" t="s">
        <v>175</v>
      </c>
      <c r="E75" s="22" t="s">
        <v>170</v>
      </c>
      <c r="F75" s="22" t="s">
        <v>178</v>
      </c>
      <c r="G75" s="22"/>
      <c r="H75" s="22">
        <v>0.05</v>
      </c>
      <c r="I75" s="22">
        <f t="shared" si="12"/>
        <v>0</v>
      </c>
      <c r="J75" s="149"/>
      <c r="K75" s="150"/>
    </row>
    <row r="76" spans="1:11" x14ac:dyDescent="0.15">
      <c r="A76" s="22">
        <v>10</v>
      </c>
      <c r="B76" s="22"/>
      <c r="C76" s="22"/>
      <c r="D76" s="22" t="s">
        <v>179</v>
      </c>
      <c r="E76" s="22"/>
      <c r="F76" s="22"/>
      <c r="G76" s="22"/>
      <c r="H76" s="22"/>
      <c r="I76" s="22"/>
      <c r="J76" s="149" t="s">
        <v>180</v>
      </c>
      <c r="K76" s="150"/>
    </row>
    <row r="77" spans="1:11" x14ac:dyDescent="0.15">
      <c r="A77" s="22">
        <v>11</v>
      </c>
      <c r="B77" s="22"/>
      <c r="C77" s="22"/>
      <c r="D77" s="22" t="s">
        <v>75</v>
      </c>
      <c r="E77" s="22"/>
      <c r="F77" s="22"/>
      <c r="G77" s="22"/>
      <c r="H77" s="22">
        <v>0.08</v>
      </c>
      <c r="I77" s="22"/>
      <c r="J77" s="149"/>
      <c r="K77" s="150"/>
    </row>
    <row r="78" spans="1:11" x14ac:dyDescent="0.15">
      <c r="A78" s="22">
        <v>12</v>
      </c>
      <c r="B78" s="22"/>
      <c r="C78" s="22"/>
      <c r="D78" s="22" t="s">
        <v>221</v>
      </c>
      <c r="E78" s="22"/>
      <c r="F78" s="22"/>
      <c r="G78" s="22"/>
      <c r="H78" s="22">
        <v>0.08</v>
      </c>
      <c r="I78" s="22">
        <f t="shared" ref="I78:I84" si="13">G78*H78</f>
        <v>0</v>
      </c>
      <c r="J78" s="149"/>
      <c r="K78" s="150"/>
    </row>
    <row r="79" spans="1:11" x14ac:dyDescent="0.15">
      <c r="A79" s="22">
        <v>13</v>
      </c>
      <c r="B79" s="22"/>
      <c r="C79" s="22"/>
      <c r="D79" s="22" t="s">
        <v>182</v>
      </c>
      <c r="E79" s="22"/>
      <c r="F79" s="22"/>
      <c r="G79" s="22"/>
      <c r="H79" s="22">
        <v>0.08</v>
      </c>
      <c r="I79" s="22">
        <f t="shared" si="13"/>
        <v>0</v>
      </c>
      <c r="J79" s="149"/>
      <c r="K79" s="150"/>
    </row>
    <row r="80" spans="1:11" x14ac:dyDescent="0.15">
      <c r="A80" s="22">
        <v>14</v>
      </c>
      <c r="B80" s="22" t="s">
        <v>346</v>
      </c>
      <c r="C80" s="22"/>
      <c r="D80" s="22" t="s">
        <v>183</v>
      </c>
      <c r="E80" s="22"/>
      <c r="F80" s="22"/>
      <c r="G80" s="22">
        <v>1</v>
      </c>
      <c r="H80" s="22">
        <v>0.08</v>
      </c>
      <c r="I80" s="22">
        <f t="shared" si="13"/>
        <v>0.08</v>
      </c>
      <c r="J80" s="149"/>
      <c r="K80" s="150"/>
    </row>
    <row r="81" spans="1:11" x14ac:dyDescent="0.15">
      <c r="A81" s="22">
        <v>15</v>
      </c>
      <c r="B81" s="22"/>
      <c r="C81" s="22"/>
      <c r="D81" s="22" t="s">
        <v>184</v>
      </c>
      <c r="E81" s="22"/>
      <c r="F81" s="22"/>
      <c r="G81" s="22"/>
      <c r="H81" s="22">
        <v>0.08</v>
      </c>
      <c r="I81" s="22">
        <f t="shared" si="13"/>
        <v>0</v>
      </c>
      <c r="J81" s="149"/>
      <c r="K81" s="150"/>
    </row>
    <row r="82" spans="1:11" x14ac:dyDescent="0.15">
      <c r="A82" s="22">
        <v>15</v>
      </c>
      <c r="B82" s="22"/>
      <c r="C82" s="22"/>
      <c r="D82" s="22" t="s">
        <v>175</v>
      </c>
      <c r="E82" s="22"/>
      <c r="F82" s="22"/>
      <c r="G82" s="22"/>
      <c r="H82" s="22">
        <v>0.08</v>
      </c>
      <c r="I82" s="22">
        <f t="shared" si="13"/>
        <v>0</v>
      </c>
      <c r="J82" s="24"/>
      <c r="K82" s="25"/>
    </row>
    <row r="83" spans="1:11" x14ac:dyDescent="0.15">
      <c r="A83" s="22">
        <v>15</v>
      </c>
      <c r="B83" s="22"/>
      <c r="C83" s="22"/>
      <c r="D83" s="22" t="s">
        <v>185</v>
      </c>
      <c r="E83" s="22"/>
      <c r="F83" s="22"/>
      <c r="G83" s="22"/>
      <c r="H83" s="22">
        <v>0.08</v>
      </c>
      <c r="I83" s="22">
        <f t="shared" si="13"/>
        <v>0</v>
      </c>
      <c r="J83" s="149"/>
      <c r="K83" s="150"/>
    </row>
    <row r="84" spans="1:11" x14ac:dyDescent="0.15">
      <c r="A84" s="22">
        <v>15</v>
      </c>
      <c r="B84" s="22"/>
      <c r="C84" s="22"/>
      <c r="D84" s="22" t="s">
        <v>186</v>
      </c>
      <c r="E84" s="22"/>
      <c r="F84" s="22"/>
      <c r="G84" s="22"/>
      <c r="H84" s="22">
        <v>0.08</v>
      </c>
      <c r="I84" s="22">
        <f t="shared" si="13"/>
        <v>0</v>
      </c>
      <c r="J84" s="149"/>
      <c r="K84" s="150"/>
    </row>
    <row r="85" spans="1:11" x14ac:dyDescent="0.15">
      <c r="A85" s="22">
        <v>15</v>
      </c>
      <c r="B85" s="22"/>
      <c r="C85" s="22"/>
      <c r="D85" s="22" t="s">
        <v>187</v>
      </c>
      <c r="E85" s="22"/>
      <c r="F85" s="22"/>
      <c r="G85" s="22"/>
      <c r="H85" s="22"/>
      <c r="I85" s="22"/>
      <c r="J85" s="149" t="s">
        <v>188</v>
      </c>
      <c r="K85" s="150"/>
    </row>
    <row r="86" spans="1:11" x14ac:dyDescent="0.15">
      <c r="A86" s="22"/>
      <c r="B86" s="22"/>
      <c r="C86" s="22"/>
      <c r="D86" s="149" t="s">
        <v>250</v>
      </c>
      <c r="E86" s="153"/>
      <c r="F86" s="153"/>
      <c r="G86" s="153"/>
      <c r="H86" s="150"/>
      <c r="I86" s="22"/>
      <c r="J86" s="24"/>
      <c r="K86" s="25"/>
    </row>
    <row r="87" spans="1:11" x14ac:dyDescent="0.15">
      <c r="A87" s="149" t="s">
        <v>82</v>
      </c>
      <c r="B87" s="153"/>
      <c r="C87" s="153"/>
      <c r="D87" s="153"/>
      <c r="E87" s="153"/>
      <c r="F87" s="153"/>
      <c r="G87" s="153"/>
      <c r="H87" s="150"/>
      <c r="I87" s="42">
        <f>SUM(I67:I86)</f>
        <v>0.90699999999999992</v>
      </c>
      <c r="J87" s="22"/>
      <c r="K87" s="22"/>
    </row>
    <row r="88" spans="1:11" x14ac:dyDescent="0.15">
      <c r="A88" s="149"/>
      <c r="B88" s="153"/>
      <c r="C88" s="153"/>
      <c r="D88" s="153"/>
      <c r="E88" s="153"/>
      <c r="F88" s="153"/>
      <c r="G88" s="153"/>
      <c r="H88" s="153"/>
      <c r="I88" s="153"/>
      <c r="J88" s="153"/>
      <c r="K88" s="150"/>
    </row>
    <row r="89" spans="1:11" x14ac:dyDescent="0.15">
      <c r="A89" s="149" t="s">
        <v>83</v>
      </c>
      <c r="B89" s="153"/>
      <c r="C89" s="153"/>
      <c r="D89" s="153"/>
      <c r="E89" s="150"/>
      <c r="F89" s="154" t="s">
        <v>84</v>
      </c>
      <c r="G89" s="154"/>
      <c r="H89" s="22" t="s">
        <v>85</v>
      </c>
      <c r="I89" s="22" t="s">
        <v>86</v>
      </c>
      <c r="J89" s="22" t="s">
        <v>87</v>
      </c>
      <c r="K89" s="25" t="s">
        <v>6</v>
      </c>
    </row>
    <row r="90" spans="1:11" x14ac:dyDescent="0.15">
      <c r="A90" s="22" t="s">
        <v>0</v>
      </c>
      <c r="B90" s="22" t="s">
        <v>90</v>
      </c>
      <c r="C90" s="22" t="s">
        <v>91</v>
      </c>
      <c r="D90" s="22" t="s">
        <v>92</v>
      </c>
      <c r="E90" s="22" t="s">
        <v>72</v>
      </c>
      <c r="F90" s="154" t="s">
        <v>93</v>
      </c>
      <c r="G90" s="154"/>
      <c r="H90" s="22">
        <v>3</v>
      </c>
      <c r="I90" s="22">
        <v>0.05</v>
      </c>
      <c r="J90" s="36">
        <f>I90*H90</f>
        <v>0.15000000000000002</v>
      </c>
      <c r="K90" s="22"/>
    </row>
    <row r="91" spans="1:11" x14ac:dyDescent="0.15">
      <c r="A91" s="26">
        <v>1</v>
      </c>
      <c r="B91" s="22" t="s">
        <v>270</v>
      </c>
      <c r="C91" s="22">
        <v>1</v>
      </c>
      <c r="D91" s="22">
        <v>0.08</v>
      </c>
      <c r="E91" s="22">
        <f>D91*C91</f>
        <v>0.08</v>
      </c>
      <c r="F91" s="149"/>
      <c r="G91" s="150"/>
      <c r="H91" s="22"/>
      <c r="I91" s="22"/>
      <c r="J91" s="36">
        <f t="shared" ref="J91:J93" si="14">I91*H91</f>
        <v>0</v>
      </c>
      <c r="K91" s="22"/>
    </row>
    <row r="92" spans="1:11" x14ac:dyDescent="0.15">
      <c r="A92" s="26">
        <v>2</v>
      </c>
      <c r="B92" s="22"/>
      <c r="C92" s="22"/>
      <c r="D92" s="22"/>
      <c r="E92" s="22">
        <f t="shared" ref="E92:E99" si="15">D92*C92</f>
        <v>0</v>
      </c>
      <c r="F92" s="149"/>
      <c r="G92" s="150"/>
      <c r="H92" s="22"/>
      <c r="I92" s="22"/>
      <c r="J92" s="36">
        <f t="shared" si="14"/>
        <v>0</v>
      </c>
      <c r="K92" s="22"/>
    </row>
    <row r="93" spans="1:11" x14ac:dyDescent="0.15">
      <c r="A93" s="26">
        <v>3</v>
      </c>
      <c r="B93" s="22"/>
      <c r="C93" s="22"/>
      <c r="D93" s="22"/>
      <c r="E93" s="22">
        <f t="shared" si="15"/>
        <v>0</v>
      </c>
      <c r="F93" s="149"/>
      <c r="G93" s="150"/>
      <c r="H93" s="22"/>
      <c r="I93" s="22"/>
      <c r="J93" s="36">
        <f t="shared" si="14"/>
        <v>0</v>
      </c>
      <c r="K93" s="22"/>
    </row>
    <row r="94" spans="1:11" x14ac:dyDescent="0.15">
      <c r="A94" s="26">
        <v>4</v>
      </c>
      <c r="B94" s="22"/>
      <c r="C94" s="22"/>
      <c r="D94" s="22"/>
      <c r="E94" s="22">
        <f t="shared" si="15"/>
        <v>0</v>
      </c>
      <c r="F94" s="149"/>
      <c r="G94" s="150"/>
      <c r="H94" s="22"/>
      <c r="I94" s="22"/>
      <c r="J94" s="36"/>
      <c r="K94" s="22"/>
    </row>
    <row r="95" spans="1:11" x14ac:dyDescent="0.15">
      <c r="A95" s="26">
        <v>5</v>
      </c>
      <c r="B95" s="22"/>
      <c r="C95" s="22"/>
      <c r="D95" s="22"/>
      <c r="E95" s="22">
        <f t="shared" si="15"/>
        <v>0</v>
      </c>
      <c r="F95" s="149"/>
      <c r="G95" s="150"/>
      <c r="H95" s="22"/>
      <c r="I95" s="22"/>
      <c r="J95" s="36"/>
      <c r="K95" s="22"/>
    </row>
    <row r="96" spans="1:11" x14ac:dyDescent="0.15">
      <c r="A96" s="26">
        <v>6</v>
      </c>
      <c r="B96" s="22"/>
      <c r="C96" s="22"/>
      <c r="D96" s="22"/>
      <c r="E96" s="22">
        <f t="shared" si="15"/>
        <v>0</v>
      </c>
      <c r="F96" s="149" t="s">
        <v>82</v>
      </c>
      <c r="G96" s="150"/>
      <c r="H96" s="22"/>
      <c r="I96" s="22"/>
      <c r="J96" s="43">
        <f>SUM(J90:J95)</f>
        <v>0.15000000000000002</v>
      </c>
      <c r="K96" s="22"/>
    </row>
    <row r="97" spans="1:16" ht="15.75" x14ac:dyDescent="0.15">
      <c r="A97" s="26">
        <v>7</v>
      </c>
      <c r="B97" s="22"/>
      <c r="C97" s="22"/>
      <c r="D97" s="22"/>
      <c r="E97" s="22">
        <f t="shared" si="15"/>
        <v>0</v>
      </c>
      <c r="F97" s="149" t="s">
        <v>119</v>
      </c>
      <c r="G97" s="150"/>
      <c r="H97" s="28" t="s">
        <v>201</v>
      </c>
      <c r="I97" s="28" t="s">
        <v>202</v>
      </c>
      <c r="J97" s="32" t="s">
        <v>87</v>
      </c>
      <c r="K97" s="22" t="s">
        <v>6</v>
      </c>
      <c r="M97" s="35" t="s">
        <v>111</v>
      </c>
      <c r="N97" s="35" t="s">
        <v>112</v>
      </c>
      <c r="O97" s="35" t="s">
        <v>113</v>
      </c>
    </row>
    <row r="98" spans="1:16" x14ac:dyDescent="0.15">
      <c r="A98" s="26">
        <v>8</v>
      </c>
      <c r="B98" s="22"/>
      <c r="C98" s="22"/>
      <c r="D98" s="22"/>
      <c r="E98" s="22">
        <f t="shared" si="15"/>
        <v>0</v>
      </c>
      <c r="F98" s="149" t="s">
        <v>124</v>
      </c>
      <c r="G98" s="150"/>
      <c r="H98" s="22">
        <v>10</v>
      </c>
      <c r="I98" s="22"/>
      <c r="J98" s="22">
        <f>I98*H98</f>
        <v>0</v>
      </c>
      <c r="K98" s="22"/>
      <c r="M98" s="35" t="s">
        <v>115</v>
      </c>
      <c r="N98" s="35" t="s">
        <v>116</v>
      </c>
      <c r="O98" s="35" t="s">
        <v>117</v>
      </c>
    </row>
    <row r="99" spans="1:16" x14ac:dyDescent="0.15">
      <c r="A99" s="26">
        <v>9</v>
      </c>
      <c r="B99" s="22"/>
      <c r="C99" s="22"/>
      <c r="D99" s="22"/>
      <c r="E99" s="22">
        <f t="shared" si="15"/>
        <v>0</v>
      </c>
      <c r="F99" s="149" t="s">
        <v>126</v>
      </c>
      <c r="G99" s="150"/>
      <c r="H99" s="22">
        <v>12</v>
      </c>
      <c r="I99" s="22">
        <v>0.1</v>
      </c>
      <c r="J99" s="22">
        <f>I99*H99</f>
        <v>1.2000000000000002</v>
      </c>
      <c r="K99" s="22"/>
    </row>
    <row r="100" spans="1:16" x14ac:dyDescent="0.15">
      <c r="A100" s="145" t="s">
        <v>82</v>
      </c>
      <c r="B100" s="151"/>
      <c r="C100" s="151"/>
      <c r="D100" s="146"/>
      <c r="E100" s="30">
        <f>SUM(E91:E99)</f>
        <v>0.08</v>
      </c>
    </row>
    <row r="101" spans="1:16" x14ac:dyDescent="0.15">
      <c r="A101" s="152" t="s">
        <v>127</v>
      </c>
      <c r="B101" s="152"/>
      <c r="C101" s="31" t="s">
        <v>108</v>
      </c>
      <c r="E101" s="32" t="s">
        <v>128</v>
      </c>
      <c r="F101" s="147">
        <f>C106+C105+C104+C103+C102</f>
        <v>9.7746899999999997</v>
      </c>
      <c r="G101" s="147"/>
      <c r="H101" s="147"/>
      <c r="I101" s="147"/>
      <c r="J101" s="147"/>
      <c r="K101" s="147"/>
      <c r="M101" s="26" t="s">
        <v>122</v>
      </c>
      <c r="N101" s="26" t="s">
        <v>123</v>
      </c>
      <c r="O101" s="26" t="s">
        <v>82</v>
      </c>
    </row>
    <row r="102" spans="1:16" x14ac:dyDescent="0.15">
      <c r="A102" s="148" t="s">
        <v>131</v>
      </c>
      <c r="B102" s="148"/>
      <c r="C102" s="33">
        <f>K65</f>
        <v>7.2579999999999991</v>
      </c>
      <c r="E102" s="34" t="s">
        <v>132</v>
      </c>
      <c r="F102" s="147">
        <f>F101*0.03</f>
        <v>0.29324069999999997</v>
      </c>
      <c r="G102" s="147"/>
      <c r="H102" s="147"/>
      <c r="I102" s="147"/>
      <c r="J102" s="147"/>
      <c r="K102" s="147"/>
      <c r="M102" s="26">
        <v>0.62</v>
      </c>
      <c r="N102" s="26">
        <v>1.4</v>
      </c>
      <c r="O102" s="26">
        <f>M102*N102</f>
        <v>0.86799999999999999</v>
      </c>
    </row>
    <row r="103" spans="1:16" x14ac:dyDescent="0.15">
      <c r="A103" s="148" t="s">
        <v>133</v>
      </c>
      <c r="B103" s="148"/>
      <c r="C103" s="37">
        <f>I87*1.17</f>
        <v>1.0611899999999999</v>
      </c>
      <c r="E103" s="34" t="s">
        <v>134</v>
      </c>
      <c r="F103" s="147">
        <f>F101*0.06</f>
        <v>0.58648139999999993</v>
      </c>
      <c r="G103" s="147"/>
      <c r="H103" s="147"/>
      <c r="I103" s="147"/>
      <c r="J103" s="147"/>
      <c r="K103" s="147"/>
    </row>
    <row r="104" spans="1:16" x14ac:dyDescent="0.15">
      <c r="A104" s="148" t="s">
        <v>135</v>
      </c>
      <c r="B104" s="148"/>
      <c r="C104" s="33">
        <f>E100</f>
        <v>0.08</v>
      </c>
      <c r="E104" s="34" t="s">
        <v>136</v>
      </c>
      <c r="F104" s="147">
        <f>F101*0.02</f>
        <v>0.1954938</v>
      </c>
      <c r="G104" s="147"/>
      <c r="H104" s="147"/>
      <c r="I104" s="147"/>
      <c r="J104" s="147"/>
      <c r="K104" s="147"/>
    </row>
    <row r="105" spans="1:16" x14ac:dyDescent="0.15">
      <c r="A105" s="148" t="s">
        <v>138</v>
      </c>
      <c r="B105" s="148"/>
      <c r="C105" s="37">
        <f>J96*1.17</f>
        <v>0.17550000000000002</v>
      </c>
      <c r="E105" s="34" t="s">
        <v>5</v>
      </c>
      <c r="F105" s="147"/>
      <c r="G105" s="147"/>
      <c r="H105" s="147"/>
      <c r="I105" s="147"/>
      <c r="J105" s="147"/>
      <c r="K105" s="147"/>
      <c r="M105" s="26" t="s">
        <v>129</v>
      </c>
      <c r="N105" s="26" t="s">
        <v>130</v>
      </c>
      <c r="O105" s="26" t="s">
        <v>82</v>
      </c>
    </row>
    <row r="106" spans="1:16" x14ac:dyDescent="0.15">
      <c r="A106" s="148" t="s">
        <v>119</v>
      </c>
      <c r="B106" s="148"/>
      <c r="C106" s="33">
        <f>J98+J99</f>
        <v>1.2000000000000002</v>
      </c>
      <c r="E106" s="34" t="s">
        <v>139</v>
      </c>
      <c r="F106" s="156">
        <f>F105+F104+F103+F102+F101</f>
        <v>10.8499059</v>
      </c>
      <c r="G106" s="156"/>
      <c r="H106" s="156"/>
      <c r="I106" s="156"/>
      <c r="J106" s="156"/>
      <c r="K106" s="156"/>
      <c r="M106" s="26">
        <v>7.53</v>
      </c>
      <c r="N106" s="26">
        <v>0.86799999999999999</v>
      </c>
      <c r="O106" s="44">
        <f>M106+N106</f>
        <v>8.3979999999999997</v>
      </c>
      <c r="P106" t="s">
        <v>152</v>
      </c>
    </row>
    <row r="107" spans="1:16" x14ac:dyDescent="0.15">
      <c r="H107" t="s">
        <v>152</v>
      </c>
      <c r="I107" t="s">
        <v>347</v>
      </c>
    </row>
    <row r="114" spans="1:11" ht="25.5" x14ac:dyDescent="0.15">
      <c r="A114" s="162" t="s">
        <v>348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</row>
    <row r="115" spans="1:11" x14ac:dyDescent="0.15">
      <c r="A115" s="22" t="s">
        <v>0</v>
      </c>
      <c r="B115" s="22" t="s">
        <v>52</v>
      </c>
      <c r="C115" s="22" t="s">
        <v>53</v>
      </c>
      <c r="D115" s="22" t="s">
        <v>54</v>
      </c>
      <c r="E115" s="22" t="s">
        <v>55</v>
      </c>
      <c r="F115" s="22" t="s">
        <v>56</v>
      </c>
      <c r="G115" s="22" t="s">
        <v>57</v>
      </c>
      <c r="H115" s="22" t="s">
        <v>58</v>
      </c>
      <c r="I115" s="22" t="s">
        <v>59</v>
      </c>
      <c r="J115" s="22" t="s">
        <v>60</v>
      </c>
      <c r="K115" s="22" t="s">
        <v>61</v>
      </c>
    </row>
    <row r="116" spans="1:11" x14ac:dyDescent="0.15">
      <c r="A116" s="22">
        <v>1</v>
      </c>
      <c r="B116" s="22" t="s">
        <v>349</v>
      </c>
      <c r="C116" s="22"/>
      <c r="D116" s="22" t="s">
        <v>286</v>
      </c>
      <c r="E116" s="23">
        <v>5.9</v>
      </c>
      <c r="F116" s="23">
        <v>0.79</v>
      </c>
      <c r="G116" s="23">
        <f>E116*F116</f>
        <v>4.6610000000000005</v>
      </c>
      <c r="H116" s="23">
        <v>0.6</v>
      </c>
      <c r="I116" s="23">
        <f>F116-H116</f>
        <v>0.19000000000000006</v>
      </c>
      <c r="J116" s="23">
        <f>I116*1.3</f>
        <v>0.24700000000000008</v>
      </c>
      <c r="K116" s="23">
        <f>G116-J116</f>
        <v>4.4140000000000006</v>
      </c>
    </row>
    <row r="117" spans="1:11" x14ac:dyDescent="0.15">
      <c r="A117" s="22">
        <v>2</v>
      </c>
      <c r="B117" s="22"/>
      <c r="C117" s="22"/>
      <c r="D117" s="22"/>
      <c r="E117" s="23"/>
      <c r="F117" s="23"/>
      <c r="G117" s="23">
        <f t="shared" ref="G117:G121" si="16">E117*F117</f>
        <v>0</v>
      </c>
      <c r="H117" s="23"/>
      <c r="I117" s="23">
        <f t="shared" ref="I117:I121" si="17">F117-H117</f>
        <v>0</v>
      </c>
      <c r="J117" s="23">
        <f t="shared" ref="J117:J121" si="18">I117*1.1</f>
        <v>0</v>
      </c>
      <c r="K117" s="23">
        <f t="shared" ref="K117:K121" si="19">G117-J117</f>
        <v>0</v>
      </c>
    </row>
    <row r="118" spans="1:11" x14ac:dyDescent="0.15">
      <c r="A118" s="22">
        <v>3</v>
      </c>
      <c r="B118" s="22"/>
      <c r="C118" s="22"/>
      <c r="D118" s="22"/>
      <c r="E118" s="23"/>
      <c r="F118" s="23"/>
      <c r="G118" s="23">
        <f t="shared" si="16"/>
        <v>0</v>
      </c>
      <c r="H118" s="23"/>
      <c r="I118" s="23">
        <f t="shared" si="17"/>
        <v>0</v>
      </c>
      <c r="J118" s="23">
        <f t="shared" si="18"/>
        <v>0</v>
      </c>
      <c r="K118" s="23">
        <f t="shared" si="19"/>
        <v>0</v>
      </c>
    </row>
    <row r="119" spans="1:11" x14ac:dyDescent="0.15">
      <c r="A119" s="22">
        <v>4</v>
      </c>
      <c r="B119" s="22"/>
      <c r="C119" s="22"/>
      <c r="D119" s="22"/>
      <c r="E119" s="23"/>
      <c r="F119" s="23"/>
      <c r="G119" s="23">
        <f t="shared" si="16"/>
        <v>0</v>
      </c>
      <c r="H119" s="23"/>
      <c r="I119" s="23">
        <f t="shared" si="17"/>
        <v>0</v>
      </c>
      <c r="J119" s="23">
        <f t="shared" si="18"/>
        <v>0</v>
      </c>
      <c r="K119" s="23">
        <f t="shared" si="19"/>
        <v>0</v>
      </c>
    </row>
    <row r="120" spans="1:11" x14ac:dyDescent="0.15">
      <c r="A120" s="22">
        <v>5</v>
      </c>
      <c r="B120" s="22"/>
      <c r="C120" s="22"/>
      <c r="D120" s="22"/>
      <c r="E120" s="23"/>
      <c r="F120" s="23"/>
      <c r="G120" s="23">
        <f t="shared" si="16"/>
        <v>0</v>
      </c>
      <c r="H120" s="23"/>
      <c r="I120" s="23">
        <f t="shared" si="17"/>
        <v>0</v>
      </c>
      <c r="J120" s="23">
        <f t="shared" si="18"/>
        <v>0</v>
      </c>
      <c r="K120" s="23">
        <f t="shared" si="19"/>
        <v>0</v>
      </c>
    </row>
    <row r="121" spans="1:11" x14ac:dyDescent="0.15">
      <c r="A121" s="22">
        <v>6</v>
      </c>
      <c r="B121" s="22"/>
      <c r="C121" s="22"/>
      <c r="D121" s="22"/>
      <c r="E121" s="23"/>
      <c r="F121" s="22"/>
      <c r="G121" s="23">
        <f t="shared" si="16"/>
        <v>0</v>
      </c>
      <c r="H121" s="22"/>
      <c r="I121" s="23">
        <f t="shared" si="17"/>
        <v>0</v>
      </c>
      <c r="J121" s="23">
        <f t="shared" si="18"/>
        <v>0</v>
      </c>
      <c r="K121" s="23">
        <f t="shared" si="19"/>
        <v>0</v>
      </c>
    </row>
    <row r="122" spans="1:11" x14ac:dyDescent="0.15">
      <c r="A122" s="149" t="s">
        <v>82</v>
      </c>
      <c r="B122" s="153"/>
      <c r="C122" s="153"/>
      <c r="D122" s="153"/>
      <c r="E122" s="153"/>
      <c r="F122" s="153"/>
      <c r="G122" s="153"/>
      <c r="H122" s="153"/>
      <c r="I122" s="153"/>
      <c r="J122" s="150"/>
      <c r="K122" s="23">
        <f>SUM(K116:K121)</f>
        <v>4.4140000000000006</v>
      </c>
    </row>
    <row r="123" spans="1:11" x14ac:dyDescent="0.15">
      <c r="A123" s="22" t="s">
        <v>0</v>
      </c>
      <c r="B123" s="22" t="s">
        <v>52</v>
      </c>
      <c r="C123" s="22" t="s">
        <v>53</v>
      </c>
      <c r="D123" s="22" t="s">
        <v>67</v>
      </c>
      <c r="E123" s="22" t="s">
        <v>68</v>
      </c>
      <c r="F123" s="22" t="s">
        <v>69</v>
      </c>
      <c r="G123" s="22" t="s">
        <v>70</v>
      </c>
      <c r="H123" s="22" t="s">
        <v>71</v>
      </c>
      <c r="I123" s="22" t="s">
        <v>72</v>
      </c>
      <c r="J123" s="149" t="s">
        <v>6</v>
      </c>
      <c r="K123" s="150"/>
    </row>
    <row r="124" spans="1:11" x14ac:dyDescent="0.15">
      <c r="A124" s="22">
        <v>1</v>
      </c>
      <c r="B124" s="22"/>
      <c r="C124" s="22"/>
      <c r="D124" s="22"/>
      <c r="E124" s="22" t="s">
        <v>160</v>
      </c>
      <c r="F124" s="22" t="s">
        <v>161</v>
      </c>
      <c r="G124" s="22"/>
      <c r="H124" s="22" t="s">
        <v>162</v>
      </c>
      <c r="I124" s="22"/>
      <c r="J124" s="149"/>
      <c r="K124" s="150"/>
    </row>
    <row r="125" spans="1:11" x14ac:dyDescent="0.15">
      <c r="A125" s="22">
        <v>2</v>
      </c>
      <c r="B125" s="22" t="s">
        <v>349</v>
      </c>
      <c r="C125" s="22"/>
      <c r="D125" s="22"/>
      <c r="E125" s="22" t="s">
        <v>160</v>
      </c>
      <c r="F125" s="22" t="s">
        <v>164</v>
      </c>
      <c r="G125" s="22"/>
      <c r="H125" s="22" t="s">
        <v>165</v>
      </c>
      <c r="I125" s="22">
        <v>0.23</v>
      </c>
      <c r="J125" s="149"/>
      <c r="K125" s="150"/>
    </row>
    <row r="126" spans="1:11" x14ac:dyDescent="0.15">
      <c r="A126" s="22">
        <v>3</v>
      </c>
      <c r="B126" s="22"/>
      <c r="C126" s="22"/>
      <c r="D126" s="22"/>
      <c r="E126" s="22" t="s">
        <v>166</v>
      </c>
      <c r="F126" s="22" t="s">
        <v>167</v>
      </c>
      <c r="G126" s="22"/>
      <c r="H126" s="22">
        <v>0.5</v>
      </c>
      <c r="I126" s="22">
        <f>G126*H126</f>
        <v>0</v>
      </c>
      <c r="J126" s="149"/>
      <c r="K126" s="150"/>
    </row>
    <row r="127" spans="1:11" x14ac:dyDescent="0.15">
      <c r="A127" s="22">
        <v>4</v>
      </c>
      <c r="B127" s="22"/>
      <c r="C127" s="22"/>
      <c r="D127" s="22"/>
      <c r="E127" s="22" t="s">
        <v>166</v>
      </c>
      <c r="F127" s="22" t="s">
        <v>168</v>
      </c>
      <c r="G127" s="22"/>
      <c r="H127" s="22">
        <v>0.3</v>
      </c>
      <c r="I127" s="22">
        <f t="shared" ref="I127:I132" si="20">G127*H127</f>
        <v>0</v>
      </c>
      <c r="J127" s="149"/>
      <c r="K127" s="150"/>
    </row>
    <row r="128" spans="1:11" x14ac:dyDescent="0.15">
      <c r="A128" s="22">
        <v>5</v>
      </c>
      <c r="B128" s="22" t="s">
        <v>349</v>
      </c>
      <c r="C128" s="22"/>
      <c r="D128" s="22" t="s">
        <v>169</v>
      </c>
      <c r="E128" s="22" t="s">
        <v>170</v>
      </c>
      <c r="F128" s="22" t="s">
        <v>171</v>
      </c>
      <c r="G128" s="22">
        <v>1</v>
      </c>
      <c r="H128" s="22">
        <v>0.15</v>
      </c>
      <c r="I128" s="22">
        <f t="shared" si="20"/>
        <v>0.15</v>
      </c>
      <c r="J128" s="149"/>
      <c r="K128" s="150"/>
    </row>
    <row r="129" spans="1:11" x14ac:dyDescent="0.15">
      <c r="A129" s="22">
        <v>6</v>
      </c>
      <c r="B129" s="22" t="s">
        <v>349</v>
      </c>
      <c r="C129" s="22"/>
      <c r="D129" s="22" t="s">
        <v>172</v>
      </c>
      <c r="E129" s="22" t="s">
        <v>170</v>
      </c>
      <c r="F129" s="22" t="s">
        <v>173</v>
      </c>
      <c r="G129" s="22">
        <v>1</v>
      </c>
      <c r="H129" s="22">
        <v>0.15</v>
      </c>
      <c r="I129" s="22">
        <f t="shared" si="20"/>
        <v>0.15</v>
      </c>
      <c r="J129" s="149"/>
      <c r="K129" s="150"/>
    </row>
    <row r="130" spans="1:11" x14ac:dyDescent="0.15">
      <c r="A130" s="22">
        <v>7</v>
      </c>
      <c r="B130" s="22" t="s">
        <v>349</v>
      </c>
      <c r="C130" s="22"/>
      <c r="D130" s="22" t="s">
        <v>175</v>
      </c>
      <c r="E130" s="22" t="s">
        <v>170</v>
      </c>
      <c r="F130" s="22" t="s">
        <v>176</v>
      </c>
      <c r="G130" s="22">
        <v>1</v>
      </c>
      <c r="H130" s="22">
        <v>0.08</v>
      </c>
      <c r="I130" s="22">
        <f t="shared" si="20"/>
        <v>0.08</v>
      </c>
      <c r="J130" s="149"/>
      <c r="K130" s="150"/>
    </row>
    <row r="131" spans="1:11" x14ac:dyDescent="0.15">
      <c r="A131" s="22">
        <v>8</v>
      </c>
      <c r="C131" s="22"/>
      <c r="D131" s="22" t="s">
        <v>172</v>
      </c>
      <c r="E131" s="22" t="s">
        <v>170</v>
      </c>
      <c r="F131" s="22" t="s">
        <v>177</v>
      </c>
      <c r="G131" s="22"/>
      <c r="H131" s="22">
        <v>0.08</v>
      </c>
      <c r="I131" s="22">
        <f t="shared" si="20"/>
        <v>0</v>
      </c>
      <c r="J131" s="149"/>
      <c r="K131" s="150"/>
    </row>
    <row r="132" spans="1:11" x14ac:dyDescent="0.15">
      <c r="A132" s="22">
        <v>9</v>
      </c>
      <c r="C132" s="22"/>
      <c r="D132" s="22" t="s">
        <v>175</v>
      </c>
      <c r="E132" s="22" t="s">
        <v>170</v>
      </c>
      <c r="F132" s="22" t="s">
        <v>178</v>
      </c>
      <c r="G132" s="22"/>
      <c r="H132" s="22">
        <v>0.05</v>
      </c>
      <c r="I132" s="22">
        <f t="shared" si="20"/>
        <v>0</v>
      </c>
      <c r="J132" s="149"/>
      <c r="K132" s="150"/>
    </row>
    <row r="133" spans="1:11" x14ac:dyDescent="0.15">
      <c r="A133" s="22">
        <v>10</v>
      </c>
      <c r="B133" s="22"/>
      <c r="C133" s="22"/>
      <c r="D133" s="22" t="s">
        <v>179</v>
      </c>
      <c r="E133" s="22"/>
      <c r="F133" s="22"/>
      <c r="G133" s="22"/>
      <c r="H133" s="22"/>
      <c r="I133" s="22"/>
      <c r="J133" s="149" t="s">
        <v>180</v>
      </c>
      <c r="K133" s="150"/>
    </row>
    <row r="134" spans="1:11" x14ac:dyDescent="0.15">
      <c r="A134" s="22">
        <v>11</v>
      </c>
      <c r="B134" s="22"/>
      <c r="C134" s="22"/>
      <c r="D134" s="22" t="s">
        <v>75</v>
      </c>
      <c r="E134" s="22"/>
      <c r="F134" s="22"/>
      <c r="G134" s="22"/>
      <c r="H134" s="22">
        <v>0.08</v>
      </c>
      <c r="I134" s="22"/>
      <c r="J134" s="149"/>
      <c r="K134" s="150"/>
    </row>
    <row r="135" spans="1:11" x14ac:dyDescent="0.15">
      <c r="A135" s="22">
        <v>12</v>
      </c>
      <c r="B135" s="22"/>
      <c r="C135" s="22"/>
      <c r="D135" s="22" t="s">
        <v>221</v>
      </c>
      <c r="E135" s="22"/>
      <c r="F135" s="22"/>
      <c r="G135" s="22"/>
      <c r="H135" s="22">
        <v>0.08</v>
      </c>
      <c r="I135" s="22">
        <f t="shared" ref="I135:I141" si="21">G135*H135</f>
        <v>0</v>
      </c>
      <c r="J135" s="149"/>
      <c r="K135" s="150"/>
    </row>
    <row r="136" spans="1:11" x14ac:dyDescent="0.15">
      <c r="A136" s="22">
        <v>13</v>
      </c>
      <c r="B136" s="22"/>
      <c r="C136" s="22"/>
      <c r="D136" s="22" t="s">
        <v>182</v>
      </c>
      <c r="E136" s="22"/>
      <c r="F136" s="22"/>
      <c r="G136" s="22"/>
      <c r="H136" s="22">
        <v>0.08</v>
      </c>
      <c r="I136" s="22">
        <f t="shared" si="21"/>
        <v>0</v>
      </c>
      <c r="J136" s="149"/>
      <c r="K136" s="150"/>
    </row>
    <row r="137" spans="1:11" x14ac:dyDescent="0.15">
      <c r="A137" s="22">
        <v>14</v>
      </c>
      <c r="B137" s="22" t="s">
        <v>349</v>
      </c>
      <c r="C137" s="22"/>
      <c r="D137" s="22" t="s">
        <v>183</v>
      </c>
      <c r="E137" s="22"/>
      <c r="F137" s="22"/>
      <c r="G137" s="22">
        <v>1</v>
      </c>
      <c r="H137" s="22">
        <v>0.08</v>
      </c>
      <c r="I137" s="22">
        <f t="shared" si="21"/>
        <v>0.08</v>
      </c>
      <c r="J137" s="149"/>
      <c r="K137" s="150"/>
    </row>
    <row r="138" spans="1:11" x14ac:dyDescent="0.15">
      <c r="A138" s="22">
        <v>15</v>
      </c>
      <c r="B138" s="22"/>
      <c r="C138" s="22"/>
      <c r="D138" s="22" t="s">
        <v>184</v>
      </c>
      <c r="E138" s="22"/>
      <c r="F138" s="22"/>
      <c r="G138" s="22"/>
      <c r="H138" s="22">
        <v>0.08</v>
      </c>
      <c r="I138" s="22">
        <f t="shared" si="21"/>
        <v>0</v>
      </c>
      <c r="J138" s="149"/>
      <c r="K138" s="150"/>
    </row>
    <row r="139" spans="1:11" x14ac:dyDescent="0.15">
      <c r="A139" s="22">
        <v>15</v>
      </c>
      <c r="B139" s="22"/>
      <c r="C139" s="22"/>
      <c r="D139" s="22" t="s">
        <v>175</v>
      </c>
      <c r="E139" s="22"/>
      <c r="F139" s="22"/>
      <c r="G139" s="22"/>
      <c r="H139" s="22">
        <v>0.08</v>
      </c>
      <c r="I139" s="22">
        <f t="shared" si="21"/>
        <v>0</v>
      </c>
      <c r="J139" s="24"/>
      <c r="K139" s="25"/>
    </row>
    <row r="140" spans="1:11" x14ac:dyDescent="0.15">
      <c r="A140" s="22">
        <v>15</v>
      </c>
      <c r="B140" s="22"/>
      <c r="C140" s="22"/>
      <c r="D140" s="22" t="s">
        <v>185</v>
      </c>
      <c r="E140" s="22"/>
      <c r="F140" s="22"/>
      <c r="G140" s="22"/>
      <c r="H140" s="22">
        <v>0.08</v>
      </c>
      <c r="I140" s="22">
        <f t="shared" si="21"/>
        <v>0</v>
      </c>
      <c r="J140" s="149"/>
      <c r="K140" s="150"/>
    </row>
    <row r="141" spans="1:11" x14ac:dyDescent="0.15">
      <c r="A141" s="22">
        <v>15</v>
      </c>
      <c r="B141" s="22"/>
      <c r="C141" s="22"/>
      <c r="D141" s="22" t="s">
        <v>186</v>
      </c>
      <c r="E141" s="22"/>
      <c r="F141" s="22"/>
      <c r="G141" s="22"/>
      <c r="H141" s="22">
        <v>0.08</v>
      </c>
      <c r="I141" s="22">
        <f t="shared" si="21"/>
        <v>0</v>
      </c>
      <c r="J141" s="149"/>
      <c r="K141" s="150"/>
    </row>
    <row r="142" spans="1:11" x14ac:dyDescent="0.15">
      <c r="A142" s="22">
        <v>15</v>
      </c>
      <c r="B142" s="22"/>
      <c r="C142" s="22"/>
      <c r="D142" s="22" t="s">
        <v>187</v>
      </c>
      <c r="E142" s="22"/>
      <c r="F142" s="22"/>
      <c r="G142" s="22"/>
      <c r="H142" s="22"/>
      <c r="I142" s="22"/>
      <c r="J142" s="149" t="s">
        <v>188</v>
      </c>
      <c r="K142" s="150"/>
    </row>
    <row r="143" spans="1:11" x14ac:dyDescent="0.15">
      <c r="A143" s="22"/>
      <c r="B143" s="22"/>
      <c r="C143" s="22"/>
      <c r="D143" s="149" t="s">
        <v>250</v>
      </c>
      <c r="E143" s="153"/>
      <c r="F143" s="153"/>
      <c r="G143" s="153"/>
      <c r="H143" s="150"/>
      <c r="I143" s="22"/>
      <c r="J143" s="24"/>
      <c r="K143" s="25"/>
    </row>
    <row r="144" spans="1:11" x14ac:dyDescent="0.15">
      <c r="A144" s="149" t="s">
        <v>82</v>
      </c>
      <c r="B144" s="153"/>
      <c r="C144" s="153"/>
      <c r="D144" s="153"/>
      <c r="E144" s="153"/>
      <c r="F144" s="153"/>
      <c r="G144" s="153"/>
      <c r="H144" s="150"/>
      <c r="I144" s="42">
        <f>SUM(I124:I143)</f>
        <v>0.69</v>
      </c>
      <c r="J144" s="22"/>
      <c r="K144" s="22"/>
    </row>
    <row r="145" spans="1:20" x14ac:dyDescent="0.15">
      <c r="A145" s="149"/>
      <c r="B145" s="153"/>
      <c r="C145" s="153"/>
      <c r="D145" s="153"/>
      <c r="E145" s="153"/>
      <c r="F145" s="153"/>
      <c r="G145" s="153"/>
      <c r="H145" s="153"/>
      <c r="I145" s="153"/>
      <c r="J145" s="153"/>
      <c r="K145" s="150"/>
    </row>
    <row r="146" spans="1:20" x14ac:dyDescent="0.15">
      <c r="A146" s="149" t="s">
        <v>83</v>
      </c>
      <c r="B146" s="153"/>
      <c r="C146" s="153"/>
      <c r="D146" s="153"/>
      <c r="E146" s="150"/>
      <c r="F146" s="154" t="s">
        <v>84</v>
      </c>
      <c r="G146" s="154"/>
      <c r="H146" s="22" t="s">
        <v>85</v>
      </c>
      <c r="I146" s="22" t="s">
        <v>86</v>
      </c>
      <c r="J146" s="22" t="s">
        <v>87</v>
      </c>
      <c r="K146" s="25" t="s">
        <v>6</v>
      </c>
    </row>
    <row r="147" spans="1:20" x14ac:dyDescent="0.15">
      <c r="A147" s="22" t="s">
        <v>0</v>
      </c>
      <c r="B147" s="22" t="s">
        <v>90</v>
      </c>
      <c r="C147" s="22" t="s">
        <v>91</v>
      </c>
      <c r="D147" s="22" t="s">
        <v>92</v>
      </c>
      <c r="E147" s="22" t="s">
        <v>72</v>
      </c>
      <c r="F147" s="154" t="s">
        <v>93</v>
      </c>
      <c r="G147" s="154"/>
      <c r="H147" s="22">
        <v>3</v>
      </c>
      <c r="I147" s="22">
        <v>0.05</v>
      </c>
      <c r="J147" s="36">
        <f>I147*H147</f>
        <v>0.15000000000000002</v>
      </c>
      <c r="K147" s="22"/>
    </row>
    <row r="148" spans="1:20" x14ac:dyDescent="0.15">
      <c r="A148" s="26">
        <v>1</v>
      </c>
      <c r="B148" s="22" t="s">
        <v>270</v>
      </c>
      <c r="C148" s="22">
        <v>1</v>
      </c>
      <c r="D148" s="22">
        <v>0.04</v>
      </c>
      <c r="E148" s="22">
        <f>D148*C148</f>
        <v>0.04</v>
      </c>
      <c r="F148" s="149"/>
      <c r="G148" s="150"/>
      <c r="H148" s="22"/>
      <c r="I148" s="22"/>
      <c r="J148" s="36">
        <f t="shared" ref="J148:J150" si="22">I148*H148</f>
        <v>0</v>
      </c>
      <c r="K148" s="22"/>
    </row>
    <row r="149" spans="1:20" x14ac:dyDescent="0.15">
      <c r="A149" s="26">
        <v>2</v>
      </c>
      <c r="B149" s="22"/>
      <c r="C149" s="22"/>
      <c r="D149" s="22"/>
      <c r="E149" s="22">
        <f t="shared" ref="E149:E156" si="23">D149*C149</f>
        <v>0</v>
      </c>
      <c r="F149" s="149"/>
      <c r="G149" s="150"/>
      <c r="H149" s="22"/>
      <c r="I149" s="22"/>
      <c r="J149" s="36">
        <f t="shared" si="22"/>
        <v>0</v>
      </c>
      <c r="K149" s="22"/>
    </row>
    <row r="150" spans="1:20" x14ac:dyDescent="0.15">
      <c r="A150" s="26">
        <v>3</v>
      </c>
      <c r="B150" s="22"/>
      <c r="C150" s="22"/>
      <c r="D150" s="22"/>
      <c r="E150" s="22">
        <f t="shared" si="23"/>
        <v>0</v>
      </c>
      <c r="F150" s="149"/>
      <c r="G150" s="150"/>
      <c r="H150" s="22"/>
      <c r="I150" s="22"/>
      <c r="J150" s="36">
        <f t="shared" si="22"/>
        <v>0</v>
      </c>
      <c r="K150" s="22"/>
    </row>
    <row r="151" spans="1:20" x14ac:dyDescent="0.15">
      <c r="A151" s="26">
        <v>4</v>
      </c>
      <c r="B151" s="22"/>
      <c r="C151" s="22"/>
      <c r="D151" s="22"/>
      <c r="E151" s="22">
        <f t="shared" si="23"/>
        <v>0</v>
      </c>
      <c r="F151" s="149"/>
      <c r="G151" s="150"/>
      <c r="H151" s="22"/>
      <c r="I151" s="22"/>
      <c r="J151" s="36"/>
      <c r="K151" s="22"/>
    </row>
    <row r="152" spans="1:20" x14ac:dyDescent="0.15">
      <c r="A152" s="26">
        <v>5</v>
      </c>
      <c r="B152" s="22"/>
      <c r="C152" s="22"/>
      <c r="D152" s="22"/>
      <c r="E152" s="22">
        <f t="shared" si="23"/>
        <v>0</v>
      </c>
      <c r="F152" s="149"/>
      <c r="G152" s="150"/>
      <c r="H152" s="22"/>
      <c r="I152" s="22"/>
      <c r="J152" s="36"/>
      <c r="K152" s="22"/>
    </row>
    <row r="153" spans="1:20" x14ac:dyDescent="0.15">
      <c r="A153" s="26">
        <v>6</v>
      </c>
      <c r="B153" s="22"/>
      <c r="C153" s="22"/>
      <c r="D153" s="22"/>
      <c r="E153" s="22">
        <f t="shared" si="23"/>
        <v>0</v>
      </c>
      <c r="F153" s="149" t="s">
        <v>82</v>
      </c>
      <c r="G153" s="150"/>
      <c r="H153" s="22"/>
      <c r="I153" s="22"/>
      <c r="J153" s="43">
        <f>SUM(J147:J152)</f>
        <v>0.15000000000000002</v>
      </c>
      <c r="K153" s="22"/>
    </row>
    <row r="154" spans="1:20" ht="15.75" x14ac:dyDescent="0.15">
      <c r="A154" s="26">
        <v>7</v>
      </c>
      <c r="B154" s="22"/>
      <c r="C154" s="22"/>
      <c r="D154" s="22"/>
      <c r="E154" s="22">
        <f t="shared" si="23"/>
        <v>0</v>
      </c>
      <c r="F154" s="149" t="s">
        <v>119</v>
      </c>
      <c r="G154" s="150"/>
      <c r="H154" s="28" t="s">
        <v>201</v>
      </c>
      <c r="I154" s="28" t="s">
        <v>202</v>
      </c>
      <c r="J154" s="32" t="s">
        <v>87</v>
      </c>
      <c r="K154" s="22" t="s">
        <v>6</v>
      </c>
    </row>
    <row r="155" spans="1:20" x14ac:dyDescent="0.15">
      <c r="A155" s="26">
        <v>8</v>
      </c>
      <c r="B155" s="22"/>
      <c r="C155" s="22"/>
      <c r="D155" s="22"/>
      <c r="E155" s="22">
        <f t="shared" si="23"/>
        <v>0</v>
      </c>
      <c r="F155" s="149" t="s">
        <v>124</v>
      </c>
      <c r="G155" s="150"/>
      <c r="H155" s="22">
        <v>10</v>
      </c>
      <c r="I155" s="22"/>
      <c r="J155" s="22">
        <f>I155*H155</f>
        <v>0</v>
      </c>
      <c r="K155" s="22"/>
      <c r="M155" s="35" t="s">
        <v>111</v>
      </c>
      <c r="N155" s="35" t="s">
        <v>112</v>
      </c>
      <c r="O155" s="35" t="s">
        <v>113</v>
      </c>
      <c r="R155" s="35" t="s">
        <v>111</v>
      </c>
      <c r="S155" s="35" t="s">
        <v>112</v>
      </c>
      <c r="T155" s="35" t="s">
        <v>113</v>
      </c>
    </row>
    <row r="156" spans="1:20" x14ac:dyDescent="0.15">
      <c r="A156" s="26">
        <v>9</v>
      </c>
      <c r="B156" s="22"/>
      <c r="C156" s="22"/>
      <c r="D156" s="22"/>
      <c r="E156" s="22">
        <f t="shared" si="23"/>
        <v>0</v>
      </c>
      <c r="F156" s="149" t="s">
        <v>126</v>
      </c>
      <c r="G156" s="150"/>
      <c r="H156" s="22">
        <v>12</v>
      </c>
      <c r="I156" s="22">
        <v>0.05</v>
      </c>
      <c r="J156" s="22">
        <f>I156*H156</f>
        <v>0.60000000000000009</v>
      </c>
      <c r="K156" s="22"/>
      <c r="M156" s="35" t="s">
        <v>115</v>
      </c>
      <c r="N156" s="35" t="s">
        <v>116</v>
      </c>
      <c r="O156" s="35" t="s">
        <v>117</v>
      </c>
      <c r="R156" s="35" t="s">
        <v>115</v>
      </c>
      <c r="S156" s="35" t="s">
        <v>116</v>
      </c>
      <c r="T156" s="35" t="s">
        <v>117</v>
      </c>
    </row>
    <row r="157" spans="1:20" x14ac:dyDescent="0.15">
      <c r="A157" s="145" t="s">
        <v>82</v>
      </c>
      <c r="B157" s="151"/>
      <c r="C157" s="151"/>
      <c r="D157" s="146"/>
      <c r="E157" s="30">
        <f>SUM(E148:E156)</f>
        <v>0.04</v>
      </c>
    </row>
    <row r="158" spans="1:20" x14ac:dyDescent="0.15">
      <c r="A158" s="152" t="s">
        <v>127</v>
      </c>
      <c r="B158" s="152"/>
      <c r="C158" s="31" t="s">
        <v>108</v>
      </c>
      <c r="E158" s="32" t="s">
        <v>128</v>
      </c>
      <c r="F158" s="147">
        <f>C163+C162+C161+C160+C159</f>
        <v>6.0368000000000004</v>
      </c>
      <c r="G158" s="147"/>
      <c r="H158" s="147"/>
      <c r="I158" s="147"/>
      <c r="J158" s="147"/>
      <c r="K158" s="147"/>
    </row>
    <row r="159" spans="1:20" x14ac:dyDescent="0.15">
      <c r="A159" s="148" t="s">
        <v>131</v>
      </c>
      <c r="B159" s="148"/>
      <c r="C159" s="33">
        <f>K122</f>
        <v>4.4140000000000006</v>
      </c>
      <c r="E159" s="34" t="s">
        <v>132</v>
      </c>
      <c r="F159" s="147">
        <f>F158*0.03</f>
        <v>0.18110400000000001</v>
      </c>
      <c r="G159" s="147"/>
      <c r="H159" s="147"/>
      <c r="I159" s="147"/>
      <c r="J159" s="147"/>
      <c r="K159" s="147"/>
      <c r="M159" s="26" t="s">
        <v>122</v>
      </c>
      <c r="N159" s="26" t="s">
        <v>123</v>
      </c>
      <c r="O159" s="26" t="s">
        <v>82</v>
      </c>
      <c r="R159" s="26" t="s">
        <v>122</v>
      </c>
      <c r="S159" s="26" t="s">
        <v>123</v>
      </c>
      <c r="T159" s="26" t="s">
        <v>82</v>
      </c>
    </row>
    <row r="160" spans="1:20" x14ac:dyDescent="0.15">
      <c r="A160" s="148" t="s">
        <v>133</v>
      </c>
      <c r="B160" s="148"/>
      <c r="C160" s="37">
        <f>I144*1.17</f>
        <v>0.80729999999999991</v>
      </c>
      <c r="E160" s="34" t="s">
        <v>134</v>
      </c>
      <c r="F160" s="147">
        <f>F158*0.06</f>
        <v>0.36220800000000003</v>
      </c>
      <c r="G160" s="147"/>
      <c r="H160" s="147"/>
      <c r="I160" s="147"/>
      <c r="J160" s="147"/>
      <c r="K160" s="147"/>
      <c r="L160" s="35" t="s">
        <v>350</v>
      </c>
      <c r="M160" s="26">
        <v>0.54</v>
      </c>
      <c r="N160" s="26">
        <v>1.4</v>
      </c>
      <c r="O160" s="26">
        <f>M160*N160</f>
        <v>0.75600000000000001</v>
      </c>
      <c r="Q160" t="s">
        <v>351</v>
      </c>
      <c r="R160" s="26">
        <v>0.42</v>
      </c>
      <c r="S160" s="26">
        <v>1.4</v>
      </c>
      <c r="T160" s="26">
        <f>R160*S160</f>
        <v>0.58799999999999997</v>
      </c>
    </row>
    <row r="161" spans="1:21" x14ac:dyDescent="0.15">
      <c r="A161" s="148" t="s">
        <v>135</v>
      </c>
      <c r="B161" s="148"/>
      <c r="C161" s="33">
        <f>E157</f>
        <v>0.04</v>
      </c>
      <c r="E161" s="34" t="s">
        <v>136</v>
      </c>
      <c r="F161" s="147">
        <f>F158*0.02</f>
        <v>0.12073600000000001</v>
      </c>
      <c r="G161" s="147"/>
      <c r="H161" s="147"/>
      <c r="I161" s="147"/>
      <c r="J161" s="147"/>
      <c r="K161" s="147"/>
    </row>
    <row r="162" spans="1:21" x14ac:dyDescent="0.15">
      <c r="A162" s="148" t="s">
        <v>138</v>
      </c>
      <c r="B162" s="148"/>
      <c r="C162" s="37">
        <f>J153*1.17</f>
        <v>0.17550000000000002</v>
      </c>
      <c r="E162" s="34" t="s">
        <v>5</v>
      </c>
      <c r="F162" s="147"/>
      <c r="G162" s="147"/>
      <c r="H162" s="147"/>
      <c r="I162" s="147"/>
      <c r="J162" s="147"/>
      <c r="K162" s="147"/>
    </row>
    <row r="163" spans="1:21" x14ac:dyDescent="0.15">
      <c r="A163" s="148" t="s">
        <v>119</v>
      </c>
      <c r="B163" s="148"/>
      <c r="C163" s="33">
        <f>J155+J156</f>
        <v>0.60000000000000009</v>
      </c>
      <c r="E163" s="34" t="s">
        <v>139</v>
      </c>
      <c r="F163" s="147">
        <f>F162+F161+F160+F159+F158</f>
        <v>6.7008480000000006</v>
      </c>
      <c r="G163" s="147"/>
      <c r="H163" s="147"/>
      <c r="I163" s="147"/>
      <c r="J163" s="147"/>
      <c r="K163" s="147"/>
      <c r="M163" s="26" t="s">
        <v>129</v>
      </c>
      <c r="N163" s="26" t="s">
        <v>130</v>
      </c>
      <c r="O163" s="26" t="s">
        <v>82</v>
      </c>
      <c r="R163" s="26" t="s">
        <v>129</v>
      </c>
      <c r="S163" s="26" t="s">
        <v>130</v>
      </c>
      <c r="T163" s="26" t="s">
        <v>82</v>
      </c>
    </row>
    <row r="164" spans="1:21" x14ac:dyDescent="0.15">
      <c r="H164" t="s">
        <v>152</v>
      </c>
      <c r="I164" t="s">
        <v>352</v>
      </c>
      <c r="M164" s="26">
        <v>4.3099999999999996</v>
      </c>
      <c r="N164" s="26">
        <v>0.75600000000000001</v>
      </c>
      <c r="O164" s="44">
        <f>M164+N164</f>
        <v>5.0659999999999998</v>
      </c>
      <c r="P164" t="s">
        <v>152</v>
      </c>
      <c r="R164" s="26">
        <v>4.3099999999999996</v>
      </c>
      <c r="S164" s="26">
        <v>0.58799999999999997</v>
      </c>
      <c r="T164" s="44">
        <f>R164+S164</f>
        <v>4.8979999999999997</v>
      </c>
      <c r="U164" t="s">
        <v>152</v>
      </c>
    </row>
    <row r="165" spans="1:21" ht="19.5" customHeight="1" x14ac:dyDescent="0.15"/>
    <row r="166" spans="1:21" ht="19.5" customHeight="1" x14ac:dyDescent="0.15"/>
    <row r="169" spans="1:21" ht="25.5" x14ac:dyDescent="0.15">
      <c r="A169" s="162" t="s">
        <v>353</v>
      </c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t="s">
        <v>23</v>
      </c>
    </row>
    <row r="170" spans="1:21" x14ac:dyDescent="0.15">
      <c r="A170" s="22" t="s">
        <v>0</v>
      </c>
      <c r="B170" s="22" t="s">
        <v>52</v>
      </c>
      <c r="C170" s="22" t="s">
        <v>53</v>
      </c>
      <c r="D170" s="22" t="s">
        <v>54</v>
      </c>
      <c r="E170" s="22" t="s">
        <v>55</v>
      </c>
      <c r="F170" s="22" t="s">
        <v>56</v>
      </c>
      <c r="G170" s="22" t="s">
        <v>57</v>
      </c>
      <c r="H170" s="22" t="s">
        <v>58</v>
      </c>
      <c r="I170" s="22" t="s">
        <v>59</v>
      </c>
      <c r="J170" s="22" t="s">
        <v>60</v>
      </c>
      <c r="K170" s="22" t="s">
        <v>61</v>
      </c>
    </row>
    <row r="171" spans="1:21" x14ac:dyDescent="0.15">
      <c r="A171" s="22">
        <v>1</v>
      </c>
      <c r="B171" s="22" t="s">
        <v>354</v>
      </c>
      <c r="C171" s="22"/>
      <c r="D171" s="22" t="s">
        <v>286</v>
      </c>
      <c r="E171" s="23">
        <v>5.9</v>
      </c>
      <c r="F171" s="23">
        <v>0.17</v>
      </c>
      <c r="G171" s="23">
        <f>E171*F171</f>
        <v>1.0030000000000001</v>
      </c>
      <c r="H171" s="23">
        <v>0.15</v>
      </c>
      <c r="I171" s="23">
        <f>F171-H171</f>
        <v>2.0000000000000018E-2</v>
      </c>
      <c r="J171" s="23">
        <f>I171*1.3</f>
        <v>2.6000000000000023E-2</v>
      </c>
      <c r="K171" s="23">
        <f>G171-J171</f>
        <v>0.97700000000000009</v>
      </c>
    </row>
    <row r="172" spans="1:21" x14ac:dyDescent="0.15">
      <c r="A172" s="22">
        <v>2</v>
      </c>
      <c r="B172" s="22"/>
      <c r="C172" s="22"/>
      <c r="D172" s="22"/>
      <c r="E172" s="23"/>
      <c r="F172" s="23"/>
      <c r="G172" s="23">
        <f t="shared" ref="G172:G176" si="24">E172*F172</f>
        <v>0</v>
      </c>
      <c r="H172" s="23"/>
      <c r="I172" s="23">
        <f t="shared" ref="I172:I176" si="25">F172-H172</f>
        <v>0</v>
      </c>
      <c r="J172" s="23">
        <f t="shared" ref="J172:J176" si="26">I172*1.1</f>
        <v>0</v>
      </c>
      <c r="K172" s="23">
        <f t="shared" ref="K172:K176" si="27">G172-J172</f>
        <v>0</v>
      </c>
    </row>
    <row r="173" spans="1:21" x14ac:dyDescent="0.15">
      <c r="A173" s="22">
        <v>3</v>
      </c>
      <c r="B173" s="22"/>
      <c r="C173" s="22"/>
      <c r="D173" s="22"/>
      <c r="E173" s="23"/>
      <c r="F173" s="23"/>
      <c r="G173" s="23">
        <f t="shared" si="24"/>
        <v>0</v>
      </c>
      <c r="H173" s="23"/>
      <c r="I173" s="23">
        <f t="shared" si="25"/>
        <v>0</v>
      </c>
      <c r="J173" s="23">
        <f t="shared" si="26"/>
        <v>0</v>
      </c>
      <c r="K173" s="23">
        <f t="shared" si="27"/>
        <v>0</v>
      </c>
    </row>
    <row r="174" spans="1:21" x14ac:dyDescent="0.15">
      <c r="A174" s="22">
        <v>4</v>
      </c>
      <c r="B174" s="22"/>
      <c r="C174" s="22"/>
      <c r="D174" s="22"/>
      <c r="E174" s="23"/>
      <c r="F174" s="23"/>
      <c r="G174" s="23">
        <f t="shared" si="24"/>
        <v>0</v>
      </c>
      <c r="H174" s="23"/>
      <c r="I174" s="23">
        <f t="shared" si="25"/>
        <v>0</v>
      </c>
      <c r="J174" s="23">
        <f t="shared" si="26"/>
        <v>0</v>
      </c>
      <c r="K174" s="23">
        <f t="shared" si="27"/>
        <v>0</v>
      </c>
    </row>
    <row r="175" spans="1:21" x14ac:dyDescent="0.15">
      <c r="A175" s="22">
        <v>5</v>
      </c>
      <c r="B175" s="22"/>
      <c r="C175" s="22"/>
      <c r="D175" s="22"/>
      <c r="E175" s="23"/>
      <c r="F175" s="23"/>
      <c r="G175" s="23">
        <f t="shared" si="24"/>
        <v>0</v>
      </c>
      <c r="H175" s="23"/>
      <c r="I175" s="23">
        <f t="shared" si="25"/>
        <v>0</v>
      </c>
      <c r="J175" s="23">
        <f t="shared" si="26"/>
        <v>0</v>
      </c>
      <c r="K175" s="23">
        <f t="shared" si="27"/>
        <v>0</v>
      </c>
    </row>
    <row r="176" spans="1:21" x14ac:dyDescent="0.15">
      <c r="A176" s="22">
        <v>6</v>
      </c>
      <c r="B176" s="22"/>
      <c r="C176" s="22"/>
      <c r="D176" s="22"/>
      <c r="E176" s="23"/>
      <c r="F176" s="22"/>
      <c r="G176" s="23">
        <f t="shared" si="24"/>
        <v>0</v>
      </c>
      <c r="H176" s="22"/>
      <c r="I176" s="23">
        <f t="shared" si="25"/>
        <v>0</v>
      </c>
      <c r="J176" s="23">
        <f t="shared" si="26"/>
        <v>0</v>
      </c>
      <c r="K176" s="23">
        <f t="shared" si="27"/>
        <v>0</v>
      </c>
    </row>
    <row r="177" spans="1:11" x14ac:dyDescent="0.15">
      <c r="A177" s="149" t="s">
        <v>82</v>
      </c>
      <c r="B177" s="153"/>
      <c r="C177" s="153"/>
      <c r="D177" s="153"/>
      <c r="E177" s="153"/>
      <c r="F177" s="153"/>
      <c r="G177" s="153"/>
      <c r="H177" s="153"/>
      <c r="I177" s="153"/>
      <c r="J177" s="150"/>
      <c r="K177" s="23">
        <f>SUM(K171:K176)</f>
        <v>0.97700000000000009</v>
      </c>
    </row>
    <row r="178" spans="1:11" x14ac:dyDescent="0.15">
      <c r="A178" s="22" t="s">
        <v>0</v>
      </c>
      <c r="B178" s="22" t="s">
        <v>52</v>
      </c>
      <c r="C178" s="22" t="s">
        <v>53</v>
      </c>
      <c r="D178" s="22" t="s">
        <v>67</v>
      </c>
      <c r="E178" s="22" t="s">
        <v>68</v>
      </c>
      <c r="F178" s="22" t="s">
        <v>69</v>
      </c>
      <c r="G178" s="22" t="s">
        <v>70</v>
      </c>
      <c r="H178" s="22" t="s">
        <v>71</v>
      </c>
      <c r="I178" s="22" t="s">
        <v>72</v>
      </c>
      <c r="J178" s="149" t="s">
        <v>6</v>
      </c>
      <c r="K178" s="150"/>
    </row>
    <row r="179" spans="1:11" x14ac:dyDescent="0.15">
      <c r="A179" s="22">
        <v>1</v>
      </c>
      <c r="B179" s="22"/>
      <c r="C179" s="22"/>
      <c r="D179" s="22"/>
      <c r="E179" s="22" t="s">
        <v>160</v>
      </c>
      <c r="F179" s="22" t="s">
        <v>161</v>
      </c>
      <c r="G179" s="22"/>
      <c r="H179" s="22" t="s">
        <v>162</v>
      </c>
      <c r="I179" s="22"/>
      <c r="J179" s="149"/>
      <c r="K179" s="150"/>
    </row>
    <row r="180" spans="1:11" x14ac:dyDescent="0.15">
      <c r="A180" s="22">
        <v>2</v>
      </c>
      <c r="B180" s="22">
        <v>1</v>
      </c>
      <c r="C180" s="22"/>
      <c r="D180" s="22"/>
      <c r="E180" s="22" t="s">
        <v>160</v>
      </c>
      <c r="F180" s="22" t="s">
        <v>164</v>
      </c>
      <c r="G180" s="22"/>
      <c r="H180" s="22" t="s">
        <v>165</v>
      </c>
      <c r="I180" s="22">
        <v>0.05</v>
      </c>
      <c r="J180" s="149"/>
      <c r="K180" s="150"/>
    </row>
    <row r="181" spans="1:11" x14ac:dyDescent="0.15">
      <c r="A181" s="22">
        <v>3</v>
      </c>
      <c r="B181" s="22"/>
      <c r="C181" s="22"/>
      <c r="D181" s="22"/>
      <c r="E181" s="22" t="s">
        <v>166</v>
      </c>
      <c r="F181" s="22" t="s">
        <v>167</v>
      </c>
      <c r="G181" s="22"/>
      <c r="H181" s="22">
        <v>0.5</v>
      </c>
      <c r="I181" s="22">
        <f>G181*H181</f>
        <v>0</v>
      </c>
      <c r="J181" s="149"/>
      <c r="K181" s="150"/>
    </row>
    <row r="182" spans="1:11" x14ac:dyDescent="0.15">
      <c r="A182" s="22">
        <v>4</v>
      </c>
      <c r="B182" s="22"/>
      <c r="C182" s="22"/>
      <c r="D182" s="22"/>
      <c r="E182" s="22" t="s">
        <v>166</v>
      </c>
      <c r="F182" s="22" t="s">
        <v>168</v>
      </c>
      <c r="G182" s="22"/>
      <c r="H182" s="22">
        <v>0.3</v>
      </c>
      <c r="I182" s="22">
        <f t="shared" ref="I182:I187" si="28">G182*H182</f>
        <v>0</v>
      </c>
      <c r="J182" s="149"/>
      <c r="K182" s="150"/>
    </row>
    <row r="183" spans="1:11" x14ac:dyDescent="0.15">
      <c r="A183" s="22">
        <v>5</v>
      </c>
      <c r="B183" s="22">
        <v>1</v>
      </c>
      <c r="C183" s="22"/>
      <c r="D183" s="22" t="s">
        <v>169</v>
      </c>
      <c r="E183" s="22" t="s">
        <v>170</v>
      </c>
      <c r="F183" s="22" t="s">
        <v>171</v>
      </c>
      <c r="G183" s="22">
        <v>1</v>
      </c>
      <c r="H183" s="22">
        <v>0.08</v>
      </c>
      <c r="I183" s="22">
        <f t="shared" si="28"/>
        <v>0.08</v>
      </c>
      <c r="J183" s="149"/>
      <c r="K183" s="150"/>
    </row>
    <row r="184" spans="1:11" x14ac:dyDescent="0.15">
      <c r="A184" s="22">
        <v>6</v>
      </c>
      <c r="B184" s="22">
        <v>1</v>
      </c>
      <c r="C184" s="22"/>
      <c r="D184" s="22" t="s">
        <v>172</v>
      </c>
      <c r="E184" s="22" t="s">
        <v>170</v>
      </c>
      <c r="F184" s="22" t="s">
        <v>173</v>
      </c>
      <c r="G184" s="22">
        <v>1</v>
      </c>
      <c r="H184" s="22">
        <v>0.08</v>
      </c>
      <c r="I184" s="22">
        <f t="shared" si="28"/>
        <v>0.08</v>
      </c>
      <c r="J184" s="149"/>
      <c r="K184" s="150"/>
    </row>
    <row r="185" spans="1:11" x14ac:dyDescent="0.15">
      <c r="A185" s="22">
        <v>7</v>
      </c>
      <c r="B185" s="22">
        <v>1</v>
      </c>
      <c r="C185" s="22"/>
      <c r="D185" s="22" t="s">
        <v>175</v>
      </c>
      <c r="E185" s="22" t="s">
        <v>170</v>
      </c>
      <c r="F185" s="22" t="s">
        <v>176</v>
      </c>
      <c r="G185" s="22">
        <v>1</v>
      </c>
      <c r="H185" s="22">
        <v>0.08</v>
      </c>
      <c r="I185" s="22">
        <f t="shared" si="28"/>
        <v>0.08</v>
      </c>
      <c r="J185" s="149"/>
      <c r="K185" s="150"/>
    </row>
    <row r="186" spans="1:11" x14ac:dyDescent="0.15">
      <c r="A186" s="22">
        <v>8</v>
      </c>
      <c r="C186" s="22"/>
      <c r="D186" s="22" t="s">
        <v>172</v>
      </c>
      <c r="E186" s="22" t="s">
        <v>170</v>
      </c>
      <c r="F186" s="22" t="s">
        <v>177</v>
      </c>
      <c r="G186" s="22"/>
      <c r="H186" s="22">
        <v>0.08</v>
      </c>
      <c r="I186" s="22">
        <f t="shared" si="28"/>
        <v>0</v>
      </c>
      <c r="J186" s="149"/>
      <c r="K186" s="150"/>
    </row>
    <row r="187" spans="1:11" x14ac:dyDescent="0.15">
      <c r="A187" s="22">
        <v>9</v>
      </c>
      <c r="C187" s="22"/>
      <c r="D187" s="22" t="s">
        <v>175</v>
      </c>
      <c r="E187" s="22" t="s">
        <v>170</v>
      </c>
      <c r="F187" s="22" t="s">
        <v>178</v>
      </c>
      <c r="G187" s="22"/>
      <c r="H187" s="22">
        <v>0.05</v>
      </c>
      <c r="I187" s="22">
        <f t="shared" si="28"/>
        <v>0</v>
      </c>
      <c r="J187" s="149"/>
      <c r="K187" s="150"/>
    </row>
    <row r="188" spans="1:11" x14ac:dyDescent="0.15">
      <c r="A188" s="22">
        <v>10</v>
      </c>
      <c r="B188" s="22"/>
      <c r="C188" s="22"/>
      <c r="D188" s="22" t="s">
        <v>179</v>
      </c>
      <c r="E188" s="22"/>
      <c r="F188" s="22"/>
      <c r="G188" s="22"/>
      <c r="H188" s="22"/>
      <c r="I188" s="22"/>
      <c r="J188" s="149" t="s">
        <v>180</v>
      </c>
      <c r="K188" s="150"/>
    </row>
    <row r="189" spans="1:11" x14ac:dyDescent="0.15">
      <c r="A189" s="22">
        <v>11</v>
      </c>
      <c r="B189" s="22"/>
      <c r="C189" s="22"/>
      <c r="D189" s="22" t="s">
        <v>75</v>
      </c>
      <c r="E189" s="22"/>
      <c r="F189" s="22"/>
      <c r="G189" s="22"/>
      <c r="H189" s="22">
        <v>0.08</v>
      </c>
      <c r="I189" s="22"/>
      <c r="J189" s="149"/>
      <c r="K189" s="150"/>
    </row>
    <row r="190" spans="1:11" x14ac:dyDescent="0.15">
      <c r="A190" s="22">
        <v>12</v>
      </c>
      <c r="B190" s="22"/>
      <c r="C190" s="22"/>
      <c r="D190" s="22" t="s">
        <v>221</v>
      </c>
      <c r="E190" s="22"/>
      <c r="F190" s="22"/>
      <c r="G190" s="22"/>
      <c r="H190" s="22">
        <v>0.08</v>
      </c>
      <c r="I190" s="22">
        <f t="shared" ref="I190:I196" si="29">G190*H190</f>
        <v>0</v>
      </c>
      <c r="J190" s="149"/>
      <c r="K190" s="150"/>
    </row>
    <row r="191" spans="1:11" x14ac:dyDescent="0.15">
      <c r="A191" s="22">
        <v>13</v>
      </c>
      <c r="B191" s="22"/>
      <c r="C191" s="22"/>
      <c r="D191" s="22" t="s">
        <v>182</v>
      </c>
      <c r="E191" s="22"/>
      <c r="F191" s="22"/>
      <c r="G191" s="22"/>
      <c r="H191" s="22">
        <v>0.08</v>
      </c>
      <c r="I191" s="22">
        <f t="shared" si="29"/>
        <v>0</v>
      </c>
      <c r="J191" s="149"/>
      <c r="K191" s="150"/>
    </row>
    <row r="192" spans="1:11" x14ac:dyDescent="0.15">
      <c r="A192" s="22">
        <v>14</v>
      </c>
      <c r="B192" s="22">
        <v>1</v>
      </c>
      <c r="C192" s="22"/>
      <c r="D192" s="22" t="s">
        <v>183</v>
      </c>
      <c r="E192" s="22"/>
      <c r="F192" s="22"/>
      <c r="G192" s="22">
        <v>1</v>
      </c>
      <c r="H192" s="22">
        <v>0.08</v>
      </c>
      <c r="I192" s="22">
        <f t="shared" si="29"/>
        <v>0.08</v>
      </c>
      <c r="J192" s="149"/>
      <c r="K192" s="150"/>
    </row>
    <row r="193" spans="1:11" x14ac:dyDescent="0.15">
      <c r="A193" s="22">
        <v>15</v>
      </c>
      <c r="B193" s="22"/>
      <c r="C193" s="22"/>
      <c r="D193" s="22" t="s">
        <v>184</v>
      </c>
      <c r="E193" s="22"/>
      <c r="F193" s="22"/>
      <c r="G193" s="22"/>
      <c r="H193" s="22">
        <v>0.08</v>
      </c>
      <c r="I193" s="22">
        <f t="shared" si="29"/>
        <v>0</v>
      </c>
      <c r="J193" s="149"/>
      <c r="K193" s="150"/>
    </row>
    <row r="194" spans="1:11" x14ac:dyDescent="0.15">
      <c r="A194" s="22">
        <v>15</v>
      </c>
      <c r="B194" s="22"/>
      <c r="C194" s="22"/>
      <c r="D194" s="22" t="s">
        <v>175</v>
      </c>
      <c r="E194" s="22"/>
      <c r="F194" s="22"/>
      <c r="G194" s="22"/>
      <c r="H194" s="22">
        <v>0.08</v>
      </c>
      <c r="I194" s="22">
        <f t="shared" si="29"/>
        <v>0</v>
      </c>
      <c r="J194" s="24"/>
      <c r="K194" s="25"/>
    </row>
    <row r="195" spans="1:11" x14ac:dyDescent="0.15">
      <c r="A195" s="22">
        <v>15</v>
      </c>
      <c r="B195" s="22"/>
      <c r="C195" s="22"/>
      <c r="D195" s="22" t="s">
        <v>185</v>
      </c>
      <c r="E195" s="22"/>
      <c r="F195" s="22"/>
      <c r="G195" s="22"/>
      <c r="H195" s="22">
        <v>0.08</v>
      </c>
      <c r="I195" s="22">
        <f t="shared" si="29"/>
        <v>0</v>
      </c>
      <c r="J195" s="149"/>
      <c r="K195" s="150"/>
    </row>
    <row r="196" spans="1:11" x14ac:dyDescent="0.15">
      <c r="A196" s="22">
        <v>15</v>
      </c>
      <c r="B196" s="22"/>
      <c r="C196" s="22"/>
      <c r="D196" s="22" t="s">
        <v>186</v>
      </c>
      <c r="E196" s="22"/>
      <c r="F196" s="22"/>
      <c r="G196" s="22"/>
      <c r="H196" s="22">
        <v>0.08</v>
      </c>
      <c r="I196" s="22">
        <f t="shared" si="29"/>
        <v>0</v>
      </c>
      <c r="J196" s="149"/>
      <c r="K196" s="150"/>
    </row>
    <row r="197" spans="1:11" x14ac:dyDescent="0.15">
      <c r="A197" s="22">
        <v>15</v>
      </c>
      <c r="B197" s="22"/>
      <c r="C197" s="22"/>
      <c r="D197" s="22" t="s">
        <v>187</v>
      </c>
      <c r="E197" s="22"/>
      <c r="F197" s="22"/>
      <c r="G197" s="22"/>
      <c r="H197" s="22"/>
      <c r="I197" s="22"/>
      <c r="J197" s="149" t="s">
        <v>188</v>
      </c>
      <c r="K197" s="150"/>
    </row>
    <row r="198" spans="1:11" x14ac:dyDescent="0.15">
      <c r="A198" s="22"/>
      <c r="B198" s="22"/>
      <c r="C198" s="22"/>
      <c r="D198" s="149" t="s">
        <v>250</v>
      </c>
      <c r="E198" s="153"/>
      <c r="F198" s="153"/>
      <c r="G198" s="153"/>
      <c r="H198" s="150"/>
      <c r="I198" s="22"/>
      <c r="J198" s="24"/>
      <c r="K198" s="25"/>
    </row>
    <row r="199" spans="1:11" x14ac:dyDescent="0.15">
      <c r="A199" s="149" t="s">
        <v>82</v>
      </c>
      <c r="B199" s="153"/>
      <c r="C199" s="153"/>
      <c r="D199" s="153"/>
      <c r="E199" s="153"/>
      <c r="F199" s="153"/>
      <c r="G199" s="153"/>
      <c r="H199" s="150"/>
      <c r="I199" s="42">
        <f>SUM(I179:I198)</f>
        <v>0.37000000000000005</v>
      </c>
      <c r="J199" s="22"/>
      <c r="K199" s="22"/>
    </row>
    <row r="200" spans="1:11" x14ac:dyDescent="0.15">
      <c r="A200" s="149"/>
      <c r="B200" s="153"/>
      <c r="C200" s="153"/>
      <c r="D200" s="153"/>
      <c r="E200" s="153"/>
      <c r="F200" s="153"/>
      <c r="G200" s="153"/>
      <c r="H200" s="153"/>
      <c r="I200" s="153"/>
      <c r="J200" s="153"/>
      <c r="K200" s="150"/>
    </row>
    <row r="201" spans="1:11" x14ac:dyDescent="0.15">
      <c r="A201" s="149" t="s">
        <v>83</v>
      </c>
      <c r="B201" s="153"/>
      <c r="C201" s="153"/>
      <c r="D201" s="153"/>
      <c r="E201" s="150"/>
      <c r="F201" s="154" t="s">
        <v>84</v>
      </c>
      <c r="G201" s="154"/>
      <c r="H201" s="22" t="s">
        <v>85</v>
      </c>
      <c r="I201" s="22" t="s">
        <v>86</v>
      </c>
      <c r="J201" s="22" t="s">
        <v>87</v>
      </c>
      <c r="K201" s="25" t="s">
        <v>6</v>
      </c>
    </row>
    <row r="202" spans="1:11" x14ac:dyDescent="0.15">
      <c r="A202" s="22" t="s">
        <v>0</v>
      </c>
      <c r="B202" s="22" t="s">
        <v>90</v>
      </c>
      <c r="C202" s="22" t="s">
        <v>91</v>
      </c>
      <c r="D202" s="22" t="s">
        <v>92</v>
      </c>
      <c r="E202" s="22" t="s">
        <v>72</v>
      </c>
      <c r="F202" s="154" t="s">
        <v>93</v>
      </c>
      <c r="G202" s="154"/>
      <c r="H202" s="22">
        <v>3</v>
      </c>
      <c r="I202" s="22">
        <v>0.05</v>
      </c>
      <c r="J202" s="36">
        <f>I202*H202</f>
        <v>0.15000000000000002</v>
      </c>
      <c r="K202" s="22"/>
    </row>
    <row r="203" spans="1:11" x14ac:dyDescent="0.15">
      <c r="A203" s="26">
        <v>1</v>
      </c>
      <c r="B203" s="22" t="s">
        <v>270</v>
      </c>
      <c r="C203" s="22">
        <v>1</v>
      </c>
      <c r="D203" s="22">
        <v>0.04</v>
      </c>
      <c r="E203" s="22">
        <f>D203*C203</f>
        <v>0.04</v>
      </c>
      <c r="F203" s="149"/>
      <c r="G203" s="150"/>
      <c r="H203" s="22"/>
      <c r="I203" s="22"/>
      <c r="J203" s="36">
        <f t="shared" ref="J203:J205" si="30">I203*H203</f>
        <v>0</v>
      </c>
      <c r="K203" s="22"/>
    </row>
    <row r="204" spans="1:11" x14ac:dyDescent="0.15">
      <c r="A204" s="26">
        <v>2</v>
      </c>
      <c r="B204" s="22"/>
      <c r="C204" s="22"/>
      <c r="D204" s="22"/>
      <c r="E204" s="22">
        <f t="shared" ref="E204:E211" si="31">D204*C204</f>
        <v>0</v>
      </c>
      <c r="F204" s="149"/>
      <c r="G204" s="150"/>
      <c r="H204" s="22"/>
      <c r="I204" s="22"/>
      <c r="J204" s="36">
        <f t="shared" si="30"/>
        <v>0</v>
      </c>
      <c r="K204" s="22"/>
    </row>
    <row r="205" spans="1:11" x14ac:dyDescent="0.15">
      <c r="A205" s="26">
        <v>3</v>
      </c>
      <c r="B205" s="22"/>
      <c r="C205" s="22"/>
      <c r="D205" s="22"/>
      <c r="E205" s="22">
        <f t="shared" si="31"/>
        <v>0</v>
      </c>
      <c r="F205" s="149"/>
      <c r="G205" s="150"/>
      <c r="H205" s="22"/>
      <c r="I205" s="22"/>
      <c r="J205" s="36">
        <f t="shared" si="30"/>
        <v>0</v>
      </c>
      <c r="K205" s="22"/>
    </row>
    <row r="206" spans="1:11" x14ac:dyDescent="0.15">
      <c r="A206" s="26">
        <v>4</v>
      </c>
      <c r="B206" s="22"/>
      <c r="C206" s="22"/>
      <c r="D206" s="22"/>
      <c r="E206" s="22">
        <f t="shared" si="31"/>
        <v>0</v>
      </c>
      <c r="F206" s="149"/>
      <c r="G206" s="150"/>
      <c r="H206" s="22"/>
      <c r="I206" s="22"/>
      <c r="J206" s="36"/>
      <c r="K206" s="22"/>
    </row>
    <row r="207" spans="1:11" x14ac:dyDescent="0.15">
      <c r="A207" s="26">
        <v>5</v>
      </c>
      <c r="B207" s="22"/>
      <c r="C207" s="22"/>
      <c r="D207" s="22"/>
      <c r="E207" s="22">
        <f t="shared" si="31"/>
        <v>0</v>
      </c>
      <c r="F207" s="149"/>
      <c r="G207" s="150"/>
      <c r="H207" s="22"/>
      <c r="I207" s="22"/>
      <c r="J207" s="36"/>
      <c r="K207" s="22"/>
    </row>
    <row r="208" spans="1:11" x14ac:dyDescent="0.15">
      <c r="A208" s="26">
        <v>6</v>
      </c>
      <c r="B208" s="22"/>
      <c r="C208" s="22"/>
      <c r="D208" s="22"/>
      <c r="E208" s="22">
        <f t="shared" si="31"/>
        <v>0</v>
      </c>
      <c r="F208" s="149" t="s">
        <v>82</v>
      </c>
      <c r="G208" s="150"/>
      <c r="H208" s="22"/>
      <c r="I208" s="22"/>
      <c r="J208" s="43">
        <f>SUM(J202:J207)</f>
        <v>0.15000000000000002</v>
      </c>
      <c r="K208" s="22"/>
    </row>
    <row r="209" spans="1:21" ht="15.75" x14ac:dyDescent="0.15">
      <c r="A209" s="26">
        <v>7</v>
      </c>
      <c r="B209" s="22"/>
      <c r="C209" s="22"/>
      <c r="D209" s="22"/>
      <c r="E209" s="22">
        <f t="shared" si="31"/>
        <v>0</v>
      </c>
      <c r="F209" s="149" t="s">
        <v>119</v>
      </c>
      <c r="G209" s="150"/>
      <c r="H209" s="28" t="s">
        <v>201</v>
      </c>
      <c r="I209" s="28" t="s">
        <v>202</v>
      </c>
      <c r="J209" s="32" t="s">
        <v>87</v>
      </c>
      <c r="K209" s="22" t="s">
        <v>6</v>
      </c>
      <c r="M209" s="35" t="s">
        <v>111</v>
      </c>
      <c r="N209" s="35" t="s">
        <v>112</v>
      </c>
      <c r="O209" s="35" t="s">
        <v>113</v>
      </c>
      <c r="R209" s="35" t="s">
        <v>111</v>
      </c>
      <c r="S209" s="35" t="s">
        <v>112</v>
      </c>
      <c r="T209" s="35" t="s">
        <v>113</v>
      </c>
    </row>
    <row r="210" spans="1:21" x14ac:dyDescent="0.15">
      <c r="A210" s="26">
        <v>8</v>
      </c>
      <c r="B210" s="22"/>
      <c r="C210" s="22"/>
      <c r="D210" s="22"/>
      <c r="E210" s="22">
        <f t="shared" si="31"/>
        <v>0</v>
      </c>
      <c r="F210" s="149" t="s">
        <v>124</v>
      </c>
      <c r="G210" s="150"/>
      <c r="H210" s="22">
        <v>10</v>
      </c>
      <c r="I210" s="22"/>
      <c r="J210" s="22">
        <f>I210*H210</f>
        <v>0</v>
      </c>
      <c r="K210" s="22"/>
      <c r="M210" s="35" t="s">
        <v>115</v>
      </c>
      <c r="N210" s="35" t="s">
        <v>116</v>
      </c>
      <c r="O210" s="35" t="s">
        <v>117</v>
      </c>
      <c r="R210" s="35" t="s">
        <v>115</v>
      </c>
      <c r="S210" s="35" t="s">
        <v>116</v>
      </c>
      <c r="T210" s="35" t="s">
        <v>117</v>
      </c>
    </row>
    <row r="211" spans="1:21" x14ac:dyDescent="0.15">
      <c r="A211" s="26">
        <v>9</v>
      </c>
      <c r="B211" s="22"/>
      <c r="C211" s="22"/>
      <c r="D211" s="22"/>
      <c r="E211" s="22">
        <f t="shared" si="31"/>
        <v>0</v>
      </c>
      <c r="F211" s="149" t="s">
        <v>126</v>
      </c>
      <c r="G211" s="150"/>
      <c r="H211" s="22">
        <v>12</v>
      </c>
      <c r="I211" s="22">
        <v>0.03</v>
      </c>
      <c r="J211" s="22">
        <f>I211*H211</f>
        <v>0.36</v>
      </c>
      <c r="K211" s="22"/>
    </row>
    <row r="212" spans="1:21" x14ac:dyDescent="0.15">
      <c r="A212" s="145" t="s">
        <v>82</v>
      </c>
      <c r="B212" s="151"/>
      <c r="C212" s="151"/>
      <c r="D212" s="146"/>
      <c r="E212" s="30">
        <f>SUM(E203:E211)</f>
        <v>0.04</v>
      </c>
    </row>
    <row r="213" spans="1:21" x14ac:dyDescent="0.15">
      <c r="A213" s="152" t="s">
        <v>127</v>
      </c>
      <c r="B213" s="152"/>
      <c r="C213" s="31" t="s">
        <v>108</v>
      </c>
      <c r="E213" s="32" t="s">
        <v>128</v>
      </c>
      <c r="F213" s="147">
        <f>C218+C217+C216+C215+C214</f>
        <v>1.9854000000000001</v>
      </c>
      <c r="G213" s="147"/>
      <c r="H213" s="147"/>
      <c r="I213" s="147"/>
      <c r="J213" s="147"/>
      <c r="K213" s="147"/>
      <c r="M213" s="26" t="s">
        <v>122</v>
      </c>
      <c r="N213" s="26" t="s">
        <v>123</v>
      </c>
      <c r="O213" s="26" t="s">
        <v>82</v>
      </c>
      <c r="R213" s="26" t="s">
        <v>122</v>
      </c>
      <c r="S213" s="26" t="s">
        <v>123</v>
      </c>
      <c r="T213" s="26" t="s">
        <v>82</v>
      </c>
    </row>
    <row r="214" spans="1:21" x14ac:dyDescent="0.15">
      <c r="A214" s="148" t="s">
        <v>131</v>
      </c>
      <c r="B214" s="148"/>
      <c r="C214" s="33">
        <f>K177</f>
        <v>0.97700000000000009</v>
      </c>
      <c r="E214" s="34" t="s">
        <v>132</v>
      </c>
      <c r="F214" s="147">
        <f>F213*0.03</f>
        <v>5.9561999999999997E-2</v>
      </c>
      <c r="G214" s="147"/>
      <c r="H214" s="147"/>
      <c r="I214" s="147"/>
      <c r="J214" s="147"/>
      <c r="K214" s="147"/>
      <c r="L214" s="35" t="s">
        <v>350</v>
      </c>
      <c r="M214" s="26">
        <v>0.15</v>
      </c>
      <c r="N214" s="26">
        <v>1.4</v>
      </c>
      <c r="O214" s="26">
        <f>M214*N214</f>
        <v>0.21</v>
      </c>
      <c r="Q214" t="s">
        <v>351</v>
      </c>
      <c r="R214" s="26">
        <v>0.19</v>
      </c>
      <c r="S214" s="26">
        <v>1.4</v>
      </c>
      <c r="T214" s="26">
        <f>R214*S214</f>
        <v>0.26599999999999996</v>
      </c>
    </row>
    <row r="215" spans="1:21" x14ac:dyDescent="0.15">
      <c r="A215" s="148" t="s">
        <v>133</v>
      </c>
      <c r="B215" s="148"/>
      <c r="C215" s="37">
        <f>I199*1.17</f>
        <v>0.43290000000000001</v>
      </c>
      <c r="E215" s="34" t="s">
        <v>134</v>
      </c>
      <c r="F215" s="147">
        <f>F213*0.06</f>
        <v>0.11912399999999999</v>
      </c>
      <c r="G215" s="147"/>
      <c r="H215" s="147"/>
      <c r="I215" s="147"/>
      <c r="J215" s="147"/>
      <c r="K215" s="147"/>
    </row>
    <row r="216" spans="1:21" x14ac:dyDescent="0.15">
      <c r="A216" s="148" t="s">
        <v>135</v>
      </c>
      <c r="B216" s="148"/>
      <c r="C216" s="33">
        <f>E212</f>
        <v>0.04</v>
      </c>
      <c r="E216" s="34" t="s">
        <v>136</v>
      </c>
      <c r="F216" s="147">
        <f>F213*0.02</f>
        <v>3.9708E-2</v>
      </c>
      <c r="G216" s="147"/>
      <c r="H216" s="147"/>
      <c r="I216" s="147"/>
      <c r="J216" s="147"/>
      <c r="K216" s="147"/>
    </row>
    <row r="217" spans="1:21" x14ac:dyDescent="0.15">
      <c r="A217" s="148" t="s">
        <v>138</v>
      </c>
      <c r="B217" s="148"/>
      <c r="C217" s="37">
        <f>J208*1.17</f>
        <v>0.17550000000000002</v>
      </c>
      <c r="E217" s="34" t="s">
        <v>5</v>
      </c>
      <c r="F217" s="147"/>
      <c r="G217" s="147"/>
      <c r="H217" s="147"/>
      <c r="I217" s="147"/>
      <c r="J217" s="147"/>
      <c r="K217" s="147"/>
      <c r="M217" s="26" t="s">
        <v>129</v>
      </c>
      <c r="N217" s="26" t="s">
        <v>130</v>
      </c>
      <c r="O217" s="26" t="s">
        <v>82</v>
      </c>
      <c r="R217" s="26" t="s">
        <v>129</v>
      </c>
      <c r="S217" s="26" t="s">
        <v>130</v>
      </c>
      <c r="T217" s="26" t="s">
        <v>82</v>
      </c>
    </row>
    <row r="218" spans="1:21" x14ac:dyDescent="0.15">
      <c r="A218" s="148" t="s">
        <v>119</v>
      </c>
      <c r="B218" s="148"/>
      <c r="C218" s="33">
        <f>J210+J211</f>
        <v>0.36</v>
      </c>
      <c r="E218" s="34" t="s">
        <v>139</v>
      </c>
      <c r="F218" s="156">
        <f>F217+F216+F215+F214+F213</f>
        <v>2.2037940000000003</v>
      </c>
      <c r="G218" s="156"/>
      <c r="H218" s="156"/>
      <c r="I218" s="156"/>
      <c r="J218" s="156"/>
      <c r="K218" s="156"/>
      <c r="M218" s="26">
        <v>1.5</v>
      </c>
      <c r="N218" s="26">
        <v>0.21</v>
      </c>
      <c r="O218" s="44">
        <f>M218+N218</f>
        <v>1.71</v>
      </c>
      <c r="P218" t="s">
        <v>152</v>
      </c>
      <c r="R218" s="26">
        <v>1.5</v>
      </c>
      <c r="S218" s="26">
        <v>0.26600000000000001</v>
      </c>
      <c r="T218" s="44">
        <f>R218+S218</f>
        <v>1.766</v>
      </c>
      <c r="U218" t="s">
        <v>152</v>
      </c>
    </row>
    <row r="219" spans="1:21" x14ac:dyDescent="0.15">
      <c r="H219" t="s">
        <v>152</v>
      </c>
      <c r="I219" t="s">
        <v>355</v>
      </c>
    </row>
  </sheetData>
  <mergeCells count="198">
    <mergeCell ref="A3:K3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5:B55"/>
    <mergeCell ref="A56:B56"/>
    <mergeCell ref="A57:K57"/>
    <mergeCell ref="A65:J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3:K83"/>
    <mergeCell ref="J84:K84"/>
    <mergeCell ref="J85:K85"/>
    <mergeCell ref="D86:H86"/>
    <mergeCell ref="A87:H87"/>
    <mergeCell ref="A88:K88"/>
    <mergeCell ref="A89:E89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A100:D100"/>
    <mergeCell ref="A101:B101"/>
    <mergeCell ref="F101:K101"/>
    <mergeCell ref="A102:B102"/>
    <mergeCell ref="F102:K102"/>
    <mergeCell ref="A103:B103"/>
    <mergeCell ref="F103:K103"/>
    <mergeCell ref="A104:B104"/>
    <mergeCell ref="F104:K104"/>
    <mergeCell ref="A105:B105"/>
    <mergeCell ref="F105:K105"/>
    <mergeCell ref="A106:B106"/>
    <mergeCell ref="F106:K106"/>
    <mergeCell ref="A114:K114"/>
    <mergeCell ref="A122:J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40:K140"/>
    <mergeCell ref="J141:K141"/>
    <mergeCell ref="J142:K142"/>
    <mergeCell ref="D143:H143"/>
    <mergeCell ref="A144:H144"/>
    <mergeCell ref="A145:K145"/>
    <mergeCell ref="A146:E146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A157:D157"/>
    <mergeCell ref="A158:B158"/>
    <mergeCell ref="F158:K158"/>
    <mergeCell ref="A159:B159"/>
    <mergeCell ref="F159:K159"/>
    <mergeCell ref="A160:B160"/>
    <mergeCell ref="F160:K160"/>
    <mergeCell ref="A161:B161"/>
    <mergeCell ref="F161:K161"/>
    <mergeCell ref="A162:B162"/>
    <mergeCell ref="F162:K162"/>
    <mergeCell ref="A163:B163"/>
    <mergeCell ref="F163:K163"/>
    <mergeCell ref="A169:K169"/>
    <mergeCell ref="A177:J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5:K195"/>
    <mergeCell ref="J196:K196"/>
    <mergeCell ref="J197:K197"/>
    <mergeCell ref="D198:H198"/>
    <mergeCell ref="A199:H199"/>
    <mergeCell ref="A200:K200"/>
    <mergeCell ref="A201:E201"/>
    <mergeCell ref="F201:G201"/>
    <mergeCell ref="F202:G202"/>
    <mergeCell ref="F203:G203"/>
    <mergeCell ref="F204:G204"/>
    <mergeCell ref="F205:G205"/>
    <mergeCell ref="F206:G206"/>
    <mergeCell ref="F207:G207"/>
    <mergeCell ref="A215:B215"/>
    <mergeCell ref="F215:K215"/>
    <mergeCell ref="A216:B216"/>
    <mergeCell ref="F216:K216"/>
    <mergeCell ref="A217:B217"/>
    <mergeCell ref="F217:K217"/>
    <mergeCell ref="A218:B218"/>
    <mergeCell ref="F218:K218"/>
    <mergeCell ref="F208:G208"/>
    <mergeCell ref="F209:G209"/>
    <mergeCell ref="F210:G210"/>
    <mergeCell ref="F211:G211"/>
    <mergeCell ref="A212:D212"/>
    <mergeCell ref="A213:B213"/>
    <mergeCell ref="F213:K213"/>
    <mergeCell ref="A214:B214"/>
    <mergeCell ref="F214:K214"/>
  </mergeCells>
  <phoneticPr fontId="23" type="noConversion"/>
  <pageMargins left="0.70866141732283505" right="0.70866141732283505" top="0.35433070866141703" bottom="0.35433070866141703" header="0.31496062992126" footer="0.31496062992126"/>
  <pageSetup paperSize="9" orientation="portrait" horizontalDpi="2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workbookViewId="0">
      <selection activeCell="D33" sqref="D33"/>
    </sheetView>
  </sheetViews>
  <sheetFormatPr defaultColWidth="9" defaultRowHeight="13.5" x14ac:dyDescent="0.1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spans="1:11" ht="36" customHeight="1" x14ac:dyDescent="0.15">
      <c r="A1" s="162" t="s">
        <v>356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1" ht="13.5" customHeight="1" x14ac:dyDescent="0.15">
      <c r="A3" s="22">
        <v>1</v>
      </c>
      <c r="B3" s="22" t="s">
        <v>357</v>
      </c>
      <c r="C3" s="22"/>
      <c r="D3" s="22" t="s">
        <v>213</v>
      </c>
      <c r="E3" s="23">
        <v>6.1</v>
      </c>
      <c r="F3" s="23">
        <v>1.21</v>
      </c>
      <c r="G3" s="23">
        <f>E3*F3</f>
        <v>7.3809999999999993</v>
      </c>
      <c r="H3" s="23">
        <v>1.21</v>
      </c>
      <c r="I3" s="23">
        <f>F3-H3</f>
        <v>0</v>
      </c>
      <c r="J3" s="23">
        <f>I3*1.1</f>
        <v>0</v>
      </c>
      <c r="K3" s="23">
        <f>G3-J3</f>
        <v>7.3809999999999993</v>
      </c>
    </row>
    <row r="4" spans="1:11" ht="13.5" customHeight="1" x14ac:dyDescent="0.15">
      <c r="A4" s="22">
        <v>2</v>
      </c>
      <c r="B4" s="22" t="s">
        <v>358</v>
      </c>
      <c r="C4" s="22"/>
      <c r="D4" s="22" t="s">
        <v>213</v>
      </c>
      <c r="E4" s="23">
        <v>6.1</v>
      </c>
      <c r="F4" s="23">
        <v>0.55000000000000004</v>
      </c>
      <c r="G4" s="23">
        <f>E4*F4</f>
        <v>3.355</v>
      </c>
      <c r="H4" s="23">
        <v>0.55000000000000004</v>
      </c>
      <c r="I4" s="23">
        <f>F4-H4</f>
        <v>0</v>
      </c>
      <c r="J4" s="23">
        <f>I4*1.1</f>
        <v>0</v>
      </c>
      <c r="K4" s="23">
        <f>G4-J4</f>
        <v>3.355</v>
      </c>
    </row>
    <row r="5" spans="1:11" ht="13.5" customHeight="1" x14ac:dyDescent="0.15">
      <c r="A5" s="22">
        <v>3</v>
      </c>
      <c r="B5" s="22"/>
      <c r="C5" s="22"/>
      <c r="D5" s="22"/>
      <c r="E5" s="23"/>
      <c r="F5" s="23"/>
      <c r="G5" s="23"/>
      <c r="H5" s="23"/>
      <c r="I5" s="23">
        <f>F5-H5</f>
        <v>0</v>
      </c>
      <c r="J5" s="23">
        <f>I5*1.1</f>
        <v>0</v>
      </c>
      <c r="K5" s="23">
        <f>G5-J5</f>
        <v>0</v>
      </c>
    </row>
    <row r="6" spans="1:11" ht="13.5" customHeight="1" x14ac:dyDescent="0.15">
      <c r="A6" s="149" t="s">
        <v>82</v>
      </c>
      <c r="B6" s="153"/>
      <c r="C6" s="153"/>
      <c r="D6" s="153"/>
      <c r="E6" s="153"/>
      <c r="F6" s="153"/>
      <c r="G6" s="153"/>
      <c r="H6" s="153"/>
      <c r="I6" s="153"/>
      <c r="J6" s="150"/>
      <c r="K6" s="23">
        <f>SUM(K3:K5)</f>
        <v>10.735999999999999</v>
      </c>
    </row>
    <row r="7" spans="1:11" ht="13.5" customHeight="1" x14ac:dyDescent="0.15">
      <c r="A7" s="22" t="s">
        <v>0</v>
      </c>
      <c r="B7" s="22" t="s">
        <v>52</v>
      </c>
      <c r="C7" s="22" t="s">
        <v>53</v>
      </c>
      <c r="D7" s="22" t="s">
        <v>67</v>
      </c>
      <c r="E7" s="22" t="s">
        <v>68</v>
      </c>
      <c r="F7" s="22" t="s">
        <v>69</v>
      </c>
      <c r="G7" s="22" t="s">
        <v>70</v>
      </c>
      <c r="H7" s="22" t="s">
        <v>71</v>
      </c>
      <c r="I7" s="22" t="s">
        <v>72</v>
      </c>
      <c r="J7" s="149" t="s">
        <v>6</v>
      </c>
      <c r="K7" s="150"/>
    </row>
    <row r="8" spans="1:11" ht="13.5" customHeight="1" x14ac:dyDescent="0.15">
      <c r="A8" s="22">
        <v>1</v>
      </c>
      <c r="B8" s="22"/>
      <c r="C8" s="22"/>
      <c r="D8" s="22"/>
      <c r="E8" s="22" t="s">
        <v>160</v>
      </c>
      <c r="F8" s="22" t="s">
        <v>161</v>
      </c>
      <c r="G8" s="22"/>
      <c r="H8" s="22" t="s">
        <v>162</v>
      </c>
      <c r="I8" s="22"/>
      <c r="J8" s="149"/>
      <c r="K8" s="150"/>
    </row>
    <row r="9" spans="1:11" ht="13.5" customHeight="1" x14ac:dyDescent="0.15">
      <c r="A9" s="22">
        <v>2</v>
      </c>
      <c r="B9" s="22"/>
      <c r="C9" s="22"/>
      <c r="D9" s="22"/>
      <c r="E9" s="22" t="s">
        <v>160</v>
      </c>
      <c r="F9" s="22" t="s">
        <v>164</v>
      </c>
      <c r="G9" s="22"/>
      <c r="H9" s="22" t="s">
        <v>165</v>
      </c>
      <c r="I9" s="22"/>
      <c r="J9" s="149"/>
      <c r="K9" s="150"/>
    </row>
    <row r="10" spans="1:11" ht="13.5" customHeight="1" x14ac:dyDescent="0.15">
      <c r="A10" s="22">
        <v>7</v>
      </c>
      <c r="B10" s="22"/>
      <c r="C10" s="22"/>
      <c r="D10" s="22"/>
      <c r="E10" s="22" t="s">
        <v>170</v>
      </c>
      <c r="F10" s="22" t="s">
        <v>176</v>
      </c>
      <c r="G10" s="22"/>
      <c r="H10" s="22">
        <v>0.08</v>
      </c>
      <c r="I10" s="22">
        <f t="shared" ref="I10:I12" si="0">G10*H10</f>
        <v>0</v>
      </c>
      <c r="J10" s="149"/>
      <c r="K10" s="150"/>
    </row>
    <row r="11" spans="1:11" ht="13.5" customHeight="1" x14ac:dyDescent="0.15">
      <c r="A11" s="22">
        <v>8</v>
      </c>
      <c r="B11" s="22"/>
      <c r="C11" s="22"/>
      <c r="D11" s="22"/>
      <c r="E11" s="22" t="s">
        <v>170</v>
      </c>
      <c r="F11" s="22" t="s">
        <v>177</v>
      </c>
      <c r="G11" s="22"/>
      <c r="H11" s="22">
        <v>0.08</v>
      </c>
      <c r="I11" s="22">
        <f t="shared" si="0"/>
        <v>0</v>
      </c>
      <c r="J11" s="149"/>
      <c r="K11" s="150"/>
    </row>
    <row r="12" spans="1:11" ht="13.5" customHeight="1" x14ac:dyDescent="0.15">
      <c r="A12" s="22">
        <v>9</v>
      </c>
      <c r="B12" s="22"/>
      <c r="C12" s="22"/>
      <c r="D12" s="22"/>
      <c r="E12" s="22" t="s">
        <v>170</v>
      </c>
      <c r="F12" s="22" t="s">
        <v>178</v>
      </c>
      <c r="G12" s="22"/>
      <c r="H12" s="22">
        <v>0.05</v>
      </c>
      <c r="I12" s="22">
        <f t="shared" si="0"/>
        <v>0</v>
      </c>
      <c r="J12" s="149"/>
      <c r="K12" s="150"/>
    </row>
    <row r="13" spans="1:11" ht="13.5" customHeight="1" x14ac:dyDescent="0.15">
      <c r="A13" s="22">
        <v>10</v>
      </c>
      <c r="B13" s="22">
        <v>1.2</v>
      </c>
      <c r="C13" s="22"/>
      <c r="D13" s="22" t="s">
        <v>179</v>
      </c>
      <c r="E13" s="22"/>
      <c r="F13" s="22"/>
      <c r="G13" s="22"/>
      <c r="H13" s="22">
        <v>0.08</v>
      </c>
      <c r="I13" s="22">
        <v>0.13</v>
      </c>
      <c r="J13" s="149" t="s">
        <v>180</v>
      </c>
      <c r="K13" s="150"/>
    </row>
    <row r="14" spans="1:11" ht="13.5" customHeight="1" x14ac:dyDescent="0.15">
      <c r="A14" s="22">
        <v>11</v>
      </c>
      <c r="B14" s="22" t="s">
        <v>292</v>
      </c>
      <c r="C14" s="22"/>
      <c r="D14" s="22" t="s">
        <v>75</v>
      </c>
      <c r="E14" s="22"/>
      <c r="F14" s="22"/>
      <c r="G14" s="22">
        <v>3</v>
      </c>
      <c r="H14" s="22">
        <v>0.08</v>
      </c>
      <c r="I14" s="22">
        <f t="shared" ref="I14:I20" si="1">G14*H14</f>
        <v>0.24</v>
      </c>
      <c r="J14" s="149"/>
      <c r="K14" s="150"/>
    </row>
    <row r="15" spans="1:11" ht="13.5" customHeight="1" x14ac:dyDescent="0.15">
      <c r="A15" s="22">
        <v>12</v>
      </c>
      <c r="B15" s="22">
        <v>2</v>
      </c>
      <c r="C15" s="22"/>
      <c r="D15" s="22" t="s">
        <v>359</v>
      </c>
      <c r="E15" s="22"/>
      <c r="F15" s="22"/>
      <c r="G15" s="22"/>
      <c r="H15" s="22">
        <v>0.08</v>
      </c>
      <c r="I15" s="22">
        <f t="shared" si="1"/>
        <v>0</v>
      </c>
      <c r="J15" s="149"/>
      <c r="K15" s="150"/>
    </row>
    <row r="16" spans="1:11" ht="13.5" customHeight="1" x14ac:dyDescent="0.15">
      <c r="A16" s="22">
        <v>13</v>
      </c>
      <c r="B16" s="22"/>
      <c r="C16" s="22"/>
      <c r="D16" s="22" t="s">
        <v>145</v>
      </c>
      <c r="E16" s="22"/>
      <c r="F16" s="22"/>
      <c r="G16" s="22"/>
      <c r="H16" s="22">
        <v>0.08</v>
      </c>
      <c r="I16" s="22">
        <f t="shared" si="1"/>
        <v>0</v>
      </c>
      <c r="J16" s="149"/>
      <c r="K16" s="150"/>
    </row>
    <row r="17" spans="1:11" ht="13.5" customHeight="1" x14ac:dyDescent="0.15">
      <c r="A17" s="22">
        <v>14</v>
      </c>
      <c r="B17" s="22"/>
      <c r="C17" s="22"/>
      <c r="D17" s="22" t="s">
        <v>183</v>
      </c>
      <c r="E17" s="22"/>
      <c r="F17" s="22"/>
      <c r="G17" s="22"/>
      <c r="H17" s="22">
        <v>0.08</v>
      </c>
      <c r="I17" s="22">
        <f t="shared" si="1"/>
        <v>0</v>
      </c>
      <c r="J17" s="149"/>
      <c r="K17" s="150"/>
    </row>
    <row r="18" spans="1:11" ht="13.5" customHeight="1" x14ac:dyDescent="0.15">
      <c r="A18" s="22">
        <v>15</v>
      </c>
      <c r="B18" s="22"/>
      <c r="C18" s="22"/>
      <c r="D18" s="22" t="s">
        <v>296</v>
      </c>
      <c r="E18" s="22"/>
      <c r="F18" s="22"/>
      <c r="G18" s="22"/>
      <c r="H18" s="22">
        <v>0.08</v>
      </c>
      <c r="I18" s="22">
        <f t="shared" si="1"/>
        <v>0</v>
      </c>
      <c r="J18" s="149"/>
      <c r="K18" s="150"/>
    </row>
    <row r="19" spans="1:11" ht="13.5" customHeight="1" x14ac:dyDescent="0.15">
      <c r="A19" s="22">
        <v>16</v>
      </c>
      <c r="B19" s="22"/>
      <c r="C19" s="22"/>
      <c r="D19" s="22" t="s">
        <v>175</v>
      </c>
      <c r="E19" s="22"/>
      <c r="F19" s="22"/>
      <c r="G19" s="22"/>
      <c r="H19" s="22">
        <v>0.08</v>
      </c>
      <c r="I19" s="22">
        <f t="shared" si="1"/>
        <v>0</v>
      </c>
      <c r="J19" s="24"/>
      <c r="K19" s="25"/>
    </row>
    <row r="20" spans="1:11" ht="13.5" customHeight="1" x14ac:dyDescent="0.15">
      <c r="A20" s="22">
        <v>17</v>
      </c>
      <c r="B20" s="22"/>
      <c r="C20" s="22"/>
      <c r="D20" s="22" t="s">
        <v>185</v>
      </c>
      <c r="E20" s="22"/>
      <c r="F20" s="22"/>
      <c r="G20" s="22"/>
      <c r="H20" s="22">
        <v>0.08</v>
      </c>
      <c r="I20" s="22">
        <f t="shared" si="1"/>
        <v>0</v>
      </c>
      <c r="J20" s="149"/>
      <c r="K20" s="150"/>
    </row>
    <row r="21" spans="1:11" ht="13.5" customHeight="1" x14ac:dyDescent="0.15">
      <c r="A21" s="22">
        <v>18</v>
      </c>
      <c r="B21" s="22"/>
      <c r="C21" s="22"/>
      <c r="D21" s="22" t="s">
        <v>360</v>
      </c>
      <c r="E21" s="22"/>
      <c r="F21" s="22"/>
      <c r="G21" s="22"/>
      <c r="H21" s="22">
        <v>0.08</v>
      </c>
      <c r="I21" s="22">
        <v>0.38</v>
      </c>
      <c r="J21" s="149"/>
      <c r="K21" s="150"/>
    </row>
    <row r="22" spans="1:11" ht="13.5" customHeight="1" x14ac:dyDescent="0.15">
      <c r="A22" s="22">
        <v>19</v>
      </c>
      <c r="B22" s="22"/>
      <c r="C22" s="22"/>
      <c r="D22" s="22" t="s">
        <v>187</v>
      </c>
      <c r="E22" s="22" t="s">
        <v>361</v>
      </c>
      <c r="F22" s="22"/>
      <c r="G22" s="22"/>
      <c r="H22" s="22"/>
      <c r="I22" s="22">
        <v>0.4</v>
      </c>
      <c r="J22" s="149" t="s">
        <v>188</v>
      </c>
      <c r="K22" s="150"/>
    </row>
    <row r="23" spans="1:11" ht="13.5" customHeight="1" x14ac:dyDescent="0.15">
      <c r="A23" s="22"/>
      <c r="B23" s="22"/>
      <c r="C23" s="22"/>
      <c r="D23" s="149"/>
      <c r="E23" s="153"/>
      <c r="F23" s="153"/>
      <c r="G23" s="153"/>
      <c r="H23" s="150"/>
      <c r="I23" s="22"/>
      <c r="J23" s="24"/>
      <c r="K23" s="25"/>
    </row>
    <row r="24" spans="1:11" ht="13.5" customHeight="1" x14ac:dyDescent="0.15">
      <c r="A24" s="149" t="s">
        <v>82</v>
      </c>
      <c r="B24" s="153"/>
      <c r="C24" s="153"/>
      <c r="D24" s="153"/>
      <c r="E24" s="153"/>
      <c r="F24" s="153"/>
      <c r="G24" s="153"/>
      <c r="H24" s="150"/>
      <c r="I24" s="22">
        <f>SUM(I8:I23)</f>
        <v>1.1499999999999999</v>
      </c>
      <c r="J24" s="22"/>
      <c r="K24" s="22"/>
    </row>
    <row r="25" spans="1:11" ht="13.5" customHeight="1" x14ac:dyDescent="0.15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0"/>
    </row>
    <row r="26" spans="1:11" ht="13.5" customHeight="1" x14ac:dyDescent="0.15">
      <c r="A26" s="149" t="s">
        <v>83</v>
      </c>
      <c r="B26" s="153"/>
      <c r="C26" s="153"/>
      <c r="D26" s="153"/>
      <c r="E26" s="150"/>
      <c r="F26" s="154" t="s">
        <v>84</v>
      </c>
      <c r="G26" s="154"/>
      <c r="H26" s="22" t="s">
        <v>85</v>
      </c>
      <c r="I26" s="22" t="s">
        <v>86</v>
      </c>
      <c r="J26" s="22" t="s">
        <v>87</v>
      </c>
      <c r="K26" s="25" t="s">
        <v>6</v>
      </c>
    </row>
    <row r="27" spans="1:11" ht="13.5" customHeight="1" x14ac:dyDescent="0.15">
      <c r="A27" s="22" t="s">
        <v>0</v>
      </c>
      <c r="B27" s="22" t="s">
        <v>90</v>
      </c>
      <c r="C27" s="22" t="s">
        <v>91</v>
      </c>
      <c r="D27" s="22" t="s">
        <v>92</v>
      </c>
      <c r="E27" s="22" t="s">
        <v>72</v>
      </c>
      <c r="F27" s="154"/>
      <c r="G27" s="154"/>
      <c r="H27" s="22"/>
      <c r="I27" s="22">
        <v>0.05</v>
      </c>
      <c r="J27" s="36">
        <f t="shared" ref="J27:J31" si="2">I27*H27</f>
        <v>0</v>
      </c>
      <c r="K27" s="22"/>
    </row>
    <row r="28" spans="1:11" ht="13.5" customHeight="1" x14ac:dyDescent="0.15">
      <c r="A28" s="26">
        <v>1</v>
      </c>
      <c r="B28" s="22" t="s">
        <v>362</v>
      </c>
      <c r="C28" s="22">
        <v>1</v>
      </c>
      <c r="D28" s="22">
        <v>4.5</v>
      </c>
      <c r="E28" s="22">
        <f t="shared" ref="E28:E36" si="3">D28*C28</f>
        <v>4.5</v>
      </c>
      <c r="F28" s="149"/>
      <c r="G28" s="150"/>
      <c r="H28" s="22"/>
      <c r="I28" s="22">
        <v>0.05</v>
      </c>
      <c r="J28" s="36">
        <f t="shared" si="2"/>
        <v>0</v>
      </c>
      <c r="K28" s="22"/>
    </row>
    <row r="29" spans="1:11" ht="13.5" customHeight="1" x14ac:dyDescent="0.15">
      <c r="A29" s="26">
        <v>2</v>
      </c>
      <c r="B29" s="22" t="s">
        <v>363</v>
      </c>
      <c r="C29" s="22">
        <v>1</v>
      </c>
      <c r="D29" s="22">
        <v>0.7</v>
      </c>
      <c r="E29" s="22">
        <f t="shared" si="3"/>
        <v>0.7</v>
      </c>
      <c r="F29" s="149"/>
      <c r="G29" s="150"/>
      <c r="H29" s="22"/>
      <c r="I29" s="22">
        <v>0.05</v>
      </c>
      <c r="J29" s="36">
        <f t="shared" si="2"/>
        <v>0</v>
      </c>
      <c r="K29" s="22"/>
    </row>
    <row r="30" spans="1:11" ht="13.5" customHeight="1" x14ac:dyDescent="0.15">
      <c r="A30" s="26">
        <v>3</v>
      </c>
      <c r="B30" s="22" t="s">
        <v>364</v>
      </c>
      <c r="C30" s="22">
        <v>1</v>
      </c>
      <c r="D30" s="22">
        <v>0.9</v>
      </c>
      <c r="E30" s="22">
        <f t="shared" si="3"/>
        <v>0.9</v>
      </c>
      <c r="F30" s="149" t="s">
        <v>191</v>
      </c>
      <c r="G30" s="150"/>
      <c r="H30" s="22">
        <v>80</v>
      </c>
      <c r="I30" s="22">
        <v>0.05</v>
      </c>
      <c r="J30" s="36">
        <f t="shared" si="2"/>
        <v>4</v>
      </c>
      <c r="K30" s="22"/>
    </row>
    <row r="31" spans="1:11" ht="13.5" customHeight="1" x14ac:dyDescent="0.15">
      <c r="A31" s="26">
        <v>4</v>
      </c>
      <c r="B31" s="22" t="s">
        <v>365</v>
      </c>
      <c r="C31" s="22">
        <v>1</v>
      </c>
      <c r="D31" s="22">
        <v>3.5</v>
      </c>
      <c r="E31" s="22">
        <f t="shared" si="3"/>
        <v>3.5</v>
      </c>
      <c r="F31" s="149"/>
      <c r="G31" s="150"/>
      <c r="H31" s="22"/>
      <c r="I31" s="22">
        <v>0.06</v>
      </c>
      <c r="J31" s="36">
        <f t="shared" si="2"/>
        <v>0</v>
      </c>
      <c r="K31" s="22"/>
    </row>
    <row r="32" spans="1:11" ht="13.5" customHeight="1" x14ac:dyDescent="0.15">
      <c r="A32" s="26">
        <v>5</v>
      </c>
      <c r="B32" s="22" t="s">
        <v>366</v>
      </c>
      <c r="C32" s="22">
        <v>1</v>
      </c>
      <c r="D32" s="27">
        <v>0.2</v>
      </c>
      <c r="E32" s="27">
        <f t="shared" si="3"/>
        <v>0.2</v>
      </c>
      <c r="F32" s="149"/>
      <c r="G32" s="150"/>
      <c r="H32" s="22"/>
      <c r="I32" s="22"/>
      <c r="J32" s="36"/>
      <c r="K32" s="22"/>
    </row>
    <row r="33" spans="1:11" ht="13.5" customHeight="1" x14ac:dyDescent="0.15">
      <c r="A33" s="26">
        <v>6</v>
      </c>
      <c r="B33" s="22" t="s">
        <v>193</v>
      </c>
      <c r="C33" s="22">
        <v>5</v>
      </c>
      <c r="D33" s="22">
        <v>0.75</v>
      </c>
      <c r="E33" s="22">
        <f t="shared" si="3"/>
        <v>3.75</v>
      </c>
      <c r="F33" s="149" t="s">
        <v>82</v>
      </c>
      <c r="G33" s="150"/>
      <c r="H33" s="22"/>
      <c r="I33" s="22"/>
      <c r="J33" s="36">
        <f>SUM(J27:J32)</f>
        <v>4</v>
      </c>
      <c r="K33" s="22"/>
    </row>
    <row r="34" spans="1:11" ht="13.5" customHeight="1" x14ac:dyDescent="0.15">
      <c r="A34" s="26">
        <v>7</v>
      </c>
      <c r="B34" s="22" t="s">
        <v>367</v>
      </c>
      <c r="C34" s="22">
        <v>2</v>
      </c>
      <c r="D34" s="22">
        <v>0.1</v>
      </c>
      <c r="E34" s="22">
        <f t="shared" si="3"/>
        <v>0.2</v>
      </c>
      <c r="F34" s="149" t="s">
        <v>119</v>
      </c>
      <c r="G34" s="150"/>
      <c r="H34" s="28" t="s">
        <v>201</v>
      </c>
      <c r="I34" s="22" t="s">
        <v>309</v>
      </c>
      <c r="J34" s="32" t="s">
        <v>87</v>
      </c>
      <c r="K34" s="22" t="s">
        <v>6</v>
      </c>
    </row>
    <row r="35" spans="1:11" ht="13.5" customHeight="1" x14ac:dyDescent="0.15">
      <c r="A35" s="26">
        <v>8</v>
      </c>
      <c r="B35" s="22" t="s">
        <v>103</v>
      </c>
      <c r="C35" s="22">
        <v>10</v>
      </c>
      <c r="D35" s="22">
        <v>0.15</v>
      </c>
      <c r="E35" s="22">
        <f t="shared" si="3"/>
        <v>1.5</v>
      </c>
      <c r="F35" s="149" t="s">
        <v>126</v>
      </c>
      <c r="G35" s="150"/>
      <c r="H35" s="22">
        <v>12</v>
      </c>
      <c r="I35" s="22">
        <v>0.25</v>
      </c>
      <c r="J35" s="22">
        <f>I35*H35</f>
        <v>3</v>
      </c>
      <c r="K35" s="22"/>
    </row>
    <row r="36" spans="1:11" ht="13.5" customHeight="1" x14ac:dyDescent="0.15">
      <c r="A36" s="26">
        <v>9</v>
      </c>
      <c r="B36" s="22"/>
      <c r="C36" s="22"/>
      <c r="D36" s="22"/>
      <c r="E36" s="22">
        <f t="shared" si="3"/>
        <v>0</v>
      </c>
      <c r="F36" s="149"/>
      <c r="G36" s="150"/>
      <c r="H36" s="29"/>
      <c r="I36" s="22"/>
      <c r="J36" s="22"/>
      <c r="K36" s="22"/>
    </row>
    <row r="37" spans="1:11" ht="13.5" customHeight="1" x14ac:dyDescent="0.15">
      <c r="A37" s="26"/>
      <c r="B37" s="22"/>
      <c r="C37" s="22"/>
      <c r="D37" s="22"/>
      <c r="E37" s="22"/>
      <c r="F37" s="145"/>
      <c r="G37" s="146"/>
      <c r="H37" s="22"/>
      <c r="I37" s="22"/>
      <c r="J37" s="22"/>
      <c r="K37" s="22"/>
    </row>
    <row r="38" spans="1:11" ht="13.5" customHeight="1" x14ac:dyDescent="0.15">
      <c r="A38" s="145" t="s">
        <v>82</v>
      </c>
      <c r="B38" s="151"/>
      <c r="C38" s="151"/>
      <c r="D38" s="146"/>
      <c r="E38" s="30">
        <f>SUM(E28:E37)</f>
        <v>15.25</v>
      </c>
    </row>
    <row r="39" spans="1:11" ht="13.5" customHeight="1" x14ac:dyDescent="0.15">
      <c r="A39" s="152" t="s">
        <v>127</v>
      </c>
      <c r="B39" s="152"/>
      <c r="C39" s="31" t="s">
        <v>108</v>
      </c>
      <c r="E39" s="32" t="s">
        <v>128</v>
      </c>
      <c r="F39" s="147">
        <f>C44+C43+C42+C41+C40</f>
        <v>34.805499999999995</v>
      </c>
      <c r="G39" s="147"/>
      <c r="H39" s="147"/>
      <c r="I39" s="147"/>
      <c r="J39" s="147"/>
      <c r="K39" s="147"/>
    </row>
    <row r="40" spans="1:11" ht="13.5" customHeight="1" x14ac:dyDescent="0.15">
      <c r="A40" s="148" t="s">
        <v>131</v>
      </c>
      <c r="B40" s="148"/>
      <c r="C40" s="33">
        <f>K6</f>
        <v>10.735999999999999</v>
      </c>
      <c r="E40" s="34" t="s">
        <v>132</v>
      </c>
      <c r="F40" s="147">
        <f>F39*0.03</f>
        <v>1.0441649999999998</v>
      </c>
      <c r="G40" s="147"/>
      <c r="H40" s="147"/>
      <c r="I40" s="147"/>
      <c r="J40" s="147"/>
      <c r="K40" s="147"/>
    </row>
    <row r="41" spans="1:11" ht="13.5" customHeight="1" x14ac:dyDescent="0.15">
      <c r="A41" s="148" t="s">
        <v>133</v>
      </c>
      <c r="B41" s="148"/>
      <c r="C41" s="33">
        <f>I24*1.13</f>
        <v>1.2994999999999999</v>
      </c>
      <c r="E41" s="34" t="s">
        <v>134</v>
      </c>
      <c r="F41" s="147">
        <f>F39*0.06</f>
        <v>2.0883299999999996</v>
      </c>
      <c r="G41" s="147"/>
      <c r="H41" s="147"/>
      <c r="I41" s="147"/>
      <c r="J41" s="147"/>
      <c r="K41" s="147"/>
    </row>
    <row r="42" spans="1:11" ht="13.5" customHeight="1" x14ac:dyDescent="0.15">
      <c r="A42" s="148" t="s">
        <v>135</v>
      </c>
      <c r="B42" s="148"/>
      <c r="C42" s="33">
        <f>E38</f>
        <v>15.25</v>
      </c>
      <c r="E42" s="34" t="s">
        <v>136</v>
      </c>
      <c r="F42" s="147">
        <f>F39*0.02</f>
        <v>0.6961099999999999</v>
      </c>
      <c r="G42" s="147"/>
      <c r="H42" s="147"/>
      <c r="I42" s="147"/>
      <c r="J42" s="147"/>
      <c r="K42" s="147"/>
    </row>
    <row r="43" spans="1:11" ht="13.5" customHeight="1" x14ac:dyDescent="0.15">
      <c r="A43" s="148" t="s">
        <v>138</v>
      </c>
      <c r="B43" s="148"/>
      <c r="C43" s="33">
        <f>J33*1.13</f>
        <v>4.5199999999999996</v>
      </c>
      <c r="E43" s="34" t="s">
        <v>5</v>
      </c>
      <c r="F43" s="147"/>
      <c r="G43" s="147"/>
      <c r="H43" s="147"/>
      <c r="I43" s="147"/>
      <c r="J43" s="147"/>
      <c r="K43" s="147"/>
    </row>
    <row r="44" spans="1:11" ht="13.5" customHeight="1" x14ac:dyDescent="0.15">
      <c r="A44" s="148" t="s">
        <v>119</v>
      </c>
      <c r="B44" s="148"/>
      <c r="C44" s="33">
        <f>J35+J37</f>
        <v>3</v>
      </c>
      <c r="E44" s="34" t="s">
        <v>139</v>
      </c>
      <c r="F44" s="147">
        <f>F43+F42+F41+F40+F39</f>
        <v>38.634104999999991</v>
      </c>
      <c r="G44" s="147"/>
      <c r="H44" s="147"/>
      <c r="I44" s="147"/>
      <c r="J44" s="147"/>
      <c r="K44" s="147"/>
    </row>
    <row r="45" spans="1:11" x14ac:dyDescent="0.15">
      <c r="A45" s="161"/>
      <c r="B45" s="161"/>
      <c r="I45" t="s">
        <v>368</v>
      </c>
    </row>
    <row r="46" spans="1:11" x14ac:dyDescent="0.15">
      <c r="A46" s="161"/>
      <c r="B46" s="161"/>
    </row>
    <row r="47" spans="1:11" x14ac:dyDescent="0.15">
      <c r="A47" s="161"/>
      <c r="B47" s="161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6:B46"/>
    <mergeCell ref="A47:B47"/>
    <mergeCell ref="A43:B43"/>
    <mergeCell ref="F43:K43"/>
    <mergeCell ref="A44:B44"/>
    <mergeCell ref="F44:K44"/>
    <mergeCell ref="A45:B4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workbookViewId="0">
      <selection activeCell="M35" sqref="M35"/>
    </sheetView>
  </sheetViews>
  <sheetFormatPr defaultColWidth="9" defaultRowHeight="13.5" x14ac:dyDescent="0.1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spans="1:11" ht="36" customHeight="1" x14ac:dyDescent="0.15">
      <c r="A1" s="162" t="s">
        <v>44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1" ht="13.5" customHeight="1" x14ac:dyDescent="0.15">
      <c r="A3" s="22">
        <v>1</v>
      </c>
      <c r="B3" s="22" t="s">
        <v>369</v>
      </c>
      <c r="C3" s="22"/>
      <c r="D3" s="22" t="s">
        <v>213</v>
      </c>
      <c r="E3" s="23">
        <v>6.1</v>
      </c>
      <c r="F3" s="23">
        <v>1.03</v>
      </c>
      <c r="G3" s="23">
        <f>E3*F3</f>
        <v>6.2829999999999995</v>
      </c>
      <c r="H3" s="23">
        <v>1.03</v>
      </c>
      <c r="I3" s="23">
        <f>F3-H3</f>
        <v>0</v>
      </c>
      <c r="J3" s="23">
        <f>I3*1.1</f>
        <v>0</v>
      </c>
      <c r="K3" s="23">
        <f>G3-J3</f>
        <v>6.2829999999999995</v>
      </c>
    </row>
    <row r="4" spans="1:11" ht="13.5" customHeight="1" x14ac:dyDescent="0.15">
      <c r="A4" s="22">
        <v>2</v>
      </c>
      <c r="B4" s="22" t="s">
        <v>370</v>
      </c>
      <c r="C4" s="22"/>
      <c r="D4" s="22" t="s">
        <v>213</v>
      </c>
      <c r="E4" s="23">
        <v>6.1</v>
      </c>
      <c r="F4" s="23">
        <v>0.49</v>
      </c>
      <c r="G4" s="23">
        <f>E4*F4</f>
        <v>2.9889999999999999</v>
      </c>
      <c r="H4" s="23">
        <v>0.49</v>
      </c>
      <c r="I4" s="23">
        <f>F4-H4</f>
        <v>0</v>
      </c>
      <c r="J4" s="23">
        <f>I4*1.1</f>
        <v>0</v>
      </c>
      <c r="K4" s="23">
        <f>G4-J4</f>
        <v>2.9889999999999999</v>
      </c>
    </row>
    <row r="5" spans="1:11" ht="13.5" customHeight="1" x14ac:dyDescent="0.15">
      <c r="A5" s="22">
        <v>3</v>
      </c>
      <c r="B5" s="22"/>
      <c r="C5" s="22"/>
      <c r="D5" s="22"/>
      <c r="E5" s="23"/>
      <c r="F5" s="23"/>
      <c r="G5" s="23"/>
      <c r="H5" s="23"/>
      <c r="I5" s="23">
        <f>F5-H5</f>
        <v>0</v>
      </c>
      <c r="J5" s="23">
        <f>I5*1.1</f>
        <v>0</v>
      </c>
      <c r="K5" s="23">
        <f>G5-J5</f>
        <v>0</v>
      </c>
    </row>
    <row r="6" spans="1:11" ht="13.5" customHeight="1" x14ac:dyDescent="0.15">
      <c r="A6" s="149" t="s">
        <v>82</v>
      </c>
      <c r="B6" s="153"/>
      <c r="C6" s="153"/>
      <c r="D6" s="153"/>
      <c r="E6" s="153"/>
      <c r="F6" s="153"/>
      <c r="G6" s="153"/>
      <c r="H6" s="153"/>
      <c r="I6" s="153"/>
      <c r="J6" s="150"/>
      <c r="K6" s="23">
        <f>SUM(K3:K5)</f>
        <v>9.2719999999999985</v>
      </c>
    </row>
    <row r="7" spans="1:11" ht="13.5" customHeight="1" x14ac:dyDescent="0.15">
      <c r="A7" s="22" t="s">
        <v>0</v>
      </c>
      <c r="B7" s="22" t="s">
        <v>52</v>
      </c>
      <c r="C7" s="22" t="s">
        <v>53</v>
      </c>
      <c r="D7" s="22" t="s">
        <v>67</v>
      </c>
      <c r="E7" s="22" t="s">
        <v>68</v>
      </c>
      <c r="F7" s="22" t="s">
        <v>69</v>
      </c>
      <c r="G7" s="22" t="s">
        <v>70</v>
      </c>
      <c r="H7" s="22" t="s">
        <v>71</v>
      </c>
      <c r="I7" s="22" t="s">
        <v>72</v>
      </c>
      <c r="J7" s="149" t="s">
        <v>6</v>
      </c>
      <c r="K7" s="150"/>
    </row>
    <row r="8" spans="1:11" ht="13.5" customHeight="1" x14ac:dyDescent="0.15">
      <c r="A8" s="22">
        <v>1</v>
      </c>
      <c r="B8" s="22"/>
      <c r="C8" s="22"/>
      <c r="D8" s="22"/>
      <c r="E8" s="22" t="s">
        <v>160</v>
      </c>
      <c r="F8" s="22" t="s">
        <v>161</v>
      </c>
      <c r="G8" s="22"/>
      <c r="H8" s="22" t="s">
        <v>162</v>
      </c>
      <c r="I8" s="22"/>
      <c r="J8" s="149"/>
      <c r="K8" s="150"/>
    </row>
    <row r="9" spans="1:11" ht="13.5" customHeight="1" x14ac:dyDescent="0.15">
      <c r="A9" s="22">
        <v>2</v>
      </c>
      <c r="B9" s="22"/>
      <c r="C9" s="22"/>
      <c r="D9" s="22"/>
      <c r="E9" s="22" t="s">
        <v>160</v>
      </c>
      <c r="F9" s="22" t="s">
        <v>164</v>
      </c>
      <c r="G9" s="22"/>
      <c r="H9" s="22" t="s">
        <v>165</v>
      </c>
      <c r="I9" s="22"/>
      <c r="J9" s="149"/>
      <c r="K9" s="150"/>
    </row>
    <row r="10" spans="1:11" ht="13.5" customHeight="1" x14ac:dyDescent="0.15">
      <c r="A10" s="22">
        <v>7</v>
      </c>
      <c r="B10" s="22"/>
      <c r="C10" s="22"/>
      <c r="D10" s="22"/>
      <c r="E10" s="22" t="s">
        <v>170</v>
      </c>
      <c r="F10" s="22" t="s">
        <v>176</v>
      </c>
      <c r="G10" s="22"/>
      <c r="H10" s="22">
        <v>0.08</v>
      </c>
      <c r="I10" s="22">
        <f t="shared" ref="I10:I21" si="0">G10*H10</f>
        <v>0</v>
      </c>
      <c r="J10" s="149"/>
      <c r="K10" s="150"/>
    </row>
    <row r="11" spans="1:11" ht="13.5" customHeight="1" x14ac:dyDescent="0.15">
      <c r="A11" s="22">
        <v>8</v>
      </c>
      <c r="B11" s="22"/>
      <c r="C11" s="22"/>
      <c r="D11" s="22"/>
      <c r="E11" s="22" t="s">
        <v>170</v>
      </c>
      <c r="F11" s="22" t="s">
        <v>177</v>
      </c>
      <c r="G11" s="22"/>
      <c r="H11" s="22">
        <v>0.08</v>
      </c>
      <c r="I11" s="22">
        <f t="shared" si="0"/>
        <v>0</v>
      </c>
      <c r="J11" s="149"/>
      <c r="K11" s="150"/>
    </row>
    <row r="12" spans="1:11" ht="13.5" customHeight="1" x14ac:dyDescent="0.15">
      <c r="A12" s="22">
        <v>9</v>
      </c>
      <c r="B12" s="22"/>
      <c r="C12" s="22"/>
      <c r="D12" s="22"/>
      <c r="E12" s="22" t="s">
        <v>170</v>
      </c>
      <c r="F12" s="22" t="s">
        <v>178</v>
      </c>
      <c r="G12" s="22"/>
      <c r="H12" s="22">
        <v>0.05</v>
      </c>
      <c r="I12" s="22">
        <f t="shared" si="0"/>
        <v>0</v>
      </c>
      <c r="J12" s="149"/>
      <c r="K12" s="150"/>
    </row>
    <row r="13" spans="1:11" ht="13.5" customHeight="1" x14ac:dyDescent="0.15">
      <c r="A13" s="22">
        <v>10</v>
      </c>
      <c r="B13" s="22">
        <v>1.2</v>
      </c>
      <c r="C13" s="22"/>
      <c r="D13" s="22" t="s">
        <v>179</v>
      </c>
      <c r="E13" s="22"/>
      <c r="F13" s="22"/>
      <c r="G13" s="22"/>
      <c r="H13" s="22">
        <v>0.08</v>
      </c>
      <c r="I13" s="22">
        <v>0.13</v>
      </c>
      <c r="J13" s="149" t="s">
        <v>180</v>
      </c>
      <c r="K13" s="150"/>
    </row>
    <row r="14" spans="1:11" ht="13.5" customHeight="1" x14ac:dyDescent="0.15">
      <c r="A14" s="22">
        <v>11</v>
      </c>
      <c r="B14" s="22" t="s">
        <v>292</v>
      </c>
      <c r="C14" s="22"/>
      <c r="D14" s="22" t="s">
        <v>75</v>
      </c>
      <c r="E14" s="22"/>
      <c r="F14" s="22"/>
      <c r="G14" s="22">
        <v>5</v>
      </c>
      <c r="H14" s="22">
        <v>0.08</v>
      </c>
      <c r="I14" s="22">
        <f t="shared" si="0"/>
        <v>0.4</v>
      </c>
      <c r="J14" s="149"/>
      <c r="K14" s="150"/>
    </row>
    <row r="15" spans="1:11" ht="13.5" customHeight="1" x14ac:dyDescent="0.15">
      <c r="A15" s="22">
        <v>12</v>
      </c>
      <c r="B15" s="22">
        <v>2</v>
      </c>
      <c r="C15" s="22"/>
      <c r="D15" s="22" t="s">
        <v>359</v>
      </c>
      <c r="E15" s="22"/>
      <c r="F15" s="22"/>
      <c r="G15" s="22">
        <v>1</v>
      </c>
      <c r="H15" s="22">
        <v>0.08</v>
      </c>
      <c r="I15" s="22">
        <f t="shared" si="0"/>
        <v>0.08</v>
      </c>
      <c r="J15" s="149"/>
      <c r="K15" s="150"/>
    </row>
    <row r="16" spans="1:11" ht="13.5" customHeight="1" x14ac:dyDescent="0.15">
      <c r="A16" s="22">
        <v>13</v>
      </c>
      <c r="B16" s="22"/>
      <c r="C16" s="22"/>
      <c r="D16" s="22" t="s">
        <v>145</v>
      </c>
      <c r="E16" s="22"/>
      <c r="F16" s="22"/>
      <c r="G16" s="22"/>
      <c r="H16" s="22">
        <v>0.08</v>
      </c>
      <c r="I16" s="22">
        <f t="shared" si="0"/>
        <v>0</v>
      </c>
      <c r="J16" s="149"/>
      <c r="K16" s="150"/>
    </row>
    <row r="17" spans="1:11" ht="13.5" customHeight="1" x14ac:dyDescent="0.15">
      <c r="A17" s="22">
        <v>14</v>
      </c>
      <c r="B17" s="22"/>
      <c r="C17" s="22"/>
      <c r="D17" s="22" t="s">
        <v>183</v>
      </c>
      <c r="E17" s="22"/>
      <c r="F17" s="22"/>
      <c r="G17" s="22"/>
      <c r="H17" s="22">
        <v>0.08</v>
      </c>
      <c r="I17" s="22">
        <f t="shared" si="0"/>
        <v>0</v>
      </c>
      <c r="J17" s="149"/>
      <c r="K17" s="150"/>
    </row>
    <row r="18" spans="1:11" ht="13.5" customHeight="1" x14ac:dyDescent="0.15">
      <c r="A18" s="22">
        <v>15</v>
      </c>
      <c r="B18" s="22"/>
      <c r="C18" s="22"/>
      <c r="D18" s="22" t="s">
        <v>296</v>
      </c>
      <c r="E18" s="22"/>
      <c r="F18" s="22"/>
      <c r="G18" s="22"/>
      <c r="H18" s="22">
        <v>0.08</v>
      </c>
      <c r="I18" s="22">
        <f t="shared" si="0"/>
        <v>0</v>
      </c>
      <c r="J18" s="149"/>
      <c r="K18" s="150"/>
    </row>
    <row r="19" spans="1:11" ht="13.5" customHeight="1" x14ac:dyDescent="0.15">
      <c r="A19" s="22">
        <v>16</v>
      </c>
      <c r="B19" s="22"/>
      <c r="C19" s="22"/>
      <c r="D19" s="22" t="s">
        <v>175</v>
      </c>
      <c r="E19" s="22"/>
      <c r="F19" s="22"/>
      <c r="G19" s="22"/>
      <c r="H19" s="22">
        <v>0.08</v>
      </c>
      <c r="I19" s="22">
        <f t="shared" si="0"/>
        <v>0</v>
      </c>
      <c r="J19" s="24"/>
      <c r="K19" s="25"/>
    </row>
    <row r="20" spans="1:11" ht="13.5" customHeight="1" x14ac:dyDescent="0.15">
      <c r="A20" s="22">
        <v>17</v>
      </c>
      <c r="B20" s="22"/>
      <c r="C20" s="22"/>
      <c r="D20" s="22" t="s">
        <v>185</v>
      </c>
      <c r="E20" s="22"/>
      <c r="F20" s="22"/>
      <c r="G20" s="22"/>
      <c r="H20" s="22">
        <v>0.08</v>
      </c>
      <c r="I20" s="22">
        <f t="shared" si="0"/>
        <v>0</v>
      </c>
      <c r="J20" s="149"/>
      <c r="K20" s="150"/>
    </row>
    <row r="21" spans="1:11" ht="13.5" customHeight="1" x14ac:dyDescent="0.15">
      <c r="A21" s="22">
        <v>18</v>
      </c>
      <c r="B21" s="22"/>
      <c r="C21" s="22"/>
      <c r="D21" s="22"/>
      <c r="E21" s="22"/>
      <c r="F21" s="22"/>
      <c r="G21" s="22"/>
      <c r="H21" s="22">
        <v>0.08</v>
      </c>
      <c r="I21" s="22">
        <f t="shared" si="0"/>
        <v>0</v>
      </c>
      <c r="J21" s="149"/>
      <c r="K21" s="150"/>
    </row>
    <row r="22" spans="1:11" ht="13.5" customHeight="1" x14ac:dyDescent="0.15">
      <c r="A22" s="22">
        <v>19</v>
      </c>
      <c r="B22" s="22"/>
      <c r="C22" s="22"/>
      <c r="D22" s="22" t="s">
        <v>187</v>
      </c>
      <c r="E22" s="22"/>
      <c r="F22" s="22"/>
      <c r="G22" s="22"/>
      <c r="H22" s="22"/>
      <c r="I22" s="22">
        <v>0.4</v>
      </c>
      <c r="J22" s="149" t="s">
        <v>188</v>
      </c>
      <c r="K22" s="150"/>
    </row>
    <row r="23" spans="1:11" ht="13.5" customHeight="1" x14ac:dyDescent="0.15">
      <c r="A23" s="22"/>
      <c r="B23" s="22"/>
      <c r="C23" s="22"/>
      <c r="D23" s="149"/>
      <c r="E23" s="153"/>
      <c r="F23" s="153"/>
      <c r="G23" s="153"/>
      <c r="H23" s="150"/>
      <c r="I23" s="22"/>
      <c r="J23" s="24"/>
      <c r="K23" s="25"/>
    </row>
    <row r="24" spans="1:11" ht="13.5" customHeight="1" x14ac:dyDescent="0.15">
      <c r="A24" s="149" t="s">
        <v>82</v>
      </c>
      <c r="B24" s="153"/>
      <c r="C24" s="153"/>
      <c r="D24" s="153"/>
      <c r="E24" s="153"/>
      <c r="F24" s="153"/>
      <c r="G24" s="153"/>
      <c r="H24" s="150"/>
      <c r="I24" s="22">
        <f>SUM(I8:I23)</f>
        <v>1.01</v>
      </c>
      <c r="J24" s="22"/>
      <c r="K24" s="22"/>
    </row>
    <row r="25" spans="1:11" ht="13.5" customHeight="1" x14ac:dyDescent="0.15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0"/>
    </row>
    <row r="26" spans="1:11" ht="13.5" customHeight="1" x14ac:dyDescent="0.15">
      <c r="A26" s="149" t="s">
        <v>83</v>
      </c>
      <c r="B26" s="153"/>
      <c r="C26" s="153"/>
      <c r="D26" s="153"/>
      <c r="E26" s="150"/>
      <c r="F26" s="154" t="s">
        <v>84</v>
      </c>
      <c r="G26" s="154"/>
      <c r="H26" s="22" t="s">
        <v>85</v>
      </c>
      <c r="I26" s="22" t="s">
        <v>86</v>
      </c>
      <c r="J26" s="22" t="s">
        <v>87</v>
      </c>
      <c r="K26" s="25" t="s">
        <v>6</v>
      </c>
    </row>
    <row r="27" spans="1:11" ht="13.5" customHeight="1" x14ac:dyDescent="0.15">
      <c r="A27" s="22" t="s">
        <v>0</v>
      </c>
      <c r="B27" s="22" t="s">
        <v>90</v>
      </c>
      <c r="C27" s="22" t="s">
        <v>91</v>
      </c>
      <c r="D27" s="22" t="s">
        <v>92</v>
      </c>
      <c r="E27" s="22" t="s">
        <v>72</v>
      </c>
      <c r="F27" s="154"/>
      <c r="G27" s="154"/>
      <c r="H27" s="22"/>
      <c r="I27" s="22">
        <v>0.05</v>
      </c>
      <c r="J27" s="36">
        <f>I27*H27</f>
        <v>0</v>
      </c>
      <c r="K27" s="22"/>
    </row>
    <row r="28" spans="1:11" ht="13.5" customHeight="1" x14ac:dyDescent="0.15">
      <c r="A28" s="26">
        <v>1</v>
      </c>
      <c r="B28" s="22" t="s">
        <v>371</v>
      </c>
      <c r="C28" s="22">
        <v>1</v>
      </c>
      <c r="D28" s="22">
        <v>3.5</v>
      </c>
      <c r="E28" s="22">
        <f>D28*C28</f>
        <v>3.5</v>
      </c>
      <c r="F28" s="149"/>
      <c r="G28" s="150"/>
      <c r="H28" s="22"/>
      <c r="I28" s="22">
        <v>0.05</v>
      </c>
      <c r="J28" s="36">
        <f t="shared" ref="J28:J31" si="1">I28*H28</f>
        <v>0</v>
      </c>
      <c r="K28" s="22"/>
    </row>
    <row r="29" spans="1:11" ht="13.5" customHeight="1" x14ac:dyDescent="0.15">
      <c r="A29" s="26">
        <v>2</v>
      </c>
      <c r="B29" s="22" t="s">
        <v>372</v>
      </c>
      <c r="C29" s="22">
        <v>4</v>
      </c>
      <c r="D29" s="22">
        <v>0.15</v>
      </c>
      <c r="E29" s="22">
        <f t="shared" ref="E29:E36" si="2">D29*C29</f>
        <v>0.6</v>
      </c>
      <c r="F29" s="149"/>
      <c r="G29" s="150"/>
      <c r="H29" s="22"/>
      <c r="I29" s="22">
        <v>0.05</v>
      </c>
      <c r="J29" s="36">
        <f t="shared" si="1"/>
        <v>0</v>
      </c>
      <c r="K29" s="22"/>
    </row>
    <row r="30" spans="1:11" ht="13.5" customHeight="1" x14ac:dyDescent="0.15">
      <c r="A30" s="26">
        <v>3</v>
      </c>
      <c r="B30" s="22" t="s">
        <v>373</v>
      </c>
      <c r="C30" s="22">
        <v>4</v>
      </c>
      <c r="D30" s="22">
        <v>1</v>
      </c>
      <c r="E30" s="22">
        <f t="shared" si="2"/>
        <v>4</v>
      </c>
      <c r="F30" s="149" t="s">
        <v>191</v>
      </c>
      <c r="G30" s="150"/>
      <c r="H30" s="22">
        <v>78</v>
      </c>
      <c r="I30" s="22">
        <v>0.05</v>
      </c>
      <c r="J30" s="36">
        <f t="shared" si="1"/>
        <v>3.9000000000000004</v>
      </c>
      <c r="K30" s="22"/>
    </row>
    <row r="31" spans="1:11" ht="13.5" customHeight="1" x14ac:dyDescent="0.15">
      <c r="A31" s="26">
        <v>4</v>
      </c>
      <c r="B31" s="22"/>
      <c r="C31" s="22"/>
      <c r="D31" s="22"/>
      <c r="E31" s="22">
        <f t="shared" si="2"/>
        <v>0</v>
      </c>
      <c r="F31" s="149"/>
      <c r="G31" s="150"/>
      <c r="H31" s="22"/>
      <c r="I31" s="22">
        <v>0.06</v>
      </c>
      <c r="J31" s="36">
        <f t="shared" si="1"/>
        <v>0</v>
      </c>
      <c r="K31" s="22"/>
    </row>
    <row r="32" spans="1:11" ht="13.5" customHeight="1" x14ac:dyDescent="0.15">
      <c r="A32" s="26">
        <v>5</v>
      </c>
      <c r="B32" s="22"/>
      <c r="C32" s="22"/>
      <c r="D32" s="27"/>
      <c r="E32" s="27">
        <f t="shared" si="2"/>
        <v>0</v>
      </c>
      <c r="F32" s="149"/>
      <c r="G32" s="150"/>
      <c r="H32" s="22"/>
      <c r="I32" s="22"/>
      <c r="J32" s="36"/>
      <c r="K32" s="22"/>
    </row>
    <row r="33" spans="1:11" ht="13.5" customHeight="1" x14ac:dyDescent="0.15">
      <c r="A33" s="26">
        <v>6</v>
      </c>
      <c r="B33" s="22"/>
      <c r="C33" s="22"/>
      <c r="D33" s="22"/>
      <c r="E33" s="22">
        <f t="shared" si="2"/>
        <v>0</v>
      </c>
      <c r="F33" s="149" t="s">
        <v>82</v>
      </c>
      <c r="G33" s="150"/>
      <c r="H33" s="22"/>
      <c r="I33" s="22"/>
      <c r="J33" s="36">
        <f>SUM(J27:J32)</f>
        <v>3.9000000000000004</v>
      </c>
      <c r="K33" s="22"/>
    </row>
    <row r="34" spans="1:11" ht="13.5" customHeight="1" x14ac:dyDescent="0.15">
      <c r="A34" s="26">
        <v>7</v>
      </c>
      <c r="B34" s="22"/>
      <c r="C34" s="22"/>
      <c r="D34" s="22"/>
      <c r="E34" s="22">
        <f t="shared" si="2"/>
        <v>0</v>
      </c>
      <c r="F34" s="149" t="s">
        <v>119</v>
      </c>
      <c r="G34" s="150"/>
      <c r="H34" s="28" t="s">
        <v>201</v>
      </c>
      <c r="I34" s="22" t="s">
        <v>309</v>
      </c>
      <c r="J34" s="32" t="s">
        <v>87</v>
      </c>
      <c r="K34" s="22" t="s">
        <v>6</v>
      </c>
    </row>
    <row r="35" spans="1:11" ht="13.5" customHeight="1" x14ac:dyDescent="0.15">
      <c r="A35" s="26">
        <v>8</v>
      </c>
      <c r="B35" s="22"/>
      <c r="C35" s="22"/>
      <c r="D35" s="22"/>
      <c r="E35" s="22">
        <f t="shared" si="2"/>
        <v>0</v>
      </c>
      <c r="F35" s="149" t="s">
        <v>126</v>
      </c>
      <c r="G35" s="150"/>
      <c r="H35" s="22">
        <v>12</v>
      </c>
      <c r="I35" s="22">
        <v>0.2</v>
      </c>
      <c r="J35" s="22">
        <f>I35*H35</f>
        <v>2.4000000000000004</v>
      </c>
      <c r="K35" s="22"/>
    </row>
    <row r="36" spans="1:11" ht="13.5" customHeight="1" x14ac:dyDescent="0.15">
      <c r="A36" s="26">
        <v>9</v>
      </c>
      <c r="B36" s="22"/>
      <c r="C36" s="22"/>
      <c r="D36" s="22"/>
      <c r="E36" s="22">
        <f t="shared" si="2"/>
        <v>0</v>
      </c>
      <c r="F36" s="149"/>
      <c r="G36" s="150"/>
      <c r="H36" s="29"/>
      <c r="I36" s="22"/>
      <c r="J36" s="22"/>
      <c r="K36" s="22"/>
    </row>
    <row r="37" spans="1:11" ht="13.5" customHeight="1" x14ac:dyDescent="0.15">
      <c r="A37" s="26"/>
      <c r="B37" s="22"/>
      <c r="C37" s="22"/>
      <c r="D37" s="22"/>
      <c r="E37" s="22"/>
      <c r="F37" s="145"/>
      <c r="G37" s="146"/>
      <c r="H37" s="22"/>
      <c r="I37" s="22"/>
      <c r="J37" s="22"/>
      <c r="K37" s="22"/>
    </row>
    <row r="38" spans="1:11" ht="13.5" customHeight="1" x14ac:dyDescent="0.15">
      <c r="A38" s="145" t="s">
        <v>82</v>
      </c>
      <c r="B38" s="151"/>
      <c r="C38" s="151"/>
      <c r="D38" s="146"/>
      <c r="E38" s="30">
        <f>SUM(E28:E37)</f>
        <v>8.1</v>
      </c>
    </row>
    <row r="39" spans="1:11" ht="13.5" customHeight="1" x14ac:dyDescent="0.15">
      <c r="A39" s="152" t="s">
        <v>127</v>
      </c>
      <c r="B39" s="152"/>
      <c r="C39" s="31" t="s">
        <v>108</v>
      </c>
      <c r="E39" s="32" t="s">
        <v>128</v>
      </c>
      <c r="F39" s="147">
        <f>C44+C43+C42+C41+C40</f>
        <v>25.3203</v>
      </c>
      <c r="G39" s="147"/>
      <c r="H39" s="147"/>
      <c r="I39" s="147"/>
      <c r="J39" s="147"/>
      <c r="K39" s="147"/>
    </row>
    <row r="40" spans="1:11" ht="13.5" customHeight="1" x14ac:dyDescent="0.15">
      <c r="A40" s="148" t="s">
        <v>131</v>
      </c>
      <c r="B40" s="148"/>
      <c r="C40" s="33">
        <f>K6</f>
        <v>9.2719999999999985</v>
      </c>
      <c r="E40" s="34" t="s">
        <v>132</v>
      </c>
      <c r="F40" s="147">
        <f>F39*0.03</f>
        <v>0.75960899999999998</v>
      </c>
      <c r="G40" s="147"/>
      <c r="H40" s="147"/>
      <c r="I40" s="147"/>
      <c r="J40" s="147"/>
      <c r="K40" s="147"/>
    </row>
    <row r="41" spans="1:11" ht="13.5" customHeight="1" x14ac:dyDescent="0.15">
      <c r="A41" s="148" t="s">
        <v>133</v>
      </c>
      <c r="B41" s="148"/>
      <c r="C41" s="33">
        <f>I24*1.13</f>
        <v>1.1413</v>
      </c>
      <c r="E41" s="34" t="s">
        <v>134</v>
      </c>
      <c r="F41" s="147">
        <f>F39*0.06</f>
        <v>1.519218</v>
      </c>
      <c r="G41" s="147"/>
      <c r="H41" s="147"/>
      <c r="I41" s="147"/>
      <c r="J41" s="147"/>
      <c r="K41" s="147"/>
    </row>
    <row r="42" spans="1:11" ht="13.5" customHeight="1" x14ac:dyDescent="0.15">
      <c r="A42" s="148" t="s">
        <v>135</v>
      </c>
      <c r="B42" s="148"/>
      <c r="C42" s="33">
        <f>E38</f>
        <v>8.1</v>
      </c>
      <c r="E42" s="34" t="s">
        <v>136</v>
      </c>
      <c r="F42" s="147">
        <f>F39*0.02</f>
        <v>0.50640600000000002</v>
      </c>
      <c r="G42" s="147"/>
      <c r="H42" s="147"/>
      <c r="I42" s="147"/>
      <c r="J42" s="147"/>
      <c r="K42" s="147"/>
    </row>
    <row r="43" spans="1:11" ht="13.5" customHeight="1" x14ac:dyDescent="0.15">
      <c r="A43" s="148" t="s">
        <v>138</v>
      </c>
      <c r="B43" s="148"/>
      <c r="C43" s="33">
        <f>J33*1.13</f>
        <v>4.407</v>
      </c>
      <c r="E43" s="34" t="s">
        <v>5</v>
      </c>
      <c r="F43" s="147"/>
      <c r="G43" s="147"/>
      <c r="H43" s="147"/>
      <c r="I43" s="147"/>
      <c r="J43" s="147"/>
      <c r="K43" s="147"/>
    </row>
    <row r="44" spans="1:11" ht="13.5" customHeight="1" x14ac:dyDescent="0.15">
      <c r="A44" s="148" t="s">
        <v>119</v>
      </c>
      <c r="B44" s="148"/>
      <c r="C44" s="33">
        <f>J35+J37</f>
        <v>2.4000000000000004</v>
      </c>
      <c r="E44" s="34" t="s">
        <v>139</v>
      </c>
      <c r="F44" s="147">
        <f>F43+F42+F41+F40+F39</f>
        <v>28.105533000000001</v>
      </c>
      <c r="G44" s="147"/>
      <c r="H44" s="147"/>
      <c r="I44" s="147"/>
      <c r="J44" s="147"/>
      <c r="K44" s="147"/>
    </row>
    <row r="45" spans="1:11" x14ac:dyDescent="0.15">
      <c r="A45" s="161"/>
      <c r="B45" s="161"/>
      <c r="I45" t="s">
        <v>374</v>
      </c>
    </row>
    <row r="46" spans="1:11" x14ac:dyDescent="0.15">
      <c r="A46" s="161"/>
      <c r="B46" s="161"/>
    </row>
    <row r="47" spans="1:11" x14ac:dyDescent="0.15">
      <c r="A47" s="161"/>
      <c r="B47" s="161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6:B46"/>
    <mergeCell ref="A47:B47"/>
    <mergeCell ref="A43:B43"/>
    <mergeCell ref="F43:K43"/>
    <mergeCell ref="A44:B44"/>
    <mergeCell ref="F44:K44"/>
    <mergeCell ref="A45:B4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workbookViewId="0">
      <selection activeCell="D39" sqref="D39:D44"/>
    </sheetView>
  </sheetViews>
  <sheetFormatPr defaultColWidth="9" defaultRowHeight="13.5" x14ac:dyDescent="0.15"/>
  <cols>
    <col min="1" max="1" width="3.125" customWidth="1"/>
    <col min="2" max="2" width="17.125" customWidth="1"/>
    <col min="3" max="3" width="9.875" customWidth="1"/>
    <col min="4" max="4" width="11" customWidth="1"/>
    <col min="5" max="11" width="12.25" customWidth="1"/>
    <col min="12" max="12" width="5.875" customWidth="1"/>
  </cols>
  <sheetData>
    <row r="1" spans="1:11" ht="36" customHeight="1" x14ac:dyDescent="0.15">
      <c r="A1" s="162" t="s">
        <v>375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1" ht="13.5" customHeight="1" x14ac:dyDescent="0.15">
      <c r="A3" s="22">
        <v>1</v>
      </c>
      <c r="B3" s="22" t="s">
        <v>357</v>
      </c>
      <c r="C3" s="22"/>
      <c r="D3" s="22" t="s">
        <v>213</v>
      </c>
      <c r="E3" s="23">
        <v>6.1</v>
      </c>
      <c r="F3" s="23">
        <v>1.21</v>
      </c>
      <c r="G3" s="23">
        <f>E3*F3</f>
        <v>7.3809999999999993</v>
      </c>
      <c r="H3" s="23">
        <v>1.21</v>
      </c>
      <c r="I3" s="23">
        <f>F3-H3</f>
        <v>0</v>
      </c>
      <c r="J3" s="23">
        <f>I3*1.1</f>
        <v>0</v>
      </c>
      <c r="K3" s="23">
        <f>G3-J3</f>
        <v>7.3809999999999993</v>
      </c>
    </row>
    <row r="4" spans="1:11" ht="13.5" customHeight="1" x14ac:dyDescent="0.15">
      <c r="A4" s="22">
        <v>2</v>
      </c>
      <c r="B4" s="22" t="s">
        <v>358</v>
      </c>
      <c r="C4" s="22"/>
      <c r="D4" s="22" t="s">
        <v>213</v>
      </c>
      <c r="E4" s="23">
        <v>6.1</v>
      </c>
      <c r="F4" s="23">
        <v>0.55000000000000004</v>
      </c>
      <c r="G4" s="23">
        <f>E4*F4</f>
        <v>3.355</v>
      </c>
      <c r="H4" s="23">
        <v>0.55000000000000004</v>
      </c>
      <c r="I4" s="23">
        <f>F4-H4</f>
        <v>0</v>
      </c>
      <c r="J4" s="23">
        <f>I4*1.1</f>
        <v>0</v>
      </c>
      <c r="K4" s="23">
        <f>G4-J4</f>
        <v>3.355</v>
      </c>
    </row>
    <row r="5" spans="1:11" ht="13.5" customHeight="1" x14ac:dyDescent="0.15">
      <c r="A5" s="22">
        <v>3</v>
      </c>
      <c r="B5" s="22"/>
      <c r="C5" s="22"/>
      <c r="D5" s="22"/>
      <c r="E5" s="23"/>
      <c r="F5" s="23"/>
      <c r="G5" s="23"/>
      <c r="H5" s="23"/>
      <c r="I5" s="23">
        <f>F5-H5</f>
        <v>0</v>
      </c>
      <c r="J5" s="23">
        <f>I5*1.1</f>
        <v>0</v>
      </c>
      <c r="K5" s="23">
        <f>G5-J5</f>
        <v>0</v>
      </c>
    </row>
    <row r="6" spans="1:11" ht="13.5" customHeight="1" x14ac:dyDescent="0.15">
      <c r="A6" s="149" t="s">
        <v>82</v>
      </c>
      <c r="B6" s="153"/>
      <c r="C6" s="153"/>
      <c r="D6" s="153"/>
      <c r="E6" s="153"/>
      <c r="F6" s="153"/>
      <c r="G6" s="153"/>
      <c r="H6" s="153"/>
      <c r="I6" s="153"/>
      <c r="J6" s="150"/>
      <c r="K6" s="23">
        <f>SUM(K3:K5)</f>
        <v>10.735999999999999</v>
      </c>
    </row>
    <row r="7" spans="1:11" ht="13.5" customHeight="1" x14ac:dyDescent="0.15">
      <c r="A7" s="22" t="s">
        <v>0</v>
      </c>
      <c r="B7" s="22" t="s">
        <v>52</v>
      </c>
      <c r="C7" s="22" t="s">
        <v>53</v>
      </c>
      <c r="D7" s="22" t="s">
        <v>67</v>
      </c>
      <c r="E7" s="22" t="s">
        <v>68</v>
      </c>
      <c r="F7" s="22" t="s">
        <v>69</v>
      </c>
      <c r="G7" s="22" t="s">
        <v>70</v>
      </c>
      <c r="H7" s="22" t="s">
        <v>71</v>
      </c>
      <c r="I7" s="22" t="s">
        <v>72</v>
      </c>
      <c r="J7" s="149" t="s">
        <v>6</v>
      </c>
      <c r="K7" s="150"/>
    </row>
    <row r="8" spans="1:11" ht="13.5" customHeight="1" x14ac:dyDescent="0.15">
      <c r="A8" s="22">
        <v>1</v>
      </c>
      <c r="B8" s="22"/>
      <c r="C8" s="22"/>
      <c r="D8" s="22"/>
      <c r="E8" s="22" t="s">
        <v>160</v>
      </c>
      <c r="F8" s="22" t="s">
        <v>161</v>
      </c>
      <c r="G8" s="22"/>
      <c r="H8" s="22" t="s">
        <v>162</v>
      </c>
      <c r="I8" s="22"/>
      <c r="J8" s="149"/>
      <c r="K8" s="150"/>
    </row>
    <row r="9" spans="1:11" ht="13.5" customHeight="1" x14ac:dyDescent="0.15">
      <c r="A9" s="22">
        <v>2</v>
      </c>
      <c r="B9" s="22"/>
      <c r="C9" s="22"/>
      <c r="D9" s="22"/>
      <c r="E9" s="22" t="s">
        <v>160</v>
      </c>
      <c r="F9" s="22" t="s">
        <v>164</v>
      </c>
      <c r="G9" s="22"/>
      <c r="H9" s="22" t="s">
        <v>165</v>
      </c>
      <c r="I9" s="22"/>
      <c r="J9" s="149"/>
      <c r="K9" s="150"/>
    </row>
    <row r="10" spans="1:11" ht="13.5" customHeight="1" x14ac:dyDescent="0.15">
      <c r="A10" s="22">
        <v>7</v>
      </c>
      <c r="B10" s="22"/>
      <c r="C10" s="22"/>
      <c r="D10" s="22"/>
      <c r="E10" s="22" t="s">
        <v>170</v>
      </c>
      <c r="F10" s="22" t="s">
        <v>176</v>
      </c>
      <c r="G10" s="22"/>
      <c r="H10" s="22">
        <v>0.08</v>
      </c>
      <c r="I10" s="22">
        <f t="shared" ref="I10:I12" si="0">G10*H10</f>
        <v>0</v>
      </c>
      <c r="J10" s="149"/>
      <c r="K10" s="150"/>
    </row>
    <row r="11" spans="1:11" ht="13.5" customHeight="1" x14ac:dyDescent="0.15">
      <c r="A11" s="22">
        <v>8</v>
      </c>
      <c r="B11" s="22"/>
      <c r="C11" s="22"/>
      <c r="D11" s="22"/>
      <c r="E11" s="22" t="s">
        <v>170</v>
      </c>
      <c r="F11" s="22" t="s">
        <v>177</v>
      </c>
      <c r="G11" s="22"/>
      <c r="H11" s="22">
        <v>0.08</v>
      </c>
      <c r="I11" s="22">
        <f t="shared" si="0"/>
        <v>0</v>
      </c>
      <c r="J11" s="149"/>
      <c r="K11" s="150"/>
    </row>
    <row r="12" spans="1:11" ht="13.5" customHeight="1" x14ac:dyDescent="0.15">
      <c r="A12" s="22">
        <v>9</v>
      </c>
      <c r="B12" s="22"/>
      <c r="C12" s="22"/>
      <c r="D12" s="22"/>
      <c r="E12" s="22" t="s">
        <v>170</v>
      </c>
      <c r="F12" s="22" t="s">
        <v>178</v>
      </c>
      <c r="G12" s="22"/>
      <c r="H12" s="22">
        <v>0.05</v>
      </c>
      <c r="I12" s="22">
        <f t="shared" si="0"/>
        <v>0</v>
      </c>
      <c r="J12" s="149"/>
      <c r="K12" s="150"/>
    </row>
    <row r="13" spans="1:11" ht="13.5" customHeight="1" x14ac:dyDescent="0.15">
      <c r="A13" s="22">
        <v>10</v>
      </c>
      <c r="B13" s="22">
        <v>1.2</v>
      </c>
      <c r="C13" s="22"/>
      <c r="D13" s="22" t="s">
        <v>179</v>
      </c>
      <c r="E13" s="22"/>
      <c r="F13" s="22"/>
      <c r="G13" s="22"/>
      <c r="H13" s="22">
        <v>0.08</v>
      </c>
      <c r="I13" s="22">
        <v>0.13</v>
      </c>
      <c r="J13" s="149" t="s">
        <v>180</v>
      </c>
      <c r="K13" s="150"/>
    </row>
    <row r="14" spans="1:11" ht="13.5" customHeight="1" x14ac:dyDescent="0.15">
      <c r="A14" s="22">
        <v>11</v>
      </c>
      <c r="B14" s="22" t="s">
        <v>292</v>
      </c>
      <c r="C14" s="22"/>
      <c r="D14" s="22" t="s">
        <v>75</v>
      </c>
      <c r="E14" s="22"/>
      <c r="F14" s="22"/>
      <c r="G14" s="22">
        <v>3</v>
      </c>
      <c r="H14" s="22">
        <v>0.08</v>
      </c>
      <c r="I14" s="22">
        <f t="shared" ref="I14:I20" si="1">G14*H14</f>
        <v>0.24</v>
      </c>
      <c r="J14" s="149"/>
      <c r="K14" s="150"/>
    </row>
    <row r="15" spans="1:11" ht="13.5" customHeight="1" x14ac:dyDescent="0.15">
      <c r="A15" s="22">
        <v>12</v>
      </c>
      <c r="B15" s="22">
        <v>2</v>
      </c>
      <c r="C15" s="22"/>
      <c r="D15" s="22" t="s">
        <v>359</v>
      </c>
      <c r="E15" s="22"/>
      <c r="F15" s="22"/>
      <c r="G15" s="22"/>
      <c r="H15" s="22">
        <v>0.08</v>
      </c>
      <c r="I15" s="22">
        <f t="shared" si="1"/>
        <v>0</v>
      </c>
      <c r="J15" s="149"/>
      <c r="K15" s="150"/>
    </row>
    <row r="16" spans="1:11" ht="13.5" customHeight="1" x14ac:dyDescent="0.15">
      <c r="A16" s="22">
        <v>13</v>
      </c>
      <c r="B16" s="22"/>
      <c r="C16" s="22"/>
      <c r="D16" s="22" t="s">
        <v>145</v>
      </c>
      <c r="E16" s="22"/>
      <c r="F16" s="22"/>
      <c r="G16" s="22"/>
      <c r="H16" s="22">
        <v>0.08</v>
      </c>
      <c r="I16" s="22">
        <f t="shared" si="1"/>
        <v>0</v>
      </c>
      <c r="J16" s="149"/>
      <c r="K16" s="150"/>
    </row>
    <row r="17" spans="1:11" ht="13.5" customHeight="1" x14ac:dyDescent="0.15">
      <c r="A17" s="22">
        <v>14</v>
      </c>
      <c r="B17" s="22"/>
      <c r="C17" s="22"/>
      <c r="D17" s="22" t="s">
        <v>183</v>
      </c>
      <c r="E17" s="22"/>
      <c r="F17" s="22"/>
      <c r="G17" s="22"/>
      <c r="H17" s="22">
        <v>0.08</v>
      </c>
      <c r="I17" s="22">
        <f t="shared" si="1"/>
        <v>0</v>
      </c>
      <c r="J17" s="149"/>
      <c r="K17" s="150"/>
    </row>
    <row r="18" spans="1:11" ht="13.5" customHeight="1" x14ac:dyDescent="0.15">
      <c r="A18" s="22">
        <v>15</v>
      </c>
      <c r="B18" s="22"/>
      <c r="C18" s="22"/>
      <c r="D18" s="22" t="s">
        <v>296</v>
      </c>
      <c r="E18" s="22"/>
      <c r="F18" s="22"/>
      <c r="G18" s="22"/>
      <c r="H18" s="22">
        <v>0.08</v>
      </c>
      <c r="I18" s="22">
        <f t="shared" si="1"/>
        <v>0</v>
      </c>
      <c r="J18" s="149"/>
      <c r="K18" s="150"/>
    </row>
    <row r="19" spans="1:11" ht="13.5" customHeight="1" x14ac:dyDescent="0.15">
      <c r="A19" s="22">
        <v>16</v>
      </c>
      <c r="B19" s="22"/>
      <c r="C19" s="22"/>
      <c r="D19" s="22" t="s">
        <v>175</v>
      </c>
      <c r="E19" s="22"/>
      <c r="F19" s="22"/>
      <c r="G19" s="22"/>
      <c r="H19" s="22">
        <v>0.08</v>
      </c>
      <c r="I19" s="22">
        <f t="shared" si="1"/>
        <v>0</v>
      </c>
      <c r="J19" s="24"/>
      <c r="K19" s="25"/>
    </row>
    <row r="20" spans="1:11" ht="13.5" customHeight="1" x14ac:dyDescent="0.15">
      <c r="A20" s="22">
        <v>17</v>
      </c>
      <c r="B20" s="22"/>
      <c r="C20" s="22"/>
      <c r="D20" s="22" t="s">
        <v>185</v>
      </c>
      <c r="E20" s="22"/>
      <c r="F20" s="22"/>
      <c r="G20" s="22"/>
      <c r="H20" s="22">
        <v>0.08</v>
      </c>
      <c r="I20" s="22">
        <f t="shared" si="1"/>
        <v>0</v>
      </c>
      <c r="J20" s="149"/>
      <c r="K20" s="150"/>
    </row>
    <row r="21" spans="1:11" ht="13.5" customHeight="1" x14ac:dyDescent="0.15">
      <c r="A21" s="22">
        <v>18</v>
      </c>
      <c r="B21" s="22"/>
      <c r="C21" s="22"/>
      <c r="D21" s="22" t="s">
        <v>360</v>
      </c>
      <c r="E21" s="22"/>
      <c r="F21" s="22"/>
      <c r="G21" s="22"/>
      <c r="H21" s="22">
        <v>0.08</v>
      </c>
      <c r="I21" s="22">
        <v>0.38</v>
      </c>
      <c r="J21" s="149"/>
      <c r="K21" s="150"/>
    </row>
    <row r="22" spans="1:11" ht="13.5" customHeight="1" x14ac:dyDescent="0.15">
      <c r="A22" s="22">
        <v>19</v>
      </c>
      <c r="B22" s="22"/>
      <c r="C22" s="22"/>
      <c r="D22" s="22" t="s">
        <v>187</v>
      </c>
      <c r="E22" s="22" t="s">
        <v>361</v>
      </c>
      <c r="F22" s="22"/>
      <c r="G22" s="22"/>
      <c r="H22" s="22"/>
      <c r="I22" s="22">
        <v>0.4</v>
      </c>
      <c r="J22" s="149" t="s">
        <v>188</v>
      </c>
      <c r="K22" s="150"/>
    </row>
    <row r="23" spans="1:11" ht="13.5" customHeight="1" x14ac:dyDescent="0.15">
      <c r="A23" s="22"/>
      <c r="B23" s="22"/>
      <c r="C23" s="22"/>
      <c r="D23" s="149"/>
      <c r="E23" s="153"/>
      <c r="F23" s="153"/>
      <c r="G23" s="153"/>
      <c r="H23" s="150"/>
      <c r="I23" s="22"/>
      <c r="J23" s="24"/>
      <c r="K23" s="25"/>
    </row>
    <row r="24" spans="1:11" ht="13.5" customHeight="1" x14ac:dyDescent="0.15">
      <c r="A24" s="149" t="s">
        <v>82</v>
      </c>
      <c r="B24" s="153"/>
      <c r="C24" s="153"/>
      <c r="D24" s="153"/>
      <c r="E24" s="153"/>
      <c r="F24" s="153"/>
      <c r="G24" s="153"/>
      <c r="H24" s="150"/>
      <c r="I24" s="22">
        <f>SUM(I8:I23)</f>
        <v>1.1499999999999999</v>
      </c>
      <c r="J24" s="22"/>
      <c r="K24" s="22"/>
    </row>
    <row r="25" spans="1:11" ht="13.5" customHeight="1" x14ac:dyDescent="0.15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0"/>
    </row>
    <row r="26" spans="1:11" ht="13.5" customHeight="1" x14ac:dyDescent="0.15">
      <c r="A26" s="149" t="s">
        <v>83</v>
      </c>
      <c r="B26" s="153"/>
      <c r="C26" s="153"/>
      <c r="D26" s="153"/>
      <c r="E26" s="150"/>
      <c r="F26" s="154" t="s">
        <v>84</v>
      </c>
      <c r="G26" s="154"/>
      <c r="H26" s="22" t="s">
        <v>85</v>
      </c>
      <c r="I26" s="22" t="s">
        <v>86</v>
      </c>
      <c r="J26" s="22" t="s">
        <v>87</v>
      </c>
      <c r="K26" s="25" t="s">
        <v>6</v>
      </c>
    </row>
    <row r="27" spans="1:11" ht="13.5" customHeight="1" x14ac:dyDescent="0.15">
      <c r="A27" s="22" t="s">
        <v>0</v>
      </c>
      <c r="B27" s="22" t="s">
        <v>90</v>
      </c>
      <c r="C27" s="22" t="s">
        <v>91</v>
      </c>
      <c r="D27" s="22" t="s">
        <v>92</v>
      </c>
      <c r="E27" s="22" t="s">
        <v>72</v>
      </c>
      <c r="F27" s="154"/>
      <c r="G27" s="154"/>
      <c r="H27" s="22"/>
      <c r="I27" s="22">
        <v>0.05</v>
      </c>
      <c r="J27" s="36">
        <f t="shared" ref="J27:J31" si="2">I27*H27</f>
        <v>0</v>
      </c>
      <c r="K27" s="22"/>
    </row>
    <row r="28" spans="1:11" ht="13.5" customHeight="1" x14ac:dyDescent="0.15">
      <c r="A28" s="26">
        <v>1</v>
      </c>
      <c r="B28" s="22" t="s">
        <v>362</v>
      </c>
      <c r="C28" s="22">
        <v>1</v>
      </c>
      <c r="D28" s="22">
        <v>4.5</v>
      </c>
      <c r="E28" s="22">
        <f t="shared" ref="E28:E37" si="3">D28*C28</f>
        <v>4.5</v>
      </c>
      <c r="F28" s="149"/>
      <c r="G28" s="150"/>
      <c r="H28" s="22"/>
      <c r="I28" s="22">
        <v>0.05</v>
      </c>
      <c r="J28" s="36">
        <f t="shared" si="2"/>
        <v>0</v>
      </c>
      <c r="K28" s="22"/>
    </row>
    <row r="29" spans="1:11" ht="13.5" customHeight="1" x14ac:dyDescent="0.15">
      <c r="A29" s="26">
        <v>2</v>
      </c>
      <c r="B29" s="22" t="s">
        <v>363</v>
      </c>
      <c r="C29" s="22">
        <v>1</v>
      </c>
      <c r="D29" s="22">
        <v>0.7</v>
      </c>
      <c r="E29" s="22">
        <f t="shared" si="3"/>
        <v>0.7</v>
      </c>
      <c r="F29" s="149"/>
      <c r="G29" s="150"/>
      <c r="H29" s="22"/>
      <c r="I29" s="22">
        <v>0.05</v>
      </c>
      <c r="J29" s="36">
        <f t="shared" si="2"/>
        <v>0</v>
      </c>
      <c r="K29" s="22"/>
    </row>
    <row r="30" spans="1:11" ht="13.5" customHeight="1" x14ac:dyDescent="0.15">
      <c r="A30" s="26">
        <v>3</v>
      </c>
      <c r="B30" s="22" t="s">
        <v>364</v>
      </c>
      <c r="C30" s="22">
        <v>1</v>
      </c>
      <c r="D30" s="22">
        <v>0.9</v>
      </c>
      <c r="E30" s="22">
        <f t="shared" si="3"/>
        <v>0.9</v>
      </c>
      <c r="F30" s="149" t="s">
        <v>191</v>
      </c>
      <c r="G30" s="150"/>
      <c r="H30" s="22">
        <v>92</v>
      </c>
      <c r="I30" s="22">
        <v>0.05</v>
      </c>
      <c r="J30" s="36">
        <f t="shared" si="2"/>
        <v>4.6000000000000005</v>
      </c>
      <c r="K30" s="22"/>
    </row>
    <row r="31" spans="1:11" ht="13.5" customHeight="1" x14ac:dyDescent="0.15">
      <c r="A31" s="26">
        <v>4</v>
      </c>
      <c r="B31" s="22" t="s">
        <v>365</v>
      </c>
      <c r="C31" s="22">
        <v>1</v>
      </c>
      <c r="D31" s="22">
        <v>3.5</v>
      </c>
      <c r="E31" s="22">
        <f t="shared" si="3"/>
        <v>3.5</v>
      </c>
      <c r="F31" s="149"/>
      <c r="G31" s="150"/>
      <c r="H31" s="22"/>
      <c r="I31" s="22">
        <v>0.06</v>
      </c>
      <c r="J31" s="36">
        <f t="shared" si="2"/>
        <v>0</v>
      </c>
      <c r="K31" s="22"/>
    </row>
    <row r="32" spans="1:11" ht="13.5" customHeight="1" x14ac:dyDescent="0.15">
      <c r="A32" s="26">
        <v>5</v>
      </c>
      <c r="B32" s="22" t="s">
        <v>366</v>
      </c>
      <c r="C32" s="22">
        <v>1</v>
      </c>
      <c r="D32" s="27">
        <v>0.2</v>
      </c>
      <c r="E32" s="27">
        <f t="shared" si="3"/>
        <v>0.2</v>
      </c>
      <c r="F32" s="149"/>
      <c r="G32" s="150"/>
      <c r="H32" s="22"/>
      <c r="I32" s="22"/>
      <c r="J32" s="36"/>
      <c r="K32" s="22"/>
    </row>
    <row r="33" spans="1:11" ht="13.5" customHeight="1" x14ac:dyDescent="0.15">
      <c r="A33" s="26">
        <v>6</v>
      </c>
      <c r="B33" s="22" t="s">
        <v>193</v>
      </c>
      <c r="C33" s="22">
        <v>5</v>
      </c>
      <c r="D33" s="22">
        <v>0.75</v>
      </c>
      <c r="E33" s="22">
        <f t="shared" si="3"/>
        <v>3.75</v>
      </c>
      <c r="F33" s="149" t="s">
        <v>82</v>
      </c>
      <c r="G33" s="150"/>
      <c r="H33" s="22"/>
      <c r="I33" s="22"/>
      <c r="J33" s="36">
        <f>SUM(J27:J32)</f>
        <v>4.6000000000000005</v>
      </c>
      <c r="K33" s="22"/>
    </row>
    <row r="34" spans="1:11" ht="13.5" customHeight="1" x14ac:dyDescent="0.15">
      <c r="A34" s="26">
        <v>7</v>
      </c>
      <c r="B34" s="22" t="s">
        <v>367</v>
      </c>
      <c r="C34" s="22">
        <v>2</v>
      </c>
      <c r="D34" s="22">
        <v>0.1</v>
      </c>
      <c r="E34" s="22">
        <f t="shared" si="3"/>
        <v>0.2</v>
      </c>
      <c r="F34" s="149" t="s">
        <v>119</v>
      </c>
      <c r="G34" s="150"/>
      <c r="H34" s="28" t="s">
        <v>201</v>
      </c>
      <c r="I34" s="22" t="s">
        <v>309</v>
      </c>
      <c r="J34" s="32" t="s">
        <v>87</v>
      </c>
      <c r="K34" s="22" t="s">
        <v>6</v>
      </c>
    </row>
    <row r="35" spans="1:11" ht="13.5" customHeight="1" x14ac:dyDescent="0.15">
      <c r="A35" s="26">
        <v>8</v>
      </c>
      <c r="B35" s="22" t="s">
        <v>376</v>
      </c>
      <c r="C35" s="22">
        <v>1</v>
      </c>
      <c r="D35" s="22">
        <v>1.8</v>
      </c>
      <c r="E35" s="22">
        <f t="shared" si="3"/>
        <v>1.8</v>
      </c>
      <c r="F35" s="149" t="s">
        <v>126</v>
      </c>
      <c r="G35" s="150"/>
      <c r="H35" s="22">
        <v>12</v>
      </c>
      <c r="I35" s="22">
        <v>0.27</v>
      </c>
      <c r="J35" s="22">
        <f>I35*H35</f>
        <v>3.24</v>
      </c>
      <c r="K35" s="22"/>
    </row>
    <row r="36" spans="1:11" ht="13.5" customHeight="1" x14ac:dyDescent="0.15">
      <c r="A36" s="26">
        <v>9</v>
      </c>
      <c r="B36" s="22" t="s">
        <v>377</v>
      </c>
      <c r="C36" s="22">
        <v>1</v>
      </c>
      <c r="D36" s="22">
        <v>0.75</v>
      </c>
      <c r="E36" s="22">
        <f t="shared" si="3"/>
        <v>0.75</v>
      </c>
      <c r="F36" s="149"/>
      <c r="G36" s="150"/>
      <c r="H36" s="29"/>
      <c r="I36" s="22"/>
      <c r="J36" s="22"/>
      <c r="K36" s="22"/>
    </row>
    <row r="37" spans="1:11" ht="13.5" customHeight="1" x14ac:dyDescent="0.15">
      <c r="A37" s="26"/>
      <c r="B37" s="22" t="s">
        <v>103</v>
      </c>
      <c r="C37" s="22">
        <v>10</v>
      </c>
      <c r="D37" s="22">
        <v>0.15</v>
      </c>
      <c r="E37" s="22">
        <f t="shared" si="3"/>
        <v>1.5</v>
      </c>
      <c r="F37" s="145"/>
      <c r="G37" s="146"/>
      <c r="H37" s="22"/>
      <c r="I37" s="22"/>
      <c r="J37" s="22"/>
      <c r="K37" s="22"/>
    </row>
    <row r="38" spans="1:11" ht="13.5" customHeight="1" x14ac:dyDescent="0.15">
      <c r="A38" s="145" t="s">
        <v>82</v>
      </c>
      <c r="B38" s="151"/>
      <c r="C38" s="151"/>
      <c r="D38" s="146"/>
      <c r="E38" s="30">
        <f>SUM(E28:E37)</f>
        <v>17.8</v>
      </c>
    </row>
    <row r="39" spans="1:11" ht="13.5" customHeight="1" x14ac:dyDescent="0.15">
      <c r="A39" s="152" t="s">
        <v>127</v>
      </c>
      <c r="B39" s="152"/>
      <c r="C39" s="31" t="s">
        <v>108</v>
      </c>
      <c r="E39" s="32" t="s">
        <v>128</v>
      </c>
      <c r="F39" s="147">
        <f>C44+C43+C42+C41+C40</f>
        <v>38.273499999999999</v>
      </c>
      <c r="G39" s="147"/>
      <c r="H39" s="147"/>
      <c r="I39" s="147"/>
      <c r="J39" s="147"/>
      <c r="K39" s="147"/>
    </row>
    <row r="40" spans="1:11" ht="13.5" customHeight="1" x14ac:dyDescent="0.15">
      <c r="A40" s="148" t="s">
        <v>131</v>
      </c>
      <c r="B40" s="148"/>
      <c r="C40" s="33">
        <f>K6</f>
        <v>10.735999999999999</v>
      </c>
      <c r="E40" s="34" t="s">
        <v>132</v>
      </c>
      <c r="F40" s="147">
        <f>F39*0.03</f>
        <v>1.1482049999999999</v>
      </c>
      <c r="G40" s="147"/>
      <c r="H40" s="147"/>
      <c r="I40" s="147"/>
      <c r="J40" s="147"/>
      <c r="K40" s="147"/>
    </row>
    <row r="41" spans="1:11" ht="13.5" customHeight="1" x14ac:dyDescent="0.15">
      <c r="A41" s="148" t="s">
        <v>133</v>
      </c>
      <c r="B41" s="148"/>
      <c r="C41" s="33">
        <f>I24*1.13</f>
        <v>1.2994999999999999</v>
      </c>
      <c r="E41" s="34" t="s">
        <v>134</v>
      </c>
      <c r="F41" s="147">
        <f>F39*0.06</f>
        <v>2.2964099999999998</v>
      </c>
      <c r="G41" s="147"/>
      <c r="H41" s="147"/>
      <c r="I41" s="147"/>
      <c r="J41" s="147"/>
      <c r="K41" s="147"/>
    </row>
    <row r="42" spans="1:11" ht="13.5" customHeight="1" x14ac:dyDescent="0.15">
      <c r="A42" s="148" t="s">
        <v>135</v>
      </c>
      <c r="B42" s="148"/>
      <c r="C42" s="33">
        <f>E38</f>
        <v>17.8</v>
      </c>
      <c r="E42" s="34" t="s">
        <v>136</v>
      </c>
      <c r="F42" s="147">
        <f>F39*0.02</f>
        <v>0.76546999999999998</v>
      </c>
      <c r="G42" s="147"/>
      <c r="H42" s="147"/>
      <c r="I42" s="147"/>
      <c r="J42" s="147"/>
      <c r="K42" s="147"/>
    </row>
    <row r="43" spans="1:11" ht="13.5" customHeight="1" x14ac:dyDescent="0.15">
      <c r="A43" s="148" t="s">
        <v>138</v>
      </c>
      <c r="B43" s="148"/>
      <c r="C43" s="33">
        <f>J33*1.13</f>
        <v>5.1980000000000004</v>
      </c>
      <c r="E43" s="34" t="s">
        <v>5</v>
      </c>
      <c r="F43" s="147"/>
      <c r="G43" s="147"/>
      <c r="H43" s="147"/>
      <c r="I43" s="147"/>
      <c r="J43" s="147"/>
      <c r="K43" s="147"/>
    </row>
    <row r="44" spans="1:11" ht="13.5" customHeight="1" x14ac:dyDescent="0.15">
      <c r="A44" s="148" t="s">
        <v>119</v>
      </c>
      <c r="B44" s="148"/>
      <c r="C44" s="33">
        <f>J35+J37</f>
        <v>3.24</v>
      </c>
      <c r="E44" s="34" t="s">
        <v>139</v>
      </c>
      <c r="F44" s="147">
        <f>F43+F42+F41+F40+F39</f>
        <v>42.483584999999998</v>
      </c>
      <c r="G44" s="147"/>
      <c r="H44" s="147"/>
      <c r="I44" s="147"/>
      <c r="J44" s="147"/>
      <c r="K44" s="147"/>
    </row>
    <row r="45" spans="1:11" x14ac:dyDescent="0.15">
      <c r="A45" s="161"/>
      <c r="B45" s="161"/>
      <c r="I45" t="s">
        <v>368</v>
      </c>
    </row>
    <row r="46" spans="1:11" x14ac:dyDescent="0.15">
      <c r="A46" s="161"/>
      <c r="B46" s="161"/>
    </row>
    <row r="47" spans="1:11" x14ac:dyDescent="0.15">
      <c r="A47" s="161"/>
      <c r="B47" s="161"/>
    </row>
  </sheetData>
  <mergeCells count="49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D23:H23"/>
    <mergeCell ref="A24:H24"/>
    <mergeCell ref="A25:K25"/>
    <mergeCell ref="A26:E26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8:D38"/>
    <mergeCell ref="A39:B39"/>
    <mergeCell ref="F39:K39"/>
    <mergeCell ref="A40:B40"/>
    <mergeCell ref="F40:K40"/>
    <mergeCell ref="A41:B41"/>
    <mergeCell ref="F41:K41"/>
    <mergeCell ref="A42:B42"/>
    <mergeCell ref="F42:K42"/>
    <mergeCell ref="A46:B46"/>
    <mergeCell ref="A47:B47"/>
    <mergeCell ref="A43:B43"/>
    <mergeCell ref="F43:K43"/>
    <mergeCell ref="A44:B44"/>
    <mergeCell ref="F44:K44"/>
    <mergeCell ref="A45:B4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8"/>
  <sheetViews>
    <sheetView workbookViewId="0">
      <selection activeCell="F43" sqref="F43:K43"/>
    </sheetView>
  </sheetViews>
  <sheetFormatPr defaultColWidth="9" defaultRowHeight="13.5" x14ac:dyDescent="0.15"/>
  <cols>
    <col min="1" max="1" width="3.125" customWidth="1"/>
    <col min="2" max="2" width="12.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5.875" customWidth="1"/>
  </cols>
  <sheetData>
    <row r="1" spans="1:11" ht="36" customHeight="1" x14ac:dyDescent="0.15">
      <c r="A1" s="162" t="s">
        <v>50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1" ht="13.5" customHeight="1" x14ac:dyDescent="0.15">
      <c r="A3" s="22">
        <v>1</v>
      </c>
      <c r="B3" s="22" t="s">
        <v>142</v>
      </c>
      <c r="C3" s="22"/>
      <c r="D3" s="22" t="s">
        <v>213</v>
      </c>
      <c r="E3" s="23">
        <v>6.1</v>
      </c>
      <c r="F3" s="23">
        <v>1.3</v>
      </c>
      <c r="G3" s="23">
        <f>E3*F3</f>
        <v>7.93</v>
      </c>
      <c r="H3" s="23">
        <v>1.3</v>
      </c>
      <c r="I3" s="23">
        <f>F3-H3</f>
        <v>0</v>
      </c>
      <c r="J3" s="23">
        <f>I3*1.1</f>
        <v>0</v>
      </c>
      <c r="K3" s="23">
        <f>G3-J3</f>
        <v>7.93</v>
      </c>
    </row>
    <row r="4" spans="1:11" ht="13.5" customHeight="1" x14ac:dyDescent="0.15">
      <c r="A4" s="22">
        <v>2</v>
      </c>
      <c r="B4" s="22" t="s">
        <v>378</v>
      </c>
      <c r="C4" s="22"/>
      <c r="D4" s="22" t="s">
        <v>213</v>
      </c>
      <c r="E4" s="23">
        <v>6.1</v>
      </c>
      <c r="F4" s="23">
        <v>1.35</v>
      </c>
      <c r="G4" s="23">
        <f>E4*F4</f>
        <v>8.2349999999999994</v>
      </c>
      <c r="H4" s="23">
        <v>1.35</v>
      </c>
      <c r="I4" s="23">
        <f>F4-H4</f>
        <v>0</v>
      </c>
      <c r="J4" s="23">
        <f>I4*1.1</f>
        <v>0</v>
      </c>
      <c r="K4" s="23">
        <f>G4-J4</f>
        <v>8.2349999999999994</v>
      </c>
    </row>
    <row r="5" spans="1:11" ht="13.5" customHeight="1" x14ac:dyDescent="0.15">
      <c r="A5" s="22">
        <v>3</v>
      </c>
      <c r="B5" s="22" t="s">
        <v>379</v>
      </c>
      <c r="C5" s="22"/>
      <c r="D5" s="22" t="s">
        <v>380</v>
      </c>
      <c r="E5" s="23">
        <v>6.3</v>
      </c>
      <c r="F5" s="23">
        <v>0.22900000000000001</v>
      </c>
      <c r="G5" s="23">
        <f>E5*F5</f>
        <v>1.4427000000000001</v>
      </c>
      <c r="H5" s="23">
        <v>0.23</v>
      </c>
      <c r="I5" s="23">
        <f>F5-H5</f>
        <v>-1.0000000000000009E-3</v>
      </c>
      <c r="J5" s="23">
        <f>I5*1.1</f>
        <v>-1.1000000000000012E-3</v>
      </c>
      <c r="K5" s="23">
        <f>G5-J5</f>
        <v>1.4438000000000002</v>
      </c>
    </row>
    <row r="6" spans="1:11" ht="13.5" customHeight="1" x14ac:dyDescent="0.15">
      <c r="A6" s="22">
        <v>4</v>
      </c>
      <c r="B6" s="22"/>
      <c r="C6" s="22"/>
      <c r="D6" s="22"/>
      <c r="E6" s="23"/>
      <c r="F6" s="23"/>
      <c r="G6" s="23"/>
      <c r="H6" s="23"/>
      <c r="I6" s="23">
        <f>F6-H6</f>
        <v>0</v>
      </c>
      <c r="J6" s="23">
        <f>I6*1.1</f>
        <v>0</v>
      </c>
      <c r="K6" s="23">
        <f>G6-J6</f>
        <v>0</v>
      </c>
    </row>
    <row r="7" spans="1:11" ht="13.5" customHeight="1" x14ac:dyDescent="0.15">
      <c r="A7" s="149" t="s">
        <v>82</v>
      </c>
      <c r="B7" s="153"/>
      <c r="C7" s="153"/>
      <c r="D7" s="153"/>
      <c r="E7" s="153"/>
      <c r="F7" s="153"/>
      <c r="G7" s="153"/>
      <c r="H7" s="153"/>
      <c r="I7" s="153"/>
      <c r="J7" s="150"/>
      <c r="K7" s="23">
        <f>SUM(K3:K6)</f>
        <v>17.608799999999999</v>
      </c>
    </row>
    <row r="8" spans="1:11" ht="13.5" customHeight="1" x14ac:dyDescent="0.15">
      <c r="A8" s="22" t="s">
        <v>0</v>
      </c>
      <c r="B8" s="22" t="s">
        <v>52</v>
      </c>
      <c r="C8" s="22" t="s">
        <v>53</v>
      </c>
      <c r="D8" s="22" t="s">
        <v>67</v>
      </c>
      <c r="E8" s="22" t="s">
        <v>68</v>
      </c>
      <c r="F8" s="22" t="s">
        <v>69</v>
      </c>
      <c r="G8" s="22" t="s">
        <v>70</v>
      </c>
      <c r="H8" s="22" t="s">
        <v>71</v>
      </c>
      <c r="I8" s="22" t="s">
        <v>72</v>
      </c>
      <c r="J8" s="149" t="s">
        <v>6</v>
      </c>
      <c r="K8" s="150"/>
    </row>
    <row r="9" spans="1:11" ht="13.5" customHeight="1" x14ac:dyDescent="0.15">
      <c r="A9" s="22">
        <v>1</v>
      </c>
      <c r="B9" s="22"/>
      <c r="C9" s="22"/>
      <c r="D9" s="22"/>
      <c r="E9" s="22" t="s">
        <v>160</v>
      </c>
      <c r="F9" s="22" t="s">
        <v>161</v>
      </c>
      <c r="G9" s="22"/>
      <c r="H9" s="22" t="s">
        <v>162</v>
      </c>
      <c r="I9" s="22"/>
      <c r="J9" s="149"/>
      <c r="K9" s="150"/>
    </row>
    <row r="10" spans="1:11" ht="13.5" customHeight="1" x14ac:dyDescent="0.15">
      <c r="A10" s="22">
        <v>2</v>
      </c>
      <c r="B10" s="22"/>
      <c r="C10" s="22"/>
      <c r="D10" s="22"/>
      <c r="E10" s="22" t="s">
        <v>160</v>
      </c>
      <c r="F10" s="22" t="s">
        <v>164</v>
      </c>
      <c r="G10" s="22"/>
      <c r="H10" s="22" t="s">
        <v>165</v>
      </c>
      <c r="I10" s="22"/>
      <c r="J10" s="149"/>
      <c r="K10" s="150"/>
    </row>
    <row r="11" spans="1:11" ht="13.5" customHeight="1" x14ac:dyDescent="0.15">
      <c r="A11" s="22">
        <v>7</v>
      </c>
      <c r="B11" s="22"/>
      <c r="C11" s="22"/>
      <c r="D11" s="22"/>
      <c r="E11" s="22" t="s">
        <v>170</v>
      </c>
      <c r="F11" s="22" t="s">
        <v>176</v>
      </c>
      <c r="G11" s="22"/>
      <c r="H11" s="22">
        <v>0.08</v>
      </c>
      <c r="I11" s="22">
        <f t="shared" ref="I11:I13" si="0">G11*H11</f>
        <v>0</v>
      </c>
      <c r="J11" s="149"/>
      <c r="K11" s="150"/>
    </row>
    <row r="12" spans="1:11" ht="13.5" customHeight="1" x14ac:dyDescent="0.15">
      <c r="A12" s="22">
        <v>8</v>
      </c>
      <c r="B12" s="22"/>
      <c r="C12" s="22"/>
      <c r="D12" s="22"/>
      <c r="E12" s="22" t="s">
        <v>170</v>
      </c>
      <c r="F12" s="22" t="s">
        <v>177</v>
      </c>
      <c r="G12" s="22"/>
      <c r="H12" s="22">
        <v>0.08</v>
      </c>
      <c r="I12" s="22">
        <f t="shared" si="0"/>
        <v>0</v>
      </c>
      <c r="J12" s="149"/>
      <c r="K12" s="150"/>
    </row>
    <row r="13" spans="1:11" ht="13.5" customHeight="1" x14ac:dyDescent="0.15">
      <c r="A13" s="22">
        <v>9</v>
      </c>
      <c r="B13" s="22"/>
      <c r="C13" s="22"/>
      <c r="D13" s="22"/>
      <c r="E13" s="22" t="s">
        <v>170</v>
      </c>
      <c r="F13" s="22" t="s">
        <v>178</v>
      </c>
      <c r="G13" s="22"/>
      <c r="H13" s="22">
        <v>0.05</v>
      </c>
      <c r="I13" s="22">
        <f t="shared" si="0"/>
        <v>0</v>
      </c>
      <c r="J13" s="149"/>
      <c r="K13" s="150"/>
    </row>
    <row r="14" spans="1:11" ht="13.5" customHeight="1" x14ac:dyDescent="0.15">
      <c r="A14" s="22">
        <v>10</v>
      </c>
      <c r="B14" s="22" t="s">
        <v>381</v>
      </c>
      <c r="C14" s="22"/>
      <c r="D14" s="22" t="s">
        <v>179</v>
      </c>
      <c r="E14" s="22"/>
      <c r="F14" s="22"/>
      <c r="G14" s="22"/>
      <c r="H14" s="22">
        <v>0.08</v>
      </c>
      <c r="I14" s="22">
        <v>0.13</v>
      </c>
      <c r="J14" s="149" t="s">
        <v>180</v>
      </c>
      <c r="K14" s="150"/>
    </row>
    <row r="15" spans="1:11" ht="13.5" customHeight="1" x14ac:dyDescent="0.15">
      <c r="A15" s="22">
        <v>11</v>
      </c>
      <c r="B15" s="22" t="s">
        <v>381</v>
      </c>
      <c r="C15" s="22"/>
      <c r="D15" s="22" t="s">
        <v>75</v>
      </c>
      <c r="E15" s="22"/>
      <c r="F15" s="22"/>
      <c r="G15" s="22">
        <v>3</v>
      </c>
      <c r="H15" s="22">
        <v>0.08</v>
      </c>
      <c r="I15" s="22">
        <f t="shared" ref="I15:I21" si="1">G15*H15</f>
        <v>0.24</v>
      </c>
      <c r="J15" s="149"/>
      <c r="K15" s="150"/>
    </row>
    <row r="16" spans="1:11" ht="13.5" customHeight="1" x14ac:dyDescent="0.15">
      <c r="A16" s="22">
        <v>12</v>
      </c>
      <c r="B16" s="22">
        <v>2</v>
      </c>
      <c r="C16" s="22"/>
      <c r="D16" s="22" t="s">
        <v>359</v>
      </c>
      <c r="E16" s="22"/>
      <c r="F16" s="22"/>
      <c r="G16" s="22">
        <v>1</v>
      </c>
      <c r="H16" s="22">
        <v>0.08</v>
      </c>
      <c r="I16" s="22">
        <f t="shared" si="1"/>
        <v>0.08</v>
      </c>
      <c r="J16" s="149"/>
      <c r="K16" s="150"/>
    </row>
    <row r="17" spans="1:11" ht="13.5" customHeight="1" x14ac:dyDescent="0.15">
      <c r="A17" s="22">
        <v>13</v>
      </c>
      <c r="B17" s="22"/>
      <c r="C17" s="22"/>
      <c r="D17" s="22" t="s">
        <v>145</v>
      </c>
      <c r="E17" s="22"/>
      <c r="F17" s="22"/>
      <c r="G17" s="22"/>
      <c r="H17" s="22">
        <v>0.08</v>
      </c>
      <c r="I17" s="22">
        <f t="shared" si="1"/>
        <v>0</v>
      </c>
      <c r="J17" s="149"/>
      <c r="K17" s="150"/>
    </row>
    <row r="18" spans="1:11" ht="13.5" customHeight="1" x14ac:dyDescent="0.15">
      <c r="A18" s="22">
        <v>14</v>
      </c>
      <c r="B18" s="22"/>
      <c r="C18" s="22"/>
      <c r="D18" s="22" t="s">
        <v>183</v>
      </c>
      <c r="E18" s="22"/>
      <c r="F18" s="22"/>
      <c r="G18" s="22"/>
      <c r="H18" s="22">
        <v>0.08</v>
      </c>
      <c r="I18" s="22">
        <f t="shared" si="1"/>
        <v>0</v>
      </c>
      <c r="J18" s="149"/>
      <c r="K18" s="150"/>
    </row>
    <row r="19" spans="1:11" ht="13.5" customHeight="1" x14ac:dyDescent="0.15">
      <c r="A19" s="22">
        <v>15</v>
      </c>
      <c r="B19" s="22"/>
      <c r="C19" s="22"/>
      <c r="D19" s="22" t="s">
        <v>296</v>
      </c>
      <c r="E19" s="22"/>
      <c r="F19" s="22"/>
      <c r="G19" s="22"/>
      <c r="H19" s="22">
        <v>0.08</v>
      </c>
      <c r="I19" s="22">
        <f t="shared" si="1"/>
        <v>0</v>
      </c>
      <c r="J19" s="149"/>
      <c r="K19" s="150"/>
    </row>
    <row r="20" spans="1:11" ht="13.5" customHeight="1" x14ac:dyDescent="0.15">
      <c r="A20" s="22">
        <v>16</v>
      </c>
      <c r="B20" s="22"/>
      <c r="C20" s="22"/>
      <c r="D20" s="22" t="s">
        <v>175</v>
      </c>
      <c r="E20" s="22"/>
      <c r="F20" s="22"/>
      <c r="G20" s="22"/>
      <c r="H20" s="22">
        <v>0.08</v>
      </c>
      <c r="I20" s="22">
        <f t="shared" si="1"/>
        <v>0</v>
      </c>
      <c r="J20" s="24"/>
      <c r="K20" s="25"/>
    </row>
    <row r="21" spans="1:11" ht="13.5" customHeight="1" x14ac:dyDescent="0.15">
      <c r="A21" s="22">
        <v>17</v>
      </c>
      <c r="B21" s="22"/>
      <c r="C21" s="22"/>
      <c r="D21" s="22" t="s">
        <v>185</v>
      </c>
      <c r="E21" s="22"/>
      <c r="F21" s="22"/>
      <c r="G21" s="22"/>
      <c r="H21" s="22">
        <v>0.08</v>
      </c>
      <c r="I21" s="22">
        <f t="shared" si="1"/>
        <v>0</v>
      </c>
      <c r="J21" s="149"/>
      <c r="K21" s="150"/>
    </row>
    <row r="22" spans="1:11" ht="13.5" customHeight="1" x14ac:dyDescent="0.15">
      <c r="A22" s="22">
        <v>18</v>
      </c>
      <c r="B22" s="22"/>
      <c r="C22" s="22"/>
      <c r="D22" s="22" t="s">
        <v>360</v>
      </c>
      <c r="E22" s="22"/>
      <c r="F22" s="22"/>
      <c r="G22" s="22"/>
      <c r="H22" s="22">
        <v>0.08</v>
      </c>
      <c r="I22" s="22">
        <v>0.15</v>
      </c>
      <c r="J22" s="149"/>
      <c r="K22" s="150"/>
    </row>
    <row r="23" spans="1:11" ht="13.5" customHeight="1" x14ac:dyDescent="0.15">
      <c r="A23" s="22">
        <v>19</v>
      </c>
      <c r="B23" s="22"/>
      <c r="C23" s="22"/>
      <c r="D23" s="22" t="s">
        <v>187</v>
      </c>
      <c r="E23" s="22" t="s">
        <v>361</v>
      </c>
      <c r="F23" s="22"/>
      <c r="G23" s="22"/>
      <c r="H23" s="22"/>
      <c r="I23" s="22">
        <v>0.4</v>
      </c>
      <c r="J23" s="149" t="s">
        <v>188</v>
      </c>
      <c r="K23" s="150"/>
    </row>
    <row r="24" spans="1:11" ht="13.5" customHeight="1" x14ac:dyDescent="0.15">
      <c r="A24" s="22"/>
      <c r="B24" s="22"/>
      <c r="C24" s="22"/>
      <c r="D24" s="149"/>
      <c r="E24" s="153"/>
      <c r="F24" s="153"/>
      <c r="G24" s="153"/>
      <c r="H24" s="150"/>
      <c r="I24" s="22"/>
      <c r="J24" s="24"/>
      <c r="K24" s="25"/>
    </row>
    <row r="25" spans="1:11" ht="13.5" customHeight="1" x14ac:dyDescent="0.15">
      <c r="A25" s="149" t="s">
        <v>82</v>
      </c>
      <c r="B25" s="153"/>
      <c r="C25" s="153"/>
      <c r="D25" s="153"/>
      <c r="E25" s="153"/>
      <c r="F25" s="153"/>
      <c r="G25" s="153"/>
      <c r="H25" s="150"/>
      <c r="I25" s="22">
        <f>SUM(I9:I24)</f>
        <v>1</v>
      </c>
      <c r="J25" s="22"/>
      <c r="K25" s="22"/>
    </row>
    <row r="26" spans="1:11" ht="13.5" customHeight="1" x14ac:dyDescent="0.15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0"/>
    </row>
    <row r="27" spans="1:11" ht="13.5" customHeight="1" x14ac:dyDescent="0.15">
      <c r="A27" s="149" t="s">
        <v>83</v>
      </c>
      <c r="B27" s="153"/>
      <c r="C27" s="153"/>
      <c r="D27" s="153"/>
      <c r="E27" s="150"/>
      <c r="F27" s="154" t="s">
        <v>84</v>
      </c>
      <c r="G27" s="154"/>
      <c r="H27" s="22" t="s">
        <v>85</v>
      </c>
      <c r="I27" s="22" t="s">
        <v>86</v>
      </c>
      <c r="J27" s="22" t="s">
        <v>87</v>
      </c>
      <c r="K27" s="25" t="s">
        <v>6</v>
      </c>
    </row>
    <row r="28" spans="1:11" ht="13.5" customHeight="1" x14ac:dyDescent="0.15">
      <c r="A28" s="22" t="s">
        <v>0</v>
      </c>
      <c r="B28" s="22" t="s">
        <v>90</v>
      </c>
      <c r="C28" s="22" t="s">
        <v>91</v>
      </c>
      <c r="D28" s="22" t="s">
        <v>92</v>
      </c>
      <c r="E28" s="22" t="s">
        <v>72</v>
      </c>
      <c r="F28" s="154"/>
      <c r="G28" s="154"/>
      <c r="H28" s="22"/>
      <c r="I28" s="22">
        <v>0.05</v>
      </c>
      <c r="J28" s="36">
        <f t="shared" ref="J28:J32" si="2">I28*H28</f>
        <v>0</v>
      </c>
      <c r="K28" s="22"/>
    </row>
    <row r="29" spans="1:11" ht="13.5" customHeight="1" x14ac:dyDescent="0.15">
      <c r="A29" s="26">
        <v>1</v>
      </c>
      <c r="B29" s="22" t="s">
        <v>371</v>
      </c>
      <c r="C29" s="22">
        <v>1</v>
      </c>
      <c r="D29" s="22">
        <v>4.5</v>
      </c>
      <c r="E29" s="22">
        <f t="shared" ref="E29:E37" si="3">D29*C29</f>
        <v>4.5</v>
      </c>
      <c r="F29" s="149"/>
      <c r="G29" s="150"/>
      <c r="H29" s="22"/>
      <c r="I29" s="22">
        <v>0.05</v>
      </c>
      <c r="J29" s="36">
        <f t="shared" si="2"/>
        <v>0</v>
      </c>
      <c r="K29" s="22"/>
    </row>
    <row r="30" spans="1:11" ht="13.5" customHeight="1" x14ac:dyDescent="0.15">
      <c r="A30" s="26">
        <v>2</v>
      </c>
      <c r="B30" s="22" t="s">
        <v>150</v>
      </c>
      <c r="C30" s="22">
        <v>1</v>
      </c>
      <c r="D30" s="22">
        <v>2.15</v>
      </c>
      <c r="E30" s="22">
        <f t="shared" si="3"/>
        <v>2.15</v>
      </c>
      <c r="F30" s="149"/>
      <c r="G30" s="150"/>
      <c r="H30" s="22"/>
      <c r="I30" s="22">
        <v>0.05</v>
      </c>
      <c r="J30" s="36">
        <f t="shared" si="2"/>
        <v>0</v>
      </c>
      <c r="K30" s="22"/>
    </row>
    <row r="31" spans="1:11" ht="13.5" customHeight="1" x14ac:dyDescent="0.15">
      <c r="A31" s="26">
        <v>3</v>
      </c>
      <c r="B31" s="22" t="s">
        <v>382</v>
      </c>
      <c r="C31" s="22">
        <v>1</v>
      </c>
      <c r="D31" s="22">
        <v>1.28</v>
      </c>
      <c r="E31" s="22">
        <f t="shared" si="3"/>
        <v>1.28</v>
      </c>
      <c r="F31" s="149" t="s">
        <v>191</v>
      </c>
      <c r="G31" s="150"/>
      <c r="H31" s="22">
        <v>98</v>
      </c>
      <c r="I31" s="22">
        <v>0.05</v>
      </c>
      <c r="J31" s="36">
        <f t="shared" si="2"/>
        <v>4.9000000000000004</v>
      </c>
      <c r="K31" s="22"/>
    </row>
    <row r="32" spans="1:11" ht="13.5" customHeight="1" x14ac:dyDescent="0.15">
      <c r="A32" s="26">
        <v>4</v>
      </c>
      <c r="B32" s="22" t="s">
        <v>103</v>
      </c>
      <c r="C32" s="22">
        <v>4</v>
      </c>
      <c r="D32" s="22">
        <v>0.15</v>
      </c>
      <c r="E32" s="22">
        <f t="shared" si="3"/>
        <v>0.6</v>
      </c>
      <c r="F32" s="149"/>
      <c r="G32" s="150"/>
      <c r="H32" s="22"/>
      <c r="I32" s="22">
        <v>0.06</v>
      </c>
      <c r="J32" s="36">
        <f t="shared" si="2"/>
        <v>0</v>
      </c>
      <c r="K32" s="22"/>
    </row>
    <row r="33" spans="1:11" ht="13.5" customHeight="1" x14ac:dyDescent="0.15">
      <c r="A33" s="26">
        <v>5</v>
      </c>
      <c r="B33" s="22" t="s">
        <v>193</v>
      </c>
      <c r="C33" s="22">
        <v>2</v>
      </c>
      <c r="D33" s="27">
        <v>1</v>
      </c>
      <c r="E33" s="27">
        <f t="shared" si="3"/>
        <v>2</v>
      </c>
      <c r="F33" s="149"/>
      <c r="G33" s="150"/>
      <c r="H33" s="22"/>
      <c r="I33" s="22"/>
      <c r="J33" s="36"/>
      <c r="K33" s="22"/>
    </row>
    <row r="34" spans="1:11" ht="13.5" customHeight="1" x14ac:dyDescent="0.15">
      <c r="A34" s="26">
        <v>6</v>
      </c>
      <c r="B34" s="22" t="s">
        <v>383</v>
      </c>
      <c r="C34" s="22">
        <v>2</v>
      </c>
      <c r="D34" s="22">
        <v>0.1</v>
      </c>
      <c r="E34" s="22">
        <f t="shared" si="3"/>
        <v>0.2</v>
      </c>
      <c r="F34" s="149" t="s">
        <v>82</v>
      </c>
      <c r="G34" s="150"/>
      <c r="H34" s="22"/>
      <c r="I34" s="22"/>
      <c r="J34" s="36">
        <f>SUM(J28:J33)</f>
        <v>4.9000000000000004</v>
      </c>
      <c r="K34" s="22"/>
    </row>
    <row r="35" spans="1:11" ht="13.5" customHeight="1" x14ac:dyDescent="0.15">
      <c r="A35" s="26">
        <v>7</v>
      </c>
      <c r="B35" s="22"/>
      <c r="C35" s="22"/>
      <c r="D35" s="22"/>
      <c r="E35" s="22">
        <f t="shared" si="3"/>
        <v>0</v>
      </c>
      <c r="F35" s="149" t="s">
        <v>119</v>
      </c>
      <c r="G35" s="150"/>
      <c r="H35" s="28" t="s">
        <v>201</v>
      </c>
      <c r="I35" s="22" t="s">
        <v>309</v>
      </c>
      <c r="J35" s="32" t="s">
        <v>87</v>
      </c>
      <c r="K35" s="22" t="s">
        <v>6</v>
      </c>
    </row>
    <row r="36" spans="1:11" ht="13.5" customHeight="1" x14ac:dyDescent="0.15">
      <c r="A36" s="26">
        <v>8</v>
      </c>
      <c r="B36" s="22"/>
      <c r="C36" s="22"/>
      <c r="D36" s="22"/>
      <c r="E36" s="22">
        <f t="shared" si="3"/>
        <v>0</v>
      </c>
      <c r="F36" s="149" t="s">
        <v>126</v>
      </c>
      <c r="G36" s="150"/>
      <c r="H36" s="22">
        <v>12</v>
      </c>
      <c r="I36" s="22">
        <v>0.26</v>
      </c>
      <c r="J36" s="22">
        <f>I36*H36</f>
        <v>3.12</v>
      </c>
      <c r="K36" s="22"/>
    </row>
    <row r="37" spans="1:11" ht="13.5" customHeight="1" x14ac:dyDescent="0.15">
      <c r="A37" s="26">
        <v>9</v>
      </c>
      <c r="B37" s="22"/>
      <c r="C37" s="22"/>
      <c r="D37" s="22"/>
      <c r="E37" s="22">
        <f t="shared" si="3"/>
        <v>0</v>
      </c>
      <c r="F37" s="149"/>
      <c r="G37" s="150"/>
      <c r="H37" s="29"/>
      <c r="I37" s="22"/>
      <c r="J37" s="22"/>
      <c r="K37" s="22"/>
    </row>
    <row r="38" spans="1:11" ht="13.5" customHeight="1" x14ac:dyDescent="0.15">
      <c r="A38" s="26"/>
      <c r="B38" s="22"/>
      <c r="C38" s="22"/>
      <c r="D38" s="22"/>
      <c r="E38" s="22"/>
      <c r="F38" s="145"/>
      <c r="G38" s="146"/>
      <c r="H38" s="22"/>
      <c r="I38" s="22"/>
      <c r="J38" s="22"/>
      <c r="K38" s="22"/>
    </row>
    <row r="39" spans="1:11" ht="13.5" customHeight="1" x14ac:dyDescent="0.15">
      <c r="A39" s="145" t="s">
        <v>82</v>
      </c>
      <c r="B39" s="151"/>
      <c r="C39" s="151"/>
      <c r="D39" s="146"/>
      <c r="E39" s="30">
        <f>SUM(E29:E38)</f>
        <v>10.73</v>
      </c>
    </row>
    <row r="40" spans="1:11" ht="13.5" customHeight="1" x14ac:dyDescent="0.15">
      <c r="A40" s="152" t="s">
        <v>127</v>
      </c>
      <c r="B40" s="152"/>
      <c r="C40" s="31" t="s">
        <v>108</v>
      </c>
      <c r="E40" s="32" t="s">
        <v>128</v>
      </c>
      <c r="F40" s="147">
        <f>C45+C44+C43+C42+C41</f>
        <v>38.125799999999998</v>
      </c>
      <c r="G40" s="147"/>
      <c r="H40" s="147"/>
      <c r="I40" s="147"/>
      <c r="J40" s="147"/>
      <c r="K40" s="147"/>
    </row>
    <row r="41" spans="1:11" ht="13.5" customHeight="1" x14ac:dyDescent="0.15">
      <c r="A41" s="148" t="s">
        <v>131</v>
      </c>
      <c r="B41" s="148"/>
      <c r="C41" s="33">
        <f>K7</f>
        <v>17.608799999999999</v>
      </c>
      <c r="E41" s="34" t="s">
        <v>132</v>
      </c>
      <c r="F41" s="147">
        <f>F40*0.03</f>
        <v>1.1437739999999998</v>
      </c>
      <c r="G41" s="147"/>
      <c r="H41" s="147"/>
      <c r="I41" s="147"/>
      <c r="J41" s="147"/>
      <c r="K41" s="147"/>
    </row>
    <row r="42" spans="1:11" ht="13.5" customHeight="1" x14ac:dyDescent="0.15">
      <c r="A42" s="148" t="s">
        <v>133</v>
      </c>
      <c r="B42" s="148"/>
      <c r="C42" s="33">
        <f>I25*1.13</f>
        <v>1.1299999999999999</v>
      </c>
      <c r="E42" s="34" t="s">
        <v>134</v>
      </c>
      <c r="F42" s="147">
        <f>F40*0.06</f>
        <v>2.2875479999999997</v>
      </c>
      <c r="G42" s="147"/>
      <c r="H42" s="147"/>
      <c r="I42" s="147"/>
      <c r="J42" s="147"/>
      <c r="K42" s="147"/>
    </row>
    <row r="43" spans="1:11" ht="13.5" customHeight="1" x14ac:dyDescent="0.15">
      <c r="A43" s="148" t="s">
        <v>135</v>
      </c>
      <c r="B43" s="148"/>
      <c r="C43" s="33">
        <f>E39</f>
        <v>10.73</v>
      </c>
      <c r="E43" s="34" t="s">
        <v>136</v>
      </c>
      <c r="F43" s="147">
        <f>F40*0.02</f>
        <v>0.76251599999999997</v>
      </c>
      <c r="G43" s="147"/>
      <c r="H43" s="147"/>
      <c r="I43" s="147"/>
      <c r="J43" s="147"/>
      <c r="K43" s="147"/>
    </row>
    <row r="44" spans="1:11" ht="13.5" customHeight="1" x14ac:dyDescent="0.15">
      <c r="A44" s="148" t="s">
        <v>138</v>
      </c>
      <c r="B44" s="148"/>
      <c r="C44" s="33">
        <f>J34*1.13</f>
        <v>5.5369999999999999</v>
      </c>
      <c r="E44" s="34" t="s">
        <v>5</v>
      </c>
      <c r="F44" s="147"/>
      <c r="G44" s="147"/>
      <c r="H44" s="147"/>
      <c r="I44" s="147"/>
      <c r="J44" s="147"/>
      <c r="K44" s="147"/>
    </row>
    <row r="45" spans="1:11" ht="13.5" customHeight="1" x14ac:dyDescent="0.15">
      <c r="A45" s="148" t="s">
        <v>119</v>
      </c>
      <c r="B45" s="148"/>
      <c r="C45" s="33">
        <f>J36+J38</f>
        <v>3.12</v>
      </c>
      <c r="E45" s="34" t="s">
        <v>139</v>
      </c>
      <c r="F45" s="147">
        <f>F44+F43+F42+F41+F40</f>
        <v>42.319637999999998</v>
      </c>
      <c r="G45" s="147"/>
      <c r="H45" s="147"/>
      <c r="I45" s="147"/>
      <c r="J45" s="147"/>
      <c r="K45" s="147"/>
    </row>
    <row r="46" spans="1:11" x14ac:dyDescent="0.15">
      <c r="A46" s="161"/>
      <c r="B46" s="161"/>
      <c r="I46" t="s">
        <v>368</v>
      </c>
    </row>
    <row r="47" spans="1:11" x14ac:dyDescent="0.15">
      <c r="A47" s="161"/>
      <c r="B47" s="161"/>
    </row>
    <row r="48" spans="1:11" x14ac:dyDescent="0.15">
      <c r="A48" s="161"/>
      <c r="B48" s="161"/>
    </row>
  </sheetData>
  <mergeCells count="49">
    <mergeCell ref="A1:K1"/>
    <mergeCell ref="A7:J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1:K21"/>
    <mergeCell ref="J22:K22"/>
    <mergeCell ref="J23:K23"/>
    <mergeCell ref="D24:H24"/>
    <mergeCell ref="A25:H25"/>
    <mergeCell ref="A26:K26"/>
    <mergeCell ref="A27:E27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A39:D39"/>
    <mergeCell ref="A40:B40"/>
    <mergeCell ref="F40:K40"/>
    <mergeCell ref="A41:B41"/>
    <mergeCell ref="F41:K41"/>
    <mergeCell ref="A42:B42"/>
    <mergeCell ref="F42:K42"/>
    <mergeCell ref="A43:B43"/>
    <mergeCell ref="F43:K43"/>
    <mergeCell ref="A47:B47"/>
    <mergeCell ref="A48:B48"/>
    <mergeCell ref="A44:B44"/>
    <mergeCell ref="F44:K44"/>
    <mergeCell ref="A45:B45"/>
    <mergeCell ref="F45:K45"/>
    <mergeCell ref="A46:B46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23" sqref="B23:G23"/>
    </sheetView>
  </sheetViews>
  <sheetFormatPr defaultColWidth="9" defaultRowHeight="13.5" x14ac:dyDescent="0.15"/>
  <cols>
    <col min="2" max="2" width="5.625" customWidth="1"/>
    <col min="3" max="3" width="38.125" customWidth="1"/>
    <col min="5" max="5" width="6.875" customWidth="1"/>
  </cols>
  <sheetData>
    <row r="1" spans="1:8" ht="32.25" x14ac:dyDescent="0.15">
      <c r="A1" s="198" t="s">
        <v>384</v>
      </c>
      <c r="B1" s="198"/>
      <c r="C1" s="198"/>
      <c r="D1" s="198"/>
      <c r="E1" s="198"/>
      <c r="F1" s="198"/>
      <c r="G1" s="198"/>
      <c r="H1" s="12"/>
    </row>
    <row r="2" spans="1:8" ht="22.5" x14ac:dyDescent="0.15">
      <c r="A2" s="13" t="s">
        <v>385</v>
      </c>
      <c r="B2" s="199" t="s">
        <v>386</v>
      </c>
      <c r="C2" s="199"/>
      <c r="D2" s="200" t="s">
        <v>387</v>
      </c>
      <c r="E2" s="200"/>
      <c r="F2" s="200"/>
      <c r="G2" s="200"/>
      <c r="H2" s="12"/>
    </row>
    <row r="3" spans="1:8" ht="21.75" x14ac:dyDescent="0.15">
      <c r="A3" s="191" t="s">
        <v>388</v>
      </c>
      <c r="B3" s="191"/>
      <c r="C3" s="191"/>
      <c r="D3" s="191"/>
      <c r="E3" s="191"/>
      <c r="F3" s="191"/>
      <c r="G3" s="191"/>
      <c r="H3" s="12"/>
    </row>
    <row r="4" spans="1:8" ht="19.5" x14ac:dyDescent="0.15">
      <c r="A4" s="14" t="s">
        <v>127</v>
      </c>
      <c r="B4" s="14" t="s">
        <v>0</v>
      </c>
      <c r="C4" s="15" t="s">
        <v>389</v>
      </c>
      <c r="D4" s="15" t="s">
        <v>390</v>
      </c>
      <c r="E4" s="15" t="s">
        <v>391</v>
      </c>
      <c r="F4" s="15" t="s">
        <v>92</v>
      </c>
      <c r="G4" s="15" t="s">
        <v>108</v>
      </c>
      <c r="H4" s="12"/>
    </row>
    <row r="5" spans="1:8" ht="15" x14ac:dyDescent="0.15">
      <c r="A5" s="188" t="s">
        <v>131</v>
      </c>
      <c r="B5" s="16">
        <v>1</v>
      </c>
      <c r="C5" s="15" t="s">
        <v>392</v>
      </c>
      <c r="D5" s="15" t="s">
        <v>393</v>
      </c>
      <c r="E5" s="15">
        <v>1.85</v>
      </c>
      <c r="F5" s="17">
        <v>6.1</v>
      </c>
      <c r="G5" s="15">
        <f>F5*E5</f>
        <v>11.285</v>
      </c>
      <c r="H5" s="12"/>
    </row>
    <row r="6" spans="1:8" ht="15" x14ac:dyDescent="0.15">
      <c r="A6" s="189"/>
      <c r="B6" s="16">
        <v>2</v>
      </c>
      <c r="C6" s="15" t="s">
        <v>394</v>
      </c>
      <c r="D6" s="15" t="s">
        <v>393</v>
      </c>
      <c r="E6" s="15">
        <v>0.89</v>
      </c>
      <c r="F6" s="17">
        <v>6.1</v>
      </c>
      <c r="G6" s="15">
        <f t="shared" ref="G6:G8" si="0">F6*E6</f>
        <v>5.4289999999999994</v>
      </c>
      <c r="H6" s="12"/>
    </row>
    <row r="7" spans="1:8" ht="15" x14ac:dyDescent="0.15">
      <c r="A7" s="189"/>
      <c r="B7" s="16">
        <v>3</v>
      </c>
      <c r="C7" s="15" t="s">
        <v>395</v>
      </c>
      <c r="D7" s="15" t="s">
        <v>393</v>
      </c>
      <c r="E7" s="15">
        <v>0.4</v>
      </c>
      <c r="F7" s="17">
        <v>5.5</v>
      </c>
      <c r="G7" s="15">
        <f t="shared" si="0"/>
        <v>2.2000000000000002</v>
      </c>
      <c r="H7" s="12"/>
    </row>
    <row r="8" spans="1:8" ht="15" x14ac:dyDescent="0.15">
      <c r="A8" s="190"/>
      <c r="B8" s="16">
        <v>4</v>
      </c>
      <c r="C8" s="15" t="s">
        <v>396</v>
      </c>
      <c r="D8" s="15" t="s">
        <v>393</v>
      </c>
      <c r="E8" s="15">
        <v>7.0000000000000007E-2</v>
      </c>
      <c r="F8" s="17">
        <v>5.5</v>
      </c>
      <c r="G8" s="15">
        <f t="shared" si="0"/>
        <v>0.38500000000000001</v>
      </c>
      <c r="H8" s="12"/>
    </row>
    <row r="9" spans="1:8" ht="15" x14ac:dyDescent="0.15">
      <c r="A9" s="188" t="s">
        <v>397</v>
      </c>
      <c r="B9" s="16" t="s">
        <v>0</v>
      </c>
      <c r="C9" s="19" t="s">
        <v>398</v>
      </c>
      <c r="D9" s="19" t="s">
        <v>399</v>
      </c>
      <c r="E9" s="19" t="s">
        <v>400</v>
      </c>
      <c r="F9" s="19" t="s">
        <v>401</v>
      </c>
      <c r="G9" s="20" t="s">
        <v>108</v>
      </c>
      <c r="H9" s="12"/>
    </row>
    <row r="10" spans="1:8" ht="15" x14ac:dyDescent="0.15">
      <c r="A10" s="189"/>
      <c r="B10" s="16">
        <v>1</v>
      </c>
      <c r="C10" s="19" t="s">
        <v>73</v>
      </c>
      <c r="D10" s="19"/>
      <c r="E10" s="19"/>
      <c r="F10" s="19"/>
      <c r="G10" s="19">
        <v>1</v>
      </c>
      <c r="H10" s="12"/>
    </row>
    <row r="11" spans="1:8" ht="15" x14ac:dyDescent="0.15">
      <c r="A11" s="189"/>
      <c r="B11" s="16">
        <v>2</v>
      </c>
      <c r="C11" s="15" t="s">
        <v>75</v>
      </c>
      <c r="D11" s="15"/>
      <c r="E11" s="15"/>
      <c r="F11" s="15"/>
      <c r="G11" s="15">
        <v>0.24</v>
      </c>
      <c r="H11" s="12"/>
    </row>
    <row r="12" spans="1:8" ht="15" x14ac:dyDescent="0.15">
      <c r="A12" s="189"/>
      <c r="B12" s="16">
        <v>3</v>
      </c>
      <c r="C12" s="15" t="s">
        <v>359</v>
      </c>
      <c r="D12" s="15"/>
      <c r="E12" s="15"/>
      <c r="F12" s="15"/>
      <c r="G12" s="15">
        <v>0.5</v>
      </c>
      <c r="H12" s="12"/>
    </row>
    <row r="13" spans="1:8" ht="15" x14ac:dyDescent="0.15">
      <c r="A13" s="189"/>
      <c r="B13" s="16">
        <v>4</v>
      </c>
      <c r="C13" s="15" t="s">
        <v>402</v>
      </c>
      <c r="D13" s="15"/>
      <c r="E13" s="15"/>
      <c r="F13" s="15"/>
      <c r="G13" s="15">
        <v>0.5</v>
      </c>
      <c r="H13" s="12"/>
    </row>
    <row r="14" spans="1:8" ht="15" x14ac:dyDescent="0.15">
      <c r="A14" s="189"/>
      <c r="B14" s="16">
        <v>5</v>
      </c>
      <c r="C14" s="15"/>
      <c r="D14" s="15"/>
      <c r="E14" s="15"/>
      <c r="F14" s="15"/>
      <c r="G14" s="15"/>
      <c r="H14" s="12"/>
    </row>
    <row r="15" spans="1:8" ht="15" x14ac:dyDescent="0.15">
      <c r="A15" s="189"/>
      <c r="B15" s="16">
        <v>6</v>
      </c>
      <c r="C15" s="15"/>
      <c r="D15" s="15"/>
      <c r="E15" s="15"/>
      <c r="F15" s="15"/>
      <c r="G15" s="15"/>
      <c r="H15" s="12"/>
    </row>
    <row r="16" spans="1:8" ht="15" x14ac:dyDescent="0.15">
      <c r="A16" s="190"/>
      <c r="B16" s="16">
        <v>7</v>
      </c>
      <c r="C16" s="15"/>
      <c r="D16" s="15"/>
      <c r="E16" s="15"/>
      <c r="F16" s="15"/>
      <c r="G16" s="15"/>
      <c r="H16" s="12"/>
    </row>
    <row r="17" spans="1:8" ht="15" x14ac:dyDescent="0.15">
      <c r="A17" s="188" t="s">
        <v>403</v>
      </c>
      <c r="B17" s="16" t="s">
        <v>0</v>
      </c>
      <c r="C17" s="15" t="s">
        <v>90</v>
      </c>
      <c r="D17" s="15" t="s">
        <v>390</v>
      </c>
      <c r="E17" s="15" t="s">
        <v>391</v>
      </c>
      <c r="F17" s="15" t="s">
        <v>92</v>
      </c>
      <c r="G17" s="15" t="s">
        <v>108</v>
      </c>
      <c r="H17" s="12"/>
    </row>
    <row r="18" spans="1:8" ht="15" x14ac:dyDescent="0.15">
      <c r="A18" s="189"/>
      <c r="B18" s="16">
        <v>1</v>
      </c>
      <c r="C18" s="15" t="s">
        <v>84</v>
      </c>
      <c r="D18" s="15">
        <v>1</v>
      </c>
      <c r="E18" s="15"/>
      <c r="F18" s="15"/>
      <c r="G18" s="15">
        <v>3.5</v>
      </c>
      <c r="H18" s="12"/>
    </row>
    <row r="19" spans="1:8" ht="15" x14ac:dyDescent="0.15">
      <c r="A19" s="189"/>
      <c r="B19" s="16">
        <v>1</v>
      </c>
      <c r="C19" s="15" t="s">
        <v>404</v>
      </c>
      <c r="D19" s="15"/>
      <c r="E19" s="15"/>
      <c r="F19" s="15"/>
      <c r="G19" s="15">
        <v>0.28000000000000003</v>
      </c>
      <c r="H19" s="12"/>
    </row>
    <row r="20" spans="1:8" ht="15" x14ac:dyDescent="0.15">
      <c r="A20" s="190"/>
      <c r="B20" s="16">
        <v>1</v>
      </c>
      <c r="C20" s="15" t="s">
        <v>405</v>
      </c>
      <c r="D20" s="15"/>
      <c r="E20" s="15"/>
      <c r="F20" s="15"/>
      <c r="G20" s="15">
        <v>1.5</v>
      </c>
      <c r="H20" s="12"/>
    </row>
    <row r="21" spans="1:8" ht="15" x14ac:dyDescent="0.15">
      <c r="A21" s="16" t="s">
        <v>406</v>
      </c>
      <c r="B21" s="194">
        <v>0.09</v>
      </c>
      <c r="C21" s="185"/>
      <c r="D21" s="185"/>
      <c r="E21" s="185"/>
      <c r="F21" s="185"/>
      <c r="G21" s="186"/>
      <c r="H21" s="12"/>
    </row>
    <row r="22" spans="1:8" ht="15" x14ac:dyDescent="0.15">
      <c r="A22" s="16" t="s">
        <v>407</v>
      </c>
      <c r="B22" s="194">
        <v>2.6</v>
      </c>
      <c r="C22" s="185"/>
      <c r="D22" s="185"/>
      <c r="E22" s="185"/>
      <c r="F22" s="185"/>
      <c r="G22" s="186"/>
      <c r="H22" s="12"/>
    </row>
    <row r="23" spans="1:8" ht="15" x14ac:dyDescent="0.15">
      <c r="A23" s="16" t="s">
        <v>408</v>
      </c>
      <c r="B23" s="194">
        <v>1.5</v>
      </c>
      <c r="C23" s="185"/>
      <c r="D23" s="185"/>
      <c r="E23" s="185"/>
      <c r="F23" s="185"/>
      <c r="G23" s="186"/>
      <c r="H23" s="12"/>
    </row>
    <row r="24" spans="1:8" ht="15" x14ac:dyDescent="0.15">
      <c r="A24" s="16" t="s">
        <v>409</v>
      </c>
      <c r="B24" s="194"/>
      <c r="C24" s="185"/>
      <c r="D24" s="185"/>
      <c r="E24" s="185"/>
      <c r="F24" s="185"/>
      <c r="G24" s="186"/>
      <c r="H24" s="12"/>
    </row>
    <row r="25" spans="1:8" ht="15" x14ac:dyDescent="0.15">
      <c r="A25" s="16" t="s">
        <v>410</v>
      </c>
      <c r="B25" s="184">
        <f>B22+B21+G20+G19+G18+G13+G12+G11+G10+G8+G7+G6+G5</f>
        <v>29.508999999999997</v>
      </c>
      <c r="C25" s="185"/>
      <c r="D25" s="185"/>
      <c r="E25" s="185"/>
      <c r="F25" s="185"/>
      <c r="G25" s="186"/>
      <c r="H25" s="12"/>
    </row>
    <row r="26" spans="1:8" ht="21.75" x14ac:dyDescent="0.15">
      <c r="A26" s="191" t="s">
        <v>411</v>
      </c>
      <c r="B26" s="191"/>
      <c r="C26" s="191"/>
      <c r="D26" s="191"/>
      <c r="E26" s="191"/>
      <c r="F26" s="191"/>
      <c r="G26" s="191"/>
      <c r="H26" s="12"/>
    </row>
    <row r="27" spans="1:8" ht="15" x14ac:dyDescent="0.15">
      <c r="A27" s="16" t="s">
        <v>412</v>
      </c>
      <c r="B27" s="184">
        <f>B25*0.06</f>
        <v>1.7705399999999998</v>
      </c>
      <c r="C27" s="192"/>
      <c r="D27" s="192"/>
      <c r="E27" s="192"/>
      <c r="F27" s="192"/>
      <c r="G27" s="193"/>
      <c r="H27" s="12"/>
    </row>
    <row r="28" spans="1:8" ht="15" x14ac:dyDescent="0.15">
      <c r="A28" s="16" t="s">
        <v>413</v>
      </c>
      <c r="B28" s="184">
        <f>B25*0.035</f>
        <v>1.032815</v>
      </c>
      <c r="C28" s="192"/>
      <c r="D28" s="192"/>
      <c r="E28" s="192"/>
      <c r="F28" s="192"/>
      <c r="G28" s="193"/>
      <c r="H28" s="12"/>
    </row>
    <row r="29" spans="1:8" ht="15" x14ac:dyDescent="0.15">
      <c r="A29" s="16" t="s">
        <v>414</v>
      </c>
      <c r="B29" s="194"/>
      <c r="C29" s="185"/>
      <c r="D29" s="185"/>
      <c r="E29" s="185"/>
      <c r="F29" s="185"/>
      <c r="G29" s="186"/>
      <c r="H29" s="12"/>
    </row>
    <row r="30" spans="1:8" ht="15" x14ac:dyDescent="0.15">
      <c r="A30" s="21" t="s">
        <v>5</v>
      </c>
      <c r="B30" s="195"/>
      <c r="C30" s="196"/>
      <c r="D30" s="196"/>
      <c r="E30" s="196"/>
      <c r="F30" s="196"/>
      <c r="G30" s="197"/>
      <c r="H30" s="12"/>
    </row>
    <row r="31" spans="1:8" ht="15" x14ac:dyDescent="0.15">
      <c r="A31" s="18" t="s">
        <v>415</v>
      </c>
      <c r="B31" s="181"/>
      <c r="C31" s="182"/>
      <c r="D31" s="182"/>
      <c r="E31" s="182"/>
      <c r="F31" s="182"/>
      <c r="G31" s="183"/>
      <c r="H31" s="12"/>
    </row>
    <row r="32" spans="1:8" ht="15" x14ac:dyDescent="0.15">
      <c r="A32" s="16" t="s">
        <v>416</v>
      </c>
      <c r="B32" s="184">
        <f>B28+B27+B25+B23</f>
        <v>33.812354999999997</v>
      </c>
      <c r="C32" s="185"/>
      <c r="D32" s="185"/>
      <c r="E32" s="186"/>
      <c r="F32" s="187" t="s">
        <v>417</v>
      </c>
      <c r="G32" s="187"/>
      <c r="H32" s="12"/>
    </row>
    <row r="34" spans="4:4" x14ac:dyDescent="0.15">
      <c r="D34" s="11" t="s">
        <v>374</v>
      </c>
    </row>
  </sheetData>
  <mergeCells count="21">
    <mergeCell ref="A1:G1"/>
    <mergeCell ref="B2:C2"/>
    <mergeCell ref="D2:E2"/>
    <mergeCell ref="F2:G2"/>
    <mergeCell ref="A3:G3"/>
    <mergeCell ref="B31:G31"/>
    <mergeCell ref="B32:E32"/>
    <mergeCell ref="F32:G32"/>
    <mergeCell ref="A5:A8"/>
    <mergeCell ref="A9:A16"/>
    <mergeCell ref="A17:A20"/>
    <mergeCell ref="A26:G26"/>
    <mergeCell ref="B27:G27"/>
    <mergeCell ref="B28:G28"/>
    <mergeCell ref="B29:G29"/>
    <mergeCell ref="B30:G30"/>
    <mergeCell ref="B21:G21"/>
    <mergeCell ref="B22:G22"/>
    <mergeCell ref="B23:G23"/>
    <mergeCell ref="B24:G24"/>
    <mergeCell ref="B25:G25"/>
  </mergeCells>
  <phoneticPr fontId="2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"/>
  <sheetViews>
    <sheetView tabSelected="1" topLeftCell="I1" zoomScale="80" zoomScaleNormal="80" workbookViewId="0">
      <selection activeCell="N8" sqref="N8"/>
    </sheetView>
  </sheetViews>
  <sheetFormatPr defaultColWidth="9" defaultRowHeight="13.5" x14ac:dyDescent="0.15"/>
  <cols>
    <col min="1" max="1" width="6" hidden="1" customWidth="1"/>
    <col min="2" max="2" width="14.375" hidden="1" customWidth="1"/>
    <col min="3" max="3" width="23.75" hidden="1" customWidth="1"/>
    <col min="4" max="6" width="12.875" hidden="1" customWidth="1"/>
    <col min="7" max="7" width="12.125" hidden="1" customWidth="1"/>
    <col min="8" max="8" width="5" hidden="1" customWidth="1"/>
    <col min="9" max="9" width="1.875" customWidth="1"/>
    <col min="10" max="10" width="12.625" customWidth="1"/>
    <col min="11" max="11" width="22" customWidth="1"/>
    <col min="12" max="12" width="16" customWidth="1"/>
    <col min="13" max="17" width="10" customWidth="1"/>
    <col min="18" max="18" width="10.125" customWidth="1"/>
    <col min="19" max="19" width="11.625" customWidth="1"/>
    <col min="20" max="20" width="10.125" customWidth="1"/>
    <col min="21" max="21" width="11.75" customWidth="1"/>
    <col min="24" max="24" width="20.5" customWidth="1"/>
  </cols>
  <sheetData>
    <row r="1" spans="1:29" ht="42" customHeight="1" x14ac:dyDescent="0.15">
      <c r="A1" s="140"/>
      <c r="B1" s="140"/>
      <c r="C1" s="140"/>
      <c r="D1" s="140"/>
      <c r="E1" s="140"/>
      <c r="F1" s="140"/>
      <c r="G1" s="140"/>
      <c r="R1" s="144" t="s">
        <v>463</v>
      </c>
      <c r="S1" s="144"/>
      <c r="T1" s="144"/>
      <c r="U1" s="144"/>
    </row>
    <row r="2" spans="1:29" ht="27" customHeight="1" x14ac:dyDescent="0.15">
      <c r="A2" s="80"/>
      <c r="B2" s="80"/>
      <c r="C2" s="80"/>
      <c r="D2" s="80"/>
      <c r="E2" s="80"/>
      <c r="F2" s="80"/>
      <c r="G2" s="80"/>
      <c r="R2" s="144" t="s">
        <v>469</v>
      </c>
      <c r="S2" s="144"/>
      <c r="T2" s="144" t="s">
        <v>494</v>
      </c>
      <c r="U2" s="144"/>
    </row>
    <row r="3" spans="1:29" s="102" customFormat="1" ht="47.25" customHeight="1" x14ac:dyDescent="0.15">
      <c r="A3" s="101" t="s">
        <v>0</v>
      </c>
      <c r="B3" s="101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101" t="s">
        <v>6</v>
      </c>
      <c r="J3" s="101" t="s">
        <v>1</v>
      </c>
      <c r="K3" s="101" t="s">
        <v>2</v>
      </c>
      <c r="L3" s="110" t="s">
        <v>467</v>
      </c>
      <c r="M3" s="101" t="s">
        <v>7</v>
      </c>
      <c r="N3" s="103" t="s">
        <v>8</v>
      </c>
      <c r="O3" s="104" t="s">
        <v>9</v>
      </c>
      <c r="P3" s="104" t="s">
        <v>470</v>
      </c>
      <c r="Q3" s="103" t="s">
        <v>471</v>
      </c>
      <c r="R3" s="135" t="s">
        <v>461</v>
      </c>
      <c r="S3" s="135" t="s">
        <v>462</v>
      </c>
      <c r="T3" s="135" t="s">
        <v>461</v>
      </c>
      <c r="U3" s="135" t="s">
        <v>462</v>
      </c>
      <c r="V3" s="110" t="s">
        <v>464</v>
      </c>
      <c r="W3" s="110" t="s">
        <v>466</v>
      </c>
      <c r="X3" s="110" t="s">
        <v>476</v>
      </c>
      <c r="Z3" s="102" t="s">
        <v>500</v>
      </c>
    </row>
    <row r="4" spans="1:29" ht="22.5" customHeight="1" x14ac:dyDescent="0.15">
      <c r="A4" s="26">
        <v>1</v>
      </c>
      <c r="B4" s="26" t="s">
        <v>10</v>
      </c>
      <c r="C4" s="26" t="s">
        <v>11</v>
      </c>
      <c r="D4" s="26">
        <v>86.27</v>
      </c>
      <c r="E4" s="26">
        <v>79.09</v>
      </c>
      <c r="F4" s="26">
        <f>E4-D4</f>
        <v>-7.1799999999999926</v>
      </c>
      <c r="G4" s="141" t="s">
        <v>12</v>
      </c>
      <c r="J4" s="87" t="s">
        <v>484</v>
      </c>
      <c r="K4" s="112" t="s">
        <v>483</v>
      </c>
      <c r="L4" s="115" t="s">
        <v>474</v>
      </c>
      <c r="M4" s="105">
        <v>79.09</v>
      </c>
      <c r="N4" s="105">
        <v>86.27</v>
      </c>
      <c r="O4" s="105">
        <v>87.055999999999997</v>
      </c>
      <c r="P4" s="125">
        <f>(O4-M4)/M4</f>
        <v>0.10072069793905669</v>
      </c>
      <c r="Q4" s="125">
        <f>(N4-M4)/M4</f>
        <v>9.0782652674168574E-2</v>
      </c>
      <c r="R4" s="107">
        <f>S4/1.13</f>
        <v>70.72776637168144</v>
      </c>
      <c r="S4" s="123">
        <f>'G7G9一排三人 (2)'!$F$49</f>
        <v>79.922376000000014</v>
      </c>
      <c r="T4" s="107">
        <f t="shared" ref="T4" si="0">U4/1.13</f>
        <v>75.020530973451343</v>
      </c>
      <c r="U4" s="107">
        <f>M4+5.12*1.11</f>
        <v>84.773200000000003</v>
      </c>
      <c r="V4" s="111">
        <f>'G7G9一排三人 (2)'!$M$45</f>
        <v>5.69</v>
      </c>
      <c r="W4" s="113">
        <f>M4/1.13/V4</f>
        <v>12.300729427500507</v>
      </c>
      <c r="X4" s="119" t="s">
        <v>473</v>
      </c>
      <c r="Z4" s="221">
        <f>R4/$V4</f>
        <v>12.43018741154331</v>
      </c>
      <c r="AA4" s="221">
        <f>S4/$V4</f>
        <v>14.046111775043938</v>
      </c>
      <c r="AB4" s="221">
        <f t="shared" ref="AA4:AC4" si="1">T4/$V4</f>
        <v>13.184627587601289</v>
      </c>
      <c r="AC4" s="221">
        <f t="shared" si="1"/>
        <v>14.898629173989455</v>
      </c>
    </row>
    <row r="5" spans="1:29" ht="22.5" customHeight="1" x14ac:dyDescent="0.15">
      <c r="A5" s="26">
        <v>2</v>
      </c>
      <c r="B5" s="26" t="s">
        <v>13</v>
      </c>
      <c r="C5" s="26" t="s">
        <v>14</v>
      </c>
      <c r="D5" s="26">
        <v>102.98</v>
      </c>
      <c r="E5" s="26">
        <v>92.24</v>
      </c>
      <c r="F5" s="26">
        <f t="shared" ref="F5:F23" si="2">E5-D5</f>
        <v>-10.740000000000009</v>
      </c>
      <c r="G5" s="142"/>
      <c r="J5" s="87" t="s">
        <v>482</v>
      </c>
      <c r="K5" s="112" t="s">
        <v>481</v>
      </c>
      <c r="L5" s="115" t="s">
        <v>472</v>
      </c>
      <c r="M5" s="105">
        <v>92.24</v>
      </c>
      <c r="N5" s="105">
        <v>102.98</v>
      </c>
      <c r="O5" s="105">
        <v>102.22</v>
      </c>
      <c r="P5" s="125">
        <f t="shared" ref="P5:P17" si="3">(O5-M5)/M5</f>
        <v>0.10819601040763231</v>
      </c>
      <c r="Q5" s="125">
        <f t="shared" ref="Q5:Q17" si="4">(N5-M5)/M5</f>
        <v>0.11643538594969655</v>
      </c>
      <c r="R5" s="107">
        <f>S5/1.13</f>
        <v>82.879008849557536</v>
      </c>
      <c r="S5" s="123">
        <f>'G7G9三排三人 (5)'!$F$51</f>
        <v>93.653280000000009</v>
      </c>
      <c r="T5" s="107">
        <f t="shared" ref="T5" si="5">U5/1.13</f>
        <v>87.895398230088503</v>
      </c>
      <c r="U5" s="107">
        <f>M5+6.38*1.11</f>
        <v>99.321799999999996</v>
      </c>
      <c r="V5" s="111">
        <f>'G7G9三排三人 (5)'!$M$43</f>
        <v>7.13</v>
      </c>
      <c r="W5" s="113">
        <f>M5/1.13/V5</f>
        <v>11.44857203142648</v>
      </c>
      <c r="X5" s="119" t="s">
        <v>473</v>
      </c>
      <c r="Z5" s="221">
        <f t="shared" ref="Z5:Z14" si="6">R5/$V5</f>
        <v>11.623984410877634</v>
      </c>
      <c r="AA5" s="221">
        <f t="shared" ref="AA5:AA14" si="7">S5/$V5</f>
        <v>13.135102384291727</v>
      </c>
      <c r="AB5" s="221">
        <f t="shared" ref="AB5:AB14" si="8">T5/$V5</f>
        <v>12.327545333813255</v>
      </c>
      <c r="AC5" s="221">
        <f t="shared" ref="AC5:AC14" si="9">U5/$V5</f>
        <v>13.930126227208977</v>
      </c>
    </row>
    <row r="6" spans="1:29" ht="22.5" customHeight="1" x14ac:dyDescent="0.15">
      <c r="A6" s="26">
        <v>3</v>
      </c>
      <c r="B6" s="26" t="s">
        <v>15</v>
      </c>
      <c r="C6" s="26" t="s">
        <v>16</v>
      </c>
      <c r="D6" s="26">
        <v>22.5</v>
      </c>
      <c r="E6" s="26">
        <v>18.760000000000002</v>
      </c>
      <c r="F6" s="26">
        <f t="shared" si="2"/>
        <v>-3.7399999999999984</v>
      </c>
      <c r="G6" s="142"/>
      <c r="J6" s="87" t="s">
        <v>493</v>
      </c>
      <c r="K6" s="112" t="s">
        <v>492</v>
      </c>
      <c r="L6" s="115" t="s">
        <v>491</v>
      </c>
      <c r="M6" s="105">
        <v>18.760000000000002</v>
      </c>
      <c r="N6" s="105">
        <v>22.5</v>
      </c>
      <c r="O6" s="105">
        <v>20.85</v>
      </c>
      <c r="P6" s="125">
        <f t="shared" si="3"/>
        <v>0.11140724946695094</v>
      </c>
      <c r="Q6" s="125">
        <f t="shared" si="4"/>
        <v>0.19936034115138582</v>
      </c>
      <c r="R6" s="107">
        <f t="shared" ref="R6:T12" si="10">S6/1.13</f>
        <v>16.047063716814161</v>
      </c>
      <c r="S6" s="107">
        <f>'连接支架 g7一、二排(4)'!$F$52</f>
        <v>18.133182000000001</v>
      </c>
      <c r="T6" s="107">
        <f t="shared" ref="T6" si="11">U6/1.13</f>
        <v>17.839469026548674</v>
      </c>
      <c r="U6" s="107">
        <f>M6+1.26*1.11</f>
        <v>20.1586</v>
      </c>
      <c r="V6" s="111">
        <f>'连接支架 g7一、二排(4)'!$N$42</f>
        <v>1.49</v>
      </c>
      <c r="W6" s="113">
        <f>M6/1.13/V6</f>
        <v>11.142127457385522</v>
      </c>
      <c r="X6" s="120" t="s">
        <v>485</v>
      </c>
      <c r="Z6" s="221">
        <f t="shared" si="6"/>
        <v>10.769841420680645</v>
      </c>
      <c r="AA6" s="221">
        <f t="shared" si="7"/>
        <v>12.169920805369129</v>
      </c>
      <c r="AB6" s="221">
        <f t="shared" si="8"/>
        <v>11.972798004395083</v>
      </c>
      <c r="AC6" s="221">
        <f t="shared" si="9"/>
        <v>13.529261744966442</v>
      </c>
    </row>
    <row r="7" spans="1:29" ht="22.5" customHeight="1" x14ac:dyDescent="0.15">
      <c r="A7" s="26">
        <v>4</v>
      </c>
      <c r="B7" s="26" t="s">
        <v>17</v>
      </c>
      <c r="C7" s="26" t="s">
        <v>18</v>
      </c>
      <c r="D7" s="26">
        <v>59.15</v>
      </c>
      <c r="E7" s="26">
        <v>51.01</v>
      </c>
      <c r="F7" s="26">
        <f t="shared" si="2"/>
        <v>-8.14</v>
      </c>
      <c r="G7" s="142"/>
      <c r="J7" s="87" t="s">
        <v>502</v>
      </c>
      <c r="K7" s="112" t="s">
        <v>478</v>
      </c>
      <c r="L7" s="115" t="s">
        <v>501</v>
      </c>
      <c r="M7" s="105">
        <v>51.01</v>
      </c>
      <c r="N7" s="105">
        <v>59.15</v>
      </c>
      <c r="O7" s="105">
        <v>54.31</v>
      </c>
      <c r="P7" s="125">
        <f t="shared" si="3"/>
        <v>6.4693197412272196E-2</v>
      </c>
      <c r="Q7" s="125">
        <f t="shared" si="4"/>
        <v>0.15957655361693787</v>
      </c>
      <c r="R7" s="107">
        <f>S7/1.13</f>
        <v>46.154707964601776</v>
      </c>
      <c r="S7" s="107">
        <f>'G9翻滚 (5)'!$F$52</f>
        <v>52.154820000000001</v>
      </c>
      <c r="T7" s="107">
        <f t="shared" ref="T7" si="12">U7/1.13</f>
        <v>48.638584070796462</v>
      </c>
      <c r="U7" s="222">
        <f>M7+3.56*1.11</f>
        <v>54.961599999999997</v>
      </c>
      <c r="V7" s="124">
        <v>4.74</v>
      </c>
      <c r="W7" s="113">
        <f>M7/1.13/V7</f>
        <v>9.5235428102012616</v>
      </c>
      <c r="X7" s="120" t="s">
        <v>477</v>
      </c>
      <c r="Y7" s="122">
        <f>'G9翻滚 (5)'!$N$44</f>
        <v>2.36</v>
      </c>
      <c r="Z7" s="221">
        <f t="shared" si="6"/>
        <v>9.7372801613083908</v>
      </c>
      <c r="AA7" s="221">
        <f t="shared" si="7"/>
        <v>11.003126582278481</v>
      </c>
      <c r="AB7" s="221">
        <f t="shared" si="8"/>
        <v>10.261304656286173</v>
      </c>
      <c r="AC7" s="221">
        <f t="shared" si="9"/>
        <v>11.595274261603375</v>
      </c>
    </row>
    <row r="8" spans="1:29" ht="22.5" customHeight="1" x14ac:dyDescent="0.15">
      <c r="A8" s="26">
        <v>5</v>
      </c>
      <c r="B8" s="26" t="s">
        <v>19</v>
      </c>
      <c r="C8" s="26" t="s">
        <v>20</v>
      </c>
      <c r="D8" s="26">
        <v>11.84</v>
      </c>
      <c r="E8" s="26">
        <v>7.55</v>
      </c>
      <c r="F8" s="26">
        <f t="shared" si="2"/>
        <v>-4.29</v>
      </c>
      <c r="G8" s="142"/>
      <c r="J8" s="87" t="s">
        <v>19</v>
      </c>
      <c r="K8" s="26" t="s">
        <v>20</v>
      </c>
      <c r="L8" s="114"/>
      <c r="M8" s="105">
        <v>7.55</v>
      </c>
      <c r="N8" s="105">
        <v>11.84</v>
      </c>
      <c r="O8" s="105">
        <v>8.4600000000000009</v>
      </c>
      <c r="P8" s="125">
        <f t="shared" si="3"/>
        <v>0.12052980132450344</v>
      </c>
      <c r="Q8" s="125">
        <f t="shared" si="4"/>
        <v>0.5682119205298013</v>
      </c>
      <c r="R8" s="107" t="e">
        <f t="shared" si="10"/>
        <v>#VALUE!</v>
      </c>
      <c r="S8" s="119" t="s">
        <v>486</v>
      </c>
      <c r="T8" s="107">
        <f t="shared" ref="T8" si="13">U8/1.13</f>
        <v>7.4126843657817112</v>
      </c>
      <c r="U8" s="123">
        <f>M8+0.67/0.9*1.11</f>
        <v>8.3763333333333332</v>
      </c>
      <c r="V8" s="111">
        <f>'铰链 (2)'!$M$48</f>
        <v>0.67</v>
      </c>
      <c r="W8" s="113">
        <f t="shared" ref="W8:W17" si="14">M8/1.13/V8</f>
        <v>9.9722625809008054</v>
      </c>
      <c r="X8" s="109"/>
      <c r="Z8" s="221" t="e">
        <f t="shared" si="6"/>
        <v>#VALUE!</v>
      </c>
      <c r="AA8" s="221" t="e">
        <f t="shared" si="7"/>
        <v>#VALUE!</v>
      </c>
      <c r="AB8" s="221">
        <f>T8/$V8</f>
        <v>11.063708008629419</v>
      </c>
      <c r="AC8" s="221">
        <f t="shared" si="9"/>
        <v>12.501990049751242</v>
      </c>
    </row>
    <row r="9" spans="1:29" ht="22.5" customHeight="1" x14ac:dyDescent="0.15">
      <c r="A9" s="26">
        <v>6</v>
      </c>
      <c r="B9" s="26" t="s">
        <v>21</v>
      </c>
      <c r="C9" s="26" t="s">
        <v>22</v>
      </c>
      <c r="D9" s="26">
        <v>10.85</v>
      </c>
      <c r="E9" s="26">
        <v>7.55</v>
      </c>
      <c r="F9" s="26">
        <f t="shared" si="2"/>
        <v>-3.3</v>
      </c>
      <c r="G9" s="142"/>
      <c r="J9" s="87" t="s">
        <v>21</v>
      </c>
      <c r="K9" s="26" t="s">
        <v>22</v>
      </c>
      <c r="L9" s="114"/>
      <c r="M9" s="105">
        <v>7.55</v>
      </c>
      <c r="N9" s="105">
        <v>10.85</v>
      </c>
      <c r="O9" s="105">
        <v>8.39</v>
      </c>
      <c r="P9" s="125">
        <f t="shared" si="3"/>
        <v>0.11125827814569547</v>
      </c>
      <c r="Q9" s="125">
        <f t="shared" si="4"/>
        <v>0.4370860927152318</v>
      </c>
      <c r="R9" s="107" t="e">
        <f t="shared" si="10"/>
        <v>#VALUE!</v>
      </c>
      <c r="S9" s="119" t="s">
        <v>486</v>
      </c>
      <c r="T9" s="107">
        <f t="shared" ref="T9" si="15">U9/1.13</f>
        <v>7.3581120943952802</v>
      </c>
      <c r="U9" s="123">
        <f>M9+0.62/0.9*1.11</f>
        <v>8.3146666666666658</v>
      </c>
      <c r="V9" s="111">
        <f>'铰链 (2)'!$M$102</f>
        <v>0.62</v>
      </c>
      <c r="W9" s="113">
        <f t="shared" si="14"/>
        <v>10.776477305167001</v>
      </c>
      <c r="X9" s="109"/>
      <c r="Z9" s="221" t="e">
        <f t="shared" si="6"/>
        <v>#VALUE!</v>
      </c>
      <c r="AA9" s="221" t="e">
        <f t="shared" si="7"/>
        <v>#VALUE!</v>
      </c>
      <c r="AB9" s="221">
        <f t="shared" si="8"/>
        <v>11.867922732895613</v>
      </c>
      <c r="AC9" s="221">
        <f t="shared" si="9"/>
        <v>13.410752688172042</v>
      </c>
    </row>
    <row r="10" spans="1:29" ht="22.5" customHeight="1" x14ac:dyDescent="0.15">
      <c r="A10" s="26">
        <v>8</v>
      </c>
      <c r="B10" s="26" t="s">
        <v>23</v>
      </c>
      <c r="C10" s="26" t="s">
        <v>24</v>
      </c>
      <c r="D10" s="26">
        <v>2.2000000000000002</v>
      </c>
      <c r="E10" s="26">
        <v>1.5</v>
      </c>
      <c r="F10" s="26">
        <f t="shared" si="2"/>
        <v>-0.70000000000000018</v>
      </c>
      <c r="G10" s="142"/>
      <c r="J10" s="87" t="s">
        <v>23</v>
      </c>
      <c r="K10" s="26" t="s">
        <v>24</v>
      </c>
      <c r="L10" s="114"/>
      <c r="M10" s="105">
        <v>1.5</v>
      </c>
      <c r="N10" s="105">
        <v>2.2000000000000002</v>
      </c>
      <c r="O10" s="105">
        <v>1.71</v>
      </c>
      <c r="P10" s="125">
        <f t="shared" si="3"/>
        <v>0.13999999999999999</v>
      </c>
      <c r="Q10" s="125">
        <f t="shared" si="4"/>
        <v>0.46666666666666679</v>
      </c>
      <c r="R10" s="107" t="e">
        <f t="shared" si="10"/>
        <v>#VALUE!</v>
      </c>
      <c r="S10" s="119" t="s">
        <v>486</v>
      </c>
      <c r="T10" s="107">
        <f t="shared" ref="T10" si="16">U10/1.13</f>
        <v>1.4911504424778763</v>
      </c>
      <c r="U10" s="123">
        <f>M10+0.15/0.9*1.11</f>
        <v>1.6850000000000001</v>
      </c>
      <c r="V10" s="111">
        <f>'铰链 (2)'!$M$214</f>
        <v>0.15</v>
      </c>
      <c r="W10" s="113">
        <f t="shared" si="14"/>
        <v>8.8495575221238951</v>
      </c>
      <c r="X10" s="109"/>
      <c r="Z10" s="221" t="e">
        <f t="shared" si="6"/>
        <v>#VALUE!</v>
      </c>
      <c r="AA10" s="221" t="e">
        <f t="shared" si="7"/>
        <v>#VALUE!</v>
      </c>
      <c r="AB10" s="221">
        <f t="shared" si="8"/>
        <v>9.9410029498525088</v>
      </c>
      <c r="AC10" s="221">
        <f t="shared" si="9"/>
        <v>11.233333333333334</v>
      </c>
    </row>
    <row r="11" spans="1:29" ht="22.5" customHeight="1" x14ac:dyDescent="0.15">
      <c r="A11" s="26">
        <v>9</v>
      </c>
      <c r="B11" s="26" t="s">
        <v>25</v>
      </c>
      <c r="C11" s="26" t="s">
        <v>26</v>
      </c>
      <c r="D11" s="26">
        <v>31.26</v>
      </c>
      <c r="E11" s="26">
        <v>24.19</v>
      </c>
      <c r="F11" s="26">
        <f t="shared" si="2"/>
        <v>-7.07</v>
      </c>
      <c r="G11" s="142"/>
      <c r="J11" s="87" t="s">
        <v>25</v>
      </c>
      <c r="K11" s="26" t="s">
        <v>26</v>
      </c>
      <c r="L11" s="115" t="s">
        <v>468</v>
      </c>
      <c r="M11" s="105">
        <v>24.19</v>
      </c>
      <c r="N11" s="105">
        <v>31.26</v>
      </c>
      <c r="O11" s="105">
        <v>27.99</v>
      </c>
      <c r="P11" s="125">
        <f t="shared" si="3"/>
        <v>0.15708970649028511</v>
      </c>
      <c r="Q11" s="125">
        <f t="shared" si="4"/>
        <v>0.29226953286482016</v>
      </c>
      <c r="R11" s="107">
        <f t="shared" si="10"/>
        <v>25.065653097345137</v>
      </c>
      <c r="S11" s="107">
        <f>'G7翻滚 (4)'!$F$52</f>
        <v>28.324188000000003</v>
      </c>
      <c r="T11" s="107">
        <f t="shared" si="10"/>
        <v>24.03964601769912</v>
      </c>
      <c r="U11" s="107">
        <f>M11+2.68*1.11</f>
        <v>27.164800000000003</v>
      </c>
      <c r="V11" s="111">
        <f>'G7翻滚 (4)'!$N$46</f>
        <v>2.72</v>
      </c>
      <c r="W11" s="113">
        <f t="shared" si="14"/>
        <v>7.8702498698594487</v>
      </c>
      <c r="X11" s="109"/>
      <c r="Z11" s="221">
        <f t="shared" si="6"/>
        <v>9.21531363872983</v>
      </c>
      <c r="AA11" s="221">
        <f t="shared" si="7"/>
        <v>10.413304411764706</v>
      </c>
      <c r="AB11" s="221">
        <f t="shared" si="8"/>
        <v>8.8381051535658521</v>
      </c>
      <c r="AC11" s="221">
        <f t="shared" si="9"/>
        <v>9.9870588235294129</v>
      </c>
    </row>
    <row r="12" spans="1:29" ht="22.5" customHeight="1" x14ac:dyDescent="0.15">
      <c r="A12" s="26">
        <v>10</v>
      </c>
      <c r="B12" s="26" t="s">
        <v>27</v>
      </c>
      <c r="C12" s="26" t="s">
        <v>28</v>
      </c>
      <c r="D12" s="26">
        <v>23.42</v>
      </c>
      <c r="E12" s="26">
        <v>19.920000000000002</v>
      </c>
      <c r="F12" s="26">
        <f t="shared" si="2"/>
        <v>-3.5</v>
      </c>
      <c r="G12" s="142"/>
      <c r="J12" s="87" t="s">
        <v>490</v>
      </c>
      <c r="K12" s="112" t="s">
        <v>489</v>
      </c>
      <c r="L12" s="115" t="s">
        <v>488</v>
      </c>
      <c r="M12" s="105">
        <v>19.920000000000002</v>
      </c>
      <c r="N12" s="105">
        <v>23.42</v>
      </c>
      <c r="O12" s="105">
        <v>22.2</v>
      </c>
      <c r="P12" s="125">
        <f t="shared" si="3"/>
        <v>0.11445783132530107</v>
      </c>
      <c r="Q12" s="125">
        <f t="shared" si="4"/>
        <v>0.17570281124497991</v>
      </c>
      <c r="R12" s="107">
        <f t="shared" si="10"/>
        <v>16.193500884955753</v>
      </c>
      <c r="S12" s="123">
        <f>'连接支架 g7三排(3)'!$F$52</f>
        <v>18.298656000000001</v>
      </c>
      <c r="T12" s="107">
        <f t="shared" ref="T12" si="17">U12/1.13</f>
        <v>18.964247787610621</v>
      </c>
      <c r="U12" s="107">
        <f>M12+1.36*1.11</f>
        <v>21.429600000000001</v>
      </c>
      <c r="V12" s="111">
        <f>'连接支架 g7三排(3)'!$M$48</f>
        <v>1.63</v>
      </c>
      <c r="W12" s="113">
        <f t="shared" si="14"/>
        <v>10.814919376730554</v>
      </c>
      <c r="X12" s="109"/>
      <c r="Z12" s="221">
        <f t="shared" si="6"/>
        <v>9.9346631196047568</v>
      </c>
      <c r="AA12" s="221">
        <f t="shared" si="7"/>
        <v>11.226169325153375</v>
      </c>
      <c r="AB12" s="221">
        <f t="shared" si="8"/>
        <v>11.634507845159892</v>
      </c>
      <c r="AC12" s="221">
        <f t="shared" si="9"/>
        <v>13.146993865030677</v>
      </c>
    </row>
    <row r="13" spans="1:29" ht="22.5" customHeight="1" x14ac:dyDescent="0.15">
      <c r="A13" s="26">
        <v>11</v>
      </c>
      <c r="B13" s="26" t="s">
        <v>29</v>
      </c>
      <c r="C13" s="26" t="s">
        <v>30</v>
      </c>
      <c r="D13" s="26">
        <v>33.81</v>
      </c>
      <c r="E13" s="26">
        <v>22.6</v>
      </c>
      <c r="F13" s="26">
        <f t="shared" si="2"/>
        <v>-11.21</v>
      </c>
      <c r="G13" s="142"/>
      <c r="J13" s="87" t="s">
        <v>480</v>
      </c>
      <c r="K13" s="112" t="s">
        <v>479</v>
      </c>
      <c r="L13" s="115" t="s">
        <v>475</v>
      </c>
      <c r="M13" s="105">
        <v>65.55</v>
      </c>
      <c r="N13" s="105">
        <v>73.19</v>
      </c>
      <c r="O13" s="105">
        <v>72.647999999999996</v>
      </c>
      <c r="P13" s="125">
        <f t="shared" si="3"/>
        <v>0.10828375286041189</v>
      </c>
      <c r="Q13" s="125">
        <f t="shared" si="4"/>
        <v>0.11655225019069414</v>
      </c>
      <c r="R13" s="107">
        <f>S13/1.13</f>
        <v>60.268587610619477</v>
      </c>
      <c r="S13" s="123">
        <f>'G7G9一排双人 (2)'!$F$51</f>
        <v>68.103504000000001</v>
      </c>
      <c r="T13" s="107">
        <f t="shared" ref="T13" si="18">U13/1.13</f>
        <v>62.743539823008852</v>
      </c>
      <c r="U13" s="107">
        <f>M13+4.82*1.11</f>
        <v>70.900199999999998</v>
      </c>
      <c r="V13" s="111">
        <f>'G7G9一排双人 (2)'!$N$50</f>
        <v>5.07</v>
      </c>
      <c r="W13" s="113">
        <f t="shared" si="14"/>
        <v>11.441587683929413</v>
      </c>
      <c r="X13" s="119" t="s">
        <v>473</v>
      </c>
      <c r="Z13" s="221">
        <f t="shared" si="6"/>
        <v>11.887295386709955</v>
      </c>
      <c r="AA13" s="221">
        <f t="shared" si="7"/>
        <v>13.432643786982249</v>
      </c>
      <c r="AB13" s="221">
        <f t="shared" si="8"/>
        <v>12.375451641619103</v>
      </c>
      <c r="AC13" s="221">
        <f t="shared" si="9"/>
        <v>13.984260355029585</v>
      </c>
    </row>
    <row r="14" spans="1:29" ht="33" customHeight="1" x14ac:dyDescent="0.15">
      <c r="A14" s="26">
        <v>12</v>
      </c>
      <c r="B14" s="26" t="s">
        <v>33</v>
      </c>
      <c r="C14" s="26" t="s">
        <v>34</v>
      </c>
      <c r="D14" s="26">
        <v>35.29</v>
      </c>
      <c r="E14" s="26">
        <v>22.6</v>
      </c>
      <c r="F14" s="26">
        <f t="shared" si="2"/>
        <v>-12.689999999999998</v>
      </c>
      <c r="G14" s="142"/>
      <c r="J14" s="88" t="s">
        <v>497</v>
      </c>
      <c r="K14" s="138" t="s">
        <v>496</v>
      </c>
      <c r="L14" s="137" t="s">
        <v>495</v>
      </c>
      <c r="M14" s="106">
        <v>38.53</v>
      </c>
      <c r="N14" s="106">
        <v>44.07</v>
      </c>
      <c r="O14" s="105">
        <v>42.62</v>
      </c>
      <c r="P14" s="125">
        <f t="shared" si="3"/>
        <v>0.1061510511289903</v>
      </c>
      <c r="Q14" s="125">
        <f t="shared" si="4"/>
        <v>0.14378406436542951</v>
      </c>
      <c r="R14" s="107">
        <f>S14/1.13</f>
        <v>33.87185840707965</v>
      </c>
      <c r="S14" s="123">
        <f>K1宽车司机背!$F$51</f>
        <v>38.275199999999998</v>
      </c>
      <c r="T14" s="107">
        <f t="shared" ref="T14" si="19">U14/1.13</f>
        <v>37.417522123893811</v>
      </c>
      <c r="U14" s="107">
        <f>M14+3.38*1.11</f>
        <v>42.281800000000004</v>
      </c>
      <c r="V14" s="111">
        <f>K1宽车司机背!$E$62</f>
        <v>2.92</v>
      </c>
      <c r="W14" s="113">
        <f t="shared" si="14"/>
        <v>11.677172990665536</v>
      </c>
      <c r="X14" s="120" t="s">
        <v>498</v>
      </c>
      <c r="Z14" s="221">
        <f t="shared" si="6"/>
        <v>11.599951509273852</v>
      </c>
      <c r="AA14" s="221">
        <f t="shared" si="7"/>
        <v>13.107945205479451</v>
      </c>
      <c r="AB14" s="221">
        <f t="shared" si="8"/>
        <v>12.814219905443085</v>
      </c>
      <c r="AC14" s="221">
        <f t="shared" si="9"/>
        <v>14.480068493150686</v>
      </c>
    </row>
    <row r="15" spans="1:29" ht="22.5" customHeight="1" x14ac:dyDescent="0.15">
      <c r="A15" s="26">
        <v>13</v>
      </c>
      <c r="B15" s="26" t="s">
        <v>31</v>
      </c>
      <c r="C15" s="26" t="s">
        <v>32</v>
      </c>
      <c r="D15" s="26">
        <v>73.19</v>
      </c>
      <c r="E15" s="26">
        <v>65.55</v>
      </c>
      <c r="F15" s="26">
        <f t="shared" si="2"/>
        <v>-7.6400000000000006</v>
      </c>
      <c r="G15" s="142"/>
      <c r="J15" s="126" t="s">
        <v>37</v>
      </c>
      <c r="K15" s="127" t="s">
        <v>38</v>
      </c>
      <c r="L15" s="128"/>
      <c r="M15" s="129">
        <v>26.22</v>
      </c>
      <c r="N15" s="129">
        <v>28.05</v>
      </c>
      <c r="O15" s="129">
        <v>29.62</v>
      </c>
      <c r="P15" s="130">
        <f t="shared" si="3"/>
        <v>0.12967200610221213</v>
      </c>
      <c r="Q15" s="130">
        <f t="shared" si="4"/>
        <v>6.9794050343249495E-2</v>
      </c>
      <c r="R15" s="131"/>
      <c r="S15" s="131"/>
      <c r="T15" s="131"/>
      <c r="U15" s="131"/>
      <c r="V15" s="132">
        <f>M4司机背!$O$11</f>
        <v>2.4300000000000002</v>
      </c>
      <c r="W15" s="133">
        <f t="shared" si="14"/>
        <v>9.5487818201682497</v>
      </c>
      <c r="X15" s="134" t="s">
        <v>487</v>
      </c>
    </row>
    <row r="16" spans="1:29" ht="22.5" customHeight="1" x14ac:dyDescent="0.15">
      <c r="A16" s="26">
        <v>14</v>
      </c>
      <c r="B16" s="79" t="s">
        <v>35</v>
      </c>
      <c r="C16" s="79" t="s">
        <v>36</v>
      </c>
      <c r="D16" s="79">
        <v>44.07</v>
      </c>
      <c r="E16" s="79">
        <v>38.53</v>
      </c>
      <c r="F16" s="79">
        <f t="shared" si="2"/>
        <v>-5.5399999999999991</v>
      </c>
      <c r="G16" s="142"/>
      <c r="J16" s="126" t="s">
        <v>39</v>
      </c>
      <c r="K16" s="127" t="s">
        <v>40</v>
      </c>
      <c r="L16" s="128"/>
      <c r="M16" s="129">
        <v>29.4</v>
      </c>
      <c r="N16" s="129">
        <v>31.44</v>
      </c>
      <c r="O16" s="129">
        <v>32.799999999999997</v>
      </c>
      <c r="P16" s="130">
        <f t="shared" si="3"/>
        <v>0.11564625850340132</v>
      </c>
      <c r="Q16" s="130">
        <f t="shared" si="4"/>
        <v>6.9387755102040913E-2</v>
      </c>
      <c r="R16" s="131"/>
      <c r="S16" s="131"/>
      <c r="T16" s="131"/>
      <c r="U16" s="131"/>
      <c r="V16" s="132">
        <f>M4司机背!$P$72</f>
        <v>2.59</v>
      </c>
      <c r="W16" s="133">
        <f t="shared" si="14"/>
        <v>10.045443673762259</v>
      </c>
      <c r="X16" s="134" t="s">
        <v>487</v>
      </c>
    </row>
    <row r="17" spans="1:24" ht="22.5" customHeight="1" x14ac:dyDescent="0.15">
      <c r="A17" s="26">
        <v>15</v>
      </c>
      <c r="B17" s="79" t="s">
        <v>37</v>
      </c>
      <c r="C17" s="79" t="s">
        <v>38</v>
      </c>
      <c r="D17" s="79">
        <v>28.05</v>
      </c>
      <c r="E17" s="79">
        <v>26.22</v>
      </c>
      <c r="F17" s="79">
        <f t="shared" si="2"/>
        <v>-1.8300000000000018</v>
      </c>
      <c r="G17" s="142"/>
      <c r="J17" s="126" t="s">
        <v>41</v>
      </c>
      <c r="K17" s="127" t="s">
        <v>42</v>
      </c>
      <c r="L17" s="128"/>
      <c r="M17" s="129">
        <v>29.7</v>
      </c>
      <c r="N17" s="129">
        <v>33.42</v>
      </c>
      <c r="O17" s="129">
        <v>29.5</v>
      </c>
      <c r="P17" s="130">
        <f t="shared" si="3"/>
        <v>-6.7340067340067103E-3</v>
      </c>
      <c r="Q17" s="130">
        <f t="shared" si="4"/>
        <v>0.12525252525252534</v>
      </c>
      <c r="R17" s="131"/>
      <c r="S17" s="131"/>
      <c r="T17" s="131"/>
      <c r="U17" s="131"/>
      <c r="V17" s="132">
        <f>J6F副司机背!$N$43</f>
        <v>2.2000000000000002</v>
      </c>
      <c r="W17" s="133">
        <f t="shared" si="14"/>
        <v>11.946902654867255</v>
      </c>
      <c r="X17" s="134" t="s">
        <v>487</v>
      </c>
    </row>
    <row r="18" spans="1:24" ht="22.5" customHeight="1" x14ac:dyDescent="0.15">
      <c r="A18" s="26">
        <v>16</v>
      </c>
      <c r="B18" s="79" t="s">
        <v>39</v>
      </c>
      <c r="C18" s="79" t="s">
        <v>40</v>
      </c>
      <c r="D18" s="79">
        <v>31.44</v>
      </c>
      <c r="E18" s="79">
        <v>29.4</v>
      </c>
      <c r="F18" s="79">
        <f t="shared" si="2"/>
        <v>-2.0400000000000027</v>
      </c>
      <c r="G18" s="142"/>
    </row>
    <row r="19" spans="1:24" ht="22.5" customHeight="1" x14ac:dyDescent="0.15">
      <c r="A19" s="26">
        <v>17</v>
      </c>
      <c r="B19" s="79" t="s">
        <v>41</v>
      </c>
      <c r="C19" s="79" t="s">
        <v>42</v>
      </c>
      <c r="D19" s="79">
        <v>33.42</v>
      </c>
      <c r="E19" s="79">
        <v>29.7</v>
      </c>
      <c r="F19" s="79">
        <f t="shared" si="2"/>
        <v>-3.7200000000000024</v>
      </c>
      <c r="G19" s="142"/>
    </row>
    <row r="20" spans="1:24" ht="27" customHeight="1" x14ac:dyDescent="0.15">
      <c r="A20" s="26">
        <v>18</v>
      </c>
      <c r="B20" s="26" t="s">
        <v>43</v>
      </c>
      <c r="C20" s="26" t="s">
        <v>44</v>
      </c>
      <c r="D20" s="26">
        <v>28.11</v>
      </c>
      <c r="E20" s="26">
        <v>22.6</v>
      </c>
      <c r="F20" s="26">
        <f t="shared" si="2"/>
        <v>-5.509999999999998</v>
      </c>
      <c r="G20" s="142"/>
    </row>
    <row r="21" spans="1:24" ht="23.25" customHeight="1" x14ac:dyDescent="0.15">
      <c r="A21" s="26">
        <v>19</v>
      </c>
      <c r="B21" s="26" t="s">
        <v>45</v>
      </c>
      <c r="C21" s="26" t="s">
        <v>46</v>
      </c>
      <c r="D21" s="26">
        <v>38.630000000000003</v>
      </c>
      <c r="E21" s="26">
        <v>40.5</v>
      </c>
      <c r="F21" s="26">
        <f t="shared" si="2"/>
        <v>1.8699999999999974</v>
      </c>
      <c r="G21" s="142"/>
    </row>
    <row r="22" spans="1:24" ht="23.25" customHeight="1" x14ac:dyDescent="0.15">
      <c r="A22" s="26">
        <v>20</v>
      </c>
      <c r="B22" s="26" t="s">
        <v>47</v>
      </c>
      <c r="C22" s="26" t="s">
        <v>48</v>
      </c>
      <c r="D22" s="26">
        <v>42.48</v>
      </c>
      <c r="E22" s="26">
        <v>40.06</v>
      </c>
      <c r="F22" s="26">
        <f t="shared" si="2"/>
        <v>-2.4199999999999946</v>
      </c>
      <c r="G22" s="143"/>
    </row>
    <row r="23" spans="1:24" ht="23.25" customHeight="1" x14ac:dyDescent="0.15">
      <c r="A23" s="26">
        <v>21</v>
      </c>
      <c r="B23" s="26" t="s">
        <v>49</v>
      </c>
      <c r="C23" s="26" t="s">
        <v>50</v>
      </c>
      <c r="D23" s="26">
        <v>42.32</v>
      </c>
      <c r="E23" s="26">
        <v>35.96</v>
      </c>
      <c r="F23" s="26">
        <f t="shared" si="2"/>
        <v>-6.3599999999999994</v>
      </c>
      <c r="G23" s="26"/>
    </row>
    <row r="24" spans="1:24" ht="23.25" customHeight="1" x14ac:dyDescent="0.15"/>
    <row r="25" spans="1:24" ht="23.25" customHeight="1" x14ac:dyDescent="0.15"/>
    <row r="26" spans="1:24" ht="23.25" customHeight="1" x14ac:dyDescent="0.15"/>
    <row r="27" spans="1:24" s="78" customFormat="1" ht="23.25" customHeight="1" x14ac:dyDescent="0.15"/>
    <row r="28" spans="1:24" s="78" customFormat="1" ht="23.25" customHeight="1" x14ac:dyDescent="0.15"/>
  </sheetData>
  <mergeCells count="5">
    <mergeCell ref="A1:G1"/>
    <mergeCell ref="G4:G22"/>
    <mergeCell ref="R1:U1"/>
    <mergeCell ref="R2:S2"/>
    <mergeCell ref="T2:U2"/>
  </mergeCells>
  <phoneticPr fontId="23" type="noConversion"/>
  <hyperlinks>
    <hyperlink ref="J5" location="'G7G9三排三人 (5)'!A1" display="SLI0001067"/>
    <hyperlink ref="J7" location="'G9翻滚 (5)'!A1" display="SLI0000439"/>
    <hyperlink ref="J4" location="'G7G9一排三人 (2)'!A1" display="SLI0000634"/>
    <hyperlink ref="J16" location="M4司机背!A47" display="SLI0000782"/>
    <hyperlink ref="J15" location="M4司机背!A1" display="SLI0000802"/>
    <hyperlink ref="J17" location="J6F副司机背!A1" display="SLI0002142"/>
    <hyperlink ref="J6" location="'连接支架 g7一、二排(4)'!A1" display="SLI0000619"/>
    <hyperlink ref="J11" location="'G7翻滚 (4)'!A1" display="SLI0000623"/>
    <hyperlink ref="J12" location="'连接支架 g7三排(3)'!A1" display="SLI0001068"/>
    <hyperlink ref="J13" location="'G7G9一排双人 (2)'!A1" display="SLI0000618"/>
    <hyperlink ref="J9" location="'铰链 (2)'!A57" display="SLI0000420"/>
    <hyperlink ref="J8" location="'铰链 (2)'!A1" display="SLI0000614"/>
    <hyperlink ref="J14" location="K1宽车司机背!A1" display="SLI0000324"/>
    <hyperlink ref="J10" location="'铰链 (2)'!A169" display="SLI0001070"/>
  </hyperlinks>
  <pageMargins left="0.7" right="0.7" top="0.39305555555555599" bottom="0.75" header="0.3" footer="0.3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30" sqref="B30:G30"/>
    </sheetView>
  </sheetViews>
  <sheetFormatPr defaultColWidth="9" defaultRowHeight="13.5" x14ac:dyDescent="0.15"/>
  <sheetData>
    <row r="1" spans="1:8" ht="32.25" x14ac:dyDescent="0.15">
      <c r="A1" s="218" t="s">
        <v>384</v>
      </c>
      <c r="B1" s="218"/>
      <c r="C1" s="218"/>
      <c r="D1" s="218"/>
      <c r="E1" s="218"/>
      <c r="F1" s="218"/>
      <c r="G1" s="218"/>
      <c r="H1" s="1"/>
    </row>
    <row r="2" spans="1:8" ht="22.5" x14ac:dyDescent="0.15">
      <c r="A2" s="2" t="s">
        <v>385</v>
      </c>
      <c r="B2" s="219" t="s">
        <v>418</v>
      </c>
      <c r="C2" s="219"/>
      <c r="D2" s="220" t="s">
        <v>419</v>
      </c>
      <c r="E2" s="220"/>
      <c r="F2" s="2"/>
      <c r="G2" s="2"/>
      <c r="H2" s="1"/>
    </row>
    <row r="3" spans="1:8" ht="21.75" x14ac:dyDescent="0.15">
      <c r="A3" s="217" t="s">
        <v>388</v>
      </c>
      <c r="B3" s="217"/>
      <c r="C3" s="217"/>
      <c r="D3" s="217"/>
      <c r="E3" s="217"/>
      <c r="F3" s="217"/>
      <c r="G3" s="217"/>
      <c r="H3" s="1"/>
    </row>
    <row r="4" spans="1:8" ht="19.5" x14ac:dyDescent="0.15">
      <c r="A4" s="3" t="s">
        <v>127</v>
      </c>
      <c r="B4" s="3" t="s">
        <v>0</v>
      </c>
      <c r="C4" s="4" t="s">
        <v>389</v>
      </c>
      <c r="D4" s="4" t="s">
        <v>390</v>
      </c>
      <c r="E4" s="4" t="s">
        <v>391</v>
      </c>
      <c r="F4" s="4" t="s">
        <v>92</v>
      </c>
      <c r="G4" s="4" t="s">
        <v>108</v>
      </c>
      <c r="H4" s="1"/>
    </row>
    <row r="5" spans="1:8" ht="15" x14ac:dyDescent="0.15">
      <c r="A5" s="205" t="s">
        <v>131</v>
      </c>
      <c r="B5" s="5">
        <v>1</v>
      </c>
      <c r="C5" s="4" t="s">
        <v>420</v>
      </c>
      <c r="D5" s="4" t="s">
        <v>393</v>
      </c>
      <c r="E5" s="4">
        <v>1.8</v>
      </c>
      <c r="F5" s="6">
        <v>6.1</v>
      </c>
      <c r="G5" s="4">
        <f>F5*E5</f>
        <v>10.98</v>
      </c>
      <c r="H5" s="1"/>
    </row>
    <row r="6" spans="1:8" ht="15" x14ac:dyDescent="0.15">
      <c r="A6" s="206"/>
      <c r="B6" s="5">
        <v>2</v>
      </c>
      <c r="C6" s="4" t="s">
        <v>421</v>
      </c>
      <c r="D6" s="4" t="s">
        <v>393</v>
      </c>
      <c r="E6" s="4">
        <v>0.7</v>
      </c>
      <c r="F6" s="6">
        <v>6.1</v>
      </c>
      <c r="G6" s="4">
        <f t="shared" ref="G6:G8" si="0">F6*E6</f>
        <v>4.2699999999999996</v>
      </c>
      <c r="H6" s="1"/>
    </row>
    <row r="7" spans="1:8" ht="15" x14ac:dyDescent="0.15">
      <c r="A7" s="206"/>
      <c r="B7" s="5">
        <v>3</v>
      </c>
      <c r="C7" s="4" t="s">
        <v>422</v>
      </c>
      <c r="D7" s="4" t="s">
        <v>393</v>
      </c>
      <c r="E7" s="4">
        <v>0.21</v>
      </c>
      <c r="F7" s="6">
        <v>6.8</v>
      </c>
      <c r="G7" s="4">
        <f t="shared" si="0"/>
        <v>1.4279999999999999</v>
      </c>
      <c r="H7" s="1"/>
    </row>
    <row r="8" spans="1:8" ht="15" x14ac:dyDescent="0.15">
      <c r="A8" s="207"/>
      <c r="B8" s="5">
        <v>4</v>
      </c>
      <c r="C8" s="4" t="s">
        <v>423</v>
      </c>
      <c r="D8" s="4" t="s">
        <v>393</v>
      </c>
      <c r="E8" s="4">
        <v>0.2</v>
      </c>
      <c r="F8" s="6">
        <v>5.5</v>
      </c>
      <c r="G8" s="4">
        <f t="shared" si="0"/>
        <v>1.1000000000000001</v>
      </c>
      <c r="H8" s="1">
        <f>SUM(G5:G8)</f>
        <v>17.778000000000002</v>
      </c>
    </row>
    <row r="9" spans="1:8" ht="15" x14ac:dyDescent="0.15">
      <c r="A9" s="205" t="s">
        <v>397</v>
      </c>
      <c r="B9" s="5" t="s">
        <v>0</v>
      </c>
      <c r="C9" s="8" t="s">
        <v>398</v>
      </c>
      <c r="D9" s="8" t="s">
        <v>399</v>
      </c>
      <c r="E9" s="8" t="s">
        <v>400</v>
      </c>
      <c r="F9" s="8" t="s">
        <v>401</v>
      </c>
      <c r="G9" s="9" t="s">
        <v>108</v>
      </c>
      <c r="H9" s="1"/>
    </row>
    <row r="10" spans="1:8" ht="15" x14ac:dyDescent="0.15">
      <c r="A10" s="206"/>
      <c r="B10" s="5">
        <v>1</v>
      </c>
      <c r="C10" s="8" t="s">
        <v>73</v>
      </c>
      <c r="D10" s="8"/>
      <c r="E10" s="8"/>
      <c r="F10" s="8"/>
      <c r="G10" s="8">
        <v>0.4</v>
      </c>
      <c r="H10" s="1"/>
    </row>
    <row r="11" spans="1:8" ht="15" x14ac:dyDescent="0.15">
      <c r="A11" s="206"/>
      <c r="B11" s="5">
        <v>2</v>
      </c>
      <c r="C11" s="4" t="s">
        <v>172</v>
      </c>
      <c r="D11" s="4"/>
      <c r="E11" s="4"/>
      <c r="F11" s="4"/>
      <c r="G11" s="4">
        <v>0.48</v>
      </c>
      <c r="H11" s="1"/>
    </row>
    <row r="12" spans="1:8" ht="15" x14ac:dyDescent="0.15">
      <c r="A12" s="206"/>
      <c r="B12" s="5">
        <v>3</v>
      </c>
      <c r="C12" s="4" t="s">
        <v>84</v>
      </c>
      <c r="D12" s="4"/>
      <c r="E12" s="4"/>
      <c r="F12" s="4"/>
      <c r="G12" s="4">
        <v>3</v>
      </c>
      <c r="H12" s="1"/>
    </row>
    <row r="13" spans="1:8" ht="15" x14ac:dyDescent="0.15">
      <c r="A13" s="206"/>
      <c r="B13" s="5">
        <v>4</v>
      </c>
      <c r="C13" s="4" t="s">
        <v>424</v>
      </c>
      <c r="D13" s="4"/>
      <c r="E13" s="4"/>
      <c r="F13" s="4"/>
      <c r="G13" s="4">
        <v>0.3</v>
      </c>
      <c r="H13" s="1"/>
    </row>
    <row r="14" spans="1:8" ht="15" x14ac:dyDescent="0.15">
      <c r="A14" s="206"/>
      <c r="B14" s="5">
        <v>5</v>
      </c>
      <c r="C14" s="4" t="s">
        <v>93</v>
      </c>
      <c r="D14" s="4"/>
      <c r="E14" s="4"/>
      <c r="F14" s="4"/>
      <c r="G14" s="4">
        <v>0.16</v>
      </c>
      <c r="H14" s="1"/>
    </row>
    <row r="15" spans="1:8" ht="15" x14ac:dyDescent="0.15">
      <c r="A15" s="206"/>
      <c r="B15" s="5">
        <v>6</v>
      </c>
      <c r="C15" s="4" t="s">
        <v>182</v>
      </c>
      <c r="D15" s="4"/>
      <c r="E15" s="4"/>
      <c r="F15" s="4"/>
      <c r="G15" s="4">
        <v>0.1</v>
      </c>
      <c r="H15" s="1"/>
    </row>
    <row r="16" spans="1:8" ht="15" x14ac:dyDescent="0.15">
      <c r="A16" s="207"/>
      <c r="B16" s="5">
        <v>7</v>
      </c>
      <c r="C16" s="4"/>
      <c r="D16" s="4"/>
      <c r="E16" s="4"/>
      <c r="F16" s="4"/>
      <c r="G16" s="4">
        <f>SUM(G10:G15)</f>
        <v>4.4399999999999995</v>
      </c>
      <c r="H16" s="1"/>
    </row>
    <row r="17" spans="1:8" ht="15" x14ac:dyDescent="0.15">
      <c r="A17" s="205" t="s">
        <v>403</v>
      </c>
      <c r="B17" s="5" t="s">
        <v>0</v>
      </c>
      <c r="C17" s="4" t="s">
        <v>90</v>
      </c>
      <c r="D17" s="4" t="s">
        <v>390</v>
      </c>
      <c r="E17" s="4" t="s">
        <v>391</v>
      </c>
      <c r="F17" s="4" t="s">
        <v>92</v>
      </c>
      <c r="G17" s="4" t="s">
        <v>108</v>
      </c>
      <c r="H17" s="1"/>
    </row>
    <row r="18" spans="1:8" ht="15" x14ac:dyDescent="0.15">
      <c r="A18" s="206"/>
      <c r="B18" s="5">
        <v>1</v>
      </c>
      <c r="C18" s="4" t="s">
        <v>193</v>
      </c>
      <c r="D18" s="4"/>
      <c r="E18" s="4"/>
      <c r="F18" s="4"/>
      <c r="G18" s="4">
        <v>3</v>
      </c>
      <c r="H18" s="1"/>
    </row>
    <row r="19" spans="1:8" ht="15" x14ac:dyDescent="0.15">
      <c r="A19" s="206"/>
      <c r="B19" s="5">
        <v>2</v>
      </c>
      <c r="C19" s="4" t="s">
        <v>196</v>
      </c>
      <c r="D19" s="4"/>
      <c r="E19" s="4"/>
      <c r="F19" s="4"/>
      <c r="G19" s="4">
        <v>0.9</v>
      </c>
      <c r="H19" s="1"/>
    </row>
    <row r="20" spans="1:8" ht="15" x14ac:dyDescent="0.15">
      <c r="A20" s="206"/>
      <c r="B20" s="5">
        <v>3</v>
      </c>
      <c r="C20" s="4" t="s">
        <v>383</v>
      </c>
      <c r="D20" s="4"/>
      <c r="E20" s="4"/>
      <c r="F20" s="4"/>
      <c r="G20" s="4">
        <v>0.12</v>
      </c>
      <c r="H20" s="1"/>
    </row>
    <row r="21" spans="1:8" ht="15" x14ac:dyDescent="0.15">
      <c r="A21" s="207"/>
      <c r="B21" s="5">
        <v>4</v>
      </c>
      <c r="C21" s="4" t="s">
        <v>405</v>
      </c>
      <c r="D21" s="4"/>
      <c r="E21" s="4"/>
      <c r="F21" s="4"/>
      <c r="G21" s="4">
        <v>2.25</v>
      </c>
      <c r="H21" s="1">
        <f>SUM(G18:G21)</f>
        <v>6.27</v>
      </c>
    </row>
    <row r="22" spans="1:8" ht="15" x14ac:dyDescent="0.15">
      <c r="A22" s="5" t="s">
        <v>406</v>
      </c>
      <c r="B22" s="210"/>
      <c r="C22" s="202"/>
      <c r="D22" s="202"/>
      <c r="E22" s="202"/>
      <c r="F22" s="202"/>
      <c r="G22" s="203"/>
      <c r="H22" s="1"/>
    </row>
    <row r="23" spans="1:8" ht="15" x14ac:dyDescent="0.15">
      <c r="A23" s="5" t="s">
        <v>407</v>
      </c>
      <c r="B23" s="210">
        <v>2.5</v>
      </c>
      <c r="C23" s="202"/>
      <c r="D23" s="202"/>
      <c r="E23" s="202"/>
      <c r="F23" s="202"/>
      <c r="G23" s="203"/>
      <c r="H23" s="1"/>
    </row>
    <row r="24" spans="1:8" ht="15" x14ac:dyDescent="0.15">
      <c r="A24" s="5" t="s">
        <v>408</v>
      </c>
      <c r="B24" s="210">
        <v>1.2</v>
      </c>
      <c r="C24" s="202"/>
      <c r="D24" s="202"/>
      <c r="E24" s="202"/>
      <c r="F24" s="202"/>
      <c r="G24" s="203"/>
      <c r="H24" s="1"/>
    </row>
    <row r="25" spans="1:8" ht="15" x14ac:dyDescent="0.15">
      <c r="A25" s="5" t="s">
        <v>409</v>
      </c>
      <c r="B25" s="210"/>
      <c r="C25" s="202"/>
      <c r="D25" s="202"/>
      <c r="E25" s="202"/>
      <c r="F25" s="202"/>
      <c r="G25" s="203"/>
      <c r="H25" s="1"/>
    </row>
    <row r="26" spans="1:8" ht="15" x14ac:dyDescent="0.15">
      <c r="A26" s="5" t="s">
        <v>410</v>
      </c>
      <c r="B26" s="201">
        <f>B23+H21+G16+H8</f>
        <v>30.988</v>
      </c>
      <c r="C26" s="202"/>
      <c r="D26" s="202"/>
      <c r="E26" s="202"/>
      <c r="F26" s="202"/>
      <c r="G26" s="203"/>
      <c r="H26" s="1"/>
    </row>
    <row r="27" spans="1:8" ht="21.75" x14ac:dyDescent="0.15">
      <c r="A27" s="217" t="s">
        <v>411</v>
      </c>
      <c r="B27" s="217"/>
      <c r="C27" s="217"/>
      <c r="D27" s="217"/>
      <c r="E27" s="217"/>
      <c r="F27" s="217"/>
      <c r="G27" s="217"/>
      <c r="H27" s="1"/>
    </row>
    <row r="28" spans="1:8" ht="15" x14ac:dyDescent="0.15">
      <c r="A28" s="5" t="s">
        <v>412</v>
      </c>
      <c r="B28" s="201">
        <f>B26*0.06</f>
        <v>1.8592799999999998</v>
      </c>
      <c r="C28" s="208"/>
      <c r="D28" s="208"/>
      <c r="E28" s="208"/>
      <c r="F28" s="208"/>
      <c r="G28" s="209"/>
      <c r="H28" s="1"/>
    </row>
    <row r="29" spans="1:8" ht="15" x14ac:dyDescent="0.15">
      <c r="A29" s="5" t="s">
        <v>413</v>
      </c>
      <c r="B29" s="201">
        <f>B26*0.04</f>
        <v>1.23952</v>
      </c>
      <c r="C29" s="208"/>
      <c r="D29" s="208"/>
      <c r="E29" s="208"/>
      <c r="F29" s="208"/>
      <c r="G29" s="209"/>
      <c r="H29" s="1"/>
    </row>
    <row r="30" spans="1:8" ht="15" x14ac:dyDescent="0.15">
      <c r="A30" s="5" t="s">
        <v>414</v>
      </c>
      <c r="B30" s="210"/>
      <c r="C30" s="202"/>
      <c r="D30" s="202"/>
      <c r="E30" s="202"/>
      <c r="F30" s="202"/>
      <c r="G30" s="203"/>
      <c r="H30" s="1"/>
    </row>
    <row r="31" spans="1:8" ht="15" x14ac:dyDescent="0.15">
      <c r="A31" s="10" t="s">
        <v>5</v>
      </c>
      <c r="B31" s="211"/>
      <c r="C31" s="212"/>
      <c r="D31" s="212"/>
      <c r="E31" s="212"/>
      <c r="F31" s="212"/>
      <c r="G31" s="213"/>
      <c r="H31" s="1"/>
    </row>
    <row r="32" spans="1:8" ht="15" x14ac:dyDescent="0.15">
      <c r="A32" s="7" t="s">
        <v>415</v>
      </c>
      <c r="B32" s="214"/>
      <c r="C32" s="215"/>
      <c r="D32" s="215"/>
      <c r="E32" s="215"/>
      <c r="F32" s="215"/>
      <c r="G32" s="216"/>
      <c r="H32" s="1"/>
    </row>
    <row r="33" spans="1:7" ht="15" x14ac:dyDescent="0.15">
      <c r="A33" s="5" t="s">
        <v>416</v>
      </c>
      <c r="B33" s="201">
        <f>B29+B28+B26+B24</f>
        <v>35.286799999999999</v>
      </c>
      <c r="C33" s="202"/>
      <c r="D33" s="202"/>
      <c r="E33" s="203"/>
      <c r="F33" s="204" t="s">
        <v>417</v>
      </c>
      <c r="G33" s="204"/>
    </row>
    <row r="35" spans="1:7" x14ac:dyDescent="0.15">
      <c r="E35" s="11" t="s">
        <v>374</v>
      </c>
    </row>
  </sheetData>
  <mergeCells count="20">
    <mergeCell ref="A1:G1"/>
    <mergeCell ref="B2:C2"/>
    <mergeCell ref="D2:E2"/>
    <mergeCell ref="A3:G3"/>
    <mergeCell ref="B22:G22"/>
    <mergeCell ref="B33:E33"/>
    <mergeCell ref="F33:G33"/>
    <mergeCell ref="A5:A8"/>
    <mergeCell ref="A9:A16"/>
    <mergeCell ref="A17:A21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A27:G27"/>
  </mergeCells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0"/>
  <sheetViews>
    <sheetView workbookViewId="0">
      <selection activeCell="P72" sqref="P72"/>
    </sheetView>
  </sheetViews>
  <sheetFormatPr defaultColWidth="9" defaultRowHeight="13.5" x14ac:dyDescent="0.15"/>
  <cols>
    <col min="1" max="1" width="4.625" customWidth="1"/>
    <col min="2" max="2" width="16.75" customWidth="1"/>
    <col min="3" max="3" width="9.75" customWidth="1"/>
    <col min="4" max="7" width="10" customWidth="1"/>
    <col min="8" max="11" width="11.375" customWidth="1"/>
    <col min="12" max="12" width="10.375" style="75"/>
    <col min="13" max="13" width="9" style="35"/>
    <col min="14" max="14" width="2.75" customWidth="1"/>
    <col min="15" max="15" width="18" customWidth="1"/>
  </cols>
  <sheetData>
    <row r="1" spans="1:15" ht="6.95" customHeight="1" x14ac:dyDescent="0.15"/>
    <row r="2" spans="1:15" ht="17.100000000000001" customHeight="1" x14ac:dyDescent="0.15">
      <c r="A2" s="155" t="s">
        <v>51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75" t="s">
        <v>37</v>
      </c>
    </row>
    <row r="3" spans="1:15" x14ac:dyDescent="0.15">
      <c r="A3" s="22" t="s">
        <v>0</v>
      </c>
      <c r="B3" s="22" t="s">
        <v>52</v>
      </c>
      <c r="C3" s="22" t="s">
        <v>53</v>
      </c>
      <c r="D3" s="22" t="s">
        <v>54</v>
      </c>
      <c r="E3" s="22" t="s">
        <v>55</v>
      </c>
      <c r="F3" s="22" t="s">
        <v>56</v>
      </c>
      <c r="G3" s="22" t="s">
        <v>57</v>
      </c>
      <c r="H3" s="22" t="s">
        <v>58</v>
      </c>
      <c r="I3" s="22" t="s">
        <v>59</v>
      </c>
      <c r="J3" s="22" t="s">
        <v>60</v>
      </c>
      <c r="K3" s="22" t="s">
        <v>61</v>
      </c>
    </row>
    <row r="4" spans="1:15" ht="12" customHeight="1" x14ac:dyDescent="0.15">
      <c r="A4" s="22">
        <v>1</v>
      </c>
      <c r="B4" s="22" t="s">
        <v>62</v>
      </c>
      <c r="C4" s="22"/>
      <c r="D4" s="22" t="s">
        <v>63</v>
      </c>
      <c r="E4" s="23">
        <v>6.1</v>
      </c>
      <c r="F4" s="23">
        <v>1.22</v>
      </c>
      <c r="G4" s="23">
        <f>F4*E4</f>
        <v>7.4419999999999993</v>
      </c>
      <c r="H4" s="23"/>
      <c r="I4" s="23">
        <v>0</v>
      </c>
      <c r="J4" s="23">
        <v>0</v>
      </c>
      <c r="K4" s="23">
        <f>G4</f>
        <v>7.4419999999999993</v>
      </c>
    </row>
    <row r="5" spans="1:15" ht="12" customHeight="1" x14ac:dyDescent="0.15">
      <c r="A5" s="22">
        <v>3</v>
      </c>
      <c r="B5" s="22" t="s">
        <v>64</v>
      </c>
      <c r="C5" s="22"/>
      <c r="D5" s="22" t="s">
        <v>63</v>
      </c>
      <c r="E5" s="23">
        <v>6.1</v>
      </c>
      <c r="F5" s="22">
        <v>2.3E-2</v>
      </c>
      <c r="G5" s="23">
        <f>F5*E5</f>
        <v>0.14029999999999998</v>
      </c>
      <c r="H5" s="22"/>
      <c r="I5" s="23">
        <v>0</v>
      </c>
      <c r="J5" s="23">
        <v>0</v>
      </c>
      <c r="K5" s="23">
        <f>G5</f>
        <v>0.14029999999999998</v>
      </c>
    </row>
    <row r="6" spans="1:15" ht="12" customHeight="1" x14ac:dyDescent="0.15">
      <c r="A6" s="22">
        <v>4</v>
      </c>
      <c r="B6" s="22" t="s">
        <v>65</v>
      </c>
      <c r="C6" s="22"/>
      <c r="D6" s="22" t="s">
        <v>66</v>
      </c>
      <c r="E6" s="23">
        <v>6.1</v>
      </c>
      <c r="F6" s="22">
        <v>0.32</v>
      </c>
      <c r="G6" s="23">
        <f>F6*E6</f>
        <v>1.952</v>
      </c>
      <c r="H6" s="22"/>
      <c r="I6" s="23">
        <v>0</v>
      </c>
      <c r="J6" s="23"/>
      <c r="K6" s="23">
        <f>G6</f>
        <v>1.952</v>
      </c>
    </row>
    <row r="7" spans="1:15" ht="12" customHeight="1" x14ac:dyDescent="0.15">
      <c r="A7" s="149"/>
      <c r="B7" s="153"/>
      <c r="C7" s="153"/>
      <c r="D7" s="153"/>
      <c r="E7" s="153"/>
      <c r="F7" s="153"/>
      <c r="G7" s="153"/>
      <c r="H7" s="153"/>
      <c r="I7" s="153"/>
      <c r="J7" s="150"/>
      <c r="K7" s="23">
        <f>SUM(K4:K6)</f>
        <v>9.5342999999999982</v>
      </c>
    </row>
    <row r="8" spans="1:15" ht="12" customHeight="1" x14ac:dyDescent="0.15">
      <c r="A8" s="22" t="s">
        <v>0</v>
      </c>
      <c r="B8" s="22" t="s">
        <v>52</v>
      </c>
      <c r="C8" s="22" t="s">
        <v>53</v>
      </c>
      <c r="D8" s="22" t="s">
        <v>67</v>
      </c>
      <c r="E8" s="22" t="s">
        <v>68</v>
      </c>
      <c r="F8" s="22" t="s">
        <v>69</v>
      </c>
      <c r="G8" s="22" t="s">
        <v>70</v>
      </c>
      <c r="H8" s="22" t="s">
        <v>71</v>
      </c>
      <c r="I8" s="22" t="s">
        <v>72</v>
      </c>
      <c r="J8" s="149" t="s">
        <v>6</v>
      </c>
      <c r="K8" s="150"/>
    </row>
    <row r="9" spans="1:15" ht="12" customHeight="1" x14ac:dyDescent="0.15">
      <c r="A9" s="22">
        <v>1</v>
      </c>
      <c r="B9" s="22" t="s">
        <v>73</v>
      </c>
      <c r="C9" s="22"/>
      <c r="D9" s="22"/>
      <c r="E9" s="22" t="s">
        <v>74</v>
      </c>
      <c r="F9" s="22"/>
      <c r="G9" s="22">
        <v>4</v>
      </c>
      <c r="H9" s="22">
        <v>0.05</v>
      </c>
      <c r="I9" s="22">
        <v>0.2</v>
      </c>
      <c r="J9" s="149"/>
      <c r="K9" s="150"/>
    </row>
    <row r="10" spans="1:15" ht="12" customHeight="1" x14ac:dyDescent="0.15">
      <c r="A10" s="22">
        <v>2</v>
      </c>
      <c r="B10" s="22" t="s">
        <v>75</v>
      </c>
      <c r="C10" s="22"/>
      <c r="D10" s="22"/>
      <c r="E10" s="22" t="s">
        <v>76</v>
      </c>
      <c r="F10" s="22"/>
      <c r="G10" s="22">
        <v>5</v>
      </c>
      <c r="H10" s="22">
        <v>0.08</v>
      </c>
      <c r="I10" s="22">
        <v>0.4</v>
      </c>
      <c r="J10" s="149"/>
      <c r="K10" s="150"/>
      <c r="O10" s="112" t="s">
        <v>465</v>
      </c>
    </row>
    <row r="11" spans="1:15" ht="12" customHeight="1" x14ac:dyDescent="0.15">
      <c r="A11" s="22">
        <v>3</v>
      </c>
      <c r="B11" s="22" t="s">
        <v>78</v>
      </c>
      <c r="C11" s="22"/>
      <c r="D11" s="26"/>
      <c r="E11" s="22"/>
      <c r="F11" s="22"/>
      <c r="G11" s="22">
        <v>2</v>
      </c>
      <c r="H11" s="22">
        <v>0.15</v>
      </c>
      <c r="I11" s="22">
        <v>0.3</v>
      </c>
      <c r="J11" s="149"/>
      <c r="K11" s="150"/>
      <c r="O11" s="26">
        <v>2.4300000000000002</v>
      </c>
    </row>
    <row r="12" spans="1:15" ht="12" customHeight="1" x14ac:dyDescent="0.15">
      <c r="A12" s="22">
        <v>4</v>
      </c>
      <c r="B12" s="22" t="s">
        <v>79</v>
      </c>
      <c r="C12" s="22"/>
      <c r="D12" s="26"/>
      <c r="E12" s="22"/>
      <c r="F12" s="22"/>
      <c r="G12" s="22"/>
      <c r="H12" s="22"/>
      <c r="I12" s="22">
        <v>0.4</v>
      </c>
      <c r="J12" s="149"/>
      <c r="K12" s="150"/>
    </row>
    <row r="13" spans="1:15" ht="12" customHeight="1" x14ac:dyDescent="0.15">
      <c r="A13" s="22">
        <v>5</v>
      </c>
      <c r="B13" s="22" t="s">
        <v>80</v>
      </c>
      <c r="C13" s="22"/>
      <c r="D13" s="26"/>
      <c r="E13" s="22" t="s">
        <v>81</v>
      </c>
      <c r="F13" s="22"/>
      <c r="G13" s="22">
        <v>1</v>
      </c>
      <c r="H13" s="22">
        <v>0.05</v>
      </c>
      <c r="I13" s="22">
        <v>0.05</v>
      </c>
      <c r="J13" s="149"/>
      <c r="K13" s="150"/>
    </row>
    <row r="14" spans="1:15" ht="12" customHeight="1" x14ac:dyDescent="0.15">
      <c r="A14" s="22"/>
      <c r="B14" s="34"/>
      <c r="C14" s="34"/>
      <c r="D14" s="34"/>
      <c r="E14" s="34"/>
      <c r="F14" s="34"/>
      <c r="G14" s="34"/>
      <c r="H14" s="34"/>
      <c r="I14" s="34"/>
      <c r="J14" s="24"/>
      <c r="K14" s="25"/>
    </row>
    <row r="15" spans="1:15" ht="12" customHeight="1" x14ac:dyDescent="0.15">
      <c r="A15" s="22"/>
      <c r="B15" s="34"/>
      <c r="C15" s="34"/>
      <c r="D15" s="34"/>
      <c r="E15" s="34"/>
      <c r="F15" s="34"/>
      <c r="G15" s="34"/>
      <c r="H15" s="34"/>
      <c r="I15" s="34"/>
      <c r="J15" s="24"/>
      <c r="K15" s="25"/>
    </row>
    <row r="16" spans="1:15" ht="12" customHeight="1" x14ac:dyDescent="0.15">
      <c r="A16" s="149" t="s">
        <v>82</v>
      </c>
      <c r="B16" s="153"/>
      <c r="C16" s="153"/>
      <c r="D16" s="153"/>
      <c r="E16" s="153"/>
      <c r="F16" s="153"/>
      <c r="G16" s="153"/>
      <c r="H16" s="150"/>
      <c r="I16" s="22">
        <v>1.35</v>
      </c>
      <c r="J16" s="22"/>
      <c r="K16" s="22"/>
    </row>
    <row r="17" spans="1:18" ht="12" customHeight="1" x14ac:dyDescent="0.15">
      <c r="A17" s="149"/>
      <c r="B17" s="153"/>
      <c r="C17" s="153"/>
      <c r="D17" s="153"/>
      <c r="E17" s="153"/>
      <c r="F17" s="153"/>
      <c r="G17" s="153"/>
      <c r="H17" s="153"/>
      <c r="I17" s="153"/>
      <c r="J17" s="153"/>
      <c r="K17" s="150"/>
    </row>
    <row r="18" spans="1:18" ht="12" customHeight="1" x14ac:dyDescent="0.15">
      <c r="A18" s="149" t="s">
        <v>83</v>
      </c>
      <c r="B18" s="153"/>
      <c r="C18" s="153"/>
      <c r="D18" s="153"/>
      <c r="E18" s="150"/>
      <c r="F18" s="154" t="s">
        <v>84</v>
      </c>
      <c r="G18" s="154"/>
      <c r="H18" s="22" t="s">
        <v>85</v>
      </c>
      <c r="I18" s="22" t="s">
        <v>86</v>
      </c>
      <c r="J18" s="22" t="s">
        <v>87</v>
      </c>
      <c r="K18" s="25" t="s">
        <v>6</v>
      </c>
      <c r="M18" s="72" t="s">
        <v>88</v>
      </c>
      <c r="O18" s="72" t="s">
        <v>89</v>
      </c>
    </row>
    <row r="19" spans="1:18" ht="12" customHeight="1" x14ac:dyDescent="0.15">
      <c r="A19" s="22" t="s">
        <v>0</v>
      </c>
      <c r="B19" s="22" t="s">
        <v>90</v>
      </c>
      <c r="C19" s="22" t="s">
        <v>91</v>
      </c>
      <c r="D19" s="22" t="s">
        <v>92</v>
      </c>
      <c r="E19" s="22" t="s">
        <v>72</v>
      </c>
      <c r="F19" s="154" t="s">
        <v>93</v>
      </c>
      <c r="G19" s="154"/>
      <c r="H19" s="45">
        <v>6</v>
      </c>
      <c r="I19" s="22">
        <v>0.05</v>
      </c>
      <c r="J19" s="43">
        <v>0.36</v>
      </c>
      <c r="K19" s="22"/>
      <c r="M19" s="26" t="s">
        <v>94</v>
      </c>
      <c r="O19" s="26" t="s">
        <v>95</v>
      </c>
    </row>
    <row r="20" spans="1:18" ht="12" customHeight="1" x14ac:dyDescent="0.15">
      <c r="A20" s="26">
        <v>1</v>
      </c>
      <c r="B20" s="22" t="s">
        <v>96</v>
      </c>
      <c r="C20" s="22">
        <v>2</v>
      </c>
      <c r="D20" s="22">
        <v>0.15</v>
      </c>
      <c r="E20" s="22">
        <f>D20*C20</f>
        <v>0.3</v>
      </c>
      <c r="F20" s="149" t="s">
        <v>97</v>
      </c>
      <c r="G20" s="150"/>
      <c r="H20" s="45">
        <v>70</v>
      </c>
      <c r="I20" s="22">
        <v>0.05</v>
      </c>
      <c r="J20" s="43">
        <v>4.2</v>
      </c>
      <c r="K20" s="22"/>
      <c r="M20" s="26" t="s">
        <v>98</v>
      </c>
    </row>
    <row r="21" spans="1:18" ht="12" customHeight="1" x14ac:dyDescent="0.15">
      <c r="A21" s="26">
        <v>2</v>
      </c>
      <c r="B21" s="22" t="s">
        <v>99</v>
      </c>
      <c r="C21" s="22">
        <v>2</v>
      </c>
      <c r="D21" s="22">
        <v>0.8</v>
      </c>
      <c r="E21" s="22">
        <f t="shared" ref="E21:E27" si="0">D21*C21</f>
        <v>1.6</v>
      </c>
      <c r="F21" s="149"/>
      <c r="G21" s="150"/>
      <c r="H21" s="22"/>
      <c r="I21" s="22"/>
      <c r="J21" s="36"/>
      <c r="K21" s="22"/>
      <c r="M21" s="26">
        <v>39</v>
      </c>
    </row>
    <row r="22" spans="1:18" ht="12" customHeight="1" x14ac:dyDescent="0.15">
      <c r="A22" s="26">
        <v>3</v>
      </c>
      <c r="B22" s="22" t="s">
        <v>100</v>
      </c>
      <c r="C22" s="22">
        <v>1</v>
      </c>
      <c r="D22" s="22">
        <v>0.56999999999999995</v>
      </c>
      <c r="E22" s="22">
        <f t="shared" si="0"/>
        <v>0.56999999999999995</v>
      </c>
      <c r="F22" s="24"/>
      <c r="G22" s="25"/>
      <c r="H22" s="22"/>
      <c r="I22" s="22"/>
      <c r="J22" s="36"/>
      <c r="K22" s="22"/>
    </row>
    <row r="23" spans="1:18" ht="12" customHeight="1" x14ac:dyDescent="0.15">
      <c r="A23" s="26">
        <v>4</v>
      </c>
      <c r="B23" s="22" t="s">
        <v>101</v>
      </c>
      <c r="C23" s="22">
        <v>1</v>
      </c>
      <c r="D23" s="22">
        <v>2.15</v>
      </c>
      <c r="E23" s="22">
        <f t="shared" si="0"/>
        <v>2.15</v>
      </c>
      <c r="F23" s="24"/>
      <c r="G23" s="25"/>
      <c r="H23" s="22"/>
      <c r="I23" s="22"/>
      <c r="J23" s="36"/>
      <c r="K23" s="22"/>
    </row>
    <row r="24" spans="1:18" ht="12" customHeight="1" x14ac:dyDescent="0.15">
      <c r="A24" s="26">
        <v>5</v>
      </c>
      <c r="B24" s="49" t="s">
        <v>102</v>
      </c>
      <c r="C24" s="49">
        <v>1</v>
      </c>
      <c r="D24" s="49">
        <v>1.28</v>
      </c>
      <c r="E24" s="22">
        <f t="shared" si="0"/>
        <v>1.28</v>
      </c>
      <c r="F24" s="24"/>
      <c r="G24" s="25"/>
      <c r="H24" s="69">
        <v>39</v>
      </c>
      <c r="I24" s="69">
        <v>0.05</v>
      </c>
      <c r="J24" s="73">
        <f>H24*I24</f>
        <v>1.9500000000000002</v>
      </c>
      <c r="K24" s="22"/>
    </row>
    <row r="25" spans="1:18" ht="12" customHeight="1" x14ac:dyDescent="0.15">
      <c r="A25" s="26">
        <v>6</v>
      </c>
      <c r="B25" s="22" t="s">
        <v>103</v>
      </c>
      <c r="C25" s="22">
        <v>4</v>
      </c>
      <c r="D25" s="22">
        <v>0.15</v>
      </c>
      <c r="E25" s="22">
        <f t="shared" si="0"/>
        <v>0.6</v>
      </c>
      <c r="F25" s="24"/>
      <c r="G25" s="25"/>
      <c r="H25" s="22"/>
      <c r="I25" s="22"/>
      <c r="J25" s="36"/>
      <c r="K25" s="22"/>
    </row>
    <row r="26" spans="1:18" ht="12" customHeight="1" x14ac:dyDescent="0.15">
      <c r="A26" s="26">
        <v>7</v>
      </c>
      <c r="B26" s="22" t="s">
        <v>104</v>
      </c>
      <c r="C26" s="22">
        <v>1</v>
      </c>
      <c r="D26" s="22">
        <v>1</v>
      </c>
      <c r="E26" s="22">
        <f t="shared" si="0"/>
        <v>1</v>
      </c>
      <c r="F26" s="24"/>
      <c r="G26" s="25"/>
      <c r="H26" s="22"/>
      <c r="I26" s="22"/>
      <c r="J26" s="36"/>
      <c r="K26" s="22"/>
    </row>
    <row r="27" spans="1:18" ht="12" customHeight="1" x14ac:dyDescent="0.15">
      <c r="A27" s="26">
        <v>8</v>
      </c>
      <c r="B27" s="22" t="s">
        <v>105</v>
      </c>
      <c r="C27" s="22">
        <v>1</v>
      </c>
      <c r="D27" s="22">
        <v>1.1000000000000001</v>
      </c>
      <c r="E27" s="22">
        <f t="shared" si="0"/>
        <v>1.1000000000000001</v>
      </c>
      <c r="F27" s="24"/>
      <c r="G27" s="25"/>
      <c r="H27" s="22"/>
      <c r="I27" s="22"/>
      <c r="J27" s="36"/>
      <c r="K27" s="22"/>
    </row>
    <row r="28" spans="1:18" ht="12" customHeight="1" x14ac:dyDescent="0.15">
      <c r="A28" s="26">
        <v>9</v>
      </c>
      <c r="B28" s="22" t="s">
        <v>106</v>
      </c>
      <c r="C28" s="22">
        <v>2</v>
      </c>
      <c r="D28" s="22">
        <v>0.04</v>
      </c>
      <c r="E28" s="22">
        <v>0.16</v>
      </c>
      <c r="F28" s="24"/>
      <c r="G28" s="25"/>
      <c r="H28" s="22"/>
      <c r="I28" s="22"/>
      <c r="J28" s="36"/>
      <c r="K28" s="22"/>
    </row>
    <row r="29" spans="1:18" ht="12" customHeight="1" x14ac:dyDescent="0.15">
      <c r="A29" s="26">
        <v>3</v>
      </c>
      <c r="B29" s="34" t="s">
        <v>107</v>
      </c>
      <c r="C29" s="34" t="s">
        <v>108</v>
      </c>
      <c r="D29" s="34" t="s">
        <v>109</v>
      </c>
      <c r="E29" s="34" t="s">
        <v>110</v>
      </c>
      <c r="F29" s="149"/>
      <c r="G29" s="150"/>
      <c r="H29" s="22"/>
      <c r="I29" s="22"/>
      <c r="J29" s="36"/>
      <c r="K29" s="22"/>
      <c r="P29" s="35" t="s">
        <v>111</v>
      </c>
      <c r="Q29" s="35" t="s">
        <v>112</v>
      </c>
      <c r="R29" s="35" t="s">
        <v>113</v>
      </c>
    </row>
    <row r="30" spans="1:18" ht="12" customHeight="1" x14ac:dyDescent="0.15">
      <c r="A30" s="26">
        <v>4</v>
      </c>
      <c r="B30" s="22" t="s">
        <v>114</v>
      </c>
      <c r="C30" s="22"/>
      <c r="D30" s="22"/>
      <c r="E30" s="36"/>
      <c r="F30" s="149"/>
      <c r="G30" s="150"/>
      <c r="H30" s="22"/>
      <c r="I30" s="22"/>
      <c r="J30" s="36"/>
      <c r="K30" s="22"/>
      <c r="P30" s="35" t="s">
        <v>115</v>
      </c>
      <c r="Q30" s="35" t="s">
        <v>116</v>
      </c>
      <c r="R30" s="35" t="s">
        <v>117</v>
      </c>
    </row>
    <row r="31" spans="1:18" ht="12" customHeight="1" x14ac:dyDescent="0.15">
      <c r="A31" s="26">
        <v>5</v>
      </c>
      <c r="B31" s="34" t="s">
        <v>118</v>
      </c>
      <c r="C31" s="34"/>
      <c r="D31" s="22"/>
      <c r="E31" s="36"/>
      <c r="F31" s="149"/>
      <c r="G31" s="150"/>
      <c r="H31" s="22"/>
      <c r="I31" s="22"/>
      <c r="J31" s="36"/>
      <c r="K31" s="22"/>
    </row>
    <row r="32" spans="1:18" ht="12" customHeight="1" x14ac:dyDescent="0.15">
      <c r="A32" s="26">
        <v>6</v>
      </c>
      <c r="B32" s="22" t="s">
        <v>80</v>
      </c>
      <c r="C32" s="22"/>
      <c r="D32" s="22"/>
      <c r="E32" s="36"/>
      <c r="F32" s="149" t="s">
        <v>82</v>
      </c>
      <c r="G32" s="150"/>
      <c r="H32" s="22"/>
      <c r="I32" s="22"/>
      <c r="J32" s="43">
        <v>4.5599999999999996</v>
      </c>
      <c r="K32" s="69">
        <f>J24+0.3</f>
        <v>2.25</v>
      </c>
    </row>
    <row r="33" spans="1:18" ht="12" customHeight="1" x14ac:dyDescent="0.15">
      <c r="A33" s="26">
        <v>7</v>
      </c>
      <c r="B33" s="22"/>
      <c r="C33" s="22"/>
      <c r="D33" s="22"/>
      <c r="E33" s="36"/>
      <c r="F33" s="149" t="s">
        <v>119</v>
      </c>
      <c r="G33" s="150"/>
      <c r="H33" s="28" t="s">
        <v>120</v>
      </c>
      <c r="I33" s="28" t="s">
        <v>121</v>
      </c>
      <c r="J33" s="32" t="s">
        <v>87</v>
      </c>
      <c r="K33" s="22" t="s">
        <v>6</v>
      </c>
      <c r="P33" s="26" t="s">
        <v>122</v>
      </c>
      <c r="Q33" s="26" t="s">
        <v>123</v>
      </c>
      <c r="R33" s="26" t="s">
        <v>82</v>
      </c>
    </row>
    <row r="34" spans="1:18" ht="12" customHeight="1" x14ac:dyDescent="0.15">
      <c r="A34" s="26">
        <v>8</v>
      </c>
      <c r="B34" s="22"/>
      <c r="C34" s="22"/>
      <c r="D34" s="22"/>
      <c r="E34" s="36"/>
      <c r="F34" s="149" t="s">
        <v>124</v>
      </c>
      <c r="G34" s="150"/>
      <c r="H34" s="22">
        <v>10</v>
      </c>
      <c r="I34" s="22"/>
      <c r="J34" s="22"/>
      <c r="K34" s="22"/>
      <c r="P34" s="26">
        <v>2.4300000000000002</v>
      </c>
      <c r="Q34" s="26">
        <v>1.4</v>
      </c>
      <c r="R34" s="26">
        <f>P34*Q34</f>
        <v>3.4020000000000001</v>
      </c>
    </row>
    <row r="35" spans="1:18" ht="12" customHeight="1" x14ac:dyDescent="0.15">
      <c r="A35" s="26">
        <v>9</v>
      </c>
      <c r="B35" s="22" t="s">
        <v>125</v>
      </c>
      <c r="C35" s="22"/>
      <c r="D35" s="22"/>
      <c r="E35" s="36"/>
      <c r="F35" s="149" t="s">
        <v>126</v>
      </c>
      <c r="G35" s="150"/>
      <c r="H35" s="22">
        <v>16</v>
      </c>
      <c r="I35" s="22"/>
      <c r="J35" s="22"/>
      <c r="K35" s="22"/>
    </row>
    <row r="36" spans="1:18" ht="12" customHeight="1" x14ac:dyDescent="0.15">
      <c r="A36" s="145" t="s">
        <v>82</v>
      </c>
      <c r="B36" s="151"/>
      <c r="C36" s="151"/>
      <c r="D36" s="146"/>
      <c r="E36" s="36"/>
    </row>
    <row r="37" spans="1:18" ht="12" customHeight="1" x14ac:dyDescent="0.15">
      <c r="A37" s="152" t="s">
        <v>127</v>
      </c>
      <c r="B37" s="152"/>
      <c r="C37" s="31" t="s">
        <v>108</v>
      </c>
      <c r="E37" s="32" t="s">
        <v>128</v>
      </c>
      <c r="F37" s="147">
        <f>SUM(C38:C43)</f>
        <v>24.2</v>
      </c>
      <c r="G37" s="147"/>
      <c r="H37" s="147"/>
      <c r="I37" s="147"/>
      <c r="J37" s="147"/>
      <c r="K37" s="147"/>
      <c r="L37" s="77">
        <v>21.89</v>
      </c>
      <c r="P37" s="26" t="s">
        <v>129</v>
      </c>
      <c r="Q37" s="26" t="s">
        <v>130</v>
      </c>
      <c r="R37" s="26" t="s">
        <v>82</v>
      </c>
    </row>
    <row r="38" spans="1:18" ht="12" customHeight="1" x14ac:dyDescent="0.15">
      <c r="A38" s="148" t="s">
        <v>131</v>
      </c>
      <c r="B38" s="148"/>
      <c r="C38" s="33">
        <v>9.5299999999999994</v>
      </c>
      <c r="D38" s="74">
        <v>9.5299999999999994</v>
      </c>
      <c r="E38" s="34" t="s">
        <v>132</v>
      </c>
      <c r="F38" s="147">
        <v>0.78340500000000002</v>
      </c>
      <c r="G38" s="147"/>
      <c r="H38" s="147"/>
      <c r="I38" s="147"/>
      <c r="J38" s="147"/>
      <c r="K38" s="147"/>
      <c r="L38" s="77">
        <v>0.78340500000000002</v>
      </c>
      <c r="P38" s="26">
        <v>26.22</v>
      </c>
      <c r="Q38" s="26">
        <v>3.4020000000000001</v>
      </c>
      <c r="R38" s="44">
        <f>P38+Q38</f>
        <v>29.622</v>
      </c>
    </row>
    <row r="39" spans="1:18" ht="12" customHeight="1" x14ac:dyDescent="0.15">
      <c r="A39" s="148" t="s">
        <v>133</v>
      </c>
      <c r="B39" s="148"/>
      <c r="C39" s="33">
        <v>1.35</v>
      </c>
      <c r="D39" s="74">
        <v>1.35</v>
      </c>
      <c r="E39" s="34" t="s">
        <v>134</v>
      </c>
      <c r="F39" s="147">
        <v>1.56681</v>
      </c>
      <c r="G39" s="147"/>
      <c r="H39" s="147"/>
      <c r="I39" s="147"/>
      <c r="J39" s="147"/>
      <c r="K39" s="147"/>
      <c r="L39" s="77">
        <v>1.56681</v>
      </c>
    </row>
    <row r="40" spans="1:18" ht="12" customHeight="1" x14ac:dyDescent="0.15">
      <c r="A40" s="148" t="s">
        <v>135</v>
      </c>
      <c r="B40" s="148"/>
      <c r="C40" s="33">
        <f>SUM(E20:E28)</f>
        <v>8.76</v>
      </c>
      <c r="D40" s="74">
        <v>8.76</v>
      </c>
      <c r="E40" s="34" t="s">
        <v>136</v>
      </c>
      <c r="F40" s="147">
        <v>1.5</v>
      </c>
      <c r="G40" s="147"/>
      <c r="H40" s="147"/>
      <c r="I40" s="147"/>
      <c r="J40" s="147"/>
      <c r="K40" s="147"/>
      <c r="L40" s="77">
        <v>1.5</v>
      </c>
    </row>
    <row r="41" spans="1:18" ht="12" customHeight="1" x14ac:dyDescent="0.15">
      <c r="A41" s="145" t="s">
        <v>137</v>
      </c>
      <c r="B41" s="146"/>
      <c r="C41" s="33"/>
      <c r="D41" s="74"/>
      <c r="E41" s="34" t="s">
        <v>5</v>
      </c>
      <c r="F41" s="147"/>
      <c r="G41" s="147"/>
      <c r="H41" s="147"/>
      <c r="I41" s="147"/>
      <c r="J41" s="147"/>
      <c r="K41" s="147"/>
      <c r="L41" s="77"/>
    </row>
    <row r="42" spans="1:18" ht="12" customHeight="1" x14ac:dyDescent="0.15">
      <c r="A42" s="148" t="s">
        <v>138</v>
      </c>
      <c r="B42" s="148"/>
      <c r="C42" s="76">
        <v>4.5599999999999996</v>
      </c>
      <c r="D42" s="74">
        <v>2.25</v>
      </c>
      <c r="E42" s="34" t="s">
        <v>139</v>
      </c>
      <c r="F42" s="156">
        <f>SUM(F37:K41)</f>
        <v>28.050214999999998</v>
      </c>
      <c r="G42" s="156"/>
      <c r="H42" s="156"/>
      <c r="I42" s="156"/>
      <c r="J42" s="156"/>
      <c r="K42" s="156"/>
      <c r="L42" s="77">
        <f>SUM(L37:L41)</f>
        <v>25.740214999999999</v>
      </c>
    </row>
    <row r="43" spans="1:18" ht="12" customHeight="1" x14ac:dyDescent="0.15">
      <c r="A43" s="148" t="s">
        <v>119</v>
      </c>
      <c r="B43" s="148"/>
      <c r="C43" s="33"/>
      <c r="D43" s="74">
        <f>SUM(D38:D42)</f>
        <v>21.89</v>
      </c>
    </row>
    <row r="44" spans="1:18" x14ac:dyDescent="0.15">
      <c r="I44" t="s">
        <v>140</v>
      </c>
    </row>
    <row r="45" spans="1:18" ht="12" customHeight="1" x14ac:dyDescent="0.15"/>
    <row r="46" spans="1:18" hidden="1" x14ac:dyDescent="0.15"/>
    <row r="47" spans="1:18" ht="18" customHeight="1" x14ac:dyDescent="0.15">
      <c r="A47" s="155" t="s">
        <v>141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75" t="s">
        <v>39</v>
      </c>
    </row>
    <row r="48" spans="1:18" ht="12" customHeight="1" x14ac:dyDescent="0.15">
      <c r="A48" s="22" t="s">
        <v>0</v>
      </c>
      <c r="B48" s="22" t="s">
        <v>52</v>
      </c>
      <c r="C48" s="22" t="s">
        <v>53</v>
      </c>
      <c r="D48" s="22" t="s">
        <v>54</v>
      </c>
      <c r="E48" s="22" t="s">
        <v>55</v>
      </c>
      <c r="F48" s="22" t="s">
        <v>56</v>
      </c>
      <c r="G48" s="22" t="s">
        <v>57</v>
      </c>
      <c r="H48" s="22" t="s">
        <v>58</v>
      </c>
      <c r="I48" s="22" t="s">
        <v>59</v>
      </c>
      <c r="J48" s="22" t="s">
        <v>60</v>
      </c>
      <c r="K48" s="22" t="s">
        <v>61</v>
      </c>
    </row>
    <row r="49" spans="1:15" ht="12" customHeight="1" x14ac:dyDescent="0.15">
      <c r="A49" s="22">
        <v>1</v>
      </c>
      <c r="B49" s="22" t="s">
        <v>142</v>
      </c>
      <c r="C49" s="22"/>
      <c r="D49" s="22" t="s">
        <v>63</v>
      </c>
      <c r="E49" s="23">
        <v>6.1</v>
      </c>
      <c r="F49" s="23">
        <v>1.3</v>
      </c>
      <c r="G49" s="23">
        <f>F49*E49</f>
        <v>7.93</v>
      </c>
      <c r="H49" s="23"/>
      <c r="I49" s="23">
        <v>0</v>
      </c>
      <c r="J49" s="23">
        <v>0</v>
      </c>
      <c r="K49" s="23">
        <f>G49</f>
        <v>7.93</v>
      </c>
    </row>
    <row r="50" spans="1:15" ht="12" customHeight="1" x14ac:dyDescent="0.15">
      <c r="A50" s="22">
        <v>2</v>
      </c>
      <c r="B50" s="22" t="s">
        <v>143</v>
      </c>
      <c r="C50" s="22"/>
      <c r="D50" s="22" t="s">
        <v>63</v>
      </c>
      <c r="E50" s="23">
        <v>6.1</v>
      </c>
      <c r="F50" s="23">
        <v>0.15</v>
      </c>
      <c r="G50" s="23">
        <f>F50*E50</f>
        <v>0.91499999999999992</v>
      </c>
      <c r="H50" s="23"/>
      <c r="I50" s="23">
        <v>0</v>
      </c>
      <c r="J50" s="23">
        <v>0</v>
      </c>
      <c r="K50" s="23">
        <f>G50</f>
        <v>0.91499999999999992</v>
      </c>
    </row>
    <row r="51" spans="1:15" ht="12" customHeight="1" x14ac:dyDescent="0.15">
      <c r="A51" s="22">
        <v>3</v>
      </c>
      <c r="B51" s="22" t="s">
        <v>64</v>
      </c>
      <c r="C51" s="22"/>
      <c r="D51" s="22" t="s">
        <v>63</v>
      </c>
      <c r="E51" s="23">
        <v>6.1</v>
      </c>
      <c r="F51" s="22">
        <v>2.3E-2</v>
      </c>
      <c r="G51" s="23">
        <f>F51*E51</f>
        <v>0.14029999999999998</v>
      </c>
      <c r="H51" s="22"/>
      <c r="I51" s="23">
        <v>0</v>
      </c>
      <c r="J51" s="23">
        <v>0</v>
      </c>
      <c r="K51" s="23">
        <f>G51</f>
        <v>0.14029999999999998</v>
      </c>
    </row>
    <row r="52" spans="1:15" ht="12" customHeight="1" x14ac:dyDescent="0.15">
      <c r="A52" s="22">
        <v>4</v>
      </c>
      <c r="B52" s="22" t="s">
        <v>144</v>
      </c>
      <c r="C52" s="22"/>
      <c r="D52" s="22" t="s">
        <v>66</v>
      </c>
      <c r="E52" s="23">
        <v>6.1</v>
      </c>
      <c r="F52" s="22">
        <v>0.31</v>
      </c>
      <c r="G52" s="23">
        <f>F52*E52</f>
        <v>1.8909999999999998</v>
      </c>
      <c r="H52" s="22"/>
      <c r="I52" s="23">
        <v>0</v>
      </c>
      <c r="J52" s="23"/>
      <c r="K52" s="23">
        <f>G52</f>
        <v>1.8909999999999998</v>
      </c>
    </row>
    <row r="53" spans="1:15" ht="12" customHeight="1" x14ac:dyDescent="0.15">
      <c r="A53" s="149" t="s">
        <v>82</v>
      </c>
      <c r="B53" s="153"/>
      <c r="C53" s="153"/>
      <c r="D53" s="153"/>
      <c r="E53" s="153"/>
      <c r="F53" s="153"/>
      <c r="G53" s="153"/>
      <c r="H53" s="153"/>
      <c r="I53" s="153"/>
      <c r="J53" s="150"/>
      <c r="K53" s="23">
        <f>SUM(K49:K52)</f>
        <v>10.876299999999999</v>
      </c>
    </row>
    <row r="54" spans="1:15" ht="12" customHeight="1" x14ac:dyDescent="0.15">
      <c r="A54" s="22" t="s">
        <v>0</v>
      </c>
      <c r="B54" s="22" t="s">
        <v>52</v>
      </c>
      <c r="C54" s="22" t="s">
        <v>53</v>
      </c>
      <c r="D54" s="22" t="s">
        <v>67</v>
      </c>
      <c r="E54" s="22" t="s">
        <v>68</v>
      </c>
      <c r="F54" s="22" t="s">
        <v>69</v>
      </c>
      <c r="G54" s="22" t="s">
        <v>70</v>
      </c>
      <c r="H54" s="22" t="s">
        <v>71</v>
      </c>
      <c r="I54" s="22" t="s">
        <v>72</v>
      </c>
      <c r="J54" s="149" t="s">
        <v>6</v>
      </c>
      <c r="K54" s="150"/>
    </row>
    <row r="55" spans="1:15" ht="12" customHeight="1" x14ac:dyDescent="0.15">
      <c r="A55" s="22">
        <v>1</v>
      </c>
      <c r="B55" s="22" t="s">
        <v>73</v>
      </c>
      <c r="C55" s="22"/>
      <c r="D55" s="22"/>
      <c r="E55" s="22" t="s">
        <v>74</v>
      </c>
      <c r="F55" s="22"/>
      <c r="G55" s="22">
        <v>4</v>
      </c>
      <c r="H55" s="22">
        <v>0.05</v>
      </c>
      <c r="I55" s="22">
        <v>0.2</v>
      </c>
      <c r="J55" s="149"/>
      <c r="K55" s="150"/>
    </row>
    <row r="56" spans="1:15" ht="12" customHeight="1" x14ac:dyDescent="0.15">
      <c r="A56" s="22">
        <v>2</v>
      </c>
      <c r="B56" s="22" t="s">
        <v>75</v>
      </c>
      <c r="C56" s="22"/>
      <c r="D56" s="22"/>
      <c r="E56" s="22" t="s">
        <v>76</v>
      </c>
      <c r="F56" s="22"/>
      <c r="G56" s="22">
        <v>5</v>
      </c>
      <c r="H56" s="22">
        <v>0.08</v>
      </c>
      <c r="I56" s="22">
        <v>0.4</v>
      </c>
      <c r="J56" s="149"/>
      <c r="K56" s="150"/>
    </row>
    <row r="57" spans="1:15" ht="12" customHeight="1" x14ac:dyDescent="0.15">
      <c r="A57" s="22">
        <v>3</v>
      </c>
      <c r="B57" s="22" t="s">
        <v>145</v>
      </c>
      <c r="C57" s="22"/>
      <c r="D57" s="22"/>
      <c r="E57" s="22" t="s">
        <v>146</v>
      </c>
      <c r="F57" s="22"/>
      <c r="G57" s="22">
        <v>1</v>
      </c>
      <c r="H57" s="22">
        <v>0.06</v>
      </c>
      <c r="I57" s="22">
        <v>0.06</v>
      </c>
      <c r="J57" s="149"/>
      <c r="K57" s="150"/>
    </row>
    <row r="58" spans="1:15" ht="12" customHeight="1" x14ac:dyDescent="0.15">
      <c r="A58" s="22">
        <v>4</v>
      </c>
      <c r="B58" s="22" t="s">
        <v>147</v>
      </c>
      <c r="C58" s="22"/>
      <c r="D58" s="26"/>
      <c r="E58" s="22" t="s">
        <v>146</v>
      </c>
      <c r="F58" s="26"/>
      <c r="G58" s="22">
        <v>1</v>
      </c>
      <c r="H58" s="22">
        <v>0.06</v>
      </c>
      <c r="I58" s="22">
        <v>0.06</v>
      </c>
      <c r="J58" s="149"/>
      <c r="K58" s="150"/>
      <c r="O58" s="26" t="s">
        <v>77</v>
      </c>
    </row>
    <row r="59" spans="1:15" ht="12" customHeight="1" x14ac:dyDescent="0.15">
      <c r="A59" s="22">
        <v>5</v>
      </c>
      <c r="B59" s="22" t="s">
        <v>80</v>
      </c>
      <c r="C59" s="22"/>
      <c r="D59" s="26"/>
      <c r="E59" s="22" t="s">
        <v>81</v>
      </c>
      <c r="F59" s="22"/>
      <c r="G59" s="22">
        <v>1</v>
      </c>
      <c r="H59" s="22">
        <v>0.05</v>
      </c>
      <c r="I59" s="22">
        <v>0.05</v>
      </c>
      <c r="J59" s="149"/>
      <c r="K59" s="150"/>
      <c r="O59" s="26" t="s">
        <v>148</v>
      </c>
    </row>
    <row r="60" spans="1:15" ht="12" customHeight="1" x14ac:dyDescent="0.15">
      <c r="A60" s="22"/>
      <c r="B60" s="22" t="s">
        <v>78</v>
      </c>
      <c r="C60" s="22"/>
      <c r="D60" s="26"/>
      <c r="E60" s="22"/>
      <c r="F60" s="22"/>
      <c r="G60" s="22">
        <v>2</v>
      </c>
      <c r="H60" s="22">
        <v>0.15</v>
      </c>
      <c r="I60" s="22">
        <v>0.3</v>
      </c>
      <c r="J60" s="24"/>
      <c r="K60" s="25"/>
    </row>
    <row r="61" spans="1:15" ht="12" customHeight="1" x14ac:dyDescent="0.15">
      <c r="A61" s="22">
        <v>6</v>
      </c>
      <c r="B61" s="22" t="s">
        <v>79</v>
      </c>
      <c r="C61" s="22"/>
      <c r="D61" s="26"/>
      <c r="E61" s="22"/>
      <c r="F61" s="22"/>
      <c r="G61" s="22"/>
      <c r="H61" s="22"/>
      <c r="I61" s="22">
        <v>0.4</v>
      </c>
      <c r="J61" s="24"/>
      <c r="K61" s="25"/>
    </row>
    <row r="62" spans="1:15" ht="12" customHeight="1" x14ac:dyDescent="0.15">
      <c r="A62" s="149" t="s">
        <v>82</v>
      </c>
      <c r="B62" s="153"/>
      <c r="C62" s="153"/>
      <c r="D62" s="153"/>
      <c r="E62" s="153"/>
      <c r="F62" s="153"/>
      <c r="G62" s="153"/>
      <c r="H62" s="150"/>
      <c r="I62" s="22">
        <v>1.47</v>
      </c>
      <c r="J62" s="22"/>
      <c r="K62" s="22"/>
    </row>
    <row r="63" spans="1:15" ht="5.0999999999999996" customHeight="1" x14ac:dyDescent="0.15">
      <c r="A63" s="149"/>
      <c r="B63" s="153"/>
      <c r="C63" s="153"/>
      <c r="D63" s="153"/>
      <c r="E63" s="153"/>
      <c r="F63" s="153"/>
      <c r="G63" s="153"/>
      <c r="H63" s="153"/>
      <c r="I63" s="153"/>
      <c r="J63" s="153"/>
      <c r="K63" s="150"/>
    </row>
    <row r="64" spans="1:15" ht="12" customHeight="1" x14ac:dyDescent="0.15">
      <c r="A64" s="149" t="s">
        <v>83</v>
      </c>
      <c r="B64" s="153"/>
      <c r="C64" s="153"/>
      <c r="D64" s="153"/>
      <c r="E64" s="150"/>
      <c r="F64" s="154" t="s">
        <v>84</v>
      </c>
      <c r="G64" s="154"/>
      <c r="H64" s="22" t="s">
        <v>85</v>
      </c>
      <c r="I64" s="22" t="s">
        <v>86</v>
      </c>
      <c r="J64" s="22" t="s">
        <v>87</v>
      </c>
      <c r="K64" s="25" t="s">
        <v>6</v>
      </c>
      <c r="M64" s="72" t="s">
        <v>88</v>
      </c>
      <c r="O64" s="72" t="s">
        <v>89</v>
      </c>
    </row>
    <row r="65" spans="1:19" ht="12" customHeight="1" x14ac:dyDescent="0.15">
      <c r="A65" s="22" t="s">
        <v>0</v>
      </c>
      <c r="B65" s="22" t="s">
        <v>90</v>
      </c>
      <c r="C65" s="22" t="s">
        <v>91</v>
      </c>
      <c r="D65" s="22" t="s">
        <v>92</v>
      </c>
      <c r="E65" s="22" t="s">
        <v>72</v>
      </c>
      <c r="F65" s="154" t="s">
        <v>93</v>
      </c>
      <c r="G65" s="154"/>
      <c r="H65" s="42">
        <v>6</v>
      </c>
      <c r="I65" s="22">
        <v>0.05</v>
      </c>
      <c r="J65" s="43">
        <v>0.36</v>
      </c>
      <c r="K65" s="22"/>
      <c r="M65" s="26" t="s">
        <v>94</v>
      </c>
      <c r="O65" s="26" t="s">
        <v>95</v>
      </c>
    </row>
    <row r="66" spans="1:19" ht="12" customHeight="1" x14ac:dyDescent="0.15">
      <c r="A66" s="26">
        <v>1</v>
      </c>
      <c r="B66" s="22" t="s">
        <v>96</v>
      </c>
      <c r="C66" s="22">
        <v>2</v>
      </c>
      <c r="D66" s="22">
        <v>0.15</v>
      </c>
      <c r="E66" s="22">
        <f>D66*C66</f>
        <v>0.3</v>
      </c>
      <c r="F66" s="149" t="s">
        <v>149</v>
      </c>
      <c r="G66" s="150"/>
      <c r="H66" s="42">
        <v>3</v>
      </c>
      <c r="I66" s="22">
        <v>0.05</v>
      </c>
      <c r="J66" s="43">
        <v>0.18</v>
      </c>
      <c r="K66" s="22"/>
      <c r="M66" s="26" t="s">
        <v>98</v>
      </c>
    </row>
    <row r="67" spans="1:19" ht="12" customHeight="1" x14ac:dyDescent="0.15">
      <c r="A67" s="26">
        <v>2</v>
      </c>
      <c r="B67" s="22" t="s">
        <v>99</v>
      </c>
      <c r="C67" s="22">
        <v>2</v>
      </c>
      <c r="D67" s="22">
        <v>0.8</v>
      </c>
      <c r="E67" s="22">
        <f t="shared" ref="E67:E74" si="1">D67*C67</f>
        <v>1.6</v>
      </c>
      <c r="F67" s="149" t="s">
        <v>97</v>
      </c>
      <c r="G67" s="150"/>
      <c r="H67" s="42">
        <v>67.8</v>
      </c>
      <c r="I67" s="22">
        <v>0.05</v>
      </c>
      <c r="J67" s="43">
        <v>4.0679999999999996</v>
      </c>
      <c r="K67" s="22"/>
      <c r="M67" s="26">
        <v>40</v>
      </c>
      <c r="P67" s="35" t="s">
        <v>111</v>
      </c>
      <c r="Q67" s="35" t="s">
        <v>112</v>
      </c>
      <c r="R67" s="35" t="s">
        <v>113</v>
      </c>
    </row>
    <row r="68" spans="1:19" ht="12" customHeight="1" x14ac:dyDescent="0.15">
      <c r="A68" s="26"/>
      <c r="B68" s="22" t="s">
        <v>100</v>
      </c>
      <c r="C68" s="22">
        <v>1</v>
      </c>
      <c r="D68" s="22">
        <v>0.56999999999999995</v>
      </c>
      <c r="E68" s="22">
        <f t="shared" si="1"/>
        <v>0.56999999999999995</v>
      </c>
      <c r="F68" s="24"/>
      <c r="G68" s="25"/>
      <c r="H68" s="22"/>
      <c r="I68" s="22"/>
      <c r="J68" s="36"/>
      <c r="K68" s="22"/>
      <c r="P68" s="35" t="s">
        <v>115</v>
      </c>
      <c r="Q68" s="35" t="s">
        <v>116</v>
      </c>
      <c r="R68" s="35" t="s">
        <v>117</v>
      </c>
    </row>
    <row r="69" spans="1:19" ht="12" customHeight="1" x14ac:dyDescent="0.15">
      <c r="A69" s="26"/>
      <c r="B69" s="22" t="s">
        <v>150</v>
      </c>
      <c r="C69" s="22">
        <v>1</v>
      </c>
      <c r="D69" s="22">
        <v>4</v>
      </c>
      <c r="E69" s="22">
        <f t="shared" si="1"/>
        <v>4</v>
      </c>
      <c r="F69" s="24"/>
      <c r="G69" s="25"/>
      <c r="H69" s="22"/>
      <c r="I69" s="22"/>
      <c r="J69" s="36"/>
      <c r="K69" s="22"/>
    </row>
    <row r="70" spans="1:19" ht="12" customHeight="1" x14ac:dyDescent="0.15">
      <c r="A70" s="26"/>
      <c r="B70" s="22" t="s">
        <v>151</v>
      </c>
      <c r="C70" s="22">
        <v>1</v>
      </c>
      <c r="D70" s="22">
        <v>0.89</v>
      </c>
      <c r="E70" s="22">
        <f t="shared" si="1"/>
        <v>0.89</v>
      </c>
      <c r="F70" s="24"/>
      <c r="G70" s="25"/>
      <c r="H70" s="69">
        <v>40</v>
      </c>
      <c r="I70" s="69">
        <v>0.05</v>
      </c>
      <c r="J70" s="73">
        <f>H70*I70</f>
        <v>2</v>
      </c>
      <c r="K70" s="22"/>
    </row>
    <row r="71" spans="1:19" ht="12" customHeight="1" x14ac:dyDescent="0.15">
      <c r="A71" s="26"/>
      <c r="B71" s="22" t="s">
        <v>103</v>
      </c>
      <c r="C71" s="22">
        <v>4</v>
      </c>
      <c r="D71" s="22">
        <v>0.15</v>
      </c>
      <c r="E71" s="22">
        <f t="shared" si="1"/>
        <v>0.6</v>
      </c>
      <c r="F71" s="24"/>
      <c r="G71" s="25"/>
      <c r="H71" s="22"/>
      <c r="I71" s="22"/>
      <c r="J71" s="36"/>
      <c r="K71" s="22"/>
      <c r="P71" s="26" t="s">
        <v>122</v>
      </c>
      <c r="Q71" s="26" t="s">
        <v>123</v>
      </c>
      <c r="R71" s="26" t="s">
        <v>82</v>
      </c>
    </row>
    <row r="72" spans="1:19" ht="12" customHeight="1" x14ac:dyDescent="0.15">
      <c r="A72" s="26"/>
      <c r="B72" s="22" t="s">
        <v>104</v>
      </c>
      <c r="C72" s="22">
        <v>1</v>
      </c>
      <c r="D72" s="22">
        <v>1</v>
      </c>
      <c r="E72" s="22">
        <f t="shared" si="1"/>
        <v>1</v>
      </c>
      <c r="F72" s="24"/>
      <c r="G72" s="25"/>
      <c r="H72" s="22"/>
      <c r="I72" s="22"/>
      <c r="J72" s="36"/>
      <c r="K72" s="22"/>
      <c r="P72" s="26">
        <v>2.59</v>
      </c>
      <c r="Q72" s="26">
        <v>1.4</v>
      </c>
      <c r="R72" s="26">
        <f>P72*Q72</f>
        <v>3.6259999999999994</v>
      </c>
    </row>
    <row r="73" spans="1:19" ht="12" customHeight="1" x14ac:dyDescent="0.15">
      <c r="A73" s="26"/>
      <c r="B73" s="22" t="s">
        <v>105</v>
      </c>
      <c r="C73" s="22">
        <v>1</v>
      </c>
      <c r="D73" s="22">
        <v>1.1000000000000001</v>
      </c>
      <c r="E73" s="22">
        <f t="shared" si="1"/>
        <v>1.1000000000000001</v>
      </c>
      <c r="F73" s="24"/>
      <c r="G73" s="25"/>
      <c r="H73" s="22"/>
      <c r="I73" s="22"/>
      <c r="J73" s="36"/>
      <c r="K73" s="22"/>
    </row>
    <row r="74" spans="1:19" ht="12" customHeight="1" x14ac:dyDescent="0.15">
      <c r="A74" s="26"/>
      <c r="B74" s="22" t="s">
        <v>106</v>
      </c>
      <c r="C74" s="22">
        <v>2</v>
      </c>
      <c r="D74" s="22">
        <v>0.04</v>
      </c>
      <c r="E74" s="22">
        <f t="shared" si="1"/>
        <v>0.08</v>
      </c>
      <c r="F74" s="24"/>
      <c r="G74" s="25"/>
      <c r="H74" s="22"/>
      <c r="I74" s="22"/>
      <c r="J74" s="36"/>
      <c r="K74" s="22"/>
    </row>
    <row r="75" spans="1:19" x14ac:dyDescent="0.15">
      <c r="A75" s="26">
        <v>3</v>
      </c>
      <c r="B75" s="34" t="s">
        <v>107</v>
      </c>
      <c r="C75" s="34" t="s">
        <v>108</v>
      </c>
      <c r="D75" s="34" t="s">
        <v>109</v>
      </c>
      <c r="E75" s="34" t="s">
        <v>110</v>
      </c>
      <c r="F75" s="149"/>
      <c r="G75" s="150"/>
      <c r="H75" s="22"/>
      <c r="I75" s="22"/>
      <c r="J75" s="36"/>
      <c r="K75" s="22"/>
      <c r="P75" s="26" t="s">
        <v>129</v>
      </c>
      <c r="Q75" s="26" t="s">
        <v>130</v>
      </c>
      <c r="R75" s="26" t="s">
        <v>82</v>
      </c>
    </row>
    <row r="76" spans="1:19" ht="20.100000000000001" customHeight="1" x14ac:dyDescent="0.15">
      <c r="A76" s="26">
        <v>4</v>
      </c>
      <c r="B76" s="22"/>
      <c r="C76" s="22"/>
      <c r="D76" s="22"/>
      <c r="E76" s="36"/>
      <c r="F76" s="149"/>
      <c r="G76" s="150"/>
      <c r="H76" s="22"/>
      <c r="I76" s="22"/>
      <c r="J76" s="36"/>
      <c r="K76" s="22"/>
      <c r="P76" s="26">
        <v>29.4</v>
      </c>
      <c r="Q76" s="26">
        <v>3.4020000000000001</v>
      </c>
      <c r="R76" s="44">
        <f>P76+Q76</f>
        <v>32.802</v>
      </c>
      <c r="S76" t="s">
        <v>152</v>
      </c>
    </row>
    <row r="77" spans="1:19" ht="9" customHeight="1" x14ac:dyDescent="0.15">
      <c r="A77" s="26">
        <v>5</v>
      </c>
      <c r="B77" s="34"/>
      <c r="C77" s="34"/>
      <c r="D77" s="22"/>
      <c r="E77" s="36"/>
      <c r="F77" s="149"/>
      <c r="G77" s="150"/>
      <c r="H77" s="22"/>
      <c r="I77" s="22"/>
      <c r="J77" s="36"/>
      <c r="K77" s="22"/>
    </row>
    <row r="78" spans="1:19" x14ac:dyDescent="0.15">
      <c r="A78" s="26">
        <v>6</v>
      </c>
      <c r="B78" s="22"/>
      <c r="C78" s="22"/>
      <c r="D78" s="22"/>
      <c r="E78" s="36"/>
      <c r="F78" s="149" t="s">
        <v>82</v>
      </c>
      <c r="G78" s="150"/>
      <c r="H78" s="22"/>
      <c r="I78" s="22"/>
      <c r="J78" s="36">
        <v>4.6079999999999997</v>
      </c>
      <c r="K78" s="22">
        <f>K65+K66+K67</f>
        <v>0</v>
      </c>
    </row>
    <row r="79" spans="1:19" ht="15.75" x14ac:dyDescent="0.15">
      <c r="A79" s="26">
        <v>7</v>
      </c>
      <c r="B79" s="22"/>
      <c r="C79" s="22"/>
      <c r="D79" s="22"/>
      <c r="E79" s="36"/>
      <c r="F79" s="149" t="s">
        <v>119</v>
      </c>
      <c r="G79" s="150"/>
      <c r="H79" s="28" t="s">
        <v>120</v>
      </c>
      <c r="I79" s="28" t="s">
        <v>121</v>
      </c>
      <c r="J79" s="32" t="s">
        <v>87</v>
      </c>
      <c r="K79" s="22" t="s">
        <v>6</v>
      </c>
    </row>
    <row r="80" spans="1:19" x14ac:dyDescent="0.15">
      <c r="A80" s="26">
        <v>8</v>
      </c>
      <c r="B80" s="22"/>
      <c r="C80" s="22"/>
      <c r="D80" s="22"/>
      <c r="E80" s="36"/>
      <c r="F80" s="149" t="s">
        <v>124</v>
      </c>
      <c r="G80" s="150"/>
      <c r="H80" s="22">
        <v>10</v>
      </c>
      <c r="I80" s="22"/>
      <c r="J80" s="22"/>
      <c r="K80" s="22"/>
    </row>
    <row r="81" spans="1:12" x14ac:dyDescent="0.15">
      <c r="A81" s="26">
        <v>9</v>
      </c>
      <c r="B81" s="22"/>
      <c r="C81" s="22"/>
      <c r="D81" s="22"/>
      <c r="E81" s="36"/>
      <c r="F81" s="149" t="s">
        <v>126</v>
      </c>
      <c r="G81" s="150"/>
      <c r="H81" s="22">
        <v>16</v>
      </c>
      <c r="I81" s="22"/>
      <c r="J81" s="22"/>
      <c r="K81" s="22"/>
    </row>
    <row r="82" spans="1:12" x14ac:dyDescent="0.15">
      <c r="A82" s="145" t="s">
        <v>82</v>
      </c>
      <c r="B82" s="151"/>
      <c r="C82" s="151"/>
      <c r="D82" s="146"/>
      <c r="E82" s="36">
        <v>0.61666666666666703</v>
      </c>
    </row>
    <row r="83" spans="1:12" x14ac:dyDescent="0.15">
      <c r="A83" s="152" t="s">
        <v>127</v>
      </c>
      <c r="B83" s="152"/>
      <c r="C83" s="31" t="s">
        <v>108</v>
      </c>
      <c r="E83" s="32" t="s">
        <v>128</v>
      </c>
      <c r="F83" s="147">
        <v>27.09</v>
      </c>
      <c r="G83" s="147"/>
      <c r="H83" s="147"/>
      <c r="I83" s="147"/>
      <c r="J83" s="147"/>
      <c r="K83" s="147"/>
      <c r="L83" s="77">
        <v>24.49</v>
      </c>
    </row>
    <row r="84" spans="1:12" x14ac:dyDescent="0.15">
      <c r="A84" s="148" t="s">
        <v>131</v>
      </c>
      <c r="B84" s="148"/>
      <c r="C84" s="37">
        <f>K53</f>
        <v>10.876299999999999</v>
      </c>
      <c r="D84" s="74">
        <v>10.88</v>
      </c>
      <c r="E84" s="34" t="s">
        <v>132</v>
      </c>
      <c r="F84" s="147">
        <v>0.88254500000000002</v>
      </c>
      <c r="G84" s="147"/>
      <c r="H84" s="147"/>
      <c r="I84" s="147"/>
      <c r="J84" s="147"/>
      <c r="K84" s="147"/>
      <c r="L84" s="77">
        <v>0.88</v>
      </c>
    </row>
    <row r="85" spans="1:12" x14ac:dyDescent="0.15">
      <c r="A85" s="148" t="s">
        <v>133</v>
      </c>
      <c r="B85" s="148"/>
      <c r="C85" s="37">
        <v>1.47</v>
      </c>
      <c r="D85" s="74">
        <v>1.47</v>
      </c>
      <c r="E85" s="34" t="s">
        <v>134</v>
      </c>
      <c r="F85" s="147">
        <v>1.76509</v>
      </c>
      <c r="G85" s="147"/>
      <c r="H85" s="147"/>
      <c r="I85" s="147"/>
      <c r="J85" s="147"/>
      <c r="K85" s="147"/>
      <c r="L85" s="77">
        <v>1.77</v>
      </c>
    </row>
    <row r="86" spans="1:12" x14ac:dyDescent="0.15">
      <c r="A86" s="148" t="s">
        <v>135</v>
      </c>
      <c r="B86" s="148"/>
      <c r="C86" s="37">
        <f>SUM(E66:E74)</f>
        <v>10.14</v>
      </c>
      <c r="D86" s="74">
        <v>10.14</v>
      </c>
      <c r="E86" s="34" t="s">
        <v>136</v>
      </c>
      <c r="F86" s="147">
        <v>1.7</v>
      </c>
      <c r="G86" s="147"/>
      <c r="H86" s="147"/>
      <c r="I86" s="147"/>
      <c r="J86" s="147"/>
      <c r="K86" s="147"/>
      <c r="L86" s="77">
        <v>1.7</v>
      </c>
    </row>
    <row r="87" spans="1:12" x14ac:dyDescent="0.15">
      <c r="A87" s="145" t="s">
        <v>137</v>
      </c>
      <c r="B87" s="146"/>
      <c r="C87" s="37"/>
      <c r="D87" s="74"/>
      <c r="E87" s="34" t="s">
        <v>5</v>
      </c>
      <c r="F87" s="147"/>
      <c r="G87" s="147"/>
      <c r="H87" s="147"/>
      <c r="I87" s="147"/>
      <c r="J87" s="147"/>
      <c r="K87" s="147"/>
      <c r="L87" s="77"/>
    </row>
    <row r="88" spans="1:12" x14ac:dyDescent="0.15">
      <c r="A88" s="148" t="s">
        <v>138</v>
      </c>
      <c r="B88" s="148"/>
      <c r="C88" s="37">
        <f>J78</f>
        <v>4.6079999999999997</v>
      </c>
      <c r="D88" s="74">
        <v>2</v>
      </c>
      <c r="E88" s="34" t="s">
        <v>139</v>
      </c>
      <c r="F88" s="147">
        <f>SUM(F83:K87)</f>
        <v>31.437635</v>
      </c>
      <c r="G88" s="147"/>
      <c r="H88" s="147"/>
      <c r="I88" s="147"/>
      <c r="J88" s="147"/>
      <c r="K88" s="147"/>
      <c r="L88" s="77">
        <f>SUM(L83:L87)</f>
        <v>28.839999999999996</v>
      </c>
    </row>
    <row r="89" spans="1:12" x14ac:dyDescent="0.15">
      <c r="A89" s="148" t="s">
        <v>119</v>
      </c>
      <c r="B89" s="148"/>
      <c r="C89" s="33"/>
      <c r="D89" s="74">
        <f>SUM(D84:D88)</f>
        <v>24.490000000000002</v>
      </c>
    </row>
    <row r="90" spans="1:12" x14ac:dyDescent="0.15">
      <c r="H90" t="s">
        <v>152</v>
      </c>
      <c r="I90" t="s">
        <v>153</v>
      </c>
    </row>
  </sheetData>
  <mergeCells count="72">
    <mergeCell ref="A2:K2"/>
    <mergeCell ref="A7:J7"/>
    <mergeCell ref="J8:K8"/>
    <mergeCell ref="J9:K9"/>
    <mergeCell ref="J10:K10"/>
    <mergeCell ref="J11:K11"/>
    <mergeCell ref="J12:K12"/>
    <mergeCell ref="J13:K13"/>
    <mergeCell ref="A16:H16"/>
    <mergeCell ref="A17:K17"/>
    <mergeCell ref="A18:E18"/>
    <mergeCell ref="F18:G18"/>
    <mergeCell ref="F19:G19"/>
    <mergeCell ref="F20:G20"/>
    <mergeCell ref="F21:G21"/>
    <mergeCell ref="F29:G29"/>
    <mergeCell ref="F30:G30"/>
    <mergeCell ref="F31:G31"/>
    <mergeCell ref="F32:G32"/>
    <mergeCell ref="F33:G33"/>
    <mergeCell ref="F34:G34"/>
    <mergeCell ref="F35:G35"/>
    <mergeCell ref="A36:D36"/>
    <mergeCell ref="A37:B37"/>
    <mergeCell ref="F37:K37"/>
    <mergeCell ref="A38:B38"/>
    <mergeCell ref="F38:K38"/>
    <mergeCell ref="A39:B39"/>
    <mergeCell ref="F39:K39"/>
    <mergeCell ref="A40:B40"/>
    <mergeCell ref="F40:K40"/>
    <mergeCell ref="A41:B41"/>
    <mergeCell ref="F41:K41"/>
    <mergeCell ref="A42:B42"/>
    <mergeCell ref="F42:K42"/>
    <mergeCell ref="A43:B43"/>
    <mergeCell ref="A47:K47"/>
    <mergeCell ref="A53:J53"/>
    <mergeCell ref="J54:K54"/>
    <mergeCell ref="J55:K55"/>
    <mergeCell ref="J56:K56"/>
    <mergeCell ref="J57:K57"/>
    <mergeCell ref="J58:K58"/>
    <mergeCell ref="J59:K59"/>
    <mergeCell ref="A62:H62"/>
    <mergeCell ref="A63:K63"/>
    <mergeCell ref="A64:E64"/>
    <mergeCell ref="F64:G64"/>
    <mergeCell ref="F65:G65"/>
    <mergeCell ref="F66:G66"/>
    <mergeCell ref="F67:G67"/>
    <mergeCell ref="F75:G75"/>
    <mergeCell ref="F76:G76"/>
    <mergeCell ref="F77:G77"/>
    <mergeCell ref="F78:G78"/>
    <mergeCell ref="F79:G79"/>
    <mergeCell ref="F80:G80"/>
    <mergeCell ref="F81:G81"/>
    <mergeCell ref="A82:D82"/>
    <mergeCell ref="A83:B83"/>
    <mergeCell ref="F83:K83"/>
    <mergeCell ref="A84:B84"/>
    <mergeCell ref="F84:K84"/>
    <mergeCell ref="A85:B85"/>
    <mergeCell ref="F85:K85"/>
    <mergeCell ref="A86:B86"/>
    <mergeCell ref="F86:K86"/>
    <mergeCell ref="A87:B87"/>
    <mergeCell ref="F87:K87"/>
    <mergeCell ref="A88:B88"/>
    <mergeCell ref="F88:K88"/>
    <mergeCell ref="A89:B89"/>
  </mergeCells>
  <phoneticPr fontId="23" type="noConversion"/>
  <pageMargins left="0.70866141732283505" right="0.70866141732283505" top="0.35433070866141703" bottom="0.35433070866141703" header="0.31496062992126" footer="0.31496062992126"/>
  <pageSetup paperSize="9" orientation="landscape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66"/>
  <sheetViews>
    <sheetView zoomScale="90" zoomScaleNormal="90" workbookViewId="0">
      <selection activeCell="F4" sqref="F4:F7"/>
    </sheetView>
  </sheetViews>
  <sheetFormatPr defaultColWidth="9" defaultRowHeight="13.5" x14ac:dyDescent="0.15"/>
  <cols>
    <col min="1" max="1" width="4.625" customWidth="1"/>
    <col min="2" max="2" width="12.125" customWidth="1"/>
    <col min="3" max="11" width="10.125" customWidth="1"/>
    <col min="13" max="13" width="9.875" customWidth="1"/>
    <col min="14" max="14" width="4.75" customWidth="1"/>
    <col min="15" max="15" width="11" customWidth="1"/>
    <col min="16" max="16" width="4.625" customWidth="1"/>
  </cols>
  <sheetData>
    <row r="1" spans="1:12" x14ac:dyDescent="0.15">
      <c r="A1" s="161"/>
      <c r="B1" s="161"/>
    </row>
    <row r="2" spans="1:12" ht="25.5" x14ac:dyDescent="0.15">
      <c r="A2" s="162" t="s">
        <v>154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t="s">
        <v>35</v>
      </c>
    </row>
    <row r="3" spans="1:12" x14ac:dyDescent="0.15">
      <c r="A3" s="22" t="s">
        <v>0</v>
      </c>
      <c r="B3" s="22" t="s">
        <v>52</v>
      </c>
      <c r="C3" s="22" t="s">
        <v>53</v>
      </c>
      <c r="D3" s="22" t="s">
        <v>54</v>
      </c>
      <c r="E3" s="22" t="s">
        <v>55</v>
      </c>
      <c r="F3" s="22" t="s">
        <v>56</v>
      </c>
      <c r="G3" s="22" t="s">
        <v>57</v>
      </c>
      <c r="H3" s="22" t="s">
        <v>58</v>
      </c>
      <c r="I3" s="22" t="s">
        <v>59</v>
      </c>
      <c r="J3" s="22" t="s">
        <v>60</v>
      </c>
      <c r="K3" s="22" t="s">
        <v>61</v>
      </c>
    </row>
    <row r="4" spans="1:12" x14ac:dyDescent="0.15">
      <c r="A4" s="22">
        <v>1</v>
      </c>
      <c r="B4" s="22" t="s">
        <v>155</v>
      </c>
      <c r="C4" s="22"/>
      <c r="D4" s="22" t="s">
        <v>156</v>
      </c>
      <c r="E4" s="23">
        <v>6.07</v>
      </c>
      <c r="F4" s="23">
        <v>0.72</v>
      </c>
      <c r="G4" s="23">
        <f>E4*F4</f>
        <v>4.3704000000000001</v>
      </c>
      <c r="H4" s="118">
        <v>0.66800000000000004</v>
      </c>
      <c r="I4" s="23">
        <f t="shared" ref="I4:I9" si="0">F4-H4</f>
        <v>5.1999999999999935E-2</v>
      </c>
      <c r="J4" s="23">
        <f>I4*2</f>
        <v>0.10399999999999987</v>
      </c>
      <c r="K4" s="23">
        <f>G4-J4</f>
        <v>4.2664</v>
      </c>
    </row>
    <row r="5" spans="1:12" x14ac:dyDescent="0.15">
      <c r="A5" s="22">
        <v>2</v>
      </c>
      <c r="B5" s="22" t="s">
        <v>157</v>
      </c>
      <c r="C5" s="22"/>
      <c r="D5" s="22" t="s">
        <v>156</v>
      </c>
      <c r="E5" s="23">
        <v>5.9</v>
      </c>
      <c r="F5" s="23">
        <v>2</v>
      </c>
      <c r="G5" s="23">
        <f t="shared" ref="G5:G9" si="1">E5*F5</f>
        <v>11.8</v>
      </c>
      <c r="H5" s="118">
        <v>1.27</v>
      </c>
      <c r="I5" s="23">
        <f t="shared" si="0"/>
        <v>0.73</v>
      </c>
      <c r="J5" s="23">
        <f t="shared" ref="J5:J9" si="2">I5*2</f>
        <v>1.46</v>
      </c>
      <c r="K5" s="23">
        <f t="shared" ref="K5:K9" si="3">G5-J5</f>
        <v>10.34</v>
      </c>
    </row>
    <row r="6" spans="1:12" x14ac:dyDescent="0.15">
      <c r="A6" s="22">
        <v>3</v>
      </c>
      <c r="B6" s="22" t="s">
        <v>158</v>
      </c>
      <c r="C6" s="22"/>
      <c r="D6" s="22" t="s">
        <v>156</v>
      </c>
      <c r="E6" s="23">
        <v>5.9</v>
      </c>
      <c r="F6" s="23">
        <v>0.5</v>
      </c>
      <c r="G6" s="23">
        <f t="shared" si="1"/>
        <v>2.95</v>
      </c>
      <c r="H6" s="118">
        <v>0.4</v>
      </c>
      <c r="I6" s="23">
        <f t="shared" si="0"/>
        <v>9.9999999999999978E-2</v>
      </c>
      <c r="J6" s="23">
        <f t="shared" si="2"/>
        <v>0.19999999999999996</v>
      </c>
      <c r="K6" s="23">
        <f t="shared" si="3"/>
        <v>2.75</v>
      </c>
    </row>
    <row r="7" spans="1:12" x14ac:dyDescent="0.15">
      <c r="A7" s="22">
        <v>4</v>
      </c>
      <c r="B7" s="22" t="s">
        <v>159</v>
      </c>
      <c r="C7" s="22"/>
      <c r="D7" s="22" t="s">
        <v>156</v>
      </c>
      <c r="E7" s="23">
        <v>5.9</v>
      </c>
      <c r="F7" s="136">
        <v>0.16</v>
      </c>
      <c r="G7" s="23">
        <f t="shared" si="1"/>
        <v>0.94400000000000006</v>
      </c>
      <c r="H7" s="118">
        <v>0.16</v>
      </c>
      <c r="I7" s="23">
        <f t="shared" si="0"/>
        <v>0</v>
      </c>
      <c r="J7" s="23">
        <f t="shared" si="2"/>
        <v>0</v>
      </c>
      <c r="K7" s="23">
        <f t="shared" si="3"/>
        <v>0.94400000000000006</v>
      </c>
    </row>
    <row r="8" spans="1:12" x14ac:dyDescent="0.15">
      <c r="A8" s="22">
        <v>5</v>
      </c>
      <c r="B8" s="22"/>
      <c r="C8" s="22"/>
      <c r="D8" s="22"/>
      <c r="E8" s="23"/>
      <c r="F8" s="23"/>
      <c r="G8" s="23">
        <f t="shared" si="1"/>
        <v>0</v>
      </c>
      <c r="H8" s="23"/>
      <c r="I8" s="23">
        <f t="shared" si="0"/>
        <v>0</v>
      </c>
      <c r="J8" s="23">
        <f t="shared" si="2"/>
        <v>0</v>
      </c>
      <c r="K8" s="23">
        <f t="shared" si="3"/>
        <v>0</v>
      </c>
    </row>
    <row r="9" spans="1:12" x14ac:dyDescent="0.15">
      <c r="A9" s="22">
        <v>6</v>
      </c>
      <c r="B9" s="22"/>
      <c r="C9" s="22"/>
      <c r="D9" s="22"/>
      <c r="E9" s="23"/>
      <c r="F9" s="22"/>
      <c r="G9" s="23">
        <f t="shared" si="1"/>
        <v>0</v>
      </c>
      <c r="H9" s="22"/>
      <c r="I9" s="23">
        <f t="shared" si="0"/>
        <v>0</v>
      </c>
      <c r="J9" s="23">
        <f t="shared" si="2"/>
        <v>0</v>
      </c>
      <c r="K9" s="23">
        <f t="shared" si="3"/>
        <v>0</v>
      </c>
    </row>
    <row r="10" spans="1:12" x14ac:dyDescent="0.15">
      <c r="A10" s="149" t="s">
        <v>82</v>
      </c>
      <c r="B10" s="153"/>
      <c r="C10" s="153"/>
      <c r="D10" s="153"/>
      <c r="E10" s="153"/>
      <c r="F10" s="153"/>
      <c r="G10" s="153"/>
      <c r="H10" s="153"/>
      <c r="I10" s="153"/>
      <c r="J10" s="150"/>
      <c r="K10" s="23">
        <f>SUM(K4:K9)</f>
        <v>18.3004</v>
      </c>
    </row>
    <row r="11" spans="1:12" x14ac:dyDescent="0.15">
      <c r="A11" s="22" t="s">
        <v>0</v>
      </c>
      <c r="B11" s="22" t="s">
        <v>52</v>
      </c>
      <c r="C11" s="22" t="s">
        <v>53</v>
      </c>
      <c r="D11" s="22" t="s">
        <v>67</v>
      </c>
      <c r="E11" s="22" t="s">
        <v>68</v>
      </c>
      <c r="F11" s="22" t="s">
        <v>69</v>
      </c>
      <c r="G11" s="22" t="s">
        <v>70</v>
      </c>
      <c r="H11" s="22" t="s">
        <v>71</v>
      </c>
      <c r="I11" s="22" t="s">
        <v>72</v>
      </c>
      <c r="J11" s="149" t="s">
        <v>6</v>
      </c>
      <c r="K11" s="150"/>
    </row>
    <row r="12" spans="1:12" x14ac:dyDescent="0.15">
      <c r="A12" s="22">
        <v>1</v>
      </c>
      <c r="B12" s="22"/>
      <c r="C12" s="22"/>
      <c r="D12" s="22"/>
      <c r="E12" s="22" t="s">
        <v>160</v>
      </c>
      <c r="F12" s="22" t="s">
        <v>161</v>
      </c>
      <c r="G12" s="22"/>
      <c r="H12" s="22" t="s">
        <v>162</v>
      </c>
      <c r="I12" s="22"/>
      <c r="J12" s="149"/>
      <c r="K12" s="150"/>
    </row>
    <row r="13" spans="1:12" x14ac:dyDescent="0.15">
      <c r="A13" s="22">
        <v>2</v>
      </c>
      <c r="B13" s="22" t="s">
        <v>163</v>
      </c>
      <c r="C13" s="22"/>
      <c r="D13" s="22"/>
      <c r="E13" s="22" t="s">
        <v>160</v>
      </c>
      <c r="F13" s="22" t="s">
        <v>164</v>
      </c>
      <c r="G13" s="22"/>
      <c r="H13" s="22" t="s">
        <v>165</v>
      </c>
      <c r="I13" s="117">
        <v>0.08</v>
      </c>
      <c r="J13" s="149"/>
      <c r="K13" s="150"/>
    </row>
    <row r="14" spans="1:12" x14ac:dyDescent="0.15">
      <c r="A14" s="22">
        <v>3</v>
      </c>
      <c r="B14" s="22"/>
      <c r="C14" s="22"/>
      <c r="D14" s="22"/>
      <c r="E14" s="22" t="s">
        <v>166</v>
      </c>
      <c r="F14" s="22" t="s">
        <v>167</v>
      </c>
      <c r="G14" s="22"/>
      <c r="H14" s="22">
        <v>0.5</v>
      </c>
      <c r="I14" s="42">
        <f>G14*H14</f>
        <v>0</v>
      </c>
      <c r="J14" s="149"/>
      <c r="K14" s="150"/>
    </row>
    <row r="15" spans="1:12" x14ac:dyDescent="0.15">
      <c r="A15" s="22">
        <v>4</v>
      </c>
      <c r="B15" s="22"/>
      <c r="C15" s="22"/>
      <c r="D15" s="22"/>
      <c r="E15" s="22" t="s">
        <v>166</v>
      </c>
      <c r="F15" s="22" t="s">
        <v>168</v>
      </c>
      <c r="G15" s="22"/>
      <c r="H15" s="22">
        <v>0.3</v>
      </c>
      <c r="I15" s="42">
        <f t="shared" ref="I15:I29" si="4">G15*H15</f>
        <v>0</v>
      </c>
      <c r="J15" s="149"/>
      <c r="K15" s="150"/>
    </row>
    <row r="16" spans="1:12" x14ac:dyDescent="0.15">
      <c r="A16" s="22">
        <v>5</v>
      </c>
      <c r="B16" s="22" t="s">
        <v>163</v>
      </c>
      <c r="C16" s="22"/>
      <c r="D16" s="22" t="s">
        <v>169</v>
      </c>
      <c r="E16" s="22" t="s">
        <v>170</v>
      </c>
      <c r="F16" s="22" t="s">
        <v>171</v>
      </c>
      <c r="G16" s="22">
        <v>3</v>
      </c>
      <c r="H16" s="22">
        <v>0.15</v>
      </c>
      <c r="I16" s="117">
        <f t="shared" si="4"/>
        <v>0.44999999999999996</v>
      </c>
      <c r="J16" s="149"/>
      <c r="K16" s="150"/>
    </row>
    <row r="17" spans="1:18" x14ac:dyDescent="0.15">
      <c r="A17" s="22">
        <v>6</v>
      </c>
      <c r="B17" s="22" t="s">
        <v>163</v>
      </c>
      <c r="C17" s="22"/>
      <c r="D17" s="22" t="s">
        <v>172</v>
      </c>
      <c r="E17" s="22" t="s">
        <v>170</v>
      </c>
      <c r="F17" s="22" t="s">
        <v>173</v>
      </c>
      <c r="G17" s="22">
        <v>3</v>
      </c>
      <c r="H17" s="22">
        <v>0.1</v>
      </c>
      <c r="I17" s="117">
        <f t="shared" si="4"/>
        <v>0.30000000000000004</v>
      </c>
      <c r="J17" s="149"/>
      <c r="K17" s="150"/>
    </row>
    <row r="18" spans="1:18" x14ac:dyDescent="0.15">
      <c r="A18" s="22">
        <v>7</v>
      </c>
      <c r="B18" s="22" t="s">
        <v>174</v>
      </c>
      <c r="C18" s="22"/>
      <c r="D18" s="22" t="s">
        <v>175</v>
      </c>
      <c r="E18" s="22" t="s">
        <v>170</v>
      </c>
      <c r="F18" s="22" t="s">
        <v>176</v>
      </c>
      <c r="G18" s="22">
        <v>3</v>
      </c>
      <c r="H18" s="22">
        <v>0.08</v>
      </c>
      <c r="I18" s="117">
        <f t="shared" si="4"/>
        <v>0.24</v>
      </c>
      <c r="J18" s="149"/>
      <c r="K18" s="150"/>
    </row>
    <row r="19" spans="1:18" x14ac:dyDescent="0.15">
      <c r="A19" s="22">
        <v>8</v>
      </c>
      <c r="B19" s="30">
        <v>2</v>
      </c>
      <c r="C19" s="22"/>
      <c r="D19" s="22" t="s">
        <v>172</v>
      </c>
      <c r="E19" s="22" t="s">
        <v>170</v>
      </c>
      <c r="F19" s="22" t="s">
        <v>177</v>
      </c>
      <c r="G19" s="22"/>
      <c r="H19" s="22">
        <v>0.08</v>
      </c>
      <c r="I19" s="42">
        <f t="shared" si="4"/>
        <v>0</v>
      </c>
      <c r="J19" s="149"/>
      <c r="K19" s="150"/>
    </row>
    <row r="20" spans="1:18" x14ac:dyDescent="0.15">
      <c r="A20" s="22">
        <v>9</v>
      </c>
      <c r="C20" s="22"/>
      <c r="D20" s="22" t="s">
        <v>175</v>
      </c>
      <c r="E20" s="22" t="s">
        <v>170</v>
      </c>
      <c r="F20" s="22" t="s">
        <v>178</v>
      </c>
      <c r="G20" s="22"/>
      <c r="H20" s="22">
        <v>0.05</v>
      </c>
      <c r="I20" s="42">
        <f t="shared" si="4"/>
        <v>0</v>
      </c>
      <c r="J20" s="149"/>
      <c r="K20" s="150"/>
    </row>
    <row r="21" spans="1:18" x14ac:dyDescent="0.15">
      <c r="A21" s="22">
        <v>10</v>
      </c>
      <c r="B21" s="22">
        <v>1</v>
      </c>
      <c r="C21" s="22"/>
      <c r="D21" s="22" t="s">
        <v>179</v>
      </c>
      <c r="E21" s="22"/>
      <c r="F21" s="22"/>
      <c r="G21" s="22">
        <v>1</v>
      </c>
      <c r="H21" s="22"/>
      <c r="I21" s="42">
        <f t="shared" si="4"/>
        <v>0</v>
      </c>
      <c r="J21" s="149" t="s">
        <v>180</v>
      </c>
      <c r="K21" s="150"/>
      <c r="O21" s="38"/>
      <c r="P21" s="40"/>
      <c r="Q21" s="40"/>
      <c r="R21" s="38"/>
    </row>
    <row r="22" spans="1:18" x14ac:dyDescent="0.15">
      <c r="A22" s="22">
        <v>11</v>
      </c>
      <c r="B22" s="22">
        <v>1</v>
      </c>
      <c r="C22" s="22"/>
      <c r="D22" s="22" t="s">
        <v>75</v>
      </c>
      <c r="E22" s="22"/>
      <c r="F22" s="22"/>
      <c r="G22" s="22">
        <v>1</v>
      </c>
      <c r="H22" s="22">
        <v>0.05</v>
      </c>
      <c r="I22" s="42">
        <f t="shared" si="4"/>
        <v>0.05</v>
      </c>
      <c r="J22" s="149"/>
      <c r="K22" s="150"/>
      <c r="O22" s="38"/>
      <c r="P22" s="40"/>
      <c r="Q22" s="40"/>
      <c r="R22" s="38"/>
    </row>
    <row r="23" spans="1:18" x14ac:dyDescent="0.15">
      <c r="A23" s="22">
        <v>12</v>
      </c>
      <c r="B23" s="22">
        <v>1</v>
      </c>
      <c r="C23" s="22"/>
      <c r="D23" s="22" t="s">
        <v>181</v>
      </c>
      <c r="E23" s="22"/>
      <c r="F23" s="22"/>
      <c r="G23" s="22">
        <v>1</v>
      </c>
      <c r="H23" s="22">
        <v>0.08</v>
      </c>
      <c r="I23" s="42">
        <f t="shared" si="4"/>
        <v>0.08</v>
      </c>
      <c r="J23" s="149"/>
      <c r="K23" s="150"/>
    </row>
    <row r="24" spans="1:18" x14ac:dyDescent="0.15">
      <c r="A24" s="22">
        <v>13</v>
      </c>
      <c r="B24" s="22"/>
      <c r="C24" s="22"/>
      <c r="D24" s="22" t="s">
        <v>182</v>
      </c>
      <c r="E24" s="22"/>
      <c r="F24" s="22"/>
      <c r="G24" s="22"/>
      <c r="H24" s="22">
        <v>0.08</v>
      </c>
      <c r="I24" s="42">
        <f t="shared" si="4"/>
        <v>0</v>
      </c>
      <c r="J24" s="149"/>
      <c r="K24" s="150"/>
    </row>
    <row r="25" spans="1:18" x14ac:dyDescent="0.15">
      <c r="A25" s="22">
        <v>14</v>
      </c>
      <c r="B25" s="22"/>
      <c r="C25" s="22"/>
      <c r="D25" s="22" t="s">
        <v>183</v>
      </c>
      <c r="E25" s="22"/>
      <c r="F25" s="22"/>
      <c r="G25" s="22"/>
      <c r="H25" s="22">
        <v>0.08</v>
      </c>
      <c r="I25" s="42">
        <f t="shared" si="4"/>
        <v>0</v>
      </c>
      <c r="J25" s="149"/>
      <c r="K25" s="150"/>
    </row>
    <row r="26" spans="1:18" x14ac:dyDescent="0.15">
      <c r="A26" s="22">
        <v>15</v>
      </c>
      <c r="B26" s="22"/>
      <c r="C26" s="22"/>
      <c r="D26" s="22" t="s">
        <v>184</v>
      </c>
      <c r="E26" s="22"/>
      <c r="F26" s="22"/>
      <c r="G26" s="22"/>
      <c r="H26" s="22">
        <v>0.08</v>
      </c>
      <c r="I26" s="42">
        <f t="shared" si="4"/>
        <v>0</v>
      </c>
      <c r="J26" s="149"/>
      <c r="K26" s="150"/>
    </row>
    <row r="27" spans="1:18" x14ac:dyDescent="0.15">
      <c r="A27" s="22">
        <v>15</v>
      </c>
      <c r="B27" s="22">
        <v>2</v>
      </c>
      <c r="C27" s="22"/>
      <c r="D27" s="22" t="s">
        <v>175</v>
      </c>
      <c r="E27" s="22"/>
      <c r="F27" s="22"/>
      <c r="G27" s="22">
        <v>1</v>
      </c>
      <c r="H27" s="22">
        <v>0.04</v>
      </c>
      <c r="I27" s="42">
        <f t="shared" si="4"/>
        <v>0.04</v>
      </c>
      <c r="J27" s="24"/>
      <c r="K27" s="25"/>
    </row>
    <row r="28" spans="1:18" x14ac:dyDescent="0.15">
      <c r="A28" s="22">
        <v>15</v>
      </c>
      <c r="B28" s="22">
        <v>2</v>
      </c>
      <c r="C28" s="22"/>
      <c r="D28" s="22" t="s">
        <v>185</v>
      </c>
      <c r="E28" s="22"/>
      <c r="F28" s="22"/>
      <c r="G28" s="22">
        <v>1</v>
      </c>
      <c r="H28" s="22">
        <v>0.04</v>
      </c>
      <c r="I28" s="42">
        <f t="shared" si="4"/>
        <v>0.04</v>
      </c>
      <c r="J28" s="149"/>
      <c r="K28" s="150"/>
    </row>
    <row r="29" spans="1:18" x14ac:dyDescent="0.15">
      <c r="A29" s="22">
        <v>15</v>
      </c>
      <c r="B29" s="22">
        <v>2</v>
      </c>
      <c r="C29" s="22"/>
      <c r="D29" s="22" t="s">
        <v>186</v>
      </c>
      <c r="E29" s="22"/>
      <c r="F29" s="22"/>
      <c r="G29" s="22">
        <v>1</v>
      </c>
      <c r="H29" s="22">
        <v>0.05</v>
      </c>
      <c r="I29" s="42">
        <f t="shared" si="4"/>
        <v>0.05</v>
      </c>
      <c r="J29" s="149"/>
      <c r="K29" s="150"/>
    </row>
    <row r="30" spans="1:18" x14ac:dyDescent="0.15">
      <c r="A30" s="22">
        <v>15</v>
      </c>
      <c r="B30" s="22"/>
      <c r="C30" s="22"/>
      <c r="D30" s="22" t="s">
        <v>187</v>
      </c>
      <c r="E30" s="22"/>
      <c r="F30" s="22"/>
      <c r="G30" s="22"/>
      <c r="H30" s="22"/>
      <c r="I30" s="42">
        <v>0.2</v>
      </c>
      <c r="J30" s="149" t="s">
        <v>188</v>
      </c>
      <c r="K30" s="150"/>
    </row>
    <row r="31" spans="1:18" x14ac:dyDescent="0.15">
      <c r="A31" s="22"/>
      <c r="B31" s="22"/>
      <c r="C31" s="22"/>
      <c r="D31" s="149" t="s">
        <v>189</v>
      </c>
      <c r="E31" s="153"/>
      <c r="F31" s="153"/>
      <c r="G31" s="153"/>
      <c r="H31" s="150"/>
      <c r="I31" s="42">
        <v>0.3</v>
      </c>
      <c r="J31" s="24"/>
      <c r="K31" s="25"/>
    </row>
    <row r="32" spans="1:18" x14ac:dyDescent="0.15">
      <c r="A32" s="149" t="s">
        <v>82</v>
      </c>
      <c r="B32" s="153"/>
      <c r="C32" s="153"/>
      <c r="D32" s="153"/>
      <c r="E32" s="153"/>
      <c r="F32" s="153"/>
      <c r="G32" s="153"/>
      <c r="H32" s="150"/>
      <c r="I32" s="22">
        <f>SUM(I12:I31)</f>
        <v>1.83</v>
      </c>
      <c r="J32" s="22"/>
      <c r="K32" s="22"/>
    </row>
    <row r="33" spans="1:17" x14ac:dyDescent="0.15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0"/>
    </row>
    <row r="34" spans="1:17" x14ac:dyDescent="0.15">
      <c r="A34" s="149" t="s">
        <v>83</v>
      </c>
      <c r="B34" s="153"/>
      <c r="C34" s="153"/>
      <c r="D34" s="153"/>
      <c r="E34" s="150"/>
      <c r="F34" s="154" t="s">
        <v>84</v>
      </c>
      <c r="G34" s="154"/>
      <c r="H34" s="22" t="s">
        <v>85</v>
      </c>
      <c r="I34" s="22" t="s">
        <v>86</v>
      </c>
      <c r="J34" s="22" t="s">
        <v>87</v>
      </c>
      <c r="K34" s="25" t="s">
        <v>6</v>
      </c>
      <c r="M34" s="72" t="s">
        <v>88</v>
      </c>
      <c r="O34" s="72" t="s">
        <v>89</v>
      </c>
      <c r="Q34" s="72" t="s">
        <v>190</v>
      </c>
    </row>
    <row r="35" spans="1:17" x14ac:dyDescent="0.15">
      <c r="A35" s="22" t="s">
        <v>0</v>
      </c>
      <c r="B35" s="22" t="s">
        <v>90</v>
      </c>
      <c r="C35" s="22" t="s">
        <v>91</v>
      </c>
      <c r="D35" s="22" t="s">
        <v>92</v>
      </c>
      <c r="E35" s="22" t="s">
        <v>72</v>
      </c>
      <c r="F35" s="154" t="s">
        <v>191</v>
      </c>
      <c r="G35" s="154"/>
      <c r="H35" s="42">
        <v>75</v>
      </c>
      <c r="I35" s="22">
        <v>0.05</v>
      </c>
      <c r="J35" s="36">
        <f>I35*H35</f>
        <v>3.75</v>
      </c>
      <c r="K35" s="22"/>
      <c r="M35" s="26" t="s">
        <v>94</v>
      </c>
      <c r="O35" s="26" t="s">
        <v>94</v>
      </c>
      <c r="Q35" s="157" t="s">
        <v>192</v>
      </c>
    </row>
    <row r="36" spans="1:17" x14ac:dyDescent="0.15">
      <c r="A36" s="26">
        <v>1</v>
      </c>
      <c r="B36" s="22" t="s">
        <v>193</v>
      </c>
      <c r="C36" s="22">
        <v>3</v>
      </c>
      <c r="D36" s="22">
        <v>1</v>
      </c>
      <c r="E36" s="117">
        <f>D36*C36</f>
        <v>3</v>
      </c>
      <c r="F36" s="149" t="s">
        <v>194</v>
      </c>
      <c r="G36" s="150"/>
      <c r="H36" s="42">
        <v>6</v>
      </c>
      <c r="I36" s="22">
        <v>0.05</v>
      </c>
      <c r="J36" s="36">
        <f t="shared" ref="J36:J37" si="5">I36*H36</f>
        <v>0.30000000000000004</v>
      </c>
      <c r="K36" s="22"/>
      <c r="M36" s="26" t="s">
        <v>98</v>
      </c>
      <c r="O36" s="34" t="s">
        <v>195</v>
      </c>
      <c r="Q36" s="158"/>
    </row>
    <row r="37" spans="1:17" x14ac:dyDescent="0.15">
      <c r="A37" s="26">
        <v>2</v>
      </c>
      <c r="B37" s="22" t="s">
        <v>196</v>
      </c>
      <c r="C37" s="22">
        <v>6</v>
      </c>
      <c r="D37" s="22">
        <v>0.2</v>
      </c>
      <c r="E37" s="117">
        <f t="shared" ref="E37:E44" si="6">D37*C37</f>
        <v>1.2000000000000002</v>
      </c>
      <c r="F37" s="149"/>
      <c r="G37" s="150"/>
      <c r="H37" s="22"/>
      <c r="I37" s="22"/>
      <c r="J37" s="36">
        <f t="shared" si="5"/>
        <v>0</v>
      </c>
      <c r="K37" s="22"/>
      <c r="M37" s="26">
        <v>45</v>
      </c>
      <c r="O37" s="26">
        <v>1.5</v>
      </c>
      <c r="Q37" s="159"/>
    </row>
    <row r="38" spans="1:17" x14ac:dyDescent="0.15">
      <c r="A38" s="26">
        <v>3</v>
      </c>
      <c r="B38" s="22" t="s">
        <v>197</v>
      </c>
      <c r="C38" s="22">
        <v>1</v>
      </c>
      <c r="D38" s="22">
        <v>0.6</v>
      </c>
      <c r="E38" s="117">
        <f t="shared" si="6"/>
        <v>0.6</v>
      </c>
      <c r="F38" s="149"/>
      <c r="G38" s="150"/>
      <c r="H38" s="69">
        <v>45</v>
      </c>
      <c r="I38" s="69">
        <v>0.05</v>
      </c>
      <c r="J38" s="73"/>
      <c r="K38" s="73">
        <f>H38*I38</f>
        <v>2.25</v>
      </c>
    </row>
    <row r="39" spans="1:17" x14ac:dyDescent="0.15">
      <c r="A39" s="26">
        <v>4</v>
      </c>
      <c r="B39" s="22" t="s">
        <v>198</v>
      </c>
      <c r="C39" s="22">
        <v>2</v>
      </c>
      <c r="D39" s="22">
        <v>0.1</v>
      </c>
      <c r="E39" s="117">
        <f t="shared" si="6"/>
        <v>0.2</v>
      </c>
      <c r="F39" s="149"/>
      <c r="G39" s="150"/>
      <c r="H39" s="22"/>
      <c r="I39" s="22"/>
      <c r="J39" s="36"/>
      <c r="K39" s="22"/>
    </row>
    <row r="40" spans="1:17" x14ac:dyDescent="0.15">
      <c r="A40" s="26">
        <v>5</v>
      </c>
      <c r="B40" s="22" t="s">
        <v>199</v>
      </c>
      <c r="C40" s="22">
        <v>2</v>
      </c>
      <c r="D40" s="22">
        <v>0.38</v>
      </c>
      <c r="E40" s="117">
        <f t="shared" si="6"/>
        <v>0.76</v>
      </c>
      <c r="F40" s="149"/>
      <c r="G40" s="150"/>
      <c r="H40" s="22"/>
      <c r="I40" s="22"/>
      <c r="J40" s="36"/>
      <c r="K40" s="22"/>
      <c r="O40" s="35" t="s">
        <v>200</v>
      </c>
    </row>
    <row r="41" spans="1:17" x14ac:dyDescent="0.15">
      <c r="A41" s="26">
        <v>6</v>
      </c>
      <c r="B41" s="22"/>
      <c r="C41" s="22"/>
      <c r="D41" s="22"/>
      <c r="E41" s="22">
        <f t="shared" si="6"/>
        <v>0</v>
      </c>
      <c r="F41" s="149" t="s">
        <v>82</v>
      </c>
      <c r="G41" s="150"/>
      <c r="H41" s="22"/>
      <c r="I41" s="22"/>
      <c r="J41" s="43">
        <f>SUM(J35:J40)</f>
        <v>4.05</v>
      </c>
      <c r="K41" s="22"/>
      <c r="O41" s="26" t="s">
        <v>77</v>
      </c>
    </row>
    <row r="42" spans="1:17" ht="15.75" x14ac:dyDescent="0.15">
      <c r="A42" s="26">
        <v>7</v>
      </c>
      <c r="B42" s="22"/>
      <c r="C42" s="22"/>
      <c r="D42" s="22"/>
      <c r="E42" s="22">
        <f t="shared" si="6"/>
        <v>0</v>
      </c>
      <c r="F42" s="149" t="s">
        <v>119</v>
      </c>
      <c r="G42" s="150"/>
      <c r="H42" s="28" t="s">
        <v>201</v>
      </c>
      <c r="I42" s="28" t="s">
        <v>202</v>
      </c>
      <c r="J42" s="32" t="s">
        <v>87</v>
      </c>
      <c r="K42" s="22" t="s">
        <v>6</v>
      </c>
      <c r="O42" s="26" t="s">
        <v>203</v>
      </c>
    </row>
    <row r="43" spans="1:17" x14ac:dyDescent="0.15">
      <c r="A43" s="26">
        <v>8</v>
      </c>
      <c r="B43" s="22"/>
      <c r="C43" s="22"/>
      <c r="D43" s="22"/>
      <c r="E43" s="22">
        <f t="shared" si="6"/>
        <v>0</v>
      </c>
      <c r="F43" s="149" t="s">
        <v>124</v>
      </c>
      <c r="G43" s="150"/>
      <c r="H43" s="22">
        <v>10</v>
      </c>
      <c r="I43" s="22"/>
      <c r="J43" s="22">
        <f>I43*H43</f>
        <v>0</v>
      </c>
      <c r="K43" s="22"/>
    </row>
    <row r="44" spans="1:17" x14ac:dyDescent="0.15">
      <c r="A44" s="26">
        <v>9</v>
      </c>
      <c r="B44" s="22"/>
      <c r="C44" s="22"/>
      <c r="D44" s="22"/>
      <c r="E44" s="22">
        <f t="shared" si="6"/>
        <v>0</v>
      </c>
      <c r="F44" s="149" t="s">
        <v>126</v>
      </c>
      <c r="G44" s="150"/>
      <c r="H44" s="22">
        <v>10</v>
      </c>
      <c r="I44" s="22">
        <v>0.45</v>
      </c>
      <c r="J44" s="22">
        <f>I44*H44</f>
        <v>4.5</v>
      </c>
      <c r="K44" s="22"/>
    </row>
    <row r="45" spans="1:17" x14ac:dyDescent="0.15">
      <c r="A45" s="145" t="s">
        <v>82</v>
      </c>
      <c r="B45" s="151"/>
      <c r="C45" s="151"/>
      <c r="D45" s="146"/>
      <c r="E45" s="30">
        <f>SUM(E36:E44)</f>
        <v>5.76</v>
      </c>
    </row>
    <row r="46" spans="1:17" x14ac:dyDescent="0.15">
      <c r="A46" s="152" t="s">
        <v>127</v>
      </c>
      <c r="B46" s="152"/>
      <c r="C46" s="31" t="s">
        <v>108</v>
      </c>
      <c r="E46" s="32" t="s">
        <v>128</v>
      </c>
      <c r="F46" s="160">
        <f>C51+C50+C49+C48+C47</f>
        <v>35.44</v>
      </c>
      <c r="G46" s="147"/>
      <c r="H46" s="147"/>
      <c r="I46" s="147"/>
      <c r="J46" s="147"/>
      <c r="K46" s="147"/>
      <c r="L46" s="74">
        <v>36.75</v>
      </c>
    </row>
    <row r="47" spans="1:17" x14ac:dyDescent="0.15">
      <c r="A47" s="148" t="s">
        <v>131</v>
      </c>
      <c r="B47" s="148"/>
      <c r="C47" s="33">
        <f>K10</f>
        <v>18.3004</v>
      </c>
      <c r="D47" s="70">
        <v>20.67</v>
      </c>
      <c r="E47" s="34" t="s">
        <v>132</v>
      </c>
      <c r="F47" s="147">
        <f>F46*0.03</f>
        <v>1.0631999999999999</v>
      </c>
      <c r="G47" s="147"/>
      <c r="H47" s="147"/>
      <c r="I47" s="147"/>
      <c r="J47" s="147"/>
      <c r="K47" s="147"/>
      <c r="L47" s="74">
        <v>1.19</v>
      </c>
    </row>
    <row r="48" spans="1:17" x14ac:dyDescent="0.15">
      <c r="A48" s="148" t="s">
        <v>133</v>
      </c>
      <c r="B48" s="148"/>
      <c r="C48" s="33">
        <f>I32*1.17</f>
        <v>2.1410999999999998</v>
      </c>
      <c r="D48" s="70">
        <v>2.73</v>
      </c>
      <c r="E48" s="34" t="s">
        <v>134</v>
      </c>
      <c r="F48" s="147">
        <f>F46*0.03</f>
        <v>1.0631999999999999</v>
      </c>
      <c r="G48" s="147"/>
      <c r="H48" s="147"/>
      <c r="I48" s="147"/>
      <c r="J48" s="147"/>
      <c r="K48" s="147"/>
      <c r="L48" s="74">
        <v>1.38</v>
      </c>
    </row>
    <row r="49" spans="1:15" x14ac:dyDescent="0.15">
      <c r="A49" s="148" t="s">
        <v>135</v>
      </c>
      <c r="B49" s="148"/>
      <c r="C49" s="33">
        <f>E45</f>
        <v>5.76</v>
      </c>
      <c r="D49" s="70">
        <v>6.6</v>
      </c>
      <c r="E49" s="34" t="s">
        <v>136</v>
      </c>
      <c r="F49" s="147">
        <f>F46*0.02</f>
        <v>0.70879999999999999</v>
      </c>
      <c r="G49" s="147"/>
      <c r="H49" s="147"/>
      <c r="I49" s="147"/>
      <c r="J49" s="147"/>
      <c r="K49" s="147"/>
      <c r="L49" s="74">
        <v>0.79</v>
      </c>
    </row>
    <row r="50" spans="1:15" x14ac:dyDescent="0.15">
      <c r="A50" s="148" t="s">
        <v>138</v>
      </c>
      <c r="B50" s="148"/>
      <c r="C50" s="33">
        <f>J41*1.17</f>
        <v>4.7384999999999993</v>
      </c>
      <c r="D50" s="70">
        <v>2.25</v>
      </c>
      <c r="E50" s="34" t="s">
        <v>5</v>
      </c>
      <c r="F50" s="147"/>
      <c r="G50" s="147"/>
      <c r="H50" s="147"/>
      <c r="I50" s="147"/>
      <c r="J50" s="147"/>
      <c r="K50" s="147"/>
      <c r="L50" s="74"/>
    </row>
    <row r="51" spans="1:15" x14ac:dyDescent="0.15">
      <c r="A51" s="148" t="s">
        <v>119</v>
      </c>
      <c r="B51" s="148"/>
      <c r="C51" s="33">
        <f>J43+J44</f>
        <v>4.5</v>
      </c>
      <c r="D51" s="70">
        <v>4.5</v>
      </c>
      <c r="E51" s="34" t="s">
        <v>139</v>
      </c>
      <c r="F51" s="156">
        <f>F50+F49+F48+F47+F46</f>
        <v>38.275199999999998</v>
      </c>
      <c r="G51" s="156"/>
      <c r="H51" s="156"/>
      <c r="I51" s="156"/>
      <c r="J51" s="156"/>
      <c r="K51" s="156"/>
      <c r="L51" s="74">
        <f>SUM(L46:L50)</f>
        <v>40.11</v>
      </c>
    </row>
    <row r="52" spans="1:15" x14ac:dyDescent="0.15">
      <c r="D52" s="71">
        <f>SUM(D47:D51)</f>
        <v>36.75</v>
      </c>
      <c r="H52" t="s">
        <v>152</v>
      </c>
      <c r="I52" t="s">
        <v>204</v>
      </c>
      <c r="O52" s="35" t="s">
        <v>205</v>
      </c>
    </row>
    <row r="53" spans="1:15" x14ac:dyDescent="0.15">
      <c r="H53" t="s">
        <v>152</v>
      </c>
      <c r="I53" t="s">
        <v>206</v>
      </c>
      <c r="O53" s="26" t="s">
        <v>77</v>
      </c>
    </row>
    <row r="54" spans="1:15" x14ac:dyDescent="0.15">
      <c r="O54" s="26" t="s">
        <v>207</v>
      </c>
    </row>
    <row r="57" spans="1:15" x14ac:dyDescent="0.15">
      <c r="E57" s="35" t="s">
        <v>111</v>
      </c>
      <c r="F57" s="35" t="s">
        <v>112</v>
      </c>
      <c r="G57" s="35" t="s">
        <v>113</v>
      </c>
      <c r="J57" s="35" t="s">
        <v>111</v>
      </c>
      <c r="K57" s="35" t="s">
        <v>112</v>
      </c>
      <c r="L57" s="35" t="s">
        <v>113</v>
      </c>
    </row>
    <row r="58" spans="1:15" x14ac:dyDescent="0.15">
      <c r="E58" s="35" t="s">
        <v>115</v>
      </c>
      <c r="F58" s="35" t="s">
        <v>116</v>
      </c>
      <c r="G58" s="35" t="s">
        <v>117</v>
      </c>
      <c r="J58" s="35" t="s">
        <v>115</v>
      </c>
      <c r="K58" s="35" t="s">
        <v>116</v>
      </c>
      <c r="L58" s="35" t="s">
        <v>117</v>
      </c>
    </row>
    <row r="61" spans="1:15" x14ac:dyDescent="0.15">
      <c r="D61" s="35" t="s">
        <v>200</v>
      </c>
      <c r="E61" s="26" t="s">
        <v>122</v>
      </c>
      <c r="F61" s="26" t="s">
        <v>123</v>
      </c>
      <c r="G61" s="26" t="s">
        <v>82</v>
      </c>
      <c r="I61" s="35" t="s">
        <v>205</v>
      </c>
      <c r="J61" s="26" t="s">
        <v>122</v>
      </c>
      <c r="K61" s="26" t="s">
        <v>123</v>
      </c>
      <c r="L61" s="26" t="s">
        <v>82</v>
      </c>
    </row>
    <row r="62" spans="1:15" x14ac:dyDescent="0.15">
      <c r="E62" s="26">
        <v>2.92</v>
      </c>
      <c r="F62" s="26">
        <v>1.4</v>
      </c>
      <c r="G62" s="26">
        <f>E62*F62</f>
        <v>4.0880000000000001</v>
      </c>
      <c r="J62" s="26">
        <v>2.77</v>
      </c>
      <c r="K62" s="26">
        <v>1.4</v>
      </c>
      <c r="L62" s="26">
        <f>J62*K62</f>
        <v>3.8779999999999997</v>
      </c>
    </row>
    <row r="65" spans="4:13" x14ac:dyDescent="0.15">
      <c r="D65" s="35" t="s">
        <v>200</v>
      </c>
      <c r="E65" s="26" t="s">
        <v>129</v>
      </c>
      <c r="F65" s="26" t="s">
        <v>130</v>
      </c>
      <c r="G65" s="26" t="s">
        <v>82</v>
      </c>
      <c r="I65" s="35" t="s">
        <v>205</v>
      </c>
      <c r="J65" s="26" t="s">
        <v>129</v>
      </c>
      <c r="K65" s="26" t="s">
        <v>130</v>
      </c>
      <c r="L65" s="26" t="s">
        <v>82</v>
      </c>
    </row>
    <row r="66" spans="4:13" x14ac:dyDescent="0.15">
      <c r="E66" s="26">
        <v>38.53</v>
      </c>
      <c r="F66" s="26">
        <v>4.0880000000000001</v>
      </c>
      <c r="G66" s="44">
        <f>E66+F66</f>
        <v>42.618000000000002</v>
      </c>
      <c r="H66" t="s">
        <v>152</v>
      </c>
      <c r="J66" s="26">
        <v>38.53</v>
      </c>
      <c r="K66" s="26">
        <v>3.8780000000000001</v>
      </c>
      <c r="L66" s="44">
        <f>J66+K66</f>
        <v>42.408000000000001</v>
      </c>
      <c r="M66" t="s">
        <v>152</v>
      </c>
    </row>
  </sheetData>
  <mergeCells count="51">
    <mergeCell ref="A1:B1"/>
    <mergeCell ref="A2:K2"/>
    <mergeCell ref="A10:J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29:K29"/>
    <mergeCell ref="J30:K30"/>
    <mergeCell ref="D31:H31"/>
    <mergeCell ref="A32:H32"/>
    <mergeCell ref="A33:K33"/>
    <mergeCell ref="A34:E34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A50:B50"/>
    <mergeCell ref="F50:K50"/>
    <mergeCell ref="A51:B51"/>
    <mergeCell ref="F51:K51"/>
    <mergeCell ref="Q35:Q37"/>
    <mergeCell ref="A47:B47"/>
    <mergeCell ref="F47:K47"/>
    <mergeCell ref="A48:B48"/>
    <mergeCell ref="F48:K48"/>
    <mergeCell ref="A49:B49"/>
    <mergeCell ref="F49:K49"/>
    <mergeCell ref="F43:G43"/>
    <mergeCell ref="F44:G44"/>
    <mergeCell ref="A45:D45"/>
    <mergeCell ref="A46:B46"/>
    <mergeCell ref="F46:K46"/>
  </mergeCells>
  <phoneticPr fontId="23" type="noConversion"/>
  <pageMargins left="0.70866141732283505" right="0.70866141732283505" top="0.35433070866141703" bottom="0.35433070866141703" header="0.31496062992126" footer="0.31496062992126"/>
  <pageSetup paperSize="9" scale="74" orientation="landscape" horizontalDpi="2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0"/>
  <sheetViews>
    <sheetView topLeftCell="D16" workbookViewId="0">
      <selection activeCell="N43" sqref="N43"/>
    </sheetView>
  </sheetViews>
  <sheetFormatPr defaultColWidth="9" defaultRowHeight="13.5" x14ac:dyDescent="0.15"/>
  <cols>
    <col min="1" max="1" width="5.875" customWidth="1"/>
    <col min="2" max="2" width="18.875" customWidth="1"/>
    <col min="5" max="5" width="12" customWidth="1"/>
    <col min="8" max="8" width="13" customWidth="1"/>
    <col min="9" max="9" width="15.125" customWidth="1"/>
    <col min="10" max="10" width="12.875" customWidth="1"/>
    <col min="11" max="11" width="15.5" customWidth="1"/>
  </cols>
  <sheetData>
    <row r="1" spans="1:14" ht="25.5" x14ac:dyDescent="0.15">
      <c r="A1" s="175" t="s">
        <v>208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t="s">
        <v>41</v>
      </c>
    </row>
    <row r="2" spans="1:14" ht="25.5" x14ac:dyDescent="0.15">
      <c r="A2" s="177" t="s">
        <v>209</v>
      </c>
      <c r="B2" s="177"/>
      <c r="C2" s="177"/>
      <c r="D2" s="177"/>
      <c r="E2" s="177"/>
      <c r="F2" s="51"/>
      <c r="G2" s="51"/>
      <c r="H2" s="177" t="s">
        <v>210</v>
      </c>
      <c r="I2" s="177"/>
      <c r="J2" s="178" t="s">
        <v>211</v>
      </c>
      <c r="K2" s="178"/>
    </row>
    <row r="3" spans="1:14" x14ac:dyDescent="0.15">
      <c r="A3" s="52" t="s">
        <v>0</v>
      </c>
      <c r="B3" s="52" t="s">
        <v>52</v>
      </c>
      <c r="C3" s="52" t="s">
        <v>53</v>
      </c>
      <c r="D3" s="52" t="s">
        <v>54</v>
      </c>
      <c r="E3" s="52" t="s">
        <v>55</v>
      </c>
      <c r="F3" s="52" t="s">
        <v>56</v>
      </c>
      <c r="G3" s="52" t="s">
        <v>57</v>
      </c>
      <c r="H3" s="52" t="s">
        <v>58</v>
      </c>
      <c r="I3" s="52" t="s">
        <v>59</v>
      </c>
      <c r="J3" s="52" t="s">
        <v>60</v>
      </c>
      <c r="K3" s="52" t="s">
        <v>61</v>
      </c>
    </row>
    <row r="4" spans="1:14" x14ac:dyDescent="0.15">
      <c r="A4" s="52">
        <v>1</v>
      </c>
      <c r="B4" s="52" t="s">
        <v>212</v>
      </c>
      <c r="C4" s="52"/>
      <c r="D4" s="52" t="s">
        <v>213</v>
      </c>
      <c r="E4" s="53">
        <v>6.1</v>
      </c>
      <c r="F4" s="53">
        <v>1.52</v>
      </c>
      <c r="G4" s="53">
        <f>F4*E4</f>
        <v>9.2720000000000002</v>
      </c>
      <c r="H4" s="53">
        <v>1.5</v>
      </c>
      <c r="I4" s="53">
        <f>F4-H4</f>
        <v>2.0000000000000018E-2</v>
      </c>
      <c r="J4" s="53">
        <f>I4*2.2</f>
        <v>4.4000000000000046E-2</v>
      </c>
      <c r="K4" s="53">
        <f>G4-J4</f>
        <v>9.2279999999999998</v>
      </c>
    </row>
    <row r="5" spans="1:14" x14ac:dyDescent="0.15">
      <c r="A5" s="52">
        <v>2</v>
      </c>
      <c r="B5" s="52" t="s">
        <v>214</v>
      </c>
      <c r="C5" s="52"/>
      <c r="D5" s="52" t="s">
        <v>213</v>
      </c>
      <c r="E5" s="53">
        <v>6.1</v>
      </c>
      <c r="F5" s="53">
        <v>0.3</v>
      </c>
      <c r="G5" s="53">
        <f>F5*E5</f>
        <v>1.8299999999999998</v>
      </c>
      <c r="H5" s="53">
        <v>0.3</v>
      </c>
      <c r="I5" s="53">
        <f>F5-H5</f>
        <v>0</v>
      </c>
      <c r="J5" s="53">
        <f>I5*2.2</f>
        <v>0</v>
      </c>
      <c r="K5" s="53">
        <f>G5-J5</f>
        <v>1.8299999999999998</v>
      </c>
    </row>
    <row r="6" spans="1:14" x14ac:dyDescent="0.15">
      <c r="A6" s="52">
        <v>3</v>
      </c>
      <c r="B6" s="52"/>
      <c r="C6" s="52"/>
      <c r="D6" s="52"/>
      <c r="E6" s="53"/>
      <c r="F6" s="53"/>
      <c r="G6" s="53"/>
      <c r="H6" s="53"/>
      <c r="I6" s="53"/>
      <c r="J6" s="53"/>
      <c r="K6" s="53"/>
    </row>
    <row r="7" spans="1:14" x14ac:dyDescent="0.15">
      <c r="A7" s="173" t="s">
        <v>82</v>
      </c>
      <c r="B7" s="171"/>
      <c r="C7" s="171"/>
      <c r="D7" s="171"/>
      <c r="E7" s="171"/>
      <c r="F7" s="171"/>
      <c r="G7" s="171"/>
      <c r="H7" s="171"/>
      <c r="I7" s="171"/>
      <c r="J7" s="172"/>
      <c r="K7" s="53">
        <f>SUM(K4:K6)</f>
        <v>11.058</v>
      </c>
    </row>
    <row r="8" spans="1:14" x14ac:dyDescent="0.15">
      <c r="A8" s="52" t="s">
        <v>0</v>
      </c>
      <c r="B8" s="52" t="s">
        <v>52</v>
      </c>
      <c r="C8" s="52" t="s">
        <v>53</v>
      </c>
      <c r="D8" s="52" t="s">
        <v>67</v>
      </c>
      <c r="E8" s="52" t="s">
        <v>68</v>
      </c>
      <c r="F8" s="52" t="s">
        <v>69</v>
      </c>
      <c r="G8" s="52" t="s">
        <v>70</v>
      </c>
      <c r="H8" s="52" t="s">
        <v>71</v>
      </c>
      <c r="I8" s="52" t="s">
        <v>72</v>
      </c>
      <c r="J8" s="173" t="s">
        <v>6</v>
      </c>
      <c r="K8" s="172"/>
    </row>
    <row r="9" spans="1:14" x14ac:dyDescent="0.15">
      <c r="A9" s="52">
        <v>1</v>
      </c>
      <c r="B9" s="52"/>
      <c r="C9" s="52"/>
      <c r="D9" s="52"/>
      <c r="E9" s="52" t="s">
        <v>160</v>
      </c>
      <c r="F9" s="52" t="s">
        <v>161</v>
      </c>
      <c r="G9" s="52"/>
      <c r="H9" s="52" t="s">
        <v>162</v>
      </c>
      <c r="I9" s="52"/>
      <c r="J9" s="173"/>
      <c r="K9" s="172"/>
    </row>
    <row r="10" spans="1:14" x14ac:dyDescent="0.15">
      <c r="A10" s="52">
        <v>2</v>
      </c>
      <c r="B10" s="52"/>
      <c r="C10" s="52"/>
      <c r="D10" s="52"/>
      <c r="E10" s="52" t="s">
        <v>160</v>
      </c>
      <c r="F10" s="52" t="s">
        <v>164</v>
      </c>
      <c r="G10" s="52"/>
      <c r="H10" s="52" t="s">
        <v>165</v>
      </c>
      <c r="I10" s="52"/>
      <c r="J10" s="173"/>
      <c r="K10" s="172"/>
    </row>
    <row r="11" spans="1:14" x14ac:dyDescent="0.15">
      <c r="A11" s="52">
        <v>3</v>
      </c>
      <c r="B11" s="52"/>
      <c r="C11" s="52"/>
      <c r="D11" s="52"/>
      <c r="E11" s="52" t="s">
        <v>166</v>
      </c>
      <c r="F11" s="52" t="s">
        <v>167</v>
      </c>
      <c r="G11" s="52"/>
      <c r="H11" s="52">
        <v>0.5</v>
      </c>
      <c r="I11" s="52">
        <v>0</v>
      </c>
      <c r="J11" s="173"/>
      <c r="K11" s="172"/>
    </row>
    <row r="12" spans="1:14" x14ac:dyDescent="0.15">
      <c r="A12" s="52">
        <v>4</v>
      </c>
      <c r="B12" s="52"/>
      <c r="C12" s="52"/>
      <c r="D12" s="52"/>
      <c r="E12" s="52" t="s">
        <v>166</v>
      </c>
      <c r="F12" s="52" t="s">
        <v>168</v>
      </c>
      <c r="G12" s="52"/>
      <c r="H12" s="52">
        <v>0.3</v>
      </c>
      <c r="I12" s="52">
        <v>0</v>
      </c>
      <c r="J12" s="173"/>
      <c r="K12" s="172"/>
    </row>
    <row r="13" spans="1:14" x14ac:dyDescent="0.15">
      <c r="A13" s="52">
        <v>5</v>
      </c>
      <c r="B13" s="52"/>
      <c r="C13" s="52"/>
      <c r="D13" s="52"/>
      <c r="E13" s="52" t="s">
        <v>170</v>
      </c>
      <c r="F13" s="52" t="s">
        <v>171</v>
      </c>
      <c r="G13" s="52"/>
      <c r="H13" s="52">
        <v>0.15</v>
      </c>
      <c r="I13" s="52">
        <v>0</v>
      </c>
      <c r="J13" s="173"/>
      <c r="K13" s="172"/>
    </row>
    <row r="14" spans="1:14" x14ac:dyDescent="0.15">
      <c r="A14" s="52">
        <v>6</v>
      </c>
      <c r="B14" s="52"/>
      <c r="C14" s="52"/>
      <c r="D14" s="52"/>
      <c r="E14" s="52" t="s">
        <v>170</v>
      </c>
      <c r="F14" s="52" t="s">
        <v>173</v>
      </c>
      <c r="G14" s="52"/>
      <c r="H14" s="52">
        <v>0.15</v>
      </c>
      <c r="I14" s="52">
        <v>0</v>
      </c>
      <c r="J14" s="173"/>
      <c r="K14" s="172"/>
    </row>
    <row r="15" spans="1:14" x14ac:dyDescent="0.15">
      <c r="A15" s="52">
        <v>7</v>
      </c>
      <c r="B15" s="52"/>
      <c r="C15" s="52"/>
      <c r="D15" s="52" t="s">
        <v>215</v>
      </c>
      <c r="E15" s="52" t="s">
        <v>170</v>
      </c>
      <c r="F15" s="52" t="s">
        <v>176</v>
      </c>
      <c r="G15" s="52"/>
      <c r="H15" s="52">
        <v>0.08</v>
      </c>
      <c r="I15" s="52"/>
      <c r="J15" s="173"/>
      <c r="K15" s="172"/>
    </row>
    <row r="16" spans="1:14" x14ac:dyDescent="0.15">
      <c r="A16" s="52">
        <v>8</v>
      </c>
      <c r="B16" s="52"/>
      <c r="C16" s="52"/>
      <c r="D16" s="52" t="s">
        <v>215</v>
      </c>
      <c r="E16" s="52" t="s">
        <v>170</v>
      </c>
      <c r="F16" s="52" t="s">
        <v>177</v>
      </c>
      <c r="G16" s="52"/>
      <c r="H16" s="52">
        <v>0.08</v>
      </c>
      <c r="I16" s="52"/>
      <c r="J16" s="173"/>
      <c r="K16" s="172"/>
      <c r="N16" s="26" t="s">
        <v>77</v>
      </c>
    </row>
    <row r="17" spans="1:14" x14ac:dyDescent="0.15">
      <c r="A17" s="52">
        <v>9</v>
      </c>
      <c r="B17" s="52"/>
      <c r="C17" s="52"/>
      <c r="D17" s="52" t="s">
        <v>216</v>
      </c>
      <c r="E17" s="52" t="s">
        <v>170</v>
      </c>
      <c r="F17" s="52" t="s">
        <v>178</v>
      </c>
      <c r="G17" s="52"/>
      <c r="H17" s="52">
        <v>0.05</v>
      </c>
      <c r="I17" s="52"/>
      <c r="J17" s="173"/>
      <c r="K17" s="172"/>
      <c r="N17" s="26" t="s">
        <v>217</v>
      </c>
    </row>
    <row r="18" spans="1:14" x14ac:dyDescent="0.15">
      <c r="A18" s="52">
        <v>10</v>
      </c>
      <c r="B18" s="52" t="s">
        <v>218</v>
      </c>
      <c r="C18" s="52"/>
      <c r="D18" s="52" t="s">
        <v>179</v>
      </c>
      <c r="E18" s="52"/>
      <c r="F18" s="52"/>
      <c r="G18" s="52">
        <v>2</v>
      </c>
      <c r="H18" s="52">
        <v>0.08</v>
      </c>
      <c r="I18" s="52">
        <f t="shared" ref="I18:I21" si="0">H18*G18</f>
        <v>0.16</v>
      </c>
      <c r="J18" s="173" t="s">
        <v>180</v>
      </c>
      <c r="K18" s="172"/>
    </row>
    <row r="19" spans="1:14" x14ac:dyDescent="0.15">
      <c r="A19" s="52">
        <v>11</v>
      </c>
      <c r="B19" s="55" t="s">
        <v>219</v>
      </c>
      <c r="C19" s="52"/>
      <c r="D19" s="52" t="s">
        <v>75</v>
      </c>
      <c r="E19" s="52"/>
      <c r="F19" s="52"/>
      <c r="G19" s="52">
        <v>4</v>
      </c>
      <c r="H19" s="52">
        <v>0.08</v>
      </c>
      <c r="I19" s="52">
        <f t="shared" si="0"/>
        <v>0.32</v>
      </c>
      <c r="J19" s="173"/>
      <c r="K19" s="172"/>
    </row>
    <row r="20" spans="1:14" x14ac:dyDescent="0.15">
      <c r="A20" s="52">
        <v>12</v>
      </c>
      <c r="B20" s="52" t="s">
        <v>220</v>
      </c>
      <c r="C20" s="52"/>
      <c r="D20" s="52" t="s">
        <v>221</v>
      </c>
      <c r="E20" s="52"/>
      <c r="F20" s="52"/>
      <c r="G20" s="52">
        <v>2</v>
      </c>
      <c r="H20" s="52">
        <v>0.08</v>
      </c>
      <c r="I20" s="52">
        <f t="shared" si="0"/>
        <v>0.16</v>
      </c>
      <c r="J20" s="173"/>
      <c r="K20" s="172"/>
    </row>
    <row r="21" spans="1:14" x14ac:dyDescent="0.15">
      <c r="A21" s="52">
        <v>13</v>
      </c>
      <c r="B21" s="52" t="s">
        <v>219</v>
      </c>
      <c r="C21" s="52"/>
      <c r="D21" s="52" t="s">
        <v>80</v>
      </c>
      <c r="E21" s="52"/>
      <c r="F21" s="52"/>
      <c r="G21" s="52">
        <v>1</v>
      </c>
      <c r="H21" s="52">
        <v>0.08</v>
      </c>
      <c r="I21" s="52">
        <f t="shared" si="0"/>
        <v>0.08</v>
      </c>
      <c r="J21" s="173"/>
      <c r="K21" s="172"/>
    </row>
    <row r="22" spans="1:14" x14ac:dyDescent="0.15">
      <c r="A22" s="52">
        <v>14</v>
      </c>
      <c r="B22" s="52"/>
      <c r="C22" s="52"/>
      <c r="D22" s="52" t="s">
        <v>183</v>
      </c>
      <c r="E22" s="52"/>
      <c r="F22" s="52"/>
      <c r="G22" s="52"/>
      <c r="H22" s="52">
        <v>0.08</v>
      </c>
      <c r="I22" s="52"/>
      <c r="J22" s="173"/>
      <c r="K22" s="172"/>
    </row>
    <row r="23" spans="1:14" x14ac:dyDescent="0.15">
      <c r="A23" s="52">
        <v>15</v>
      </c>
      <c r="B23" s="52"/>
      <c r="C23" s="52"/>
      <c r="D23" s="52" t="s">
        <v>184</v>
      </c>
      <c r="E23" s="52"/>
      <c r="F23" s="52"/>
      <c r="G23" s="52"/>
      <c r="H23" s="52">
        <v>0.08</v>
      </c>
      <c r="I23" s="52">
        <v>0</v>
      </c>
      <c r="J23" s="173"/>
      <c r="K23" s="172"/>
    </row>
    <row r="24" spans="1:14" x14ac:dyDescent="0.15">
      <c r="A24" s="52">
        <v>15</v>
      </c>
      <c r="B24" s="52"/>
      <c r="C24" s="52"/>
      <c r="D24" s="52" t="s">
        <v>175</v>
      </c>
      <c r="E24" s="52"/>
      <c r="F24" s="52"/>
      <c r="G24" s="52"/>
      <c r="H24" s="52">
        <v>0.08</v>
      </c>
      <c r="I24" s="52">
        <v>0</v>
      </c>
      <c r="J24" s="54"/>
      <c r="K24" s="56"/>
    </row>
    <row r="25" spans="1:14" x14ac:dyDescent="0.15">
      <c r="A25" s="52">
        <v>15</v>
      </c>
      <c r="B25" s="52"/>
      <c r="C25" s="52"/>
      <c r="D25" s="52" t="s">
        <v>185</v>
      </c>
      <c r="E25" s="52"/>
      <c r="F25" s="52"/>
      <c r="G25" s="52"/>
      <c r="H25" s="52">
        <v>0.08</v>
      </c>
      <c r="I25" s="52">
        <v>0</v>
      </c>
      <c r="J25" s="173"/>
      <c r="K25" s="172"/>
    </row>
    <row r="26" spans="1:14" x14ac:dyDescent="0.15">
      <c r="A26" s="52">
        <v>15</v>
      </c>
      <c r="B26" s="52"/>
      <c r="C26" s="52"/>
      <c r="D26" s="52" t="s">
        <v>186</v>
      </c>
      <c r="E26" s="52"/>
      <c r="F26" s="52"/>
      <c r="G26" s="52"/>
      <c r="H26" s="52">
        <v>0.08</v>
      </c>
      <c r="I26" s="52">
        <v>0</v>
      </c>
      <c r="J26" s="173"/>
      <c r="K26" s="172"/>
    </row>
    <row r="27" spans="1:14" x14ac:dyDescent="0.15">
      <c r="A27" s="52">
        <v>15</v>
      </c>
      <c r="B27" s="52"/>
      <c r="C27" s="52"/>
      <c r="D27" s="52" t="s">
        <v>187</v>
      </c>
      <c r="E27" s="52"/>
      <c r="F27" s="52"/>
      <c r="G27" s="52"/>
      <c r="H27" s="52"/>
      <c r="I27" s="52">
        <v>0.4</v>
      </c>
      <c r="J27" s="173" t="s">
        <v>188</v>
      </c>
      <c r="K27" s="172"/>
    </row>
    <row r="28" spans="1:14" x14ac:dyDescent="0.15">
      <c r="A28" s="52"/>
      <c r="B28" s="52"/>
      <c r="C28" s="52"/>
      <c r="D28" s="173" t="s">
        <v>222</v>
      </c>
      <c r="E28" s="171"/>
      <c r="F28" s="171"/>
      <c r="G28" s="171"/>
      <c r="H28" s="172"/>
      <c r="I28" s="52"/>
      <c r="J28" s="54"/>
      <c r="K28" s="56"/>
    </row>
    <row r="29" spans="1:14" x14ac:dyDescent="0.15">
      <c r="A29" s="173" t="s">
        <v>82</v>
      </c>
      <c r="B29" s="171"/>
      <c r="C29" s="171"/>
      <c r="D29" s="171"/>
      <c r="E29" s="171"/>
      <c r="F29" s="171"/>
      <c r="G29" s="171"/>
      <c r="H29" s="172"/>
      <c r="I29" s="52">
        <f>SUM(I18:I27)</f>
        <v>1.1200000000000001</v>
      </c>
      <c r="J29" s="52"/>
      <c r="K29" s="52"/>
    </row>
    <row r="30" spans="1:14" x14ac:dyDescent="0.15">
      <c r="A30" s="173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4" x14ac:dyDescent="0.15">
      <c r="A31" s="173" t="s">
        <v>83</v>
      </c>
      <c r="B31" s="171"/>
      <c r="C31" s="171"/>
      <c r="D31" s="171"/>
      <c r="E31" s="172"/>
      <c r="F31" s="173" t="s">
        <v>84</v>
      </c>
      <c r="G31" s="174"/>
      <c r="H31" s="52" t="s">
        <v>85</v>
      </c>
      <c r="I31" s="52" t="s">
        <v>86</v>
      </c>
      <c r="J31" s="52" t="s">
        <v>87</v>
      </c>
      <c r="K31" s="56" t="s">
        <v>6</v>
      </c>
    </row>
    <row r="32" spans="1:14" x14ac:dyDescent="0.15">
      <c r="A32" s="52" t="s">
        <v>0</v>
      </c>
      <c r="B32" s="52" t="s">
        <v>90</v>
      </c>
      <c r="C32" s="52" t="s">
        <v>91</v>
      </c>
      <c r="D32" s="52" t="s">
        <v>92</v>
      </c>
      <c r="E32" s="52" t="s">
        <v>72</v>
      </c>
      <c r="F32" s="173"/>
      <c r="G32" s="174"/>
      <c r="H32" s="52"/>
      <c r="I32" s="52"/>
      <c r="J32" s="66">
        <v>0</v>
      </c>
      <c r="K32" s="52"/>
      <c r="N32" s="26" t="s">
        <v>98</v>
      </c>
    </row>
    <row r="33" spans="1:17" x14ac:dyDescent="0.15">
      <c r="A33" s="57">
        <v>1</v>
      </c>
      <c r="B33" s="52" t="s">
        <v>150</v>
      </c>
      <c r="C33" s="52">
        <v>1</v>
      </c>
      <c r="D33" s="52">
        <v>2.15</v>
      </c>
      <c r="E33" s="52">
        <f t="shared" ref="E33:E39" si="1">D33*C33</f>
        <v>2.15</v>
      </c>
      <c r="F33" s="173" t="s">
        <v>223</v>
      </c>
      <c r="G33" s="172"/>
      <c r="H33" s="52">
        <v>6</v>
      </c>
      <c r="I33" s="52">
        <v>0.04</v>
      </c>
      <c r="J33" s="66">
        <f>I33*H33</f>
        <v>0.24</v>
      </c>
      <c r="K33" s="52"/>
      <c r="N33" s="26" t="s">
        <v>224</v>
      </c>
    </row>
    <row r="34" spans="1:17" x14ac:dyDescent="0.15">
      <c r="A34" s="57">
        <v>2</v>
      </c>
      <c r="B34" s="52" t="s">
        <v>225</v>
      </c>
      <c r="C34" s="52">
        <v>1</v>
      </c>
      <c r="D34" s="52">
        <v>1.28</v>
      </c>
      <c r="E34" s="52">
        <f t="shared" si="1"/>
        <v>1.28</v>
      </c>
      <c r="F34" s="173" t="s">
        <v>191</v>
      </c>
      <c r="G34" s="172"/>
      <c r="H34" s="52">
        <v>100</v>
      </c>
      <c r="I34" s="52">
        <v>0.04</v>
      </c>
      <c r="J34" s="66">
        <f>I34*H34</f>
        <v>4</v>
      </c>
      <c r="K34" s="52"/>
    </row>
    <row r="35" spans="1:17" x14ac:dyDescent="0.15">
      <c r="A35" s="57">
        <v>3</v>
      </c>
      <c r="B35" s="52" t="s">
        <v>226</v>
      </c>
      <c r="C35" s="52">
        <v>2</v>
      </c>
      <c r="D35" s="52">
        <v>0.72</v>
      </c>
      <c r="E35" s="52">
        <f t="shared" si="1"/>
        <v>1.44</v>
      </c>
      <c r="F35" s="173"/>
      <c r="G35" s="172"/>
      <c r="H35" s="52"/>
      <c r="I35" s="52">
        <v>0.05</v>
      </c>
      <c r="J35" s="66">
        <v>0</v>
      </c>
      <c r="K35" s="52"/>
    </row>
    <row r="36" spans="1:17" x14ac:dyDescent="0.15">
      <c r="A36" s="57">
        <v>4</v>
      </c>
      <c r="B36" s="52" t="s">
        <v>227</v>
      </c>
      <c r="C36" s="52">
        <v>1</v>
      </c>
      <c r="D36" s="52">
        <v>0.56000000000000005</v>
      </c>
      <c r="E36" s="52">
        <f t="shared" si="1"/>
        <v>0.56000000000000005</v>
      </c>
      <c r="F36" s="173"/>
      <c r="G36" s="172"/>
      <c r="H36" s="52"/>
      <c r="I36" s="52"/>
      <c r="J36" s="66"/>
      <c r="K36" s="52"/>
    </row>
    <row r="37" spans="1:17" x14ac:dyDescent="0.15">
      <c r="A37" s="57">
        <v>5</v>
      </c>
      <c r="B37" s="52" t="s">
        <v>228</v>
      </c>
      <c r="C37" s="52">
        <v>1</v>
      </c>
      <c r="D37" s="52">
        <v>2.25</v>
      </c>
      <c r="E37" s="52">
        <f t="shared" si="1"/>
        <v>2.25</v>
      </c>
      <c r="F37" s="173"/>
      <c r="G37" s="172"/>
      <c r="H37" s="52"/>
      <c r="I37" s="52"/>
      <c r="J37" s="66"/>
      <c r="K37" s="52"/>
    </row>
    <row r="38" spans="1:17" x14ac:dyDescent="0.15">
      <c r="A38" s="57">
        <v>6</v>
      </c>
      <c r="B38" s="52" t="s">
        <v>229</v>
      </c>
      <c r="C38" s="52">
        <v>2</v>
      </c>
      <c r="D38" s="52">
        <v>0.08</v>
      </c>
      <c r="E38" s="52">
        <f t="shared" si="1"/>
        <v>0.16</v>
      </c>
      <c r="F38" s="173" t="s">
        <v>82</v>
      </c>
      <c r="G38" s="172"/>
      <c r="H38" s="52"/>
      <c r="I38" s="52"/>
      <c r="J38" s="66">
        <f>SUM(J32:J37)</f>
        <v>4.24</v>
      </c>
      <c r="K38" s="52"/>
      <c r="N38" s="35" t="s">
        <v>111</v>
      </c>
      <c r="O38" s="35" t="s">
        <v>112</v>
      </c>
      <c r="P38" s="35" t="s">
        <v>113</v>
      </c>
    </row>
    <row r="39" spans="1:17" ht="15.75" x14ac:dyDescent="0.15">
      <c r="A39" s="57">
        <v>7</v>
      </c>
      <c r="B39" s="52" t="s">
        <v>199</v>
      </c>
      <c r="C39" s="52">
        <v>2</v>
      </c>
      <c r="D39" s="52">
        <v>0.57999999999999996</v>
      </c>
      <c r="E39" s="52">
        <f t="shared" si="1"/>
        <v>1.1599999999999999</v>
      </c>
      <c r="F39" s="173" t="s">
        <v>119</v>
      </c>
      <c r="G39" s="172"/>
      <c r="H39" s="58" t="s">
        <v>121</v>
      </c>
      <c r="I39" s="52" t="s">
        <v>230</v>
      </c>
      <c r="J39" s="63" t="s">
        <v>87</v>
      </c>
      <c r="K39" s="52" t="s">
        <v>6</v>
      </c>
      <c r="N39" s="35" t="s">
        <v>115</v>
      </c>
      <c r="O39" s="35" t="s">
        <v>116</v>
      </c>
      <c r="P39" s="35" t="s">
        <v>117</v>
      </c>
    </row>
    <row r="40" spans="1:17" ht="14.25" x14ac:dyDescent="0.15">
      <c r="A40" s="57">
        <v>8</v>
      </c>
      <c r="B40" s="52"/>
      <c r="C40" s="52"/>
      <c r="D40" s="52"/>
      <c r="E40" s="52">
        <v>0</v>
      </c>
      <c r="F40" s="173" t="s">
        <v>124</v>
      </c>
      <c r="G40" s="172"/>
      <c r="H40" s="59"/>
      <c r="I40" s="52">
        <v>10</v>
      </c>
      <c r="J40" s="52">
        <v>0</v>
      </c>
      <c r="K40" s="52"/>
    </row>
    <row r="41" spans="1:17" ht="14.25" x14ac:dyDescent="0.15">
      <c r="A41" s="57">
        <v>9</v>
      </c>
      <c r="B41" s="52"/>
      <c r="C41" s="52"/>
      <c r="D41" s="52"/>
      <c r="E41" s="52">
        <v>0</v>
      </c>
      <c r="F41" s="173" t="s">
        <v>126</v>
      </c>
      <c r="G41" s="172"/>
      <c r="H41" s="59">
        <v>0.3</v>
      </c>
      <c r="I41" s="67">
        <v>12</v>
      </c>
      <c r="J41" s="52">
        <f>I41*H41</f>
        <v>3.5999999999999996</v>
      </c>
      <c r="K41" s="52"/>
    </row>
    <row r="42" spans="1:17" x14ac:dyDescent="0.15">
      <c r="A42" s="163" t="s">
        <v>82</v>
      </c>
      <c r="B42" s="171"/>
      <c r="C42" s="171"/>
      <c r="D42" s="172"/>
      <c r="E42" s="60">
        <f>SUM(E33:E41)</f>
        <v>9</v>
      </c>
      <c r="F42" s="61"/>
      <c r="G42" s="61"/>
      <c r="H42" s="61"/>
      <c r="I42" s="61"/>
      <c r="J42" s="61"/>
      <c r="K42" s="61"/>
      <c r="N42" s="26" t="s">
        <v>122</v>
      </c>
      <c r="O42" s="26" t="s">
        <v>123</v>
      </c>
      <c r="P42" s="26" t="s">
        <v>82</v>
      </c>
    </row>
    <row r="43" spans="1:17" x14ac:dyDescent="0.15">
      <c r="A43" s="163" t="s">
        <v>127</v>
      </c>
      <c r="B43" s="164"/>
      <c r="C43" s="62" t="s">
        <v>108</v>
      </c>
      <c r="D43" s="61"/>
      <c r="E43" s="63" t="s">
        <v>128</v>
      </c>
      <c r="F43" s="168">
        <f>SUM(C44:C48)</f>
        <v>29.018000000000001</v>
      </c>
      <c r="G43" s="169"/>
      <c r="H43" s="169"/>
      <c r="I43" s="169"/>
      <c r="J43" s="169"/>
      <c r="K43" s="170"/>
      <c r="N43" s="26">
        <v>2.2000000000000002</v>
      </c>
      <c r="O43" s="26">
        <v>1.4</v>
      </c>
      <c r="P43" s="26">
        <f>N43*O43</f>
        <v>3.08</v>
      </c>
    </row>
    <row r="44" spans="1:17" x14ac:dyDescent="0.15">
      <c r="A44" s="163" t="s">
        <v>131</v>
      </c>
      <c r="B44" s="164"/>
      <c r="C44" s="64">
        <f>K7</f>
        <v>11.058</v>
      </c>
      <c r="D44" s="61"/>
      <c r="E44" s="65" t="s">
        <v>132</v>
      </c>
      <c r="F44" s="168">
        <f>F43*0.06</f>
        <v>1.74108</v>
      </c>
      <c r="G44" s="169"/>
      <c r="H44" s="169"/>
      <c r="I44" s="169"/>
      <c r="J44" s="169"/>
      <c r="K44" s="170"/>
    </row>
    <row r="45" spans="1:17" x14ac:dyDescent="0.15">
      <c r="A45" s="163" t="s">
        <v>133</v>
      </c>
      <c r="B45" s="164"/>
      <c r="C45" s="64">
        <f>I29</f>
        <v>1.1200000000000001</v>
      </c>
      <c r="D45" s="61"/>
      <c r="E45" s="65" t="s">
        <v>134</v>
      </c>
      <c r="F45" s="168">
        <f>F43*0.04</f>
        <v>1.16072</v>
      </c>
      <c r="G45" s="169"/>
      <c r="H45" s="169"/>
      <c r="I45" s="169"/>
      <c r="J45" s="169"/>
      <c r="K45" s="170"/>
    </row>
    <row r="46" spans="1:17" x14ac:dyDescent="0.15">
      <c r="A46" s="163" t="s">
        <v>135</v>
      </c>
      <c r="B46" s="164"/>
      <c r="C46" s="64">
        <f>E42</f>
        <v>9</v>
      </c>
      <c r="D46" s="61"/>
      <c r="E46" s="65" t="s">
        <v>136</v>
      </c>
      <c r="F46" s="168">
        <v>1.5</v>
      </c>
      <c r="G46" s="169"/>
      <c r="H46" s="169"/>
      <c r="I46" s="169"/>
      <c r="J46" s="169"/>
      <c r="K46" s="170"/>
      <c r="N46" s="26" t="s">
        <v>129</v>
      </c>
      <c r="O46" s="26" t="s">
        <v>130</v>
      </c>
      <c r="P46" s="26" t="s">
        <v>82</v>
      </c>
    </row>
    <row r="47" spans="1:17" x14ac:dyDescent="0.15">
      <c r="A47" s="163" t="s">
        <v>138</v>
      </c>
      <c r="B47" s="164"/>
      <c r="C47" s="64">
        <f>J38</f>
        <v>4.24</v>
      </c>
      <c r="D47" s="61"/>
      <c r="E47" s="65" t="s">
        <v>5</v>
      </c>
      <c r="F47" s="168"/>
      <c r="G47" s="169"/>
      <c r="H47" s="169"/>
      <c r="I47" s="169"/>
      <c r="J47" s="169"/>
      <c r="K47" s="170"/>
      <c r="N47" s="26">
        <v>26.42</v>
      </c>
      <c r="O47" s="26">
        <v>3.08</v>
      </c>
      <c r="P47" s="44">
        <f>N47+O47</f>
        <v>29.5</v>
      </c>
      <c r="Q47" t="s">
        <v>152</v>
      </c>
    </row>
    <row r="48" spans="1:17" x14ac:dyDescent="0.15">
      <c r="A48" s="163" t="s">
        <v>119</v>
      </c>
      <c r="B48" s="164"/>
      <c r="C48" s="64">
        <f>J41</f>
        <v>3.5999999999999996</v>
      </c>
      <c r="D48" s="61"/>
      <c r="E48" s="65" t="s">
        <v>139</v>
      </c>
      <c r="F48" s="165">
        <f>SUM(F43:K47)</f>
        <v>33.419800000000002</v>
      </c>
      <c r="G48" s="166"/>
      <c r="H48" s="166"/>
      <c r="I48" s="166"/>
      <c r="J48" s="166"/>
      <c r="K48" s="167"/>
    </row>
    <row r="50" spans="9:10" x14ac:dyDescent="0.15">
      <c r="I50" t="s">
        <v>152</v>
      </c>
      <c r="J50" s="68">
        <v>29.69</v>
      </c>
    </row>
  </sheetData>
  <mergeCells count="53">
    <mergeCell ref="A1:K1"/>
    <mergeCell ref="A2:B2"/>
    <mergeCell ref="C2:E2"/>
    <mergeCell ref="H2:I2"/>
    <mergeCell ref="J2:K2"/>
    <mergeCell ref="A7:J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J26:K26"/>
    <mergeCell ref="J27:K27"/>
    <mergeCell ref="D28:H28"/>
    <mergeCell ref="A29:H29"/>
    <mergeCell ref="A30:K30"/>
    <mergeCell ref="A31:E3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A42:D42"/>
    <mergeCell ref="A43:B43"/>
    <mergeCell ref="F43:K43"/>
    <mergeCell ref="A44:B44"/>
    <mergeCell ref="F44:K44"/>
    <mergeCell ref="A48:B48"/>
    <mergeCell ref="F48:K48"/>
    <mergeCell ref="A45:B45"/>
    <mergeCell ref="F45:K45"/>
    <mergeCell ref="A46:B46"/>
    <mergeCell ref="F46:K46"/>
    <mergeCell ref="A47:B47"/>
    <mergeCell ref="F47:K47"/>
  </mergeCells>
  <phoneticPr fontId="2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5"/>
  <sheetViews>
    <sheetView workbookViewId="0">
      <selection sqref="A1:K1"/>
    </sheetView>
  </sheetViews>
  <sheetFormatPr defaultColWidth="9" defaultRowHeight="13.5" x14ac:dyDescent="0.15"/>
  <cols>
    <col min="1" max="1" width="4.625" customWidth="1"/>
    <col min="2" max="2" width="11.375" customWidth="1"/>
    <col min="3" max="3" width="13" customWidth="1"/>
    <col min="4" max="4" width="7.625" customWidth="1"/>
    <col min="5" max="5" width="6.125" customWidth="1"/>
    <col min="6" max="6" width="6.375" customWidth="1"/>
    <col min="7" max="8" width="6.25" customWidth="1"/>
    <col min="9" max="9" width="6.5" customWidth="1"/>
    <col min="10" max="10" width="7.375" customWidth="1"/>
    <col min="11" max="11" width="11.875" customWidth="1"/>
    <col min="14" max="14" width="11.125" customWidth="1"/>
    <col min="15" max="15" width="10" customWidth="1"/>
  </cols>
  <sheetData>
    <row r="1" spans="1:11" ht="39" customHeight="1" x14ac:dyDescent="0.15">
      <c r="A1" s="162" t="s">
        <v>231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8" customHeight="1" x14ac:dyDescent="0.15">
      <c r="A2" s="83" t="s">
        <v>0</v>
      </c>
      <c r="B2" s="83" t="s">
        <v>52</v>
      </c>
      <c r="C2" s="83" t="s">
        <v>53</v>
      </c>
      <c r="D2" s="83" t="s">
        <v>54</v>
      </c>
      <c r="E2" s="83" t="s">
        <v>55</v>
      </c>
      <c r="F2" s="83" t="s">
        <v>56</v>
      </c>
      <c r="G2" s="83" t="s">
        <v>57</v>
      </c>
      <c r="H2" s="83" t="s">
        <v>58</v>
      </c>
      <c r="I2" s="83" t="s">
        <v>59</v>
      </c>
      <c r="J2" s="83" t="s">
        <v>60</v>
      </c>
      <c r="K2" s="83" t="s">
        <v>61</v>
      </c>
    </row>
    <row r="3" spans="1:11" ht="12.75" customHeight="1" x14ac:dyDescent="0.15">
      <c r="A3" s="83">
        <v>1</v>
      </c>
      <c r="B3" s="46" t="s">
        <v>232</v>
      </c>
      <c r="C3" s="47" t="s">
        <v>233</v>
      </c>
      <c r="D3" s="83" t="s">
        <v>213</v>
      </c>
      <c r="E3" s="23">
        <v>6.07</v>
      </c>
      <c r="F3" s="23">
        <v>0.69</v>
      </c>
      <c r="G3" s="23">
        <f>E3*F3</f>
        <v>4.1882999999999999</v>
      </c>
      <c r="H3" s="118">
        <v>0.69</v>
      </c>
      <c r="I3" s="23">
        <f>F3-H3</f>
        <v>0</v>
      </c>
      <c r="J3" s="23">
        <f>I3*1.1</f>
        <v>0</v>
      </c>
      <c r="K3" s="23">
        <f>G3-J3</f>
        <v>4.1882999999999999</v>
      </c>
    </row>
    <row r="4" spans="1:11" ht="12.75" customHeight="1" x14ac:dyDescent="0.15">
      <c r="A4" s="83">
        <v>2</v>
      </c>
      <c r="B4" s="46" t="s">
        <v>234</v>
      </c>
      <c r="C4" s="47" t="s">
        <v>235</v>
      </c>
      <c r="D4" s="83" t="s">
        <v>213</v>
      </c>
      <c r="E4" s="23">
        <v>6.07</v>
      </c>
      <c r="F4" s="23">
        <v>0.54</v>
      </c>
      <c r="G4" s="23">
        <f t="shared" ref="G4:G9" si="0">E4*F4</f>
        <v>3.2778000000000005</v>
      </c>
      <c r="H4" s="118">
        <v>0.54</v>
      </c>
      <c r="I4" s="23">
        <f t="shared" ref="I4:I9" si="1">F4-H4</f>
        <v>0</v>
      </c>
      <c r="J4" s="23">
        <f t="shared" ref="J4:J9" si="2">I4*1.1</f>
        <v>0</v>
      </c>
      <c r="K4" s="23">
        <f t="shared" ref="K4:K9" si="3">G4-J4</f>
        <v>3.2778000000000005</v>
      </c>
    </row>
    <row r="5" spans="1:11" ht="12.75" customHeight="1" x14ac:dyDescent="0.15">
      <c r="A5" s="83">
        <v>3</v>
      </c>
      <c r="B5" s="46" t="s">
        <v>236</v>
      </c>
      <c r="C5" s="47" t="s">
        <v>237</v>
      </c>
      <c r="D5" s="83" t="s">
        <v>213</v>
      </c>
      <c r="E5" s="23">
        <v>6.07</v>
      </c>
      <c r="F5" s="23">
        <v>0.44</v>
      </c>
      <c r="G5" s="23">
        <f t="shared" si="0"/>
        <v>2.6708000000000003</v>
      </c>
      <c r="H5" s="118">
        <v>0.44</v>
      </c>
      <c r="I5" s="23">
        <f t="shared" si="1"/>
        <v>0</v>
      </c>
      <c r="J5" s="23">
        <f t="shared" si="2"/>
        <v>0</v>
      </c>
      <c r="K5" s="23">
        <f t="shared" si="3"/>
        <v>2.6708000000000003</v>
      </c>
    </row>
    <row r="6" spans="1:11" ht="12.75" customHeight="1" x14ac:dyDescent="0.15">
      <c r="A6" s="83">
        <v>4</v>
      </c>
      <c r="B6" s="46" t="s">
        <v>238</v>
      </c>
      <c r="C6" s="47" t="s">
        <v>239</v>
      </c>
      <c r="D6" s="83" t="s">
        <v>213</v>
      </c>
      <c r="E6" s="23">
        <v>6.07</v>
      </c>
      <c r="F6" s="23">
        <v>0.51</v>
      </c>
      <c r="G6" s="23">
        <f t="shared" si="0"/>
        <v>3.0957000000000003</v>
      </c>
      <c r="H6" s="118">
        <v>0.51</v>
      </c>
      <c r="I6" s="23">
        <f t="shared" si="1"/>
        <v>0</v>
      </c>
      <c r="J6" s="23">
        <f t="shared" si="2"/>
        <v>0</v>
      </c>
      <c r="K6" s="23">
        <f t="shared" si="3"/>
        <v>3.0957000000000003</v>
      </c>
    </row>
    <row r="7" spans="1:11" ht="12.75" customHeight="1" x14ac:dyDescent="0.15">
      <c r="A7" s="83">
        <v>5</v>
      </c>
      <c r="B7" s="46" t="s">
        <v>240</v>
      </c>
      <c r="C7" s="47" t="s">
        <v>241</v>
      </c>
      <c r="D7" s="83" t="s">
        <v>213</v>
      </c>
      <c r="E7" s="23">
        <v>6.07</v>
      </c>
      <c r="F7" s="23">
        <v>0.34</v>
      </c>
      <c r="G7" s="23">
        <f t="shared" si="0"/>
        <v>2.0638000000000001</v>
      </c>
      <c r="H7" s="118">
        <v>0.34</v>
      </c>
      <c r="I7" s="23">
        <f t="shared" si="1"/>
        <v>0</v>
      </c>
      <c r="J7" s="23">
        <f t="shared" si="2"/>
        <v>0</v>
      </c>
      <c r="K7" s="23">
        <f t="shared" si="3"/>
        <v>2.0638000000000001</v>
      </c>
    </row>
    <row r="8" spans="1:11" ht="12.75" customHeight="1" x14ac:dyDescent="0.15">
      <c r="A8" s="83">
        <v>6</v>
      </c>
      <c r="B8" s="46" t="s">
        <v>242</v>
      </c>
      <c r="C8" s="47" t="s">
        <v>235</v>
      </c>
      <c r="D8" s="83" t="s">
        <v>213</v>
      </c>
      <c r="E8" s="23">
        <v>6.07</v>
      </c>
      <c r="F8" s="83">
        <v>0.54</v>
      </c>
      <c r="G8" s="23">
        <f t="shared" si="0"/>
        <v>3.2778000000000005</v>
      </c>
      <c r="H8" s="117">
        <v>0.54</v>
      </c>
      <c r="I8" s="23">
        <f t="shared" si="1"/>
        <v>0</v>
      </c>
      <c r="J8" s="23">
        <f t="shared" si="2"/>
        <v>0</v>
      </c>
      <c r="K8" s="23">
        <f t="shared" si="3"/>
        <v>3.2778000000000005</v>
      </c>
    </row>
    <row r="9" spans="1:11" ht="12.75" customHeight="1" x14ac:dyDescent="0.15">
      <c r="A9" s="83">
        <v>7</v>
      </c>
      <c r="B9" s="83" t="s">
        <v>243</v>
      </c>
      <c r="C9" s="83" t="s">
        <v>244</v>
      </c>
      <c r="D9" s="83" t="s">
        <v>213</v>
      </c>
      <c r="E9" s="23">
        <v>6.07</v>
      </c>
      <c r="F9" s="83">
        <v>0.5</v>
      </c>
      <c r="G9" s="23">
        <f t="shared" si="0"/>
        <v>3.0350000000000001</v>
      </c>
      <c r="H9" s="117">
        <v>0.5</v>
      </c>
      <c r="I9" s="23">
        <f t="shared" si="1"/>
        <v>0</v>
      </c>
      <c r="J9" s="23">
        <f t="shared" si="2"/>
        <v>0</v>
      </c>
      <c r="K9" s="23">
        <f t="shared" si="3"/>
        <v>3.0350000000000001</v>
      </c>
    </row>
    <row r="10" spans="1:11" ht="12.75" customHeight="1" x14ac:dyDescent="0.15">
      <c r="A10" s="83">
        <v>8</v>
      </c>
      <c r="B10" s="83"/>
      <c r="C10" s="83"/>
      <c r="D10" s="83"/>
      <c r="E10" s="83"/>
      <c r="F10" s="83"/>
      <c r="G10" s="23"/>
      <c r="H10" s="83"/>
      <c r="I10" s="23"/>
      <c r="J10" s="23"/>
      <c r="K10" s="23"/>
    </row>
    <row r="11" spans="1:11" ht="12.75" customHeight="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SUM(K3:K10)</f>
        <v>21.609200000000001</v>
      </c>
    </row>
    <row r="12" spans="1:11" ht="12.75" customHeight="1" x14ac:dyDescent="0.15">
      <c r="A12" s="83" t="s">
        <v>0</v>
      </c>
      <c r="B12" s="83" t="s">
        <v>52</v>
      </c>
      <c r="C12" s="83" t="s">
        <v>53</v>
      </c>
      <c r="D12" s="83" t="s">
        <v>67</v>
      </c>
      <c r="E12" s="83" t="s">
        <v>68</v>
      </c>
      <c r="F12" s="83" t="s">
        <v>69</v>
      </c>
      <c r="G12" s="83" t="s">
        <v>70</v>
      </c>
      <c r="H12" s="83" t="s">
        <v>71</v>
      </c>
      <c r="I12" s="83" t="s">
        <v>72</v>
      </c>
      <c r="J12" s="149" t="s">
        <v>6</v>
      </c>
      <c r="K12" s="150"/>
    </row>
    <row r="13" spans="1:11" ht="12.75" customHeight="1" x14ac:dyDescent="0.15">
      <c r="A13" s="83">
        <v>1</v>
      </c>
      <c r="B13" s="83"/>
      <c r="C13" s="83"/>
      <c r="D13" s="83"/>
      <c r="E13" s="83" t="s">
        <v>160</v>
      </c>
      <c r="F13" s="83" t="s">
        <v>161</v>
      </c>
      <c r="G13" s="83"/>
      <c r="H13" s="83" t="s">
        <v>162</v>
      </c>
      <c r="I13" s="83"/>
      <c r="J13" s="149"/>
      <c r="K13" s="150"/>
    </row>
    <row r="14" spans="1:11" ht="12.75" customHeight="1" x14ac:dyDescent="0.15">
      <c r="A14" s="83">
        <v>2</v>
      </c>
      <c r="B14" s="83"/>
      <c r="C14" s="83"/>
      <c r="D14" s="83"/>
      <c r="E14" s="83" t="s">
        <v>160</v>
      </c>
      <c r="F14" s="83" t="s">
        <v>164</v>
      </c>
      <c r="G14" s="83"/>
      <c r="H14" s="83" t="s">
        <v>165</v>
      </c>
      <c r="I14" s="83"/>
      <c r="J14" s="149"/>
      <c r="K14" s="150"/>
    </row>
    <row r="15" spans="1:11" ht="12.75" customHeight="1" x14ac:dyDescent="0.15">
      <c r="A15" s="83">
        <v>3</v>
      </c>
      <c r="B15" s="83"/>
      <c r="C15" s="83"/>
      <c r="D15" s="83"/>
      <c r="E15" s="83" t="s">
        <v>166</v>
      </c>
      <c r="F15" s="83" t="s">
        <v>167</v>
      </c>
      <c r="G15" s="83"/>
      <c r="H15" s="83">
        <v>0.5</v>
      </c>
      <c r="I15" s="83">
        <f>G15*H15</f>
        <v>0</v>
      </c>
      <c r="J15" s="149"/>
      <c r="K15" s="150"/>
    </row>
    <row r="16" spans="1:11" ht="12.75" customHeight="1" x14ac:dyDescent="0.15">
      <c r="A16" s="83">
        <v>4</v>
      </c>
      <c r="B16" s="83"/>
      <c r="C16" s="83"/>
      <c r="D16" s="83"/>
      <c r="E16" s="83" t="s">
        <v>166</v>
      </c>
      <c r="F16" s="83" t="s">
        <v>168</v>
      </c>
      <c r="G16" s="83"/>
      <c r="H16" s="83">
        <v>0.3</v>
      </c>
      <c r="I16" s="83">
        <f t="shared" ref="I16:I30" si="4">G16*H16</f>
        <v>0</v>
      </c>
      <c r="J16" s="149"/>
      <c r="K16" s="150"/>
    </row>
    <row r="17" spans="1:11" ht="12.75" customHeight="1" x14ac:dyDescent="0.15">
      <c r="A17" s="83">
        <v>5</v>
      </c>
      <c r="B17" s="83"/>
      <c r="C17" s="83"/>
      <c r="D17" s="83"/>
      <c r="E17" s="83" t="s">
        <v>170</v>
      </c>
      <c r="F17" s="83" t="s">
        <v>171</v>
      </c>
      <c r="G17" s="83"/>
      <c r="H17" s="83">
        <v>0.15</v>
      </c>
      <c r="I17" s="83">
        <f t="shared" si="4"/>
        <v>0</v>
      </c>
      <c r="J17" s="149"/>
      <c r="K17" s="150"/>
    </row>
    <row r="18" spans="1:11" ht="12.75" customHeight="1" x14ac:dyDescent="0.15">
      <c r="A18" s="83">
        <v>6</v>
      </c>
      <c r="B18" s="83"/>
      <c r="C18" s="83"/>
      <c r="D18" s="83"/>
      <c r="E18" s="83" t="s">
        <v>170</v>
      </c>
      <c r="F18" s="83" t="s">
        <v>173</v>
      </c>
      <c r="G18" s="83"/>
      <c r="H18" s="83">
        <v>0.15</v>
      </c>
      <c r="I18" s="83">
        <f t="shared" si="4"/>
        <v>0</v>
      </c>
      <c r="J18" s="149"/>
      <c r="K18" s="150"/>
    </row>
    <row r="19" spans="1:11" ht="12.75" customHeight="1" x14ac:dyDescent="0.15">
      <c r="A19" s="83">
        <v>7</v>
      </c>
      <c r="B19" s="83"/>
      <c r="C19" s="83"/>
      <c r="D19" s="83" t="s">
        <v>245</v>
      </c>
      <c r="E19" s="83" t="s">
        <v>170</v>
      </c>
      <c r="F19" s="83" t="s">
        <v>176</v>
      </c>
      <c r="G19" s="83"/>
      <c r="H19" s="83">
        <v>0.08</v>
      </c>
      <c r="I19" s="83">
        <f t="shared" si="4"/>
        <v>0</v>
      </c>
      <c r="J19" s="149"/>
      <c r="K19" s="150"/>
    </row>
    <row r="20" spans="1:11" ht="12.75" customHeight="1" x14ac:dyDescent="0.15">
      <c r="A20" s="83">
        <v>8</v>
      </c>
      <c r="B20" s="83"/>
      <c r="C20" s="83"/>
      <c r="D20" s="83" t="s">
        <v>246</v>
      </c>
      <c r="E20" s="83" t="s">
        <v>170</v>
      </c>
      <c r="F20" s="83" t="s">
        <v>177</v>
      </c>
      <c r="G20" s="83"/>
      <c r="H20" s="83">
        <v>0.08</v>
      </c>
      <c r="I20" s="83">
        <f t="shared" si="4"/>
        <v>0</v>
      </c>
      <c r="J20" s="149"/>
      <c r="K20" s="150"/>
    </row>
    <row r="21" spans="1:11" ht="12.75" customHeight="1" x14ac:dyDescent="0.15">
      <c r="A21" s="83">
        <v>9</v>
      </c>
      <c r="B21" s="83"/>
      <c r="C21" s="83"/>
      <c r="D21" s="83" t="s">
        <v>247</v>
      </c>
      <c r="E21" s="83" t="s">
        <v>170</v>
      </c>
      <c r="F21" s="83" t="s">
        <v>178</v>
      </c>
      <c r="G21" s="83"/>
      <c r="H21" s="83">
        <v>0.05</v>
      </c>
      <c r="I21" s="83">
        <f t="shared" si="4"/>
        <v>0</v>
      </c>
      <c r="J21" s="149"/>
      <c r="K21" s="150"/>
    </row>
    <row r="22" spans="1:11" ht="12.75" customHeight="1" x14ac:dyDescent="0.15">
      <c r="A22" s="83">
        <v>10</v>
      </c>
      <c r="B22" s="83" t="s">
        <v>248</v>
      </c>
      <c r="C22" s="83"/>
      <c r="D22" s="83" t="s">
        <v>179</v>
      </c>
      <c r="E22" s="83"/>
      <c r="F22" s="83"/>
      <c r="G22" s="83">
        <v>7</v>
      </c>
      <c r="H22" s="83">
        <v>0.05</v>
      </c>
      <c r="I22" s="117">
        <f t="shared" si="4"/>
        <v>0.35000000000000003</v>
      </c>
      <c r="J22" s="149" t="s">
        <v>180</v>
      </c>
      <c r="K22" s="150"/>
    </row>
    <row r="23" spans="1:11" ht="12.75" customHeight="1" x14ac:dyDescent="0.15">
      <c r="A23" s="83">
        <v>11</v>
      </c>
      <c r="B23" s="49"/>
      <c r="C23" s="83"/>
      <c r="D23" s="83" t="s">
        <v>75</v>
      </c>
      <c r="E23" s="83"/>
      <c r="F23" s="83"/>
      <c r="G23" s="83"/>
      <c r="H23" s="83">
        <v>0.08</v>
      </c>
      <c r="I23" s="83">
        <f t="shared" si="4"/>
        <v>0</v>
      </c>
      <c r="J23" s="149"/>
      <c r="K23" s="150"/>
    </row>
    <row r="24" spans="1:11" ht="12.75" customHeight="1" x14ac:dyDescent="0.15">
      <c r="A24" s="83">
        <v>12</v>
      </c>
      <c r="B24" s="83"/>
      <c r="C24" s="83"/>
      <c r="D24" s="83" t="s">
        <v>221</v>
      </c>
      <c r="E24" s="83"/>
      <c r="F24" s="83"/>
      <c r="G24" s="83"/>
      <c r="H24" s="83">
        <v>0.08</v>
      </c>
      <c r="I24" s="83">
        <f t="shared" si="4"/>
        <v>0</v>
      </c>
      <c r="J24" s="149"/>
      <c r="K24" s="150"/>
    </row>
    <row r="25" spans="1:11" ht="12.75" customHeight="1" x14ac:dyDescent="0.15">
      <c r="A25" s="83">
        <v>13</v>
      </c>
      <c r="B25" s="83"/>
      <c r="C25" s="83"/>
      <c r="D25" s="83" t="s">
        <v>182</v>
      </c>
      <c r="E25" s="83"/>
      <c r="F25" s="83"/>
      <c r="G25" s="83"/>
      <c r="H25" s="83">
        <v>0.08</v>
      </c>
      <c r="I25" s="83">
        <f t="shared" si="4"/>
        <v>0</v>
      </c>
      <c r="J25" s="149"/>
      <c r="K25" s="150"/>
    </row>
    <row r="26" spans="1:11" ht="12.75" customHeight="1" x14ac:dyDescent="0.15">
      <c r="A26" s="83">
        <v>14</v>
      </c>
      <c r="B26" s="83"/>
      <c r="C26" s="83"/>
      <c r="D26" s="83" t="s">
        <v>183</v>
      </c>
      <c r="E26" s="83"/>
      <c r="F26" s="83"/>
      <c r="G26" s="83"/>
      <c r="H26" s="83">
        <v>0.08</v>
      </c>
      <c r="I26" s="83">
        <f t="shared" si="4"/>
        <v>0</v>
      </c>
      <c r="J26" s="149"/>
      <c r="K26" s="150"/>
    </row>
    <row r="27" spans="1:11" ht="12.75" customHeight="1" x14ac:dyDescent="0.15">
      <c r="A27" s="83">
        <v>15</v>
      </c>
      <c r="B27" s="83"/>
      <c r="C27" s="83"/>
      <c r="D27" s="83" t="s">
        <v>184</v>
      </c>
      <c r="E27" s="83"/>
      <c r="F27" s="83"/>
      <c r="G27" s="83"/>
      <c r="H27" s="83">
        <v>0.08</v>
      </c>
      <c r="I27" s="83">
        <f t="shared" si="4"/>
        <v>0</v>
      </c>
      <c r="J27" s="149"/>
      <c r="K27" s="150"/>
    </row>
    <row r="28" spans="1:11" ht="12.75" customHeight="1" x14ac:dyDescent="0.15">
      <c r="A28" s="83">
        <v>16</v>
      </c>
      <c r="B28" s="83" t="s">
        <v>249</v>
      </c>
      <c r="C28" s="83"/>
      <c r="D28" s="83" t="s">
        <v>175</v>
      </c>
      <c r="E28" s="83"/>
      <c r="F28" s="83"/>
      <c r="G28" s="83">
        <v>8</v>
      </c>
      <c r="H28" s="116">
        <v>0.04</v>
      </c>
      <c r="I28" s="117">
        <f t="shared" si="4"/>
        <v>0.32</v>
      </c>
      <c r="J28" s="81"/>
      <c r="K28" s="82"/>
    </row>
    <row r="29" spans="1:11" ht="12.75" customHeight="1" x14ac:dyDescent="0.15">
      <c r="A29" s="83">
        <v>17</v>
      </c>
      <c r="B29" s="83" t="s">
        <v>249</v>
      </c>
      <c r="C29" s="83"/>
      <c r="D29" s="83" t="s">
        <v>185</v>
      </c>
      <c r="E29" s="83"/>
      <c r="F29" s="83"/>
      <c r="G29" s="83">
        <v>8</v>
      </c>
      <c r="H29" s="83">
        <v>0.05</v>
      </c>
      <c r="I29" s="117">
        <f t="shared" si="4"/>
        <v>0.4</v>
      </c>
      <c r="J29" s="149"/>
      <c r="K29" s="150"/>
    </row>
    <row r="30" spans="1:11" ht="12.75" customHeight="1" x14ac:dyDescent="0.15">
      <c r="A30" s="83">
        <v>18</v>
      </c>
      <c r="B30" s="83" t="s">
        <v>249</v>
      </c>
      <c r="C30" s="83"/>
      <c r="D30" s="83" t="s">
        <v>186</v>
      </c>
      <c r="E30" s="83"/>
      <c r="F30" s="83"/>
      <c r="G30" s="83">
        <v>8</v>
      </c>
      <c r="H30" s="83">
        <v>0.04</v>
      </c>
      <c r="I30" s="117">
        <f t="shared" si="4"/>
        <v>0.32</v>
      </c>
      <c r="J30" s="149"/>
      <c r="K30" s="150"/>
    </row>
    <row r="31" spans="1:11" ht="12.75" customHeight="1" x14ac:dyDescent="0.15">
      <c r="A31" s="83">
        <v>19</v>
      </c>
      <c r="B31" s="83"/>
      <c r="C31" s="83"/>
      <c r="D31" s="83" t="s">
        <v>187</v>
      </c>
      <c r="E31" s="83"/>
      <c r="F31" s="83"/>
      <c r="G31" s="83"/>
      <c r="H31" s="83"/>
      <c r="I31" s="117">
        <v>0.2</v>
      </c>
      <c r="J31" s="149" t="s">
        <v>188</v>
      </c>
      <c r="K31" s="150"/>
    </row>
    <row r="32" spans="1:11" ht="12.75" customHeight="1" x14ac:dyDescent="0.15">
      <c r="A32" s="83"/>
      <c r="B32" s="83"/>
      <c r="C32" s="83"/>
      <c r="D32" s="149" t="s">
        <v>250</v>
      </c>
      <c r="E32" s="153"/>
      <c r="F32" s="153"/>
      <c r="G32" s="153"/>
      <c r="H32" s="150"/>
      <c r="I32" s="83"/>
      <c r="J32" s="81"/>
      <c r="K32" s="82"/>
    </row>
    <row r="33" spans="1:17" ht="12.75" customHeight="1" x14ac:dyDescent="0.15">
      <c r="A33" s="149" t="s">
        <v>82</v>
      </c>
      <c r="B33" s="153"/>
      <c r="C33" s="153"/>
      <c r="D33" s="153"/>
      <c r="E33" s="153"/>
      <c r="F33" s="153"/>
      <c r="G33" s="153"/>
      <c r="H33" s="150"/>
      <c r="I33" s="50">
        <f>SUM(I13:I32)</f>
        <v>1.59</v>
      </c>
      <c r="J33" s="83"/>
      <c r="K33" s="83"/>
    </row>
    <row r="34" spans="1:17" ht="12.75" customHeight="1" x14ac:dyDescent="0.15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0"/>
    </row>
    <row r="35" spans="1:17" ht="12.75" customHeight="1" x14ac:dyDescent="0.15">
      <c r="A35" s="149" t="s">
        <v>83</v>
      </c>
      <c r="B35" s="153"/>
      <c r="C35" s="153"/>
      <c r="D35" s="153"/>
      <c r="E35" s="150"/>
      <c r="F35" s="154" t="s">
        <v>84</v>
      </c>
      <c r="G35" s="154"/>
      <c r="H35" s="83" t="s">
        <v>85</v>
      </c>
      <c r="I35" s="83" t="s">
        <v>86</v>
      </c>
      <c r="J35" s="83" t="s">
        <v>87</v>
      </c>
      <c r="K35" s="82" t="s">
        <v>6</v>
      </c>
    </row>
    <row r="36" spans="1:17" ht="12.75" customHeight="1" x14ac:dyDescent="0.15">
      <c r="A36" s="83" t="s">
        <v>0</v>
      </c>
      <c r="B36" s="83" t="s">
        <v>90</v>
      </c>
      <c r="C36" s="83" t="s">
        <v>91</v>
      </c>
      <c r="D36" s="83" t="s">
        <v>92</v>
      </c>
      <c r="E36" s="83" t="s">
        <v>72</v>
      </c>
      <c r="F36" s="154" t="s">
        <v>93</v>
      </c>
      <c r="G36" s="154"/>
      <c r="H36" s="83">
        <v>15</v>
      </c>
      <c r="I36" s="83">
        <v>0.05</v>
      </c>
      <c r="J36" s="36">
        <f>I36*H36</f>
        <v>0.75</v>
      </c>
      <c r="K36" s="83"/>
    </row>
    <row r="37" spans="1:17" ht="12.75" customHeight="1" x14ac:dyDescent="0.15">
      <c r="A37" s="85">
        <v>1</v>
      </c>
      <c r="B37" s="45" t="s">
        <v>251</v>
      </c>
      <c r="C37" s="45">
        <v>2</v>
      </c>
      <c r="D37" s="83">
        <v>0.1</v>
      </c>
      <c r="E37" s="83">
        <f>D37*C37</f>
        <v>0.2</v>
      </c>
      <c r="F37" s="149" t="s">
        <v>252</v>
      </c>
      <c r="G37" s="150"/>
      <c r="H37" s="83">
        <v>6</v>
      </c>
      <c r="I37" s="83">
        <v>0.05</v>
      </c>
      <c r="J37" s="36">
        <f t="shared" ref="J37:J40" si="5">I37*H37</f>
        <v>0.30000000000000004</v>
      </c>
      <c r="K37" s="83"/>
    </row>
    <row r="38" spans="1:17" ht="12.75" customHeight="1" x14ac:dyDescent="0.15">
      <c r="A38" s="85">
        <v>2</v>
      </c>
      <c r="B38" s="121" t="s">
        <v>253</v>
      </c>
      <c r="C38" s="45">
        <v>5</v>
      </c>
      <c r="D38" s="83">
        <v>0.04</v>
      </c>
      <c r="E38" s="83">
        <f t="shared" ref="E38:E45" si="6">D38*C38</f>
        <v>0.2</v>
      </c>
      <c r="F38" s="149" t="s">
        <v>254</v>
      </c>
      <c r="G38" s="150"/>
      <c r="H38" s="83">
        <v>12</v>
      </c>
      <c r="I38" s="83">
        <v>0.05</v>
      </c>
      <c r="J38" s="36">
        <f t="shared" si="5"/>
        <v>0.60000000000000009</v>
      </c>
      <c r="K38" s="83"/>
    </row>
    <row r="39" spans="1:17" ht="12.75" customHeight="1" x14ac:dyDescent="0.15">
      <c r="A39" s="85">
        <v>3</v>
      </c>
      <c r="B39" s="83" t="s">
        <v>255</v>
      </c>
      <c r="C39" s="83">
        <v>1</v>
      </c>
      <c r="D39" s="83">
        <v>1.3</v>
      </c>
      <c r="E39" s="83">
        <f t="shared" si="6"/>
        <v>1.3</v>
      </c>
      <c r="F39" s="149" t="s">
        <v>256</v>
      </c>
      <c r="G39" s="150"/>
      <c r="H39" s="83">
        <v>6</v>
      </c>
      <c r="I39" s="83">
        <v>0.05</v>
      </c>
      <c r="J39" s="36">
        <f t="shared" si="5"/>
        <v>0.30000000000000004</v>
      </c>
      <c r="K39" s="83"/>
      <c r="N39" s="86" t="s">
        <v>111</v>
      </c>
      <c r="O39" s="86" t="s">
        <v>112</v>
      </c>
      <c r="P39" s="86" t="s">
        <v>113</v>
      </c>
    </row>
    <row r="40" spans="1:17" ht="12.75" customHeight="1" x14ac:dyDescent="0.15">
      <c r="A40" s="85">
        <v>4</v>
      </c>
      <c r="B40" s="83" t="s">
        <v>257</v>
      </c>
      <c r="C40" s="83">
        <v>2</v>
      </c>
      <c r="D40" s="83">
        <v>0.46</v>
      </c>
      <c r="E40" s="83">
        <f t="shared" si="6"/>
        <v>0.92</v>
      </c>
      <c r="F40" s="149" t="s">
        <v>258</v>
      </c>
      <c r="G40" s="150"/>
      <c r="H40" s="83">
        <v>53</v>
      </c>
      <c r="I40" s="83">
        <v>0.05</v>
      </c>
      <c r="J40" s="36">
        <f t="shared" si="5"/>
        <v>2.6500000000000004</v>
      </c>
      <c r="K40" s="83"/>
      <c r="N40" s="86" t="s">
        <v>115</v>
      </c>
      <c r="O40" s="86" t="s">
        <v>116</v>
      </c>
      <c r="P40" s="86" t="s">
        <v>117</v>
      </c>
    </row>
    <row r="41" spans="1:17" ht="12.75" customHeight="1" x14ac:dyDescent="0.15">
      <c r="A41" s="85">
        <v>5</v>
      </c>
      <c r="B41" s="83" t="s">
        <v>259</v>
      </c>
      <c r="C41" s="83">
        <v>2</v>
      </c>
      <c r="D41" s="83">
        <v>0.65</v>
      </c>
      <c r="E41" s="83">
        <f t="shared" si="6"/>
        <v>1.3</v>
      </c>
      <c r="F41" s="149"/>
      <c r="G41" s="150"/>
      <c r="H41" s="83"/>
      <c r="I41" s="83">
        <v>0.05</v>
      </c>
      <c r="J41" s="36"/>
      <c r="K41" s="83"/>
    </row>
    <row r="42" spans="1:17" ht="12.75" customHeight="1" x14ac:dyDescent="0.15">
      <c r="A42" s="85">
        <v>6</v>
      </c>
      <c r="B42" s="83" t="s">
        <v>260</v>
      </c>
      <c r="C42" s="45">
        <v>2</v>
      </c>
      <c r="D42" s="117">
        <v>5.22</v>
      </c>
      <c r="E42" s="83">
        <f t="shared" si="6"/>
        <v>10.44</v>
      </c>
      <c r="F42" s="149" t="s">
        <v>82</v>
      </c>
      <c r="G42" s="150"/>
      <c r="H42" s="83"/>
      <c r="I42" s="83"/>
      <c r="J42" s="43">
        <f>SUM(J36:J41)</f>
        <v>4.6000000000000005</v>
      </c>
      <c r="K42" s="83"/>
    </row>
    <row r="43" spans="1:17" ht="12.75" customHeight="1" x14ac:dyDescent="0.15">
      <c r="A43" s="85">
        <v>7</v>
      </c>
      <c r="B43" s="83" t="s">
        <v>261</v>
      </c>
      <c r="C43" s="83">
        <v>2</v>
      </c>
      <c r="D43" s="117">
        <v>0.5</v>
      </c>
      <c r="E43" s="83">
        <f t="shared" si="6"/>
        <v>1</v>
      </c>
      <c r="F43" s="149" t="s">
        <v>119</v>
      </c>
      <c r="G43" s="150"/>
      <c r="H43" s="28" t="s">
        <v>201</v>
      </c>
      <c r="I43" s="28" t="s">
        <v>202</v>
      </c>
      <c r="J43" s="32" t="s">
        <v>87</v>
      </c>
      <c r="K43" s="83" t="s">
        <v>6</v>
      </c>
      <c r="N43" s="85" t="s">
        <v>122</v>
      </c>
      <c r="O43" s="85" t="s">
        <v>123</v>
      </c>
      <c r="P43" s="85" t="s">
        <v>82</v>
      </c>
      <c r="Q43" s="86"/>
    </row>
    <row r="44" spans="1:17" ht="12.75" customHeight="1" x14ac:dyDescent="0.15">
      <c r="A44" s="85">
        <v>8</v>
      </c>
      <c r="B44" s="83"/>
      <c r="C44" s="83"/>
      <c r="D44" s="83"/>
      <c r="E44" s="83">
        <f t="shared" si="6"/>
        <v>0</v>
      </c>
      <c r="F44" s="149" t="s">
        <v>124</v>
      </c>
      <c r="G44" s="150"/>
      <c r="H44" s="83">
        <v>10</v>
      </c>
      <c r="I44" s="83"/>
      <c r="J44" s="83">
        <f>I44*H44</f>
        <v>0</v>
      </c>
      <c r="K44" s="83"/>
      <c r="N44" s="85">
        <v>2.36</v>
      </c>
      <c r="O44" s="85">
        <v>1.4</v>
      </c>
      <c r="P44" s="85">
        <f>N44*O44</f>
        <v>3.3039999999999998</v>
      </c>
      <c r="Q44" s="86"/>
    </row>
    <row r="45" spans="1:17" ht="12.75" customHeight="1" x14ac:dyDescent="0.15">
      <c r="A45" s="85">
        <v>9</v>
      </c>
      <c r="B45" s="83"/>
      <c r="C45" s="83"/>
      <c r="D45" s="83"/>
      <c r="E45" s="83">
        <f t="shared" si="6"/>
        <v>0</v>
      </c>
      <c r="F45" s="149" t="s">
        <v>126</v>
      </c>
      <c r="G45" s="150"/>
      <c r="H45" s="83">
        <v>12</v>
      </c>
      <c r="I45" s="83">
        <v>0.34</v>
      </c>
      <c r="J45" s="83">
        <f>I45*H45</f>
        <v>4.08</v>
      </c>
      <c r="K45" s="83"/>
    </row>
    <row r="46" spans="1:17" ht="12.75" customHeight="1" x14ac:dyDescent="0.15">
      <c r="A46" s="145" t="s">
        <v>82</v>
      </c>
      <c r="B46" s="151"/>
      <c r="C46" s="151"/>
      <c r="D46" s="146"/>
      <c r="E46" s="30">
        <f>SUM(E37:E45)</f>
        <v>15.36</v>
      </c>
      <c r="F46" s="145"/>
      <c r="G46" s="151"/>
      <c r="H46" s="151"/>
      <c r="I46" s="151"/>
      <c r="J46" s="151"/>
      <c r="K46" s="151"/>
    </row>
    <row r="47" spans="1:17" ht="12.75" customHeight="1" x14ac:dyDescent="0.15">
      <c r="A47" s="152" t="s">
        <v>127</v>
      </c>
      <c r="B47" s="152"/>
      <c r="C47" s="84" t="s">
        <v>108</v>
      </c>
      <c r="E47" s="32" t="s">
        <v>128</v>
      </c>
      <c r="F47" s="147">
        <f>C52+C51+C50+C49+C48</f>
        <v>48.291499999999999</v>
      </c>
      <c r="G47" s="147"/>
      <c r="H47" s="147"/>
      <c r="I47" s="147"/>
      <c r="J47" s="147"/>
      <c r="K47" s="147"/>
      <c r="N47" s="85" t="s">
        <v>129</v>
      </c>
      <c r="O47" s="85" t="s">
        <v>130</v>
      </c>
      <c r="P47" s="85" t="s">
        <v>82</v>
      </c>
    </row>
    <row r="48" spans="1:17" ht="12.75" customHeight="1" x14ac:dyDescent="0.15">
      <c r="A48" s="148" t="s">
        <v>131</v>
      </c>
      <c r="B48" s="148"/>
      <c r="C48" s="33">
        <f>K11</f>
        <v>21.609200000000001</v>
      </c>
      <c r="E48" s="34" t="s">
        <v>132</v>
      </c>
      <c r="F48" s="147">
        <f>F47*0.03</f>
        <v>1.4487449999999999</v>
      </c>
      <c r="G48" s="147"/>
      <c r="H48" s="147"/>
      <c r="I48" s="147"/>
      <c r="J48" s="147"/>
      <c r="K48" s="147"/>
      <c r="N48" s="85">
        <v>51.01</v>
      </c>
      <c r="O48" s="85">
        <v>3.3039999999999998</v>
      </c>
      <c r="P48" s="44">
        <f>N48+O48</f>
        <v>54.314</v>
      </c>
      <c r="Q48" t="s">
        <v>152</v>
      </c>
    </row>
    <row r="49" spans="1:11" ht="12.75" customHeight="1" x14ac:dyDescent="0.15">
      <c r="A49" s="148" t="s">
        <v>133</v>
      </c>
      <c r="B49" s="148"/>
      <c r="C49" s="37">
        <f>I33*1.17</f>
        <v>1.8603000000000001</v>
      </c>
      <c r="E49" s="34" t="s">
        <v>134</v>
      </c>
      <c r="F49" s="147">
        <f>F47*0.03</f>
        <v>1.4487449999999999</v>
      </c>
      <c r="G49" s="147"/>
      <c r="H49" s="147"/>
      <c r="I49" s="147"/>
      <c r="J49" s="147"/>
      <c r="K49" s="147"/>
    </row>
    <row r="50" spans="1:11" ht="12.75" customHeight="1" x14ac:dyDescent="0.15">
      <c r="A50" s="148" t="s">
        <v>135</v>
      </c>
      <c r="B50" s="148"/>
      <c r="C50" s="33">
        <f>E46</f>
        <v>15.36</v>
      </c>
      <c r="E50" s="34" t="s">
        <v>136</v>
      </c>
      <c r="F50" s="147">
        <f>F47*0.02</f>
        <v>0.96582999999999997</v>
      </c>
      <c r="G50" s="147"/>
      <c r="H50" s="147"/>
      <c r="I50" s="147"/>
      <c r="J50" s="147"/>
      <c r="K50" s="147"/>
    </row>
    <row r="51" spans="1:11" ht="12.75" customHeight="1" x14ac:dyDescent="0.15">
      <c r="A51" s="148" t="s">
        <v>138</v>
      </c>
      <c r="B51" s="148"/>
      <c r="C51" s="37">
        <f>J42*1.17</f>
        <v>5.3820000000000006</v>
      </c>
      <c r="E51" s="34" t="s">
        <v>5</v>
      </c>
      <c r="F51" s="147"/>
      <c r="G51" s="147"/>
      <c r="H51" s="147"/>
      <c r="I51" s="147"/>
      <c r="J51" s="147"/>
      <c r="K51" s="147"/>
    </row>
    <row r="52" spans="1:11" ht="12.75" customHeight="1" x14ac:dyDescent="0.15">
      <c r="A52" s="148" t="s">
        <v>119</v>
      </c>
      <c r="B52" s="148"/>
      <c r="C52" s="33">
        <f>J44+J45</f>
        <v>4.08</v>
      </c>
      <c r="E52" s="34" t="s">
        <v>139</v>
      </c>
      <c r="F52" s="147">
        <f>F51+F50+F49+F48+F47</f>
        <v>52.154820000000001</v>
      </c>
      <c r="G52" s="147"/>
      <c r="H52" s="147"/>
      <c r="I52" s="147"/>
      <c r="J52" s="147"/>
      <c r="K52" s="147"/>
    </row>
    <row r="53" spans="1:11" x14ac:dyDescent="0.15">
      <c r="A53" s="161"/>
      <c r="B53" s="161"/>
      <c r="H53" t="s">
        <v>152</v>
      </c>
      <c r="I53" t="s">
        <v>262</v>
      </c>
    </row>
    <row r="54" spans="1:11" x14ac:dyDescent="0.15">
      <c r="A54" s="161"/>
      <c r="B54" s="161"/>
    </row>
    <row r="55" spans="1:11" x14ac:dyDescent="0.15">
      <c r="A55" s="161"/>
      <c r="B55" s="161"/>
    </row>
  </sheetData>
  <mergeCells count="53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5"/>
  <sheetViews>
    <sheetView workbookViewId="0">
      <selection sqref="A1:K1"/>
    </sheetView>
  </sheetViews>
  <sheetFormatPr defaultColWidth="9" defaultRowHeight="13.5" x14ac:dyDescent="0.15"/>
  <cols>
    <col min="1" max="1" width="3.5" customWidth="1"/>
    <col min="2" max="2" width="9.25" customWidth="1"/>
    <col min="3" max="3" width="8" customWidth="1"/>
    <col min="4" max="4" width="7.875" customWidth="1"/>
    <col min="5" max="5" width="5.875" customWidth="1"/>
    <col min="6" max="6" width="6.5" customWidth="1"/>
    <col min="7" max="7" width="7.125" customWidth="1"/>
    <col min="8" max="8" width="10.125" customWidth="1"/>
    <col min="9" max="9" width="9" customWidth="1"/>
    <col min="10" max="10" width="8.375" customWidth="1"/>
    <col min="11" max="11" width="11.875" customWidth="1"/>
    <col min="14" max="14" width="11.25" customWidth="1"/>
  </cols>
  <sheetData>
    <row r="1" spans="1:12" ht="21.75" customHeight="1" x14ac:dyDescent="0.15">
      <c r="A1" s="162" t="s">
        <v>263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t="s">
        <v>15</v>
      </c>
    </row>
    <row r="2" spans="1:12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2" ht="13.5" customHeight="1" x14ac:dyDescent="0.15">
      <c r="A3" s="22">
        <v>1</v>
      </c>
      <c r="B3" s="22" t="s">
        <v>264</v>
      </c>
      <c r="C3" s="22"/>
      <c r="D3" s="22" t="s">
        <v>213</v>
      </c>
      <c r="E3" s="23">
        <v>6.07</v>
      </c>
      <c r="F3" s="23">
        <v>0.86</v>
      </c>
      <c r="G3" s="23">
        <f>E3*F3</f>
        <v>5.2202000000000002</v>
      </c>
      <c r="H3" s="23">
        <v>0.86</v>
      </c>
      <c r="I3" s="23">
        <f>F3-H3</f>
        <v>0</v>
      </c>
      <c r="J3" s="23">
        <f>I3*1.1</f>
        <v>0</v>
      </c>
      <c r="K3" s="23">
        <f>G3-J3</f>
        <v>5.2202000000000002</v>
      </c>
    </row>
    <row r="4" spans="1:12" ht="13.5" customHeight="1" x14ac:dyDescent="0.15">
      <c r="A4" s="22">
        <v>2</v>
      </c>
      <c r="B4" s="22" t="s">
        <v>265</v>
      </c>
      <c r="C4" s="22"/>
      <c r="D4" s="22" t="s">
        <v>213</v>
      </c>
      <c r="E4" s="23">
        <v>6.07</v>
      </c>
      <c r="F4" s="23">
        <v>0.4</v>
      </c>
      <c r="G4" s="23">
        <f t="shared" ref="G4:G10" si="0">E4*F4</f>
        <v>2.4280000000000004</v>
      </c>
      <c r="H4" s="118">
        <v>0.4</v>
      </c>
      <c r="I4" s="23">
        <f t="shared" ref="I4:I10" si="1">F4-H4</f>
        <v>0</v>
      </c>
      <c r="J4" s="23">
        <f t="shared" ref="J4:J10" si="2">I4*1.1</f>
        <v>0</v>
      </c>
      <c r="K4" s="23">
        <f t="shared" ref="K4:K10" si="3">G4-J4</f>
        <v>2.4280000000000004</v>
      </c>
    </row>
    <row r="5" spans="1:12" ht="13.5" customHeight="1" x14ac:dyDescent="0.15">
      <c r="A5" s="22">
        <v>3</v>
      </c>
      <c r="B5" s="22"/>
      <c r="C5" s="22"/>
      <c r="D5" s="22"/>
      <c r="E5" s="23"/>
      <c r="F5" s="23"/>
      <c r="G5" s="23">
        <f t="shared" si="0"/>
        <v>0</v>
      </c>
      <c r="H5" s="23"/>
      <c r="I5" s="23">
        <f t="shared" si="1"/>
        <v>0</v>
      </c>
      <c r="J5" s="23">
        <f t="shared" si="2"/>
        <v>0</v>
      </c>
      <c r="K5" s="23">
        <f t="shared" si="3"/>
        <v>0</v>
      </c>
    </row>
    <row r="6" spans="1:12" ht="13.5" customHeight="1" x14ac:dyDescent="0.15">
      <c r="A6" s="22">
        <v>4</v>
      </c>
      <c r="B6" s="22"/>
      <c r="C6" s="22"/>
      <c r="D6" s="22"/>
      <c r="E6" s="23"/>
      <c r="F6" s="23"/>
      <c r="G6" s="23">
        <f t="shared" si="0"/>
        <v>0</v>
      </c>
      <c r="H6" s="23"/>
      <c r="I6" s="23">
        <f t="shared" si="1"/>
        <v>0</v>
      </c>
      <c r="J6" s="23">
        <f t="shared" si="2"/>
        <v>0</v>
      </c>
      <c r="K6" s="23">
        <f t="shared" si="3"/>
        <v>0</v>
      </c>
    </row>
    <row r="7" spans="1:12" ht="13.5" customHeight="1" x14ac:dyDescent="0.15">
      <c r="A7" s="22">
        <v>5</v>
      </c>
      <c r="B7" s="22"/>
      <c r="C7" s="22"/>
      <c r="D7" s="22"/>
      <c r="E7" s="23"/>
      <c r="F7" s="23"/>
      <c r="G7" s="23">
        <f t="shared" si="0"/>
        <v>0</v>
      </c>
      <c r="H7" s="23"/>
      <c r="I7" s="23">
        <f t="shared" si="1"/>
        <v>0</v>
      </c>
      <c r="J7" s="23">
        <f t="shared" si="2"/>
        <v>0</v>
      </c>
      <c r="K7" s="23">
        <f t="shared" si="3"/>
        <v>0</v>
      </c>
    </row>
    <row r="8" spans="1:12" ht="13.5" customHeight="1" x14ac:dyDescent="0.15">
      <c r="A8" s="22">
        <v>6</v>
      </c>
      <c r="B8" s="22"/>
      <c r="C8" s="22"/>
      <c r="D8" s="22"/>
      <c r="E8" s="23"/>
      <c r="F8" s="22"/>
      <c r="G8" s="23">
        <f t="shared" si="0"/>
        <v>0</v>
      </c>
      <c r="H8" s="22"/>
      <c r="I8" s="23">
        <f t="shared" si="1"/>
        <v>0</v>
      </c>
      <c r="J8" s="23">
        <f t="shared" si="2"/>
        <v>0</v>
      </c>
      <c r="K8" s="23">
        <f t="shared" si="3"/>
        <v>0</v>
      </c>
    </row>
    <row r="9" spans="1:12" ht="13.5" customHeight="1" x14ac:dyDescent="0.15">
      <c r="A9" s="22">
        <v>7</v>
      </c>
      <c r="B9" s="22"/>
      <c r="C9" s="22"/>
      <c r="D9" s="22"/>
      <c r="E9" s="22"/>
      <c r="F9" s="22"/>
      <c r="G9" s="23">
        <f t="shared" si="0"/>
        <v>0</v>
      </c>
      <c r="H9" s="22"/>
      <c r="I9" s="23">
        <f t="shared" si="1"/>
        <v>0</v>
      </c>
      <c r="J9" s="23">
        <f t="shared" si="2"/>
        <v>0</v>
      </c>
      <c r="K9" s="23">
        <f t="shared" si="3"/>
        <v>0</v>
      </c>
    </row>
    <row r="10" spans="1:12" ht="13.5" customHeight="1" x14ac:dyDescent="0.15">
      <c r="A10" s="22">
        <v>8</v>
      </c>
      <c r="B10" s="22"/>
      <c r="C10" s="22"/>
      <c r="D10" s="22"/>
      <c r="E10" s="22"/>
      <c r="F10" s="22"/>
      <c r="G10" s="23">
        <f t="shared" si="0"/>
        <v>0</v>
      </c>
      <c r="H10" s="22"/>
      <c r="I10" s="23">
        <f t="shared" si="1"/>
        <v>0</v>
      </c>
      <c r="J10" s="23">
        <f t="shared" si="2"/>
        <v>0</v>
      </c>
      <c r="K10" s="23">
        <f t="shared" si="3"/>
        <v>0</v>
      </c>
    </row>
    <row r="11" spans="1:12" ht="13.5" customHeight="1" x14ac:dyDescent="0.15">
      <c r="A11" s="149" t="s">
        <v>82</v>
      </c>
      <c r="B11" s="153"/>
      <c r="C11" s="153"/>
      <c r="D11" s="153"/>
      <c r="E11" s="153"/>
      <c r="F11" s="153"/>
      <c r="G11" s="153"/>
      <c r="H11" s="153"/>
      <c r="I11" s="153"/>
      <c r="J11" s="150"/>
      <c r="K11" s="23">
        <f>SUM(K3:K10)</f>
        <v>7.648200000000001</v>
      </c>
    </row>
    <row r="12" spans="1:12" ht="13.5" customHeight="1" x14ac:dyDescent="0.15">
      <c r="A12" s="22" t="s">
        <v>0</v>
      </c>
      <c r="B12" s="22" t="s">
        <v>52</v>
      </c>
      <c r="C12" s="22" t="s">
        <v>53</v>
      </c>
      <c r="D12" s="22" t="s">
        <v>67</v>
      </c>
      <c r="E12" s="22" t="s">
        <v>68</v>
      </c>
      <c r="F12" s="22" t="s">
        <v>69</v>
      </c>
      <c r="G12" s="22" t="s">
        <v>70</v>
      </c>
      <c r="H12" s="22" t="s">
        <v>71</v>
      </c>
      <c r="I12" s="22" t="s">
        <v>72</v>
      </c>
      <c r="J12" s="149" t="s">
        <v>6</v>
      </c>
      <c r="K12" s="150"/>
    </row>
    <row r="13" spans="1:12" ht="13.5" customHeight="1" x14ac:dyDescent="0.15">
      <c r="A13" s="22">
        <v>1</v>
      </c>
      <c r="B13" s="22"/>
      <c r="C13" s="22"/>
      <c r="D13" s="22"/>
      <c r="E13" s="22" t="s">
        <v>160</v>
      </c>
      <c r="F13" s="22" t="s">
        <v>161</v>
      </c>
      <c r="G13" s="22"/>
      <c r="H13" s="22" t="s">
        <v>162</v>
      </c>
      <c r="I13" s="22"/>
      <c r="J13" s="149"/>
      <c r="K13" s="150"/>
    </row>
    <row r="14" spans="1:12" ht="13.5" customHeight="1" x14ac:dyDescent="0.15">
      <c r="A14" s="22">
        <v>2</v>
      </c>
      <c r="B14" s="22"/>
      <c r="C14" s="22"/>
      <c r="D14" s="22"/>
      <c r="E14" s="22" t="s">
        <v>160</v>
      </c>
      <c r="F14" s="22" t="s">
        <v>164</v>
      </c>
      <c r="G14" s="22"/>
      <c r="H14" s="22" t="s">
        <v>165</v>
      </c>
      <c r="I14" s="22"/>
      <c r="J14" s="149"/>
      <c r="K14" s="150"/>
    </row>
    <row r="15" spans="1:12" ht="13.5" customHeight="1" x14ac:dyDescent="0.15">
      <c r="A15" s="22">
        <v>3</v>
      </c>
      <c r="B15" s="22"/>
      <c r="C15" s="22"/>
      <c r="D15" s="22"/>
      <c r="E15" s="22" t="s">
        <v>166</v>
      </c>
      <c r="F15" s="22" t="s">
        <v>167</v>
      </c>
      <c r="G15" s="22"/>
      <c r="H15" s="22">
        <v>0.5</v>
      </c>
      <c r="I15" s="22">
        <f>G15*H15</f>
        <v>0</v>
      </c>
      <c r="J15" s="149"/>
      <c r="K15" s="150"/>
    </row>
    <row r="16" spans="1:12" ht="13.5" customHeight="1" x14ac:dyDescent="0.15">
      <c r="A16" s="22">
        <v>4</v>
      </c>
      <c r="B16" s="22"/>
      <c r="C16" s="22"/>
      <c r="D16" s="22"/>
      <c r="E16" s="22" t="s">
        <v>166</v>
      </c>
      <c r="F16" s="22" t="s">
        <v>168</v>
      </c>
      <c r="G16" s="22"/>
      <c r="H16" s="22">
        <v>0.3</v>
      </c>
      <c r="I16" s="22">
        <f t="shared" ref="I16:I30" si="4">G16*H16</f>
        <v>0</v>
      </c>
      <c r="J16" s="149"/>
      <c r="K16" s="150"/>
    </row>
    <row r="17" spans="1:11" ht="13.5" customHeight="1" x14ac:dyDescent="0.15">
      <c r="A17" s="22">
        <v>5</v>
      </c>
      <c r="B17" s="22"/>
      <c r="C17" s="22"/>
      <c r="D17" s="22"/>
      <c r="E17" s="22" t="s">
        <v>170</v>
      </c>
      <c r="F17" s="22" t="s">
        <v>171</v>
      </c>
      <c r="G17" s="22"/>
      <c r="H17" s="22">
        <v>0.15</v>
      </c>
      <c r="I17" s="22">
        <f t="shared" si="4"/>
        <v>0</v>
      </c>
      <c r="J17" s="149"/>
      <c r="K17" s="150"/>
    </row>
    <row r="18" spans="1:11" ht="13.5" customHeight="1" x14ac:dyDescent="0.15">
      <c r="A18" s="22">
        <v>6</v>
      </c>
      <c r="B18" s="22"/>
      <c r="C18" s="22"/>
      <c r="D18" s="22"/>
      <c r="E18" s="22" t="s">
        <v>170</v>
      </c>
      <c r="F18" s="22" t="s">
        <v>173</v>
      </c>
      <c r="G18" s="22"/>
      <c r="H18" s="22">
        <v>0.15</v>
      </c>
      <c r="I18" s="22">
        <f t="shared" si="4"/>
        <v>0</v>
      </c>
      <c r="J18" s="149"/>
      <c r="K18" s="150"/>
    </row>
    <row r="19" spans="1:11" ht="13.5" customHeight="1" x14ac:dyDescent="0.15">
      <c r="A19" s="22">
        <v>7</v>
      </c>
      <c r="B19" s="22"/>
      <c r="C19" s="22"/>
      <c r="D19" s="22"/>
      <c r="E19" s="22" t="s">
        <v>170</v>
      </c>
      <c r="F19" s="22" t="s">
        <v>176</v>
      </c>
      <c r="G19" s="22"/>
      <c r="H19" s="22">
        <v>0.08</v>
      </c>
      <c r="I19" s="22">
        <f t="shared" si="4"/>
        <v>0</v>
      </c>
      <c r="J19" s="149"/>
      <c r="K19" s="150"/>
    </row>
    <row r="20" spans="1:11" ht="13.5" customHeight="1" x14ac:dyDescent="0.15">
      <c r="A20" s="22">
        <v>8</v>
      </c>
      <c r="B20" s="22"/>
      <c r="C20" s="22"/>
      <c r="D20" s="22"/>
      <c r="E20" s="22" t="s">
        <v>170</v>
      </c>
      <c r="F20" s="22" t="s">
        <v>177</v>
      </c>
      <c r="G20" s="22"/>
      <c r="H20" s="22">
        <v>0.08</v>
      </c>
      <c r="I20" s="22">
        <f t="shared" si="4"/>
        <v>0</v>
      </c>
      <c r="J20" s="149"/>
      <c r="K20" s="150"/>
    </row>
    <row r="21" spans="1:11" ht="13.5" customHeight="1" x14ac:dyDescent="0.15">
      <c r="A21" s="22">
        <v>9</v>
      </c>
      <c r="B21" s="22"/>
      <c r="C21" s="22"/>
      <c r="D21" s="22"/>
      <c r="E21" s="22" t="s">
        <v>170</v>
      </c>
      <c r="F21" s="22" t="s">
        <v>178</v>
      </c>
      <c r="G21" s="22"/>
      <c r="H21" s="22">
        <v>0.05</v>
      </c>
      <c r="I21" s="22">
        <f t="shared" si="4"/>
        <v>0</v>
      </c>
      <c r="J21" s="149"/>
      <c r="K21" s="150"/>
    </row>
    <row r="22" spans="1:11" ht="13.5" customHeight="1" x14ac:dyDescent="0.15">
      <c r="A22" s="22">
        <v>10</v>
      </c>
      <c r="B22" s="22" t="s">
        <v>266</v>
      </c>
      <c r="C22" s="22" t="s">
        <v>267</v>
      </c>
      <c r="D22" s="22" t="s">
        <v>179</v>
      </c>
      <c r="E22" s="22"/>
      <c r="F22" s="22"/>
      <c r="G22" s="22">
        <v>2</v>
      </c>
      <c r="H22" s="22">
        <v>0.05</v>
      </c>
      <c r="I22" s="117">
        <f t="shared" si="4"/>
        <v>0.1</v>
      </c>
      <c r="J22" s="149" t="s">
        <v>180</v>
      </c>
      <c r="K22" s="150"/>
    </row>
    <row r="23" spans="1:11" ht="13.5" customHeight="1" x14ac:dyDescent="0.15">
      <c r="A23" s="22">
        <v>11</v>
      </c>
      <c r="B23" s="22" t="s">
        <v>264</v>
      </c>
      <c r="C23" s="22"/>
      <c r="D23" s="22" t="s">
        <v>75</v>
      </c>
      <c r="E23" s="22"/>
      <c r="F23" s="22"/>
      <c r="G23" s="22">
        <v>4</v>
      </c>
      <c r="H23" s="22">
        <v>0.05</v>
      </c>
      <c r="I23" s="117">
        <f t="shared" si="4"/>
        <v>0.2</v>
      </c>
      <c r="J23" s="149"/>
      <c r="K23" s="150"/>
    </row>
    <row r="24" spans="1:11" ht="13.5" customHeight="1" x14ac:dyDescent="0.15">
      <c r="A24" s="22">
        <v>12</v>
      </c>
      <c r="B24" s="22"/>
      <c r="C24" s="22"/>
      <c r="D24" s="22" t="s">
        <v>221</v>
      </c>
      <c r="E24" s="22"/>
      <c r="F24" s="22"/>
      <c r="G24" s="22"/>
      <c r="H24" s="22">
        <v>0.08</v>
      </c>
      <c r="I24" s="22">
        <f t="shared" si="4"/>
        <v>0</v>
      </c>
      <c r="J24" s="149"/>
      <c r="K24" s="150"/>
    </row>
    <row r="25" spans="1:11" ht="13.5" customHeight="1" x14ac:dyDescent="0.15">
      <c r="A25" s="22">
        <v>13</v>
      </c>
      <c r="B25" s="22"/>
      <c r="C25" s="22"/>
      <c r="D25" s="22" t="s">
        <v>182</v>
      </c>
      <c r="E25" s="22"/>
      <c r="F25" s="22"/>
      <c r="G25" s="22"/>
      <c r="H25" s="22">
        <v>0.08</v>
      </c>
      <c r="I25" s="22">
        <f t="shared" si="4"/>
        <v>0</v>
      </c>
      <c r="J25" s="149"/>
      <c r="K25" s="150"/>
    </row>
    <row r="26" spans="1:11" ht="13.5" customHeight="1" x14ac:dyDescent="0.15">
      <c r="A26" s="22">
        <v>14</v>
      </c>
      <c r="B26" s="22" t="s">
        <v>268</v>
      </c>
      <c r="C26" s="22"/>
      <c r="D26" s="22" t="s">
        <v>183</v>
      </c>
      <c r="E26" s="22"/>
      <c r="F26" s="22"/>
      <c r="G26" s="22">
        <v>4</v>
      </c>
      <c r="H26" s="22">
        <v>0.05</v>
      </c>
      <c r="I26" s="117">
        <f t="shared" si="4"/>
        <v>0.2</v>
      </c>
      <c r="J26" s="149"/>
      <c r="K26" s="150"/>
    </row>
    <row r="27" spans="1:11" ht="13.5" customHeight="1" x14ac:dyDescent="0.15">
      <c r="A27" s="22">
        <v>15</v>
      </c>
      <c r="B27" s="22"/>
      <c r="C27" s="22"/>
      <c r="D27" s="22" t="s">
        <v>184</v>
      </c>
      <c r="E27" s="22"/>
      <c r="F27" s="22"/>
      <c r="G27" s="22"/>
      <c r="H27" s="22">
        <v>0.08</v>
      </c>
      <c r="I27" s="22">
        <f t="shared" si="4"/>
        <v>0</v>
      </c>
      <c r="J27" s="149"/>
      <c r="K27" s="150"/>
    </row>
    <row r="28" spans="1:11" ht="13.5" customHeight="1" x14ac:dyDescent="0.15">
      <c r="A28" s="22">
        <v>16</v>
      </c>
      <c r="B28" s="22"/>
      <c r="C28" s="22"/>
      <c r="D28" s="22" t="s">
        <v>175</v>
      </c>
      <c r="E28" s="22"/>
      <c r="F28" s="22"/>
      <c r="G28" s="22"/>
      <c r="H28" s="22">
        <v>0.08</v>
      </c>
      <c r="I28" s="22">
        <f t="shared" si="4"/>
        <v>0</v>
      </c>
      <c r="J28" s="24"/>
      <c r="K28" s="25"/>
    </row>
    <row r="29" spans="1:11" ht="13.5" customHeight="1" x14ac:dyDescent="0.15">
      <c r="A29" s="22">
        <v>17</v>
      </c>
      <c r="B29" s="22"/>
      <c r="C29" s="22"/>
      <c r="D29" s="22" t="s">
        <v>185</v>
      </c>
      <c r="E29" s="22"/>
      <c r="F29" s="22"/>
      <c r="G29" s="22"/>
      <c r="H29" s="22">
        <v>0.08</v>
      </c>
      <c r="I29" s="22">
        <f t="shared" si="4"/>
        <v>0</v>
      </c>
      <c r="J29" s="149"/>
      <c r="K29" s="150"/>
    </row>
    <row r="30" spans="1:11" ht="13.5" customHeight="1" x14ac:dyDescent="0.15">
      <c r="A30" s="22">
        <v>18</v>
      </c>
      <c r="B30" s="22"/>
      <c r="C30" s="22"/>
      <c r="D30" s="22" t="s">
        <v>186</v>
      </c>
      <c r="E30" s="22"/>
      <c r="F30" s="22"/>
      <c r="G30" s="22"/>
      <c r="H30" s="22">
        <v>0.08</v>
      </c>
      <c r="I30" s="22">
        <f t="shared" si="4"/>
        <v>0</v>
      </c>
      <c r="J30" s="149"/>
      <c r="K30" s="150"/>
    </row>
    <row r="31" spans="1:11" ht="13.5" customHeight="1" x14ac:dyDescent="0.15">
      <c r="A31" s="22">
        <v>19</v>
      </c>
      <c r="B31" s="22"/>
      <c r="C31" s="22"/>
      <c r="D31" s="22" t="s">
        <v>187</v>
      </c>
      <c r="E31" s="22"/>
      <c r="F31" s="22"/>
      <c r="G31" s="22"/>
      <c r="H31" s="22"/>
      <c r="I31" s="22">
        <v>0.2</v>
      </c>
      <c r="J31" s="149" t="s">
        <v>188</v>
      </c>
      <c r="K31" s="150"/>
    </row>
    <row r="32" spans="1:11" ht="13.5" customHeight="1" x14ac:dyDescent="0.15">
      <c r="A32" s="22"/>
      <c r="B32" s="22"/>
      <c r="C32" s="22"/>
      <c r="D32" s="149"/>
      <c r="E32" s="153"/>
      <c r="F32" s="153"/>
      <c r="G32" s="153"/>
      <c r="H32" s="150"/>
      <c r="I32" s="22"/>
      <c r="J32" s="24"/>
      <c r="K32" s="25"/>
    </row>
    <row r="33" spans="1:17" ht="13.5" customHeight="1" x14ac:dyDescent="0.15">
      <c r="A33" s="149" t="s">
        <v>82</v>
      </c>
      <c r="B33" s="153"/>
      <c r="C33" s="153"/>
      <c r="D33" s="153"/>
      <c r="E33" s="153"/>
      <c r="F33" s="153"/>
      <c r="G33" s="153"/>
      <c r="H33" s="150"/>
      <c r="I33" s="42">
        <f>SUM(I13:I32)</f>
        <v>0.7</v>
      </c>
      <c r="J33" s="22"/>
      <c r="K33" s="22"/>
    </row>
    <row r="34" spans="1:17" ht="13.5" customHeight="1" x14ac:dyDescent="0.15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0"/>
    </row>
    <row r="35" spans="1:17" ht="13.5" customHeight="1" x14ac:dyDescent="0.15">
      <c r="A35" s="149" t="s">
        <v>83</v>
      </c>
      <c r="B35" s="153"/>
      <c r="C35" s="153"/>
      <c r="D35" s="153"/>
      <c r="E35" s="150"/>
      <c r="F35" s="154" t="s">
        <v>84</v>
      </c>
      <c r="G35" s="154"/>
      <c r="H35" s="22" t="s">
        <v>85</v>
      </c>
      <c r="I35" s="22" t="s">
        <v>86</v>
      </c>
      <c r="J35" s="22" t="s">
        <v>87</v>
      </c>
      <c r="K35" s="25" t="s">
        <v>6</v>
      </c>
    </row>
    <row r="36" spans="1:17" ht="13.5" customHeight="1" x14ac:dyDescent="0.15">
      <c r="A36" s="22" t="s">
        <v>0</v>
      </c>
      <c r="B36" s="22" t="s">
        <v>90</v>
      </c>
      <c r="C36" s="22" t="s">
        <v>91</v>
      </c>
      <c r="D36" s="22" t="s">
        <v>92</v>
      </c>
      <c r="E36" s="22" t="s">
        <v>72</v>
      </c>
      <c r="F36" s="154" t="s">
        <v>269</v>
      </c>
      <c r="G36" s="154"/>
      <c r="H36" s="22">
        <v>4</v>
      </c>
      <c r="I36" s="22">
        <v>0.05</v>
      </c>
      <c r="J36" s="36">
        <f>I36*H36</f>
        <v>0.2</v>
      </c>
      <c r="K36" s="22"/>
    </row>
    <row r="37" spans="1:17" ht="13.5" customHeight="1" x14ac:dyDescent="0.15">
      <c r="A37" s="26">
        <v>1</v>
      </c>
      <c r="B37" s="22" t="s">
        <v>270</v>
      </c>
      <c r="C37" s="22">
        <v>2</v>
      </c>
      <c r="D37" s="22">
        <v>0.04</v>
      </c>
      <c r="E37" s="117">
        <f>D37*C37</f>
        <v>0.08</v>
      </c>
      <c r="F37" s="149" t="s">
        <v>271</v>
      </c>
      <c r="G37" s="150"/>
      <c r="H37" s="22">
        <v>6</v>
      </c>
      <c r="I37" s="108">
        <v>0.05</v>
      </c>
      <c r="J37" s="36">
        <f t="shared" ref="J37:J39" si="5">I37*H37</f>
        <v>0.30000000000000004</v>
      </c>
      <c r="K37" s="22"/>
      <c r="N37" s="35" t="s">
        <v>111</v>
      </c>
      <c r="O37" s="35" t="s">
        <v>112</v>
      </c>
      <c r="P37" s="35" t="s">
        <v>113</v>
      </c>
    </row>
    <row r="38" spans="1:17" ht="13.5" customHeight="1" x14ac:dyDescent="0.15">
      <c r="A38" s="26">
        <v>2</v>
      </c>
      <c r="B38" s="22" t="s">
        <v>255</v>
      </c>
      <c r="C38" s="22">
        <v>2</v>
      </c>
      <c r="D38" s="22">
        <v>1.1000000000000001</v>
      </c>
      <c r="E38" s="117">
        <f t="shared" ref="E38:E45" si="6">D38*C38</f>
        <v>2.2000000000000002</v>
      </c>
      <c r="F38" s="149" t="s">
        <v>272</v>
      </c>
      <c r="G38" s="150"/>
      <c r="H38" s="22">
        <v>4</v>
      </c>
      <c r="I38" s="108">
        <v>0.05</v>
      </c>
      <c r="J38" s="36">
        <f t="shared" si="5"/>
        <v>0.2</v>
      </c>
      <c r="K38" s="22"/>
      <c r="N38" s="35" t="s">
        <v>115</v>
      </c>
      <c r="O38" s="35" t="s">
        <v>116</v>
      </c>
      <c r="P38" s="35" t="s">
        <v>117</v>
      </c>
    </row>
    <row r="39" spans="1:17" ht="13.5" customHeight="1" x14ac:dyDescent="0.15">
      <c r="A39" s="26">
        <v>3</v>
      </c>
      <c r="B39" s="22" t="s">
        <v>273</v>
      </c>
      <c r="C39" s="22">
        <v>2</v>
      </c>
      <c r="D39" s="22">
        <v>0.6</v>
      </c>
      <c r="E39" s="117">
        <f t="shared" si="6"/>
        <v>1.2</v>
      </c>
      <c r="F39" s="149" t="s">
        <v>191</v>
      </c>
      <c r="G39" s="150"/>
      <c r="H39" s="22">
        <v>20</v>
      </c>
      <c r="I39" s="108">
        <v>0.05</v>
      </c>
      <c r="J39" s="36">
        <f t="shared" si="5"/>
        <v>1</v>
      </c>
      <c r="K39" s="22"/>
    </row>
    <row r="40" spans="1:17" ht="13.5" customHeight="1" x14ac:dyDescent="0.15">
      <c r="A40" s="26">
        <v>4</v>
      </c>
      <c r="B40" s="22" t="s">
        <v>257</v>
      </c>
      <c r="C40" s="22">
        <v>2</v>
      </c>
      <c r="D40" s="22">
        <v>0.3</v>
      </c>
      <c r="E40" s="117">
        <f t="shared" si="6"/>
        <v>0.6</v>
      </c>
      <c r="F40" s="149"/>
      <c r="G40" s="150"/>
      <c r="H40" s="22"/>
      <c r="I40" s="22"/>
      <c r="J40" s="36"/>
      <c r="K40" s="22"/>
    </row>
    <row r="41" spans="1:17" ht="13.5" customHeight="1" x14ac:dyDescent="0.15">
      <c r="A41" s="26">
        <v>5</v>
      </c>
      <c r="B41" s="22" t="s">
        <v>274</v>
      </c>
      <c r="C41" s="22">
        <v>2</v>
      </c>
      <c r="D41" s="22">
        <v>0.2</v>
      </c>
      <c r="E41" s="117">
        <f t="shared" si="6"/>
        <v>0.4</v>
      </c>
      <c r="F41" s="149"/>
      <c r="G41" s="150"/>
      <c r="H41" s="22"/>
      <c r="I41" s="22"/>
      <c r="J41" s="36"/>
      <c r="K41" s="22"/>
      <c r="N41" s="26" t="s">
        <v>122</v>
      </c>
      <c r="O41" s="26" t="s">
        <v>123</v>
      </c>
      <c r="P41" s="26" t="s">
        <v>82</v>
      </c>
    </row>
    <row r="42" spans="1:17" ht="13.5" customHeight="1" x14ac:dyDescent="0.15">
      <c r="A42" s="26">
        <v>6</v>
      </c>
      <c r="B42" s="22" t="s">
        <v>253</v>
      </c>
      <c r="C42" s="22">
        <v>2</v>
      </c>
      <c r="D42" s="22">
        <v>0.04</v>
      </c>
      <c r="E42" s="117">
        <f t="shared" si="6"/>
        <v>0.08</v>
      </c>
      <c r="F42" s="149" t="s">
        <v>82</v>
      </c>
      <c r="G42" s="150"/>
      <c r="H42" s="22"/>
      <c r="I42" s="22"/>
      <c r="J42" s="43">
        <f>SUM(J36:J41)</f>
        <v>1.7</v>
      </c>
      <c r="K42" s="22"/>
      <c r="N42" s="26">
        <v>1.49</v>
      </c>
      <c r="O42" s="26">
        <v>1.4</v>
      </c>
      <c r="P42" s="26">
        <f>N42*O42</f>
        <v>2.0859999999999999</v>
      </c>
    </row>
    <row r="43" spans="1:17" ht="13.5" customHeight="1" x14ac:dyDescent="0.15">
      <c r="A43" s="26">
        <v>7</v>
      </c>
      <c r="B43" s="22"/>
      <c r="C43" s="22"/>
      <c r="D43" s="22"/>
      <c r="E43" s="22">
        <f t="shared" si="6"/>
        <v>0</v>
      </c>
      <c r="F43" s="149" t="s">
        <v>119</v>
      </c>
      <c r="G43" s="150"/>
      <c r="H43" s="28" t="s">
        <v>201</v>
      </c>
      <c r="I43" s="28" t="s">
        <v>202</v>
      </c>
      <c r="J43" s="32" t="s">
        <v>87</v>
      </c>
      <c r="K43" s="22" t="s">
        <v>6</v>
      </c>
    </row>
    <row r="44" spans="1:17" ht="13.5" customHeight="1" x14ac:dyDescent="0.15">
      <c r="A44" s="26">
        <v>8</v>
      </c>
      <c r="B44" s="22"/>
      <c r="C44" s="22"/>
      <c r="D44" s="22"/>
      <c r="E44" s="22">
        <f t="shared" si="6"/>
        <v>0</v>
      </c>
      <c r="F44" s="149" t="s">
        <v>124</v>
      </c>
      <c r="G44" s="150"/>
      <c r="H44" s="22">
        <v>10</v>
      </c>
      <c r="I44" s="22"/>
      <c r="J44" s="22">
        <f>I44*H44</f>
        <v>0</v>
      </c>
      <c r="K44" s="22"/>
    </row>
    <row r="45" spans="1:17" ht="13.5" customHeight="1" x14ac:dyDescent="0.15">
      <c r="A45" s="26">
        <v>9</v>
      </c>
      <c r="B45" s="22"/>
      <c r="C45" s="22"/>
      <c r="D45" s="22"/>
      <c r="E45" s="22">
        <f t="shared" si="6"/>
        <v>0</v>
      </c>
      <c r="F45" s="149" t="s">
        <v>126</v>
      </c>
      <c r="G45" s="150"/>
      <c r="H45" s="22">
        <v>12</v>
      </c>
      <c r="I45" s="22">
        <v>0.11</v>
      </c>
      <c r="J45" s="22">
        <f>I45*H45</f>
        <v>1.32</v>
      </c>
      <c r="K45" s="22"/>
      <c r="N45" s="26" t="s">
        <v>129</v>
      </c>
      <c r="O45" s="26" t="s">
        <v>130</v>
      </c>
      <c r="P45" s="26" t="s">
        <v>82</v>
      </c>
    </row>
    <row r="46" spans="1:17" ht="13.5" customHeight="1" x14ac:dyDescent="0.15">
      <c r="A46" s="145" t="s">
        <v>82</v>
      </c>
      <c r="B46" s="151"/>
      <c r="C46" s="151"/>
      <c r="D46" s="146"/>
      <c r="E46" s="30">
        <f>SUM(E37:E45)</f>
        <v>4.5600000000000005</v>
      </c>
      <c r="N46" s="26">
        <v>18.760000000000002</v>
      </c>
      <c r="O46" s="26">
        <v>2.0859999999999999</v>
      </c>
      <c r="P46" s="44">
        <f>N46+O46</f>
        <v>20.846</v>
      </c>
      <c r="Q46" t="s">
        <v>152</v>
      </c>
    </row>
    <row r="47" spans="1:17" ht="13.5" customHeight="1" x14ac:dyDescent="0.15">
      <c r="A47" s="152" t="s">
        <v>127</v>
      </c>
      <c r="B47" s="152"/>
      <c r="C47" s="31" t="s">
        <v>108</v>
      </c>
      <c r="E47" s="32" t="s">
        <v>128</v>
      </c>
      <c r="F47" s="147">
        <f>C52+C51+C50+C49+C48</f>
        <v>16.336200000000002</v>
      </c>
      <c r="G47" s="147"/>
      <c r="H47" s="147"/>
      <c r="I47" s="147"/>
      <c r="J47" s="147"/>
      <c r="K47" s="147"/>
    </row>
    <row r="48" spans="1:17" ht="13.5" customHeight="1" x14ac:dyDescent="0.15">
      <c r="A48" s="148" t="s">
        <v>131</v>
      </c>
      <c r="B48" s="148"/>
      <c r="C48" s="33">
        <f>K11</f>
        <v>7.648200000000001</v>
      </c>
      <c r="E48" s="34" t="s">
        <v>132</v>
      </c>
      <c r="F48" s="147">
        <f>F47*0.03</f>
        <v>0.49008600000000002</v>
      </c>
      <c r="G48" s="147"/>
      <c r="H48" s="147"/>
      <c r="I48" s="147"/>
      <c r="J48" s="147"/>
      <c r="K48" s="147"/>
    </row>
    <row r="49" spans="1:11" ht="13.5" customHeight="1" x14ac:dyDescent="0.15">
      <c r="A49" s="148" t="s">
        <v>133</v>
      </c>
      <c r="B49" s="148"/>
      <c r="C49" s="37">
        <f>I33*1.17</f>
        <v>0.81899999999999995</v>
      </c>
      <c r="E49" s="34" t="s">
        <v>134</v>
      </c>
      <c r="F49" s="147">
        <f>F47*0.06</f>
        <v>0.98017200000000004</v>
      </c>
      <c r="G49" s="147"/>
      <c r="H49" s="147"/>
      <c r="I49" s="147"/>
      <c r="J49" s="147"/>
      <c r="K49" s="147"/>
    </row>
    <row r="50" spans="1:11" ht="13.5" customHeight="1" x14ac:dyDescent="0.15">
      <c r="A50" s="148" t="s">
        <v>135</v>
      </c>
      <c r="B50" s="148"/>
      <c r="C50" s="33">
        <f>E46</f>
        <v>4.5600000000000005</v>
      </c>
      <c r="E50" s="34" t="s">
        <v>136</v>
      </c>
      <c r="F50" s="147">
        <f>F47*0.02</f>
        <v>0.32672400000000001</v>
      </c>
      <c r="G50" s="147"/>
      <c r="H50" s="147"/>
      <c r="I50" s="147"/>
      <c r="J50" s="147"/>
      <c r="K50" s="147"/>
    </row>
    <row r="51" spans="1:11" ht="13.5" customHeight="1" x14ac:dyDescent="0.15">
      <c r="A51" s="148" t="s">
        <v>138</v>
      </c>
      <c r="B51" s="148"/>
      <c r="C51" s="37">
        <f>J42*1.17</f>
        <v>1.9889999999999999</v>
      </c>
      <c r="E51" s="34" t="s">
        <v>5</v>
      </c>
      <c r="F51" s="147"/>
      <c r="G51" s="147"/>
      <c r="H51" s="147"/>
      <c r="I51" s="147"/>
      <c r="J51" s="147"/>
      <c r="K51" s="147"/>
    </row>
    <row r="52" spans="1:11" ht="13.5" customHeight="1" x14ac:dyDescent="0.15">
      <c r="A52" s="148" t="s">
        <v>119</v>
      </c>
      <c r="B52" s="148"/>
      <c r="C52" s="33">
        <f>J44+J45</f>
        <v>1.32</v>
      </c>
      <c r="E52" s="34" t="s">
        <v>139</v>
      </c>
      <c r="F52" s="156">
        <f>F51+F50+F49+F48+F47</f>
        <v>18.133182000000001</v>
      </c>
      <c r="G52" s="156"/>
      <c r="H52" s="156"/>
      <c r="I52" s="156"/>
      <c r="J52" s="156"/>
      <c r="K52" s="156"/>
    </row>
    <row r="53" spans="1:11" x14ac:dyDescent="0.15">
      <c r="A53" s="161"/>
      <c r="B53" s="161"/>
      <c r="H53" t="s">
        <v>152</v>
      </c>
      <c r="I53" t="s">
        <v>275</v>
      </c>
    </row>
    <row r="54" spans="1:11" x14ac:dyDescent="0.15">
      <c r="A54" s="161"/>
      <c r="B54" s="161"/>
    </row>
    <row r="55" spans="1:11" x14ac:dyDescent="0.15">
      <c r="A55" s="161"/>
      <c r="B55" s="161"/>
    </row>
  </sheetData>
  <mergeCells count="52">
    <mergeCell ref="A1:K1"/>
    <mergeCell ref="A11:J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30:K30"/>
    <mergeCell ref="J31:K31"/>
    <mergeCell ref="D32:H32"/>
    <mergeCell ref="A33:H33"/>
    <mergeCell ref="A34:K34"/>
    <mergeCell ref="A35:E35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D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F52:K52"/>
    <mergeCell ref="A53:B53"/>
    <mergeCell ref="A54:B54"/>
    <mergeCell ref="A55:B55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4"/>
  <sheetViews>
    <sheetView workbookViewId="0">
      <selection activeCell="F3" sqref="F3:F12"/>
    </sheetView>
  </sheetViews>
  <sheetFormatPr defaultColWidth="9" defaultRowHeight="13.5" x14ac:dyDescent="0.15"/>
  <cols>
    <col min="1" max="1" width="3.125" customWidth="1"/>
    <col min="2" max="2" width="18.125" customWidth="1"/>
    <col min="3" max="3" width="9.125" customWidth="1"/>
    <col min="4" max="4" width="7.75" customWidth="1"/>
    <col min="5" max="5" width="6.625" customWidth="1"/>
    <col min="6" max="6" width="7.375" customWidth="1"/>
    <col min="7" max="7" width="7" customWidth="1"/>
    <col min="8" max="8" width="12.125" customWidth="1"/>
    <col min="9" max="9" width="7.75" customWidth="1"/>
    <col min="10" max="10" width="8.875" customWidth="1"/>
    <col min="11" max="11" width="6.5" customWidth="1"/>
    <col min="12" max="12" width="7.125" customWidth="1"/>
    <col min="13" max="13" width="11" customWidth="1"/>
  </cols>
  <sheetData>
    <row r="1" spans="1:13" ht="36" customHeight="1" x14ac:dyDescent="0.15">
      <c r="A1" s="162" t="s">
        <v>460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M1" s="26" t="s">
        <v>13</v>
      </c>
    </row>
    <row r="2" spans="1:13" ht="13.5" customHeight="1" x14ac:dyDescent="0.15">
      <c r="A2" s="22" t="s">
        <v>0</v>
      </c>
      <c r="B2" s="22" t="s">
        <v>52</v>
      </c>
      <c r="C2" s="22" t="s">
        <v>53</v>
      </c>
      <c r="D2" s="22" t="s">
        <v>54</v>
      </c>
      <c r="E2" s="22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2" t="s">
        <v>61</v>
      </c>
    </row>
    <row r="3" spans="1:13" ht="13.5" customHeight="1" x14ac:dyDescent="0.15">
      <c r="A3" s="22">
        <v>1</v>
      </c>
      <c r="B3" s="117" t="s">
        <v>276</v>
      </c>
      <c r="C3" s="22"/>
      <c r="D3" s="22" t="s">
        <v>213</v>
      </c>
      <c r="E3" s="23">
        <v>6.07</v>
      </c>
      <c r="F3" s="23">
        <v>0.99</v>
      </c>
      <c r="G3" s="23">
        <f>E3*F3</f>
        <v>6.0093000000000005</v>
      </c>
      <c r="H3" s="23">
        <v>0.99</v>
      </c>
      <c r="I3" s="23">
        <f>F3-H3</f>
        <v>0</v>
      </c>
      <c r="J3" s="23">
        <f t="shared" ref="J3:J10" si="0">I3*2</f>
        <v>0</v>
      </c>
      <c r="K3" s="23">
        <f>G3-J3</f>
        <v>6.0093000000000005</v>
      </c>
      <c r="M3">
        <f>0.025*3.14*1.13</f>
        <v>8.8705000000000006E-2</v>
      </c>
    </row>
    <row r="4" spans="1:13" ht="13.5" customHeight="1" x14ac:dyDescent="0.15">
      <c r="A4" s="22">
        <v>2</v>
      </c>
      <c r="B4" s="117" t="s">
        <v>277</v>
      </c>
      <c r="C4" s="22"/>
      <c r="D4" s="22" t="s">
        <v>213</v>
      </c>
      <c r="E4" s="23">
        <v>6.07</v>
      </c>
      <c r="F4" s="23">
        <v>0.68</v>
      </c>
      <c r="G4" s="23">
        <f t="shared" ref="G4:G12" si="1">E4*F4</f>
        <v>4.1276000000000002</v>
      </c>
      <c r="H4" s="23">
        <v>0.68</v>
      </c>
      <c r="I4" s="23">
        <f t="shared" ref="I4:I12" si="2">F4-H4</f>
        <v>0</v>
      </c>
      <c r="J4" s="23">
        <f t="shared" si="0"/>
        <v>0</v>
      </c>
      <c r="K4" s="23">
        <f t="shared" ref="K4:K12" si="3">G4-J4</f>
        <v>4.1276000000000002</v>
      </c>
      <c r="M4">
        <f>0.025*3.14*0.78</f>
        <v>6.1230000000000014E-2</v>
      </c>
    </row>
    <row r="5" spans="1:13" ht="13.5" customHeight="1" x14ac:dyDescent="0.15">
      <c r="A5" s="22">
        <v>3</v>
      </c>
      <c r="B5" s="117" t="s">
        <v>278</v>
      </c>
      <c r="C5" s="22"/>
      <c r="D5" s="22" t="s">
        <v>213</v>
      </c>
      <c r="E5" s="23">
        <v>6.07</v>
      </c>
      <c r="F5" s="23">
        <v>1.67</v>
      </c>
      <c r="G5" s="23">
        <f t="shared" si="1"/>
        <v>10.136900000000001</v>
      </c>
      <c r="H5" s="23">
        <v>1.67</v>
      </c>
      <c r="I5" s="23">
        <f t="shared" si="2"/>
        <v>0</v>
      </c>
      <c r="J5" s="23">
        <f t="shared" si="0"/>
        <v>0</v>
      </c>
      <c r="K5" s="23">
        <f t="shared" si="3"/>
        <v>10.136900000000001</v>
      </c>
      <c r="M5">
        <f>0.025*3.14*1.92</f>
        <v>0.15072000000000002</v>
      </c>
    </row>
    <row r="6" spans="1:13" ht="13.5" customHeight="1" x14ac:dyDescent="0.15">
      <c r="A6" s="22">
        <v>4</v>
      </c>
      <c r="B6" s="117" t="s">
        <v>279</v>
      </c>
      <c r="C6" s="22"/>
      <c r="D6" s="22" t="s">
        <v>280</v>
      </c>
      <c r="E6" s="23">
        <v>5.5</v>
      </c>
      <c r="F6" s="23">
        <v>0.22800000000000001</v>
      </c>
      <c r="G6" s="23">
        <f t="shared" si="1"/>
        <v>1.254</v>
      </c>
      <c r="H6" s="23">
        <v>0.22800000000000001</v>
      </c>
      <c r="I6" s="23">
        <f t="shared" si="2"/>
        <v>0</v>
      </c>
      <c r="J6" s="23">
        <f t="shared" si="0"/>
        <v>0</v>
      </c>
      <c r="K6" s="23">
        <f t="shared" si="3"/>
        <v>1.254</v>
      </c>
      <c r="M6">
        <f>0.004*3.14*1.15*2</f>
        <v>2.8887999999999997E-2</v>
      </c>
    </row>
    <row r="7" spans="1:13" ht="13.5" customHeight="1" x14ac:dyDescent="0.15">
      <c r="A7" s="22">
        <v>5</v>
      </c>
      <c r="B7" s="117" t="s">
        <v>281</v>
      </c>
      <c r="C7" s="22"/>
      <c r="D7" s="22" t="s">
        <v>213</v>
      </c>
      <c r="E7" s="23">
        <v>6.07</v>
      </c>
      <c r="F7" s="23">
        <v>0.53</v>
      </c>
      <c r="G7" s="23">
        <f t="shared" si="1"/>
        <v>3.2171000000000003</v>
      </c>
      <c r="H7" s="23">
        <v>0.53</v>
      </c>
      <c r="I7" s="23">
        <f t="shared" si="2"/>
        <v>0</v>
      </c>
      <c r="J7" s="23">
        <f t="shared" si="0"/>
        <v>0</v>
      </c>
      <c r="K7" s="23">
        <f t="shared" si="3"/>
        <v>3.2171000000000003</v>
      </c>
      <c r="M7">
        <f>0.025*3.14*0.6</f>
        <v>4.710000000000001E-2</v>
      </c>
    </row>
    <row r="8" spans="1:13" ht="13.5" customHeight="1" x14ac:dyDescent="0.15">
      <c r="A8" s="22">
        <v>6</v>
      </c>
      <c r="B8" s="117" t="s">
        <v>282</v>
      </c>
      <c r="C8" s="22"/>
      <c r="D8" s="22" t="s">
        <v>213</v>
      </c>
      <c r="E8" s="23">
        <v>6.07</v>
      </c>
      <c r="F8" s="22">
        <v>0.27</v>
      </c>
      <c r="G8" s="22">
        <f t="shared" si="1"/>
        <v>1.6389000000000002</v>
      </c>
      <c r="H8" s="22">
        <v>0.27</v>
      </c>
      <c r="I8" s="23">
        <f t="shared" si="2"/>
        <v>0</v>
      </c>
      <c r="J8" s="23">
        <f t="shared" si="0"/>
        <v>0</v>
      </c>
      <c r="K8" s="22">
        <f t="shared" si="3"/>
        <v>1.6389000000000002</v>
      </c>
    </row>
    <row r="9" spans="1:13" ht="13.5" customHeight="1" x14ac:dyDescent="0.15">
      <c r="A9" s="22">
        <v>7</v>
      </c>
      <c r="B9" s="117" t="s">
        <v>283</v>
      </c>
      <c r="C9" s="22"/>
      <c r="D9" s="83" t="s">
        <v>213</v>
      </c>
      <c r="E9" s="23">
        <v>6.07</v>
      </c>
      <c r="F9" s="22">
        <v>0.44</v>
      </c>
      <c r="G9" s="22">
        <f t="shared" si="1"/>
        <v>2.6708000000000003</v>
      </c>
      <c r="H9" s="22">
        <v>0.44</v>
      </c>
      <c r="I9" s="23">
        <f t="shared" si="2"/>
        <v>0</v>
      </c>
      <c r="J9" s="23">
        <f t="shared" si="0"/>
        <v>0</v>
      </c>
      <c r="K9" s="22">
        <f t="shared" si="3"/>
        <v>2.6708000000000003</v>
      </c>
      <c r="M9">
        <f>0.025*3.14*0.5</f>
        <v>3.9250000000000007E-2</v>
      </c>
    </row>
    <row r="10" spans="1:13" ht="13.5" customHeight="1" x14ac:dyDescent="0.15">
      <c r="A10" s="22">
        <v>8</v>
      </c>
      <c r="B10" s="117" t="s">
        <v>284</v>
      </c>
      <c r="C10" s="22"/>
      <c r="D10" s="83" t="s">
        <v>213</v>
      </c>
      <c r="E10" s="23">
        <v>6.07</v>
      </c>
      <c r="F10" s="22">
        <v>0.49</v>
      </c>
      <c r="G10" s="22">
        <f t="shared" si="1"/>
        <v>2.9742999999999999</v>
      </c>
      <c r="H10" s="22">
        <v>0.49</v>
      </c>
      <c r="I10" s="23">
        <f t="shared" si="2"/>
        <v>0</v>
      </c>
      <c r="J10" s="23">
        <f t="shared" si="0"/>
        <v>0</v>
      </c>
      <c r="K10" s="22">
        <f t="shared" si="3"/>
        <v>2.9742999999999999</v>
      </c>
      <c r="M10">
        <f>0.025*3.14*0.56</f>
        <v>4.3960000000000013E-2</v>
      </c>
    </row>
    <row r="11" spans="1:13" ht="13.5" customHeight="1" x14ac:dyDescent="0.15">
      <c r="A11" s="22">
        <v>9</v>
      </c>
      <c r="B11" s="117" t="s">
        <v>285</v>
      </c>
      <c r="C11" s="22"/>
      <c r="D11" s="22" t="s">
        <v>286</v>
      </c>
      <c r="E11" s="23">
        <v>5.9</v>
      </c>
      <c r="F11" s="22">
        <v>0.64</v>
      </c>
      <c r="G11" s="22">
        <f t="shared" si="1"/>
        <v>3.7760000000000002</v>
      </c>
      <c r="H11" s="22">
        <v>0.5</v>
      </c>
      <c r="I11" s="23">
        <f t="shared" si="2"/>
        <v>0.14000000000000001</v>
      </c>
      <c r="J11" s="23">
        <f>I11*2</f>
        <v>0.28000000000000003</v>
      </c>
      <c r="K11" s="22">
        <f t="shared" si="3"/>
        <v>3.4960000000000004</v>
      </c>
      <c r="M11">
        <f>0.117*0.087*2*2</f>
        <v>4.0716000000000002E-2</v>
      </c>
    </row>
    <row r="12" spans="1:13" ht="13.5" customHeight="1" x14ac:dyDescent="0.15">
      <c r="A12" s="22">
        <v>10</v>
      </c>
      <c r="B12" s="117" t="s">
        <v>287</v>
      </c>
      <c r="C12" s="22"/>
      <c r="D12" s="22" t="s">
        <v>286</v>
      </c>
      <c r="E12" s="23">
        <v>5.9</v>
      </c>
      <c r="F12" s="22">
        <v>0.44</v>
      </c>
      <c r="G12" s="22">
        <f t="shared" si="1"/>
        <v>2.5960000000000001</v>
      </c>
      <c r="H12" s="22">
        <v>0.32</v>
      </c>
      <c r="I12" s="23">
        <f t="shared" si="2"/>
        <v>0.12</v>
      </c>
      <c r="J12" s="23">
        <f>I12*2</f>
        <v>0.24</v>
      </c>
      <c r="K12" s="22">
        <f t="shared" si="3"/>
        <v>2.3559999999999999</v>
      </c>
      <c r="M12">
        <f>0.07*0.08*4*2</f>
        <v>4.4800000000000006E-2</v>
      </c>
    </row>
    <row r="13" spans="1:13" ht="13.5" customHeight="1" x14ac:dyDescent="0.15">
      <c r="A13" s="149" t="s">
        <v>82</v>
      </c>
      <c r="B13" s="153"/>
      <c r="C13" s="153"/>
      <c r="D13" s="153"/>
      <c r="E13" s="153"/>
      <c r="F13" s="153"/>
      <c r="G13" s="153"/>
      <c r="H13" s="153"/>
      <c r="I13" s="153"/>
      <c r="J13" s="150"/>
      <c r="K13" s="23">
        <f>SUM(K3:K12)</f>
        <v>37.880900000000004</v>
      </c>
    </row>
    <row r="14" spans="1:13" ht="13.5" customHeight="1" x14ac:dyDescent="0.15">
      <c r="A14" s="22" t="s">
        <v>0</v>
      </c>
      <c r="B14" s="22" t="s">
        <v>52</v>
      </c>
      <c r="C14" s="22" t="s">
        <v>53</v>
      </c>
      <c r="D14" s="22" t="s">
        <v>67</v>
      </c>
      <c r="E14" s="22" t="s">
        <v>68</v>
      </c>
      <c r="F14" s="22" t="s">
        <v>69</v>
      </c>
      <c r="G14" s="22" t="s">
        <v>70</v>
      </c>
      <c r="H14" s="22" t="s">
        <v>71</v>
      </c>
      <c r="I14" s="22" t="s">
        <v>72</v>
      </c>
      <c r="J14" s="149" t="s">
        <v>6</v>
      </c>
      <c r="K14" s="150"/>
      <c r="M14">
        <f>SUM(M3:M13)</f>
        <v>0.54536899999999999</v>
      </c>
    </row>
    <row r="15" spans="1:13" ht="13.5" customHeight="1" x14ac:dyDescent="0.15">
      <c r="A15" s="22">
        <v>1</v>
      </c>
      <c r="B15" s="22"/>
      <c r="C15" s="22"/>
      <c r="D15" s="22"/>
      <c r="E15" s="22" t="s">
        <v>160</v>
      </c>
      <c r="F15" s="22" t="s">
        <v>161</v>
      </c>
      <c r="G15" s="22"/>
      <c r="H15" s="22" t="s">
        <v>162</v>
      </c>
      <c r="I15" s="22"/>
      <c r="J15" s="149"/>
      <c r="K15" s="150"/>
    </row>
    <row r="16" spans="1:13" ht="13.5" customHeight="1" x14ac:dyDescent="0.15">
      <c r="A16" s="22">
        <v>2</v>
      </c>
      <c r="B16" s="22" t="s">
        <v>288</v>
      </c>
      <c r="C16" s="22"/>
      <c r="D16" s="22"/>
      <c r="E16" s="22" t="s">
        <v>160</v>
      </c>
      <c r="F16" s="22" t="s">
        <v>164</v>
      </c>
      <c r="G16" s="22"/>
      <c r="H16" s="22" t="s">
        <v>165</v>
      </c>
      <c r="I16" s="117">
        <v>0.1</v>
      </c>
      <c r="J16" s="149"/>
      <c r="K16" s="150"/>
    </row>
    <row r="17" spans="1:11" ht="13.5" customHeight="1" x14ac:dyDescent="0.15">
      <c r="A17" s="22">
        <v>8</v>
      </c>
      <c r="B17" s="22" t="s">
        <v>288</v>
      </c>
      <c r="C17" s="22"/>
      <c r="D17" s="22" t="s">
        <v>289</v>
      </c>
      <c r="E17" s="22" t="s">
        <v>170</v>
      </c>
      <c r="F17" s="22" t="s">
        <v>177</v>
      </c>
      <c r="G17" s="22">
        <v>12</v>
      </c>
      <c r="H17" s="22">
        <v>0.05</v>
      </c>
      <c r="I17" s="117">
        <f t="shared" ref="I17:I27" si="4">G17*H17</f>
        <v>0.60000000000000009</v>
      </c>
      <c r="J17" s="179" t="s">
        <v>499</v>
      </c>
      <c r="K17" s="150"/>
    </row>
    <row r="18" spans="1:11" ht="13.5" customHeight="1" x14ac:dyDescent="0.15">
      <c r="A18" s="22">
        <v>9</v>
      </c>
      <c r="B18" s="22"/>
      <c r="C18" s="22"/>
      <c r="D18" s="22"/>
      <c r="E18" s="22" t="s">
        <v>170</v>
      </c>
      <c r="F18" s="22" t="s">
        <v>178</v>
      </c>
      <c r="G18" s="22"/>
      <c r="H18" s="22">
        <v>0.05</v>
      </c>
      <c r="I18" s="22">
        <f t="shared" si="4"/>
        <v>0</v>
      </c>
      <c r="J18" s="149"/>
      <c r="K18" s="150"/>
    </row>
    <row r="19" spans="1:11" ht="13.5" customHeight="1" x14ac:dyDescent="0.15">
      <c r="A19" s="22">
        <v>10</v>
      </c>
      <c r="B19" s="22" t="s">
        <v>290</v>
      </c>
      <c r="C19" s="22" t="s">
        <v>291</v>
      </c>
      <c r="D19" s="22" t="s">
        <v>179</v>
      </c>
      <c r="E19" s="22"/>
      <c r="F19" s="22"/>
      <c r="G19" s="22">
        <v>9</v>
      </c>
      <c r="H19" s="108">
        <v>0.05</v>
      </c>
      <c r="I19" s="117">
        <f t="shared" si="4"/>
        <v>0.45</v>
      </c>
      <c r="J19" s="149" t="s">
        <v>180</v>
      </c>
      <c r="K19" s="150"/>
    </row>
    <row r="20" spans="1:11" ht="13.5" customHeight="1" x14ac:dyDescent="0.15">
      <c r="A20" s="22">
        <v>11</v>
      </c>
      <c r="B20" s="22" t="s">
        <v>292</v>
      </c>
      <c r="C20" s="22"/>
      <c r="D20" s="22" t="s">
        <v>75</v>
      </c>
      <c r="E20" s="22"/>
      <c r="F20" s="22"/>
      <c r="G20" s="22">
        <v>2</v>
      </c>
      <c r="H20" s="22">
        <v>0.05</v>
      </c>
      <c r="I20" s="117">
        <f t="shared" si="4"/>
        <v>0.1</v>
      </c>
      <c r="J20" s="149"/>
      <c r="K20" s="150"/>
    </row>
    <row r="21" spans="1:11" ht="13.5" customHeight="1" x14ac:dyDescent="0.15">
      <c r="A21" s="22">
        <v>12</v>
      </c>
      <c r="B21" s="22" t="s">
        <v>293</v>
      </c>
      <c r="C21" s="22"/>
      <c r="D21" s="22" t="s">
        <v>221</v>
      </c>
      <c r="E21" s="22"/>
      <c r="F21" s="22"/>
      <c r="G21" s="22">
        <v>10</v>
      </c>
      <c r="H21" s="22">
        <v>0.04</v>
      </c>
      <c r="I21" s="117">
        <f t="shared" si="4"/>
        <v>0.4</v>
      </c>
      <c r="J21" s="149"/>
      <c r="K21" s="150"/>
    </row>
    <row r="22" spans="1:11" ht="13.5" customHeight="1" x14ac:dyDescent="0.15">
      <c r="A22" s="22">
        <v>13</v>
      </c>
      <c r="B22" s="22" t="s">
        <v>294</v>
      </c>
      <c r="C22" s="22"/>
      <c r="D22" s="22" t="s">
        <v>145</v>
      </c>
      <c r="E22" s="22"/>
      <c r="F22" s="22"/>
      <c r="G22" s="22">
        <v>2</v>
      </c>
      <c r="H22" s="22">
        <v>0.05</v>
      </c>
      <c r="I22" s="117">
        <f t="shared" si="4"/>
        <v>0.1</v>
      </c>
      <c r="J22" s="149"/>
      <c r="K22" s="150"/>
    </row>
    <row r="23" spans="1:11" ht="13.5" customHeight="1" x14ac:dyDescent="0.15">
      <c r="A23" s="22">
        <v>14</v>
      </c>
      <c r="B23" s="22" t="s">
        <v>295</v>
      </c>
      <c r="C23" s="22"/>
      <c r="D23" s="22" t="s">
        <v>183</v>
      </c>
      <c r="E23" s="22"/>
      <c r="F23" s="22"/>
      <c r="G23" s="22">
        <v>10</v>
      </c>
      <c r="H23" s="22">
        <v>0.05</v>
      </c>
      <c r="I23" s="117">
        <f t="shared" si="4"/>
        <v>0.5</v>
      </c>
      <c r="J23" s="149"/>
      <c r="K23" s="150"/>
    </row>
    <row r="24" spans="1:11" ht="13.5" customHeight="1" x14ac:dyDescent="0.15">
      <c r="A24" s="22">
        <v>15</v>
      </c>
      <c r="B24" s="22" t="s">
        <v>294</v>
      </c>
      <c r="C24" s="22"/>
      <c r="D24" s="22" t="s">
        <v>296</v>
      </c>
      <c r="E24" s="22"/>
      <c r="F24" s="22"/>
      <c r="G24" s="22">
        <v>2</v>
      </c>
      <c r="H24" s="22">
        <v>0.04</v>
      </c>
      <c r="I24" s="117">
        <f t="shared" si="4"/>
        <v>0.08</v>
      </c>
      <c r="J24" s="149"/>
      <c r="K24" s="150"/>
    </row>
    <row r="25" spans="1:11" ht="13.5" customHeight="1" x14ac:dyDescent="0.15">
      <c r="A25" s="22">
        <v>16</v>
      </c>
      <c r="B25" s="22" t="s">
        <v>242</v>
      </c>
      <c r="C25" s="22"/>
      <c r="D25" s="22" t="s">
        <v>175</v>
      </c>
      <c r="E25" s="22"/>
      <c r="F25" s="22"/>
      <c r="G25" s="22">
        <v>2</v>
      </c>
      <c r="H25" s="22">
        <v>0.05</v>
      </c>
      <c r="I25" s="117">
        <f t="shared" si="4"/>
        <v>0.1</v>
      </c>
      <c r="J25" s="24"/>
      <c r="K25" s="25"/>
    </row>
    <row r="26" spans="1:11" ht="13.5" customHeight="1" x14ac:dyDescent="0.15">
      <c r="A26" s="22">
        <v>17</v>
      </c>
      <c r="B26" s="22" t="s">
        <v>294</v>
      </c>
      <c r="C26" s="22"/>
      <c r="D26" s="22" t="s">
        <v>185</v>
      </c>
      <c r="E26" s="22"/>
      <c r="F26" s="22"/>
      <c r="G26" s="22">
        <v>2</v>
      </c>
      <c r="H26" s="22">
        <v>0.05</v>
      </c>
      <c r="I26" s="117">
        <f t="shared" si="4"/>
        <v>0.1</v>
      </c>
      <c r="J26" s="149"/>
      <c r="K26" s="150"/>
    </row>
    <row r="27" spans="1:11" ht="13.5" customHeight="1" x14ac:dyDescent="0.15">
      <c r="A27" s="22">
        <v>18</v>
      </c>
      <c r="B27" s="22"/>
      <c r="C27" s="22"/>
      <c r="D27" s="22"/>
      <c r="E27" s="22"/>
      <c r="F27" s="22"/>
      <c r="G27" s="22"/>
      <c r="H27" s="22">
        <v>0.08</v>
      </c>
      <c r="I27" s="22">
        <f t="shared" si="4"/>
        <v>0</v>
      </c>
      <c r="J27" s="149"/>
      <c r="K27" s="150"/>
    </row>
    <row r="28" spans="1:11" ht="13.5" customHeight="1" x14ac:dyDescent="0.15">
      <c r="A28" s="22">
        <v>19</v>
      </c>
      <c r="B28" s="22"/>
      <c r="C28" s="22"/>
      <c r="D28" s="22" t="s">
        <v>187</v>
      </c>
      <c r="E28" s="22"/>
      <c r="F28" s="22"/>
      <c r="G28" s="22"/>
      <c r="H28" s="22"/>
      <c r="I28" s="117">
        <v>0.2</v>
      </c>
      <c r="J28" s="149" t="s">
        <v>188</v>
      </c>
      <c r="K28" s="150"/>
    </row>
    <row r="29" spans="1:11" ht="13.5" customHeight="1" x14ac:dyDescent="0.15">
      <c r="A29" s="22"/>
      <c r="B29" s="22"/>
      <c r="C29" s="22"/>
      <c r="D29" s="149" t="s">
        <v>297</v>
      </c>
      <c r="E29" s="153"/>
      <c r="F29" s="153"/>
      <c r="G29" s="153"/>
      <c r="H29" s="150"/>
      <c r="I29" s="22">
        <v>0.8</v>
      </c>
      <c r="J29" s="24"/>
      <c r="K29" s="25"/>
    </row>
    <row r="30" spans="1:11" ht="13.5" customHeight="1" x14ac:dyDescent="0.15">
      <c r="A30" s="149" t="s">
        <v>82</v>
      </c>
      <c r="B30" s="153"/>
      <c r="C30" s="153"/>
      <c r="D30" s="153"/>
      <c r="E30" s="153"/>
      <c r="F30" s="153"/>
      <c r="G30" s="153"/>
      <c r="H30" s="150"/>
      <c r="I30" s="42">
        <f>SUM(I15:I29)</f>
        <v>3.5300000000000011</v>
      </c>
      <c r="J30" s="22"/>
      <c r="K30" s="22"/>
    </row>
    <row r="31" spans="1:11" ht="13.5" customHeight="1" x14ac:dyDescent="0.15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0"/>
    </row>
    <row r="32" spans="1:11" ht="13.5" customHeight="1" x14ac:dyDescent="0.15">
      <c r="A32" s="149" t="s">
        <v>83</v>
      </c>
      <c r="B32" s="153"/>
      <c r="C32" s="153"/>
      <c r="D32" s="153"/>
      <c r="E32" s="150"/>
      <c r="F32" s="154" t="s">
        <v>84</v>
      </c>
      <c r="G32" s="154"/>
      <c r="H32" s="22" t="s">
        <v>85</v>
      </c>
      <c r="I32" s="22" t="s">
        <v>86</v>
      </c>
      <c r="J32" s="22" t="s">
        <v>87</v>
      </c>
      <c r="K32" s="25" t="s">
        <v>6</v>
      </c>
    </row>
    <row r="33" spans="1:16" ht="13.5" customHeight="1" x14ac:dyDescent="0.15">
      <c r="A33" s="22" t="s">
        <v>0</v>
      </c>
      <c r="B33" s="22" t="s">
        <v>90</v>
      </c>
      <c r="C33" s="22" t="s">
        <v>91</v>
      </c>
      <c r="D33" s="22" t="s">
        <v>92</v>
      </c>
      <c r="E33" s="22" t="s">
        <v>72</v>
      </c>
      <c r="F33" s="154" t="s">
        <v>298</v>
      </c>
      <c r="G33" s="154"/>
      <c r="H33" s="22">
        <v>12</v>
      </c>
      <c r="I33" s="22">
        <v>0.05</v>
      </c>
      <c r="J33" s="36">
        <f>I33*H33</f>
        <v>0.60000000000000009</v>
      </c>
      <c r="K33" s="22"/>
    </row>
    <row r="34" spans="1:16" ht="13.5" customHeight="1" x14ac:dyDescent="0.15">
      <c r="A34" s="26">
        <v>1</v>
      </c>
      <c r="B34" s="22" t="s">
        <v>299</v>
      </c>
      <c r="C34" s="22">
        <v>4</v>
      </c>
      <c r="D34" s="22">
        <v>0.45</v>
      </c>
      <c r="E34" s="22">
        <f>D34*C34</f>
        <v>1.8</v>
      </c>
      <c r="F34" s="149" t="s">
        <v>300</v>
      </c>
      <c r="G34" s="150"/>
      <c r="H34" s="22">
        <v>15</v>
      </c>
      <c r="I34" s="22">
        <v>0.05</v>
      </c>
      <c r="J34" s="36">
        <f t="shared" ref="J34:J38" si="5">I34*H34</f>
        <v>0.75</v>
      </c>
      <c r="K34" s="22"/>
    </row>
    <row r="35" spans="1:16" ht="13.5" customHeight="1" x14ac:dyDescent="0.15">
      <c r="A35" s="26">
        <v>2</v>
      </c>
      <c r="B35" s="22" t="s">
        <v>301</v>
      </c>
      <c r="C35" s="22">
        <v>6</v>
      </c>
      <c r="D35" s="22">
        <v>0.32</v>
      </c>
      <c r="E35" s="117">
        <f t="shared" ref="E35:E44" si="6">D35*C35</f>
        <v>1.92</v>
      </c>
      <c r="F35" s="149" t="s">
        <v>302</v>
      </c>
      <c r="G35" s="150"/>
      <c r="H35" s="22">
        <v>4</v>
      </c>
      <c r="I35" s="22">
        <v>0.05</v>
      </c>
      <c r="J35" s="36">
        <f t="shared" si="5"/>
        <v>0.2</v>
      </c>
      <c r="K35" s="22"/>
    </row>
    <row r="36" spans="1:16" ht="13.5" customHeight="1" x14ac:dyDescent="0.15">
      <c r="A36" s="26">
        <v>3</v>
      </c>
      <c r="B36" s="22" t="s">
        <v>193</v>
      </c>
      <c r="C36" s="22">
        <v>9</v>
      </c>
      <c r="D36" s="22">
        <v>1</v>
      </c>
      <c r="E36" s="22">
        <f t="shared" si="6"/>
        <v>9</v>
      </c>
      <c r="F36" s="149" t="s">
        <v>191</v>
      </c>
      <c r="G36" s="150"/>
      <c r="H36" s="45">
        <v>170</v>
      </c>
      <c r="I36" s="22">
        <v>0.05</v>
      </c>
      <c r="J36" s="36">
        <f t="shared" si="5"/>
        <v>8.5</v>
      </c>
      <c r="K36" s="22"/>
    </row>
    <row r="37" spans="1:16" ht="13.5" customHeight="1" x14ac:dyDescent="0.15">
      <c r="A37" s="26">
        <v>4</v>
      </c>
      <c r="B37" s="22" t="s">
        <v>303</v>
      </c>
      <c r="C37" s="22">
        <v>18</v>
      </c>
      <c r="D37" s="22">
        <v>0.15</v>
      </c>
      <c r="E37" s="22">
        <f t="shared" si="6"/>
        <v>2.6999999999999997</v>
      </c>
      <c r="F37" s="149" t="s">
        <v>304</v>
      </c>
      <c r="G37" s="150"/>
      <c r="H37" s="22">
        <v>6</v>
      </c>
      <c r="I37" s="22">
        <v>0.05</v>
      </c>
      <c r="J37" s="36">
        <f t="shared" si="5"/>
        <v>0.30000000000000004</v>
      </c>
      <c r="K37" s="22"/>
    </row>
    <row r="38" spans="1:16" ht="13.5" customHeight="1" x14ac:dyDescent="0.15">
      <c r="A38" s="26">
        <v>5</v>
      </c>
      <c r="B38" s="22" t="s">
        <v>305</v>
      </c>
      <c r="C38" s="22">
        <v>2</v>
      </c>
      <c r="D38" s="27">
        <v>1.8</v>
      </c>
      <c r="E38" s="27">
        <f t="shared" si="6"/>
        <v>3.6</v>
      </c>
      <c r="F38" s="149" t="s">
        <v>306</v>
      </c>
      <c r="G38" s="150"/>
      <c r="H38" s="22">
        <v>3</v>
      </c>
      <c r="I38" s="22">
        <v>0.05</v>
      </c>
      <c r="J38" s="36">
        <f t="shared" si="5"/>
        <v>0.15000000000000002</v>
      </c>
      <c r="K38" s="22"/>
      <c r="M38" s="35" t="s">
        <v>111</v>
      </c>
      <c r="N38" s="35" t="s">
        <v>112</v>
      </c>
      <c r="O38" s="35" t="s">
        <v>113</v>
      </c>
    </row>
    <row r="39" spans="1:16" ht="13.5" customHeight="1" x14ac:dyDescent="0.15">
      <c r="A39" s="26">
        <v>6</v>
      </c>
      <c r="B39" s="22" t="s">
        <v>307</v>
      </c>
      <c r="C39" s="22">
        <v>9</v>
      </c>
      <c r="D39" s="22">
        <v>0.04</v>
      </c>
      <c r="E39" s="22">
        <f t="shared" si="6"/>
        <v>0.36</v>
      </c>
      <c r="F39" s="149" t="s">
        <v>82</v>
      </c>
      <c r="G39" s="150"/>
      <c r="H39" s="22"/>
      <c r="I39" s="22"/>
      <c r="J39" s="43">
        <f>SUM(J33:J38)</f>
        <v>10.500000000000002</v>
      </c>
      <c r="K39" s="22"/>
      <c r="M39" s="35" t="s">
        <v>115</v>
      </c>
      <c r="N39" s="35" t="s">
        <v>116</v>
      </c>
      <c r="O39" s="35" t="s">
        <v>117</v>
      </c>
    </row>
    <row r="40" spans="1:16" ht="13.5" customHeight="1" x14ac:dyDescent="0.15">
      <c r="A40" s="26">
        <v>7</v>
      </c>
      <c r="B40" s="22" t="s">
        <v>308</v>
      </c>
      <c r="C40" s="22">
        <v>18</v>
      </c>
      <c r="D40" s="22">
        <v>0.03</v>
      </c>
      <c r="E40" s="22">
        <f t="shared" si="6"/>
        <v>0.54</v>
      </c>
      <c r="F40" s="149" t="s">
        <v>119</v>
      </c>
      <c r="G40" s="150"/>
      <c r="H40" s="28" t="s">
        <v>201</v>
      </c>
      <c r="I40" s="22" t="s">
        <v>309</v>
      </c>
      <c r="J40" s="32" t="s">
        <v>87</v>
      </c>
      <c r="K40" s="22" t="s">
        <v>6</v>
      </c>
    </row>
    <row r="41" spans="1:16" ht="13.5" customHeight="1" x14ac:dyDescent="0.15">
      <c r="A41" s="26">
        <v>8</v>
      </c>
      <c r="B41" s="22" t="s">
        <v>310</v>
      </c>
      <c r="C41" s="22">
        <v>2</v>
      </c>
      <c r="D41" s="22">
        <v>0.1</v>
      </c>
      <c r="E41" s="22">
        <f t="shared" si="6"/>
        <v>0.2</v>
      </c>
      <c r="F41" s="149" t="s">
        <v>126</v>
      </c>
      <c r="G41" s="150"/>
      <c r="H41" s="22">
        <v>10</v>
      </c>
      <c r="I41" s="45">
        <v>0.8</v>
      </c>
      <c r="J41" s="22">
        <f>I41*H41</f>
        <v>8</v>
      </c>
      <c r="K41" s="22"/>
    </row>
    <row r="42" spans="1:16" ht="13.5" customHeight="1" x14ac:dyDescent="0.15">
      <c r="A42" s="26">
        <v>9</v>
      </c>
      <c r="B42" s="22" t="s">
        <v>311</v>
      </c>
      <c r="C42" s="22">
        <v>2</v>
      </c>
      <c r="D42" s="22">
        <v>1.3</v>
      </c>
      <c r="E42" s="22">
        <f t="shared" si="6"/>
        <v>2.6</v>
      </c>
      <c r="F42" s="149"/>
      <c r="G42" s="150"/>
      <c r="H42" s="29"/>
      <c r="I42" s="22"/>
      <c r="J42" s="22"/>
      <c r="K42" s="22"/>
      <c r="M42" s="26" t="s">
        <v>122</v>
      </c>
      <c r="N42" s="26" t="s">
        <v>123</v>
      </c>
      <c r="O42" s="26" t="s">
        <v>82</v>
      </c>
    </row>
    <row r="43" spans="1:16" ht="13.5" customHeight="1" x14ac:dyDescent="0.15">
      <c r="A43" s="26"/>
      <c r="B43" s="22" t="s">
        <v>255</v>
      </c>
      <c r="C43" s="22">
        <v>1</v>
      </c>
      <c r="D43" s="22">
        <v>1.1000000000000001</v>
      </c>
      <c r="E43" s="117">
        <f t="shared" si="6"/>
        <v>1.1000000000000001</v>
      </c>
      <c r="F43" s="24"/>
      <c r="G43" s="25"/>
      <c r="H43" s="29"/>
      <c r="I43" s="22"/>
      <c r="J43" s="22"/>
      <c r="K43" s="22"/>
      <c r="M43" s="26">
        <v>7.13</v>
      </c>
      <c r="N43" s="26">
        <v>1.4</v>
      </c>
      <c r="O43" s="26">
        <f>M43*N43</f>
        <v>9.9819999999999993</v>
      </c>
    </row>
    <row r="44" spans="1:16" ht="13.5" customHeight="1" x14ac:dyDescent="0.15">
      <c r="A44" s="26"/>
      <c r="B44" s="22" t="s">
        <v>257</v>
      </c>
      <c r="C44" s="22">
        <v>2</v>
      </c>
      <c r="D44" s="22">
        <v>0.3</v>
      </c>
      <c r="E44" s="117">
        <f t="shared" si="6"/>
        <v>0.6</v>
      </c>
      <c r="F44" s="145"/>
      <c r="G44" s="146"/>
      <c r="H44" s="22"/>
      <c r="I44" s="22"/>
      <c r="J44" s="22"/>
      <c r="K44" s="22"/>
    </row>
    <row r="45" spans="1:16" ht="13.5" customHeight="1" x14ac:dyDescent="0.15">
      <c r="A45" s="145" t="s">
        <v>82</v>
      </c>
      <c r="B45" s="151"/>
      <c r="C45" s="151"/>
      <c r="D45" s="146"/>
      <c r="E45" s="30">
        <f>SUM(E34:E44)</f>
        <v>24.42</v>
      </c>
    </row>
    <row r="46" spans="1:16" ht="13.5" customHeight="1" x14ac:dyDescent="0.15">
      <c r="A46" s="152" t="s">
        <v>127</v>
      </c>
      <c r="B46" s="152"/>
      <c r="C46" s="31" t="s">
        <v>108</v>
      </c>
      <c r="E46" s="32" t="s">
        <v>128</v>
      </c>
      <c r="F46" s="147">
        <f>C51+C50+C49+C48+C47</f>
        <v>86.716000000000008</v>
      </c>
      <c r="G46" s="147"/>
      <c r="H46" s="147"/>
      <c r="I46" s="147"/>
      <c r="J46" s="147"/>
      <c r="K46" s="147"/>
      <c r="M46" s="26" t="s">
        <v>129</v>
      </c>
      <c r="N46" s="26" t="s">
        <v>130</v>
      </c>
      <c r="O46" s="26" t="s">
        <v>82</v>
      </c>
    </row>
    <row r="47" spans="1:16" ht="13.5" customHeight="1" x14ac:dyDescent="0.15">
      <c r="A47" s="148" t="s">
        <v>131</v>
      </c>
      <c r="B47" s="148"/>
      <c r="C47" s="33">
        <f>K13</f>
        <v>37.880900000000004</v>
      </c>
      <c r="E47" s="34" t="s">
        <v>132</v>
      </c>
      <c r="F47" s="147">
        <f>F46*0.03</f>
        <v>2.60148</v>
      </c>
      <c r="G47" s="147"/>
      <c r="H47" s="147"/>
      <c r="I47" s="147"/>
      <c r="J47" s="147"/>
      <c r="K47" s="147"/>
      <c r="M47" s="26">
        <v>92.24</v>
      </c>
      <c r="N47" s="26">
        <v>9.9819999999999993</v>
      </c>
      <c r="O47" s="44">
        <f>M47+N47</f>
        <v>102.22199999999999</v>
      </c>
      <c r="P47" t="s">
        <v>152</v>
      </c>
    </row>
    <row r="48" spans="1:16" ht="13.5" customHeight="1" x14ac:dyDescent="0.15">
      <c r="A48" s="148" t="s">
        <v>133</v>
      </c>
      <c r="B48" s="148"/>
      <c r="C48" s="37">
        <f>I30*1.17</f>
        <v>4.1301000000000014</v>
      </c>
      <c r="E48" s="34" t="s">
        <v>134</v>
      </c>
      <c r="F48" s="147">
        <f>F46*0.03</f>
        <v>2.60148</v>
      </c>
      <c r="G48" s="147"/>
      <c r="H48" s="147"/>
      <c r="I48" s="147"/>
      <c r="J48" s="147"/>
      <c r="K48" s="147"/>
    </row>
    <row r="49" spans="1:11" ht="13.5" customHeight="1" x14ac:dyDescent="0.15">
      <c r="A49" s="148" t="s">
        <v>135</v>
      </c>
      <c r="B49" s="148"/>
      <c r="C49" s="33">
        <f>E45</f>
        <v>24.42</v>
      </c>
      <c r="E49" s="34" t="s">
        <v>136</v>
      </c>
      <c r="F49" s="147">
        <f>F46*0.02</f>
        <v>1.7343200000000003</v>
      </c>
      <c r="G49" s="147"/>
      <c r="H49" s="147"/>
      <c r="I49" s="147"/>
      <c r="J49" s="147"/>
      <c r="K49" s="147"/>
    </row>
    <row r="50" spans="1:11" ht="13.5" customHeight="1" x14ac:dyDescent="0.15">
      <c r="A50" s="148" t="s">
        <v>138</v>
      </c>
      <c r="B50" s="148"/>
      <c r="C50" s="37">
        <f>J39*1.17</f>
        <v>12.285000000000002</v>
      </c>
      <c r="E50" s="34" t="s">
        <v>5</v>
      </c>
      <c r="F50" s="147"/>
      <c r="G50" s="147"/>
      <c r="H50" s="147"/>
      <c r="I50" s="147"/>
      <c r="J50" s="147"/>
      <c r="K50" s="147"/>
    </row>
    <row r="51" spans="1:11" ht="13.5" customHeight="1" x14ac:dyDescent="0.15">
      <c r="A51" s="148" t="s">
        <v>119</v>
      </c>
      <c r="B51" s="148"/>
      <c r="C51" s="33">
        <f>J41+J44</f>
        <v>8</v>
      </c>
      <c r="E51" s="34" t="s">
        <v>139</v>
      </c>
      <c r="F51" s="156">
        <f>F50+F49+F48+F47+F46</f>
        <v>93.653280000000009</v>
      </c>
      <c r="G51" s="156"/>
      <c r="H51" s="156"/>
      <c r="I51" s="156"/>
      <c r="J51" s="156"/>
      <c r="K51" s="156"/>
    </row>
    <row r="52" spans="1:11" x14ac:dyDescent="0.15">
      <c r="A52" s="161"/>
      <c r="B52" s="161"/>
      <c r="H52" t="s">
        <v>152</v>
      </c>
      <c r="I52" t="s">
        <v>312</v>
      </c>
    </row>
    <row r="53" spans="1:11" x14ac:dyDescent="0.15">
      <c r="A53" s="161"/>
      <c r="B53" s="161"/>
    </row>
    <row r="54" spans="1:11" x14ac:dyDescent="0.15">
      <c r="A54" s="161"/>
      <c r="B54" s="161"/>
    </row>
  </sheetData>
  <mergeCells count="48">
    <mergeCell ref="A1:K1"/>
    <mergeCell ref="A13:J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6:K26"/>
    <mergeCell ref="J27:K27"/>
    <mergeCell ref="J28:K28"/>
    <mergeCell ref="D29:H29"/>
    <mergeCell ref="A30:H30"/>
    <mergeCell ref="A31:K31"/>
    <mergeCell ref="A32:E32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4:G44"/>
    <mergeCell ref="A45:D45"/>
    <mergeCell ref="A46:B46"/>
    <mergeCell ref="F46:K46"/>
    <mergeCell ref="A47:B47"/>
    <mergeCell ref="F47:K47"/>
    <mergeCell ref="A48:B48"/>
    <mergeCell ref="F48:K48"/>
    <mergeCell ref="A49:B49"/>
    <mergeCell ref="F49:K49"/>
    <mergeCell ref="A50:B50"/>
    <mergeCell ref="F50:K50"/>
    <mergeCell ref="A51:B51"/>
    <mergeCell ref="F51:K51"/>
    <mergeCell ref="A52:B52"/>
    <mergeCell ref="A53:B53"/>
    <mergeCell ref="A54:B54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4"/>
  <sheetViews>
    <sheetView zoomScale="90" zoomScaleNormal="90" workbookViewId="0">
      <selection activeCell="F4" sqref="F4:F11"/>
    </sheetView>
  </sheetViews>
  <sheetFormatPr defaultColWidth="9" defaultRowHeight="13.5" x14ac:dyDescent="0.15"/>
  <cols>
    <col min="1" max="1" width="3.125" customWidth="1"/>
    <col min="2" max="2" width="15.75" customWidth="1"/>
    <col min="3" max="3" width="9.125" customWidth="1"/>
    <col min="4" max="4" width="7.75" customWidth="1"/>
    <col min="5" max="5" width="9.125" customWidth="1"/>
    <col min="6" max="6" width="7.375" customWidth="1"/>
    <col min="7" max="7" width="7" customWidth="1"/>
    <col min="8" max="8" width="8.125" customWidth="1"/>
    <col min="9" max="9" width="7.75" customWidth="1"/>
    <col min="10" max="10" width="8.875" customWidth="1"/>
    <col min="11" max="11" width="6.5" customWidth="1"/>
    <col min="12" max="12" width="12.25" customWidth="1"/>
    <col min="13" max="13" width="6.25" customWidth="1"/>
    <col min="14" max="14" width="12.5" customWidth="1"/>
    <col min="17" max="17" width="7.5" customWidth="1"/>
    <col min="18" max="18" width="7.375" customWidth="1"/>
    <col min="19" max="19" width="8" customWidth="1"/>
    <col min="23" max="23" width="8.125" customWidth="1"/>
  </cols>
  <sheetData>
    <row r="1" spans="1:12" x14ac:dyDescent="0.15">
      <c r="A1" s="161"/>
      <c r="B1" s="161"/>
    </row>
    <row r="2" spans="1:12" ht="25.5" x14ac:dyDescent="0.15">
      <c r="A2" s="162" t="s">
        <v>339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t="s">
        <v>31</v>
      </c>
    </row>
    <row r="3" spans="1:12" x14ac:dyDescent="0.15">
      <c r="A3" s="22" t="s">
        <v>0</v>
      </c>
      <c r="B3" s="22" t="s">
        <v>52</v>
      </c>
      <c r="C3" s="22" t="s">
        <v>53</v>
      </c>
      <c r="D3" s="22" t="s">
        <v>54</v>
      </c>
      <c r="E3" s="22" t="s">
        <v>55</v>
      </c>
      <c r="F3" s="22" t="s">
        <v>56</v>
      </c>
      <c r="G3" s="22" t="s">
        <v>57</v>
      </c>
      <c r="H3" s="22" t="s">
        <v>58</v>
      </c>
      <c r="I3" s="22" t="s">
        <v>59</v>
      </c>
      <c r="J3" s="22" t="s">
        <v>60</v>
      </c>
      <c r="K3" s="22" t="s">
        <v>61</v>
      </c>
    </row>
    <row r="4" spans="1:12" x14ac:dyDescent="0.15">
      <c r="A4" s="22">
        <v>1</v>
      </c>
      <c r="B4" s="117" t="s">
        <v>320</v>
      </c>
      <c r="C4" s="22"/>
      <c r="D4" s="22" t="s">
        <v>213</v>
      </c>
      <c r="E4" s="23">
        <v>6.07</v>
      </c>
      <c r="F4" s="23">
        <v>0.85</v>
      </c>
      <c r="G4" s="23">
        <f>E4*F4</f>
        <v>5.1595000000000004</v>
      </c>
      <c r="H4" s="23">
        <v>0.85</v>
      </c>
      <c r="I4" s="23">
        <f>F4-H4</f>
        <v>0</v>
      </c>
      <c r="J4" s="108">
        <f t="shared" ref="J4:J9" si="0">I4*2</f>
        <v>0</v>
      </c>
      <c r="K4" s="23">
        <f>G4-J4</f>
        <v>5.1595000000000004</v>
      </c>
      <c r="L4">
        <f>0.025*3.14*0.971</f>
        <v>7.6223500000000013E-2</v>
      </c>
    </row>
    <row r="5" spans="1:12" x14ac:dyDescent="0.15">
      <c r="A5" s="22">
        <v>2</v>
      </c>
      <c r="B5" s="117" t="s">
        <v>277</v>
      </c>
      <c r="C5" s="22"/>
      <c r="D5" s="22" t="s">
        <v>213</v>
      </c>
      <c r="E5" s="23">
        <v>6.07</v>
      </c>
      <c r="F5" s="23">
        <v>0.68</v>
      </c>
      <c r="G5" s="23">
        <f t="shared" ref="G5:G11" si="1">E5*F5</f>
        <v>4.1276000000000002</v>
      </c>
      <c r="H5" s="23">
        <v>0.68</v>
      </c>
      <c r="I5" s="23">
        <f t="shared" ref="I5:I11" si="2">F5-H5</f>
        <v>0</v>
      </c>
      <c r="J5" s="108">
        <f t="shared" si="0"/>
        <v>0</v>
      </c>
      <c r="K5" s="23">
        <f t="shared" ref="K5:K11" si="3">G5-J5</f>
        <v>4.1276000000000002</v>
      </c>
      <c r="L5">
        <f>0.025*3.14*0.78</f>
        <v>6.1230000000000014E-2</v>
      </c>
    </row>
    <row r="6" spans="1:12" x14ac:dyDescent="0.15">
      <c r="A6" s="22">
        <v>3</v>
      </c>
      <c r="B6" s="117" t="s">
        <v>321</v>
      </c>
      <c r="C6" s="22"/>
      <c r="D6" s="22" t="s">
        <v>213</v>
      </c>
      <c r="E6" s="23">
        <v>6.07</v>
      </c>
      <c r="F6" s="23">
        <v>1.54</v>
      </c>
      <c r="G6" s="23">
        <f t="shared" si="1"/>
        <v>9.3478000000000012</v>
      </c>
      <c r="H6" s="23">
        <v>1.54</v>
      </c>
      <c r="I6" s="23">
        <f t="shared" si="2"/>
        <v>0</v>
      </c>
      <c r="J6" s="108">
        <f t="shared" si="0"/>
        <v>0</v>
      </c>
      <c r="K6" s="23">
        <f t="shared" si="3"/>
        <v>9.3478000000000012</v>
      </c>
      <c r="L6">
        <f>0.025*3.14*1.77</f>
        <v>0.13894500000000001</v>
      </c>
    </row>
    <row r="7" spans="1:12" x14ac:dyDescent="0.15">
      <c r="A7" s="22">
        <v>4</v>
      </c>
      <c r="B7" s="117" t="s">
        <v>322</v>
      </c>
      <c r="C7" s="22"/>
      <c r="D7" s="22" t="s">
        <v>280</v>
      </c>
      <c r="E7" s="23">
        <v>5.5</v>
      </c>
      <c r="F7" s="23">
        <v>0.2</v>
      </c>
      <c r="G7" s="23">
        <f t="shared" si="1"/>
        <v>1.1000000000000001</v>
      </c>
      <c r="H7" s="23">
        <v>0.2</v>
      </c>
      <c r="I7" s="23">
        <f t="shared" si="2"/>
        <v>0</v>
      </c>
      <c r="J7" s="108">
        <f t="shared" si="0"/>
        <v>0</v>
      </c>
      <c r="K7" s="23">
        <f t="shared" si="3"/>
        <v>1.1000000000000001</v>
      </c>
      <c r="L7">
        <f>0.004*3.14*1*2</f>
        <v>2.512E-2</v>
      </c>
    </row>
    <row r="8" spans="1:12" x14ac:dyDescent="0.15">
      <c r="A8" s="22">
        <v>5</v>
      </c>
      <c r="B8" s="117" t="s">
        <v>314</v>
      </c>
      <c r="C8" s="22"/>
      <c r="D8" s="22" t="s">
        <v>213</v>
      </c>
      <c r="E8" s="23">
        <v>6.07</v>
      </c>
      <c r="F8" s="23">
        <v>0.2</v>
      </c>
      <c r="G8" s="23">
        <f t="shared" si="1"/>
        <v>1.2140000000000002</v>
      </c>
      <c r="H8" s="23">
        <v>0.2</v>
      </c>
      <c r="I8" s="23">
        <f t="shared" si="2"/>
        <v>0</v>
      </c>
      <c r="J8" s="108">
        <f t="shared" si="0"/>
        <v>0</v>
      </c>
      <c r="K8" s="23">
        <f t="shared" si="3"/>
        <v>1.2140000000000002</v>
      </c>
      <c r="L8">
        <f>0.025*3.14*0.2</f>
        <v>1.5700000000000002E-2</v>
      </c>
    </row>
    <row r="9" spans="1:12" x14ac:dyDescent="0.15">
      <c r="A9" s="22">
        <v>6</v>
      </c>
      <c r="B9" s="117" t="s">
        <v>282</v>
      </c>
      <c r="C9" s="22"/>
      <c r="D9" s="22" t="s">
        <v>213</v>
      </c>
      <c r="E9" s="23">
        <v>6.07</v>
      </c>
      <c r="F9" s="22">
        <v>0.27</v>
      </c>
      <c r="G9" s="22">
        <f t="shared" si="1"/>
        <v>1.6389000000000002</v>
      </c>
      <c r="H9" s="22">
        <v>0.27</v>
      </c>
      <c r="I9" s="23">
        <f t="shared" si="2"/>
        <v>0</v>
      </c>
      <c r="J9" s="108">
        <f t="shared" si="0"/>
        <v>0</v>
      </c>
      <c r="K9" s="22">
        <f t="shared" si="3"/>
        <v>1.6389000000000002</v>
      </c>
    </row>
    <row r="10" spans="1:12" x14ac:dyDescent="0.15">
      <c r="A10" s="22">
        <v>7</v>
      </c>
      <c r="B10" s="117" t="s">
        <v>285</v>
      </c>
      <c r="C10" s="22"/>
      <c r="D10" s="22" t="s">
        <v>286</v>
      </c>
      <c r="E10" s="23">
        <v>5.9</v>
      </c>
      <c r="F10" s="22">
        <v>0.64</v>
      </c>
      <c r="G10" s="22">
        <f t="shared" si="1"/>
        <v>3.7760000000000002</v>
      </c>
      <c r="H10" s="22">
        <v>0.5</v>
      </c>
      <c r="I10" s="22">
        <f t="shared" si="2"/>
        <v>0.14000000000000001</v>
      </c>
      <c r="J10" s="22">
        <f>I10*2</f>
        <v>0.28000000000000003</v>
      </c>
      <c r="K10" s="22">
        <f t="shared" si="3"/>
        <v>3.4960000000000004</v>
      </c>
      <c r="L10">
        <f>0.117*0.087*2*2</f>
        <v>4.0716000000000002E-2</v>
      </c>
    </row>
    <row r="11" spans="1:12" x14ac:dyDescent="0.15">
      <c r="A11" s="22">
        <v>8</v>
      </c>
      <c r="B11" s="117" t="s">
        <v>287</v>
      </c>
      <c r="C11" s="22"/>
      <c r="D11" s="22" t="s">
        <v>286</v>
      </c>
      <c r="E11" s="23">
        <v>5.9</v>
      </c>
      <c r="F11" s="22">
        <v>0.44</v>
      </c>
      <c r="G11" s="22">
        <f t="shared" si="1"/>
        <v>2.5960000000000001</v>
      </c>
      <c r="H11" s="22">
        <v>0.32</v>
      </c>
      <c r="I11" s="22">
        <f t="shared" si="2"/>
        <v>0.12</v>
      </c>
      <c r="J11" s="22">
        <f>I11*2</f>
        <v>0.24</v>
      </c>
      <c r="K11" s="22">
        <f t="shared" si="3"/>
        <v>2.3559999999999999</v>
      </c>
      <c r="L11">
        <f>0.07*0.08*4*2</f>
        <v>4.4800000000000006E-2</v>
      </c>
    </row>
    <row r="12" spans="1:12" x14ac:dyDescent="0.15">
      <c r="A12" s="149" t="s">
        <v>82</v>
      </c>
      <c r="B12" s="153"/>
      <c r="C12" s="153"/>
      <c r="D12" s="153"/>
      <c r="E12" s="153"/>
      <c r="F12" s="153"/>
      <c r="G12" s="153"/>
      <c r="H12" s="153"/>
      <c r="I12" s="153"/>
      <c r="J12" s="150"/>
      <c r="K12" s="23">
        <f>SUM(K4:K11)</f>
        <v>28.439800000000005</v>
      </c>
    </row>
    <row r="13" spans="1:12" x14ac:dyDescent="0.15">
      <c r="A13" s="22" t="s">
        <v>0</v>
      </c>
      <c r="B13" s="22" t="s">
        <v>52</v>
      </c>
      <c r="C13" s="22" t="s">
        <v>53</v>
      </c>
      <c r="D13" s="22" t="s">
        <v>67</v>
      </c>
      <c r="E13" s="22" t="s">
        <v>68</v>
      </c>
      <c r="F13" s="22" t="s">
        <v>69</v>
      </c>
      <c r="G13" s="22" t="s">
        <v>70</v>
      </c>
      <c r="H13" s="22" t="s">
        <v>71</v>
      </c>
      <c r="I13" s="22" t="s">
        <v>72</v>
      </c>
      <c r="J13" s="149" t="s">
        <v>6</v>
      </c>
      <c r="K13" s="150"/>
      <c r="L13">
        <f>SUM(L4:L12)</f>
        <v>0.40273450000000005</v>
      </c>
    </row>
    <row r="14" spans="1:12" x14ac:dyDescent="0.15">
      <c r="A14" s="22">
        <v>1</v>
      </c>
      <c r="B14" s="22"/>
      <c r="C14" s="22"/>
      <c r="D14" s="22"/>
      <c r="E14" s="22" t="s">
        <v>160</v>
      </c>
      <c r="F14" s="22" t="s">
        <v>161</v>
      </c>
      <c r="G14" s="22"/>
      <c r="H14" s="22" t="s">
        <v>162</v>
      </c>
      <c r="I14" s="22"/>
      <c r="J14" s="149"/>
      <c r="K14" s="150"/>
    </row>
    <row r="15" spans="1:12" x14ac:dyDescent="0.15">
      <c r="A15" s="22">
        <v>2</v>
      </c>
      <c r="B15" s="22" t="s">
        <v>315</v>
      </c>
      <c r="C15" s="22"/>
      <c r="D15" s="22"/>
      <c r="E15" s="22" t="s">
        <v>160</v>
      </c>
      <c r="F15" s="22" t="s">
        <v>164</v>
      </c>
      <c r="G15" s="22"/>
      <c r="H15" s="22" t="s">
        <v>165</v>
      </c>
      <c r="I15" s="22">
        <v>0.3</v>
      </c>
      <c r="J15" s="149"/>
      <c r="K15" s="150"/>
    </row>
    <row r="16" spans="1:12" x14ac:dyDescent="0.15">
      <c r="A16" s="22">
        <v>3</v>
      </c>
      <c r="B16" s="22"/>
      <c r="C16" s="22"/>
      <c r="D16" s="22"/>
      <c r="E16" s="22" t="s">
        <v>166</v>
      </c>
      <c r="F16" s="22" t="s">
        <v>167</v>
      </c>
      <c r="G16" s="22"/>
      <c r="H16" s="22">
        <v>0.5</v>
      </c>
      <c r="I16" s="22">
        <f>G16*H16</f>
        <v>0</v>
      </c>
      <c r="J16" s="149"/>
      <c r="K16" s="150"/>
    </row>
    <row r="17" spans="1:11" x14ac:dyDescent="0.15">
      <c r="A17" s="22">
        <v>6</v>
      </c>
      <c r="B17" s="22"/>
      <c r="C17" s="22"/>
      <c r="D17" s="22"/>
      <c r="E17" s="22" t="s">
        <v>170</v>
      </c>
      <c r="F17" s="22" t="s">
        <v>173</v>
      </c>
      <c r="G17" s="22"/>
      <c r="H17" s="22">
        <v>0.15</v>
      </c>
      <c r="I17" s="22">
        <f t="shared" ref="I17:I20" si="4">G17*H17</f>
        <v>0</v>
      </c>
      <c r="J17" s="149"/>
      <c r="K17" s="150"/>
    </row>
    <row r="18" spans="1:11" x14ac:dyDescent="0.15">
      <c r="A18" s="22">
        <v>7</v>
      </c>
      <c r="B18" s="22"/>
      <c r="C18" s="22"/>
      <c r="D18" s="22"/>
      <c r="E18" s="22" t="s">
        <v>170</v>
      </c>
      <c r="F18" s="22" t="s">
        <v>176</v>
      </c>
      <c r="G18" s="22"/>
      <c r="H18" s="22">
        <v>0.08</v>
      </c>
      <c r="I18" s="22">
        <f t="shared" si="4"/>
        <v>0</v>
      </c>
      <c r="J18" s="149"/>
      <c r="K18" s="150"/>
    </row>
    <row r="19" spans="1:11" x14ac:dyDescent="0.15">
      <c r="A19" s="22">
        <v>8</v>
      </c>
      <c r="B19" s="22" t="s">
        <v>315</v>
      </c>
      <c r="C19" s="22"/>
      <c r="D19" s="22" t="s">
        <v>289</v>
      </c>
      <c r="E19" s="22" t="s">
        <v>170</v>
      </c>
      <c r="F19" s="22" t="s">
        <v>177</v>
      </c>
      <c r="G19" s="22">
        <v>12</v>
      </c>
      <c r="H19" s="117">
        <v>0.05</v>
      </c>
      <c r="I19" s="22">
        <f t="shared" si="4"/>
        <v>0.60000000000000009</v>
      </c>
      <c r="J19" s="149"/>
      <c r="K19" s="150"/>
    </row>
    <row r="20" spans="1:11" x14ac:dyDescent="0.15">
      <c r="A20" s="22">
        <v>9</v>
      </c>
      <c r="B20" s="22"/>
      <c r="C20" s="22"/>
      <c r="D20" s="22"/>
      <c r="E20" s="22" t="s">
        <v>170</v>
      </c>
      <c r="F20" s="22" t="s">
        <v>178</v>
      </c>
      <c r="G20" s="22"/>
      <c r="H20" s="22">
        <v>0.05</v>
      </c>
      <c r="I20" s="22">
        <f t="shared" si="4"/>
        <v>0</v>
      </c>
      <c r="J20" s="149"/>
      <c r="K20" s="150"/>
    </row>
    <row r="21" spans="1:11" x14ac:dyDescent="0.15">
      <c r="A21" s="22">
        <v>10</v>
      </c>
      <c r="B21" s="22" t="s">
        <v>340</v>
      </c>
      <c r="C21" s="22" t="s">
        <v>291</v>
      </c>
      <c r="D21" s="22" t="s">
        <v>179</v>
      </c>
      <c r="E21" s="22"/>
      <c r="F21" s="22"/>
      <c r="G21" s="22"/>
      <c r="H21" s="22">
        <v>0.08</v>
      </c>
      <c r="I21" s="22">
        <v>0.46</v>
      </c>
      <c r="J21" s="149" t="s">
        <v>180</v>
      </c>
      <c r="K21" s="150"/>
    </row>
    <row r="22" spans="1:11" x14ac:dyDescent="0.15">
      <c r="A22" s="22">
        <v>11</v>
      </c>
      <c r="B22" s="22" t="s">
        <v>292</v>
      </c>
      <c r="C22" s="22"/>
      <c r="D22" s="22" t="s">
        <v>75</v>
      </c>
      <c r="E22" s="22"/>
      <c r="F22" s="22"/>
      <c r="G22" s="22">
        <v>2</v>
      </c>
      <c r="H22" s="117">
        <v>0.05</v>
      </c>
      <c r="I22" s="22">
        <f t="shared" ref="I22:I29" si="5">G22*H22</f>
        <v>0.1</v>
      </c>
      <c r="J22" s="149"/>
      <c r="K22" s="150"/>
    </row>
    <row r="23" spans="1:11" x14ac:dyDescent="0.15">
      <c r="A23" s="22">
        <v>12</v>
      </c>
      <c r="B23" s="22" t="s">
        <v>317</v>
      </c>
      <c r="C23" s="22"/>
      <c r="D23" s="22" t="s">
        <v>221</v>
      </c>
      <c r="E23" s="22"/>
      <c r="F23" s="22"/>
      <c r="G23" s="22">
        <v>6</v>
      </c>
      <c r="H23" s="22">
        <v>0.04</v>
      </c>
      <c r="I23" s="22">
        <f t="shared" si="5"/>
        <v>0.24</v>
      </c>
      <c r="J23" s="149"/>
      <c r="K23" s="150"/>
    </row>
    <row r="24" spans="1:11" x14ac:dyDescent="0.15">
      <c r="A24" s="22">
        <v>13</v>
      </c>
      <c r="B24" s="22" t="s">
        <v>294</v>
      </c>
      <c r="C24" s="22"/>
      <c r="D24" s="22" t="s">
        <v>145</v>
      </c>
      <c r="E24" s="22"/>
      <c r="F24" s="22"/>
      <c r="G24" s="22">
        <v>2</v>
      </c>
      <c r="H24" s="22">
        <v>0.05</v>
      </c>
      <c r="I24" s="22">
        <f t="shared" si="5"/>
        <v>0.1</v>
      </c>
      <c r="J24" s="149"/>
      <c r="K24" s="150"/>
    </row>
    <row r="25" spans="1:11" x14ac:dyDescent="0.15">
      <c r="A25" s="22">
        <v>14</v>
      </c>
      <c r="B25" s="22" t="s">
        <v>295</v>
      </c>
      <c r="C25" s="22"/>
      <c r="D25" s="22" t="s">
        <v>183</v>
      </c>
      <c r="E25" s="22"/>
      <c r="F25" s="22"/>
      <c r="G25" s="22">
        <v>7</v>
      </c>
      <c r="H25" s="22">
        <v>0.04</v>
      </c>
      <c r="I25" s="22">
        <f t="shared" si="5"/>
        <v>0.28000000000000003</v>
      </c>
      <c r="J25" s="149"/>
      <c r="K25" s="150"/>
    </row>
    <row r="26" spans="1:11" x14ac:dyDescent="0.15">
      <c r="A26" s="22">
        <v>15</v>
      </c>
      <c r="B26" s="22" t="s">
        <v>294</v>
      </c>
      <c r="C26" s="22"/>
      <c r="D26" s="22" t="s">
        <v>296</v>
      </c>
      <c r="E26" s="22"/>
      <c r="F26" s="22"/>
      <c r="G26" s="22">
        <v>2</v>
      </c>
      <c r="H26" s="22">
        <v>0.04</v>
      </c>
      <c r="I26" s="22">
        <f t="shared" si="5"/>
        <v>0.08</v>
      </c>
      <c r="J26" s="149"/>
      <c r="K26" s="150"/>
    </row>
    <row r="27" spans="1:11" x14ac:dyDescent="0.15">
      <c r="A27" s="22">
        <v>16</v>
      </c>
      <c r="B27" s="22" t="s">
        <v>242</v>
      </c>
      <c r="C27" s="22"/>
      <c r="D27" s="22" t="s">
        <v>175</v>
      </c>
      <c r="E27" s="22"/>
      <c r="F27" s="22"/>
      <c r="G27" s="22">
        <v>1</v>
      </c>
      <c r="H27" s="22">
        <v>0.04</v>
      </c>
      <c r="I27" s="22">
        <f t="shared" si="5"/>
        <v>0.04</v>
      </c>
      <c r="J27" s="24"/>
      <c r="K27" s="25"/>
    </row>
    <row r="28" spans="1:11" x14ac:dyDescent="0.15">
      <c r="A28" s="22">
        <v>17</v>
      </c>
      <c r="B28" s="22" t="s">
        <v>341</v>
      </c>
      <c r="C28" s="22"/>
      <c r="D28" s="22" t="s">
        <v>185</v>
      </c>
      <c r="E28" s="22"/>
      <c r="F28" s="22"/>
      <c r="G28" s="22">
        <v>2</v>
      </c>
      <c r="H28" s="22">
        <v>0.05</v>
      </c>
      <c r="I28" s="22">
        <f t="shared" si="5"/>
        <v>0.1</v>
      </c>
      <c r="J28" s="149"/>
      <c r="K28" s="150"/>
    </row>
    <row r="29" spans="1:11" x14ac:dyDescent="0.15">
      <c r="A29" s="22">
        <v>18</v>
      </c>
      <c r="B29" s="22"/>
      <c r="C29" s="22"/>
      <c r="D29" s="22"/>
      <c r="E29" s="22"/>
      <c r="F29" s="22"/>
      <c r="G29" s="22"/>
      <c r="H29" s="22">
        <v>0.08</v>
      </c>
      <c r="I29" s="22">
        <f t="shared" si="5"/>
        <v>0</v>
      </c>
      <c r="J29" s="149"/>
      <c r="K29" s="150"/>
    </row>
    <row r="30" spans="1:11" x14ac:dyDescent="0.15">
      <c r="A30" s="22">
        <v>19</v>
      </c>
      <c r="B30" s="22"/>
      <c r="C30" s="22"/>
      <c r="D30" s="22" t="s">
        <v>187</v>
      </c>
      <c r="E30" s="22"/>
      <c r="F30" s="22"/>
      <c r="G30" s="22"/>
      <c r="H30" s="22"/>
      <c r="I30" s="22">
        <v>0.2</v>
      </c>
      <c r="J30" s="149" t="s">
        <v>188</v>
      </c>
      <c r="K30" s="150"/>
    </row>
    <row r="31" spans="1:11" x14ac:dyDescent="0.15">
      <c r="A31" s="22"/>
      <c r="B31" s="22"/>
      <c r="C31" s="22"/>
      <c r="D31" s="149" t="s">
        <v>297</v>
      </c>
      <c r="E31" s="153"/>
      <c r="F31" s="153"/>
      <c r="G31" s="153"/>
      <c r="H31" s="150"/>
      <c r="I31" s="22">
        <v>0.7</v>
      </c>
      <c r="J31" s="24"/>
      <c r="K31" s="25"/>
    </row>
    <row r="32" spans="1:11" x14ac:dyDescent="0.15">
      <c r="A32" s="149" t="s">
        <v>82</v>
      </c>
      <c r="B32" s="153"/>
      <c r="C32" s="153"/>
      <c r="D32" s="153"/>
      <c r="E32" s="153"/>
      <c r="F32" s="153"/>
      <c r="G32" s="153"/>
      <c r="H32" s="150"/>
      <c r="I32" s="42">
        <f>SUM(I14:I31)</f>
        <v>3.2</v>
      </c>
      <c r="J32" s="22"/>
      <c r="K32" s="22"/>
    </row>
    <row r="33" spans="1:16" x14ac:dyDescent="0.15">
      <c r="A33" s="149" t="s">
        <v>83</v>
      </c>
      <c r="B33" s="153"/>
      <c r="C33" s="153"/>
      <c r="D33" s="153"/>
      <c r="E33" s="150"/>
      <c r="F33" s="154" t="s">
        <v>84</v>
      </c>
      <c r="G33" s="154"/>
      <c r="H33" s="22" t="s">
        <v>85</v>
      </c>
      <c r="I33" s="22" t="s">
        <v>86</v>
      </c>
      <c r="J33" s="22" t="s">
        <v>87</v>
      </c>
      <c r="K33" s="25" t="s">
        <v>6</v>
      </c>
    </row>
    <row r="34" spans="1:16" x14ac:dyDescent="0.15">
      <c r="A34" s="22" t="s">
        <v>0</v>
      </c>
      <c r="B34" s="22" t="s">
        <v>90</v>
      </c>
      <c r="C34" s="22" t="s">
        <v>91</v>
      </c>
      <c r="D34" s="22" t="s">
        <v>92</v>
      </c>
      <c r="E34" s="22" t="s">
        <v>72</v>
      </c>
      <c r="F34" s="154" t="s">
        <v>298</v>
      </c>
      <c r="G34" s="154"/>
      <c r="H34" s="22">
        <v>12</v>
      </c>
      <c r="I34" s="22">
        <v>0.05</v>
      </c>
      <c r="J34" s="36">
        <f>I34*H34</f>
        <v>0.60000000000000009</v>
      </c>
      <c r="K34" s="22"/>
    </row>
    <row r="35" spans="1:16" x14ac:dyDescent="0.15">
      <c r="A35" s="26">
        <v>1</v>
      </c>
      <c r="B35" s="22" t="s">
        <v>299</v>
      </c>
      <c r="C35" s="22">
        <v>3</v>
      </c>
      <c r="D35" s="22">
        <v>0.45</v>
      </c>
      <c r="E35" s="22">
        <f>D35*C35</f>
        <v>1.35</v>
      </c>
      <c r="F35" s="149" t="s">
        <v>300</v>
      </c>
      <c r="G35" s="150"/>
      <c r="H35" s="22">
        <v>12</v>
      </c>
      <c r="I35" s="22">
        <v>0.05</v>
      </c>
      <c r="J35" s="36">
        <f t="shared" ref="J35:J38" si="6">I35*H35</f>
        <v>0.60000000000000009</v>
      </c>
      <c r="K35" s="22"/>
    </row>
    <row r="36" spans="1:16" x14ac:dyDescent="0.15">
      <c r="A36" s="26">
        <v>2</v>
      </c>
      <c r="B36" s="22" t="s">
        <v>301</v>
      </c>
      <c r="C36" s="22">
        <v>4</v>
      </c>
      <c r="D36" s="22">
        <v>0.32</v>
      </c>
      <c r="E36" s="117">
        <f t="shared" ref="E36:E43" si="7">D36*C36</f>
        <v>1.28</v>
      </c>
      <c r="F36" s="149" t="s">
        <v>302</v>
      </c>
      <c r="G36" s="150"/>
      <c r="H36" s="22">
        <v>4</v>
      </c>
      <c r="I36" s="22">
        <v>0.05</v>
      </c>
      <c r="J36" s="36">
        <f t="shared" si="6"/>
        <v>0.2</v>
      </c>
      <c r="K36" s="22"/>
    </row>
    <row r="37" spans="1:16" x14ac:dyDescent="0.15">
      <c r="A37" s="26">
        <v>3</v>
      </c>
      <c r="B37" s="22" t="s">
        <v>193</v>
      </c>
      <c r="C37" s="22">
        <v>8</v>
      </c>
      <c r="D37" s="22">
        <v>1</v>
      </c>
      <c r="E37" s="22">
        <f t="shared" si="7"/>
        <v>8</v>
      </c>
      <c r="F37" s="149" t="s">
        <v>191</v>
      </c>
      <c r="G37" s="150"/>
      <c r="H37" s="45">
        <v>102</v>
      </c>
      <c r="I37" s="22">
        <v>0.05</v>
      </c>
      <c r="J37" s="36">
        <f t="shared" si="6"/>
        <v>5.1000000000000005</v>
      </c>
      <c r="K37" s="22"/>
    </row>
    <row r="38" spans="1:16" x14ac:dyDescent="0.15">
      <c r="A38" s="26">
        <v>4</v>
      </c>
      <c r="B38" s="22" t="s">
        <v>303</v>
      </c>
      <c r="C38" s="22">
        <v>16</v>
      </c>
      <c r="D38" s="22">
        <v>0.15</v>
      </c>
      <c r="E38" s="22">
        <f t="shared" si="7"/>
        <v>2.4</v>
      </c>
      <c r="F38" s="149"/>
      <c r="G38" s="150"/>
      <c r="H38" s="22"/>
      <c r="I38" s="22">
        <v>0.06</v>
      </c>
      <c r="J38" s="36">
        <f t="shared" si="6"/>
        <v>0</v>
      </c>
      <c r="K38" s="22"/>
    </row>
    <row r="39" spans="1:16" x14ac:dyDescent="0.15">
      <c r="A39" s="26">
        <v>5</v>
      </c>
      <c r="B39" s="22" t="s">
        <v>305</v>
      </c>
      <c r="C39" s="22">
        <v>1</v>
      </c>
      <c r="D39" s="27">
        <v>1.8</v>
      </c>
      <c r="E39" s="27">
        <f t="shared" si="7"/>
        <v>1.8</v>
      </c>
      <c r="F39" s="149"/>
      <c r="G39" s="150"/>
      <c r="H39" s="22"/>
      <c r="I39" s="22"/>
      <c r="J39" s="36"/>
      <c r="K39" s="22"/>
    </row>
    <row r="40" spans="1:16" x14ac:dyDescent="0.15">
      <c r="A40" s="26">
        <v>6</v>
      </c>
      <c r="B40" s="22" t="s">
        <v>307</v>
      </c>
      <c r="C40" s="22">
        <v>4</v>
      </c>
      <c r="D40" s="22">
        <v>0.04</v>
      </c>
      <c r="E40" s="22">
        <f t="shared" si="7"/>
        <v>0.16</v>
      </c>
      <c r="F40" s="149" t="s">
        <v>82</v>
      </c>
      <c r="G40" s="150"/>
      <c r="H40" s="22"/>
      <c r="I40" s="22"/>
      <c r="J40" s="43">
        <f>SUM(J34:J39)</f>
        <v>6.5000000000000009</v>
      </c>
      <c r="K40" s="22"/>
    </row>
    <row r="41" spans="1:16" ht="15.75" x14ac:dyDescent="0.15">
      <c r="A41" s="26">
        <v>7</v>
      </c>
      <c r="B41" s="22" t="s">
        <v>308</v>
      </c>
      <c r="C41" s="22">
        <v>16</v>
      </c>
      <c r="D41" s="22">
        <v>0.03</v>
      </c>
      <c r="E41" s="22">
        <f t="shared" si="7"/>
        <v>0.48</v>
      </c>
      <c r="F41" s="149" t="s">
        <v>119</v>
      </c>
      <c r="G41" s="150"/>
      <c r="H41" s="28" t="s">
        <v>201</v>
      </c>
      <c r="I41" s="22" t="s">
        <v>309</v>
      </c>
      <c r="J41" s="32" t="s">
        <v>87</v>
      </c>
      <c r="K41" s="22" t="s">
        <v>6</v>
      </c>
    </row>
    <row r="42" spans="1:16" x14ac:dyDescent="0.15">
      <c r="A42" s="26">
        <v>8</v>
      </c>
      <c r="B42" s="22" t="s">
        <v>310</v>
      </c>
      <c r="C42" s="22">
        <v>2</v>
      </c>
      <c r="D42" s="22">
        <v>0.1</v>
      </c>
      <c r="E42" s="22">
        <f t="shared" si="7"/>
        <v>0.2</v>
      </c>
      <c r="F42" s="149" t="s">
        <v>126</v>
      </c>
      <c r="G42" s="150"/>
      <c r="H42" s="22">
        <v>10</v>
      </c>
      <c r="I42" s="45">
        <v>0.5</v>
      </c>
      <c r="J42" s="22">
        <f>I42*H42</f>
        <v>5</v>
      </c>
      <c r="K42" s="22"/>
    </row>
    <row r="43" spans="1:16" x14ac:dyDescent="0.15">
      <c r="A43" s="26">
        <v>9</v>
      </c>
      <c r="B43" s="22" t="s">
        <v>311</v>
      </c>
      <c r="C43" s="22">
        <v>2</v>
      </c>
      <c r="D43" s="22">
        <v>1.3</v>
      </c>
      <c r="E43" s="22">
        <f t="shared" si="7"/>
        <v>2.6</v>
      </c>
      <c r="F43" s="149"/>
      <c r="G43" s="150"/>
      <c r="H43" s="29"/>
      <c r="I43" s="22"/>
      <c r="J43" s="22"/>
      <c r="K43" s="22"/>
    </row>
    <row r="44" spans="1:16" x14ac:dyDescent="0.15">
      <c r="A44" s="26"/>
      <c r="B44" s="22"/>
      <c r="C44" s="22"/>
      <c r="D44" s="22"/>
      <c r="E44" s="22"/>
      <c r="F44" s="145"/>
      <c r="G44" s="146"/>
      <c r="H44" s="22"/>
      <c r="I44" s="22"/>
      <c r="J44" s="22"/>
      <c r="K44" s="22"/>
    </row>
    <row r="45" spans="1:16" x14ac:dyDescent="0.15">
      <c r="A45" s="145" t="s">
        <v>82</v>
      </c>
      <c r="B45" s="151"/>
      <c r="C45" s="151"/>
      <c r="D45" s="146"/>
      <c r="E45" s="30">
        <f>SUM(E35:E44)</f>
        <v>18.27</v>
      </c>
      <c r="N45" s="35" t="s">
        <v>111</v>
      </c>
      <c r="O45" s="35" t="s">
        <v>112</v>
      </c>
      <c r="P45" s="35" t="s">
        <v>113</v>
      </c>
    </row>
    <row r="46" spans="1:16" x14ac:dyDescent="0.15">
      <c r="A46" s="152" t="s">
        <v>127</v>
      </c>
      <c r="B46" s="152"/>
      <c r="C46" s="31" t="s">
        <v>108</v>
      </c>
      <c r="E46" s="32" t="s">
        <v>128</v>
      </c>
      <c r="F46" s="147">
        <f>C51+C50+C49+C48+C47</f>
        <v>63.058800000000005</v>
      </c>
      <c r="G46" s="147"/>
      <c r="H46" s="147"/>
      <c r="I46" s="147"/>
      <c r="J46" s="147"/>
      <c r="K46" s="147"/>
      <c r="N46" s="35" t="s">
        <v>115</v>
      </c>
      <c r="O46" s="35" t="s">
        <v>116</v>
      </c>
      <c r="P46" s="35" t="s">
        <v>117</v>
      </c>
    </row>
    <row r="47" spans="1:16" x14ac:dyDescent="0.15">
      <c r="A47" s="148" t="s">
        <v>131</v>
      </c>
      <c r="B47" s="148"/>
      <c r="C47" s="33">
        <f>K12</f>
        <v>28.439800000000005</v>
      </c>
      <c r="E47" s="34" t="s">
        <v>132</v>
      </c>
      <c r="F47" s="147">
        <f>F46*0.03</f>
        <v>1.891764</v>
      </c>
      <c r="G47" s="147"/>
      <c r="H47" s="147"/>
      <c r="I47" s="147"/>
      <c r="J47" s="147"/>
      <c r="K47" s="147"/>
    </row>
    <row r="48" spans="1:16" x14ac:dyDescent="0.15">
      <c r="A48" s="148" t="s">
        <v>133</v>
      </c>
      <c r="B48" s="148"/>
      <c r="C48" s="37">
        <f>I32*1.17</f>
        <v>3.7439999999999998</v>
      </c>
      <c r="E48" s="34" t="s">
        <v>134</v>
      </c>
      <c r="F48" s="147">
        <f>F46*0.03</f>
        <v>1.891764</v>
      </c>
      <c r="G48" s="147"/>
      <c r="H48" s="147"/>
      <c r="I48" s="147"/>
      <c r="J48" s="147"/>
      <c r="K48" s="147"/>
    </row>
    <row r="49" spans="1:17" x14ac:dyDescent="0.15">
      <c r="A49" s="148" t="s">
        <v>135</v>
      </c>
      <c r="B49" s="148"/>
      <c r="C49" s="33">
        <f>E45</f>
        <v>18.27</v>
      </c>
      <c r="E49" s="34" t="s">
        <v>136</v>
      </c>
      <c r="F49" s="147">
        <f>F46*0.02</f>
        <v>1.2611760000000001</v>
      </c>
      <c r="G49" s="147"/>
      <c r="H49" s="147"/>
      <c r="I49" s="147"/>
      <c r="J49" s="147"/>
      <c r="K49" s="147"/>
      <c r="N49" s="26" t="s">
        <v>122</v>
      </c>
      <c r="O49" s="26" t="s">
        <v>123</v>
      </c>
      <c r="P49" s="26" t="s">
        <v>82</v>
      </c>
    </row>
    <row r="50" spans="1:17" x14ac:dyDescent="0.15">
      <c r="A50" s="148" t="s">
        <v>138</v>
      </c>
      <c r="B50" s="148"/>
      <c r="C50" s="37">
        <f>J40*1.17</f>
        <v>7.6050000000000004</v>
      </c>
      <c r="E50" s="34" t="s">
        <v>5</v>
      </c>
      <c r="F50" s="147"/>
      <c r="G50" s="147"/>
      <c r="H50" s="147"/>
      <c r="I50" s="147"/>
      <c r="J50" s="147"/>
      <c r="K50" s="147"/>
      <c r="N50" s="26">
        <v>5.07</v>
      </c>
      <c r="O50" s="26">
        <v>1.4</v>
      </c>
      <c r="P50" s="26">
        <f>N50*O50</f>
        <v>7.0979999999999999</v>
      </c>
    </row>
    <row r="51" spans="1:17" x14ac:dyDescent="0.15">
      <c r="A51" s="148" t="s">
        <v>119</v>
      </c>
      <c r="B51" s="148"/>
      <c r="C51" s="33">
        <f>J42+J44</f>
        <v>5</v>
      </c>
      <c r="E51" s="34" t="s">
        <v>139</v>
      </c>
      <c r="F51" s="156">
        <f>F50+F49+F48+F47+F46</f>
        <v>68.103504000000001</v>
      </c>
      <c r="G51" s="156"/>
      <c r="H51" s="156"/>
      <c r="I51" s="156"/>
      <c r="J51" s="156"/>
      <c r="K51" s="156"/>
    </row>
    <row r="52" spans="1:17" x14ac:dyDescent="0.15">
      <c r="H52" t="s">
        <v>152</v>
      </c>
      <c r="I52" t="s">
        <v>4</v>
      </c>
      <c r="J52">
        <v>65.55</v>
      </c>
    </row>
    <row r="53" spans="1:17" x14ac:dyDescent="0.15">
      <c r="N53" s="26" t="s">
        <v>129</v>
      </c>
      <c r="O53" s="26" t="s">
        <v>130</v>
      </c>
      <c r="P53" s="26" t="s">
        <v>82</v>
      </c>
    </row>
    <row r="54" spans="1:17" x14ac:dyDescent="0.15">
      <c r="N54" s="26">
        <v>65.55</v>
      </c>
      <c r="O54" s="26">
        <v>7.0979999999999999</v>
      </c>
      <c r="P54" s="44">
        <f>N54+O54</f>
        <v>72.647999999999996</v>
      </c>
      <c r="Q54" t="s">
        <v>152</v>
      </c>
    </row>
  </sheetData>
  <mergeCells count="48">
    <mergeCell ref="A1:B1"/>
    <mergeCell ref="A2:K2"/>
    <mergeCell ref="A12:J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29:K29"/>
    <mergeCell ref="J30:K30"/>
    <mergeCell ref="D31:H31"/>
    <mergeCell ref="A32:H32"/>
    <mergeCell ref="A33:E3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A45:D45"/>
    <mergeCell ref="A46:B46"/>
    <mergeCell ref="F46:K46"/>
    <mergeCell ref="A47:B47"/>
    <mergeCell ref="F47:K47"/>
    <mergeCell ref="A51:B51"/>
    <mergeCell ref="F51:K51"/>
    <mergeCell ref="A48:B48"/>
    <mergeCell ref="F48:K48"/>
    <mergeCell ref="A49:B49"/>
    <mergeCell ref="F49:K49"/>
    <mergeCell ref="A50:B50"/>
    <mergeCell ref="F50:K50"/>
  </mergeCells>
  <phoneticPr fontId="2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北京网站价格统计</vt:lpstr>
      <vt:lpstr>汇总</vt:lpstr>
      <vt:lpstr>M4司机背</vt:lpstr>
      <vt:lpstr>K1宽车司机背</vt:lpstr>
      <vt:lpstr>J6F副司机背</vt:lpstr>
      <vt:lpstr>G9翻滚 (5)</vt:lpstr>
      <vt:lpstr>连接支架 g7一、二排(4)</vt:lpstr>
      <vt:lpstr>G7G9三排三人 (5)</vt:lpstr>
      <vt:lpstr>G7G9一排双人 (2)</vt:lpstr>
      <vt:lpstr>G7G9一排三人 (2)</vt:lpstr>
      <vt:lpstr>G7G9二排双人 (3)</vt:lpstr>
      <vt:lpstr>G7翻滚 (4)</vt:lpstr>
      <vt:lpstr>连接支架 g7三排(3)</vt:lpstr>
      <vt:lpstr>铰链 (2)</vt:lpstr>
      <vt:lpstr>分体1800</vt:lpstr>
      <vt:lpstr>右舵1800付垫</vt:lpstr>
      <vt:lpstr>整体1800</vt:lpstr>
      <vt:lpstr>连体背</vt:lpstr>
      <vt:lpstr>1995右舵副司机</vt:lpstr>
      <vt:lpstr>1695副司机坐垫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2021-09-02T02:11:54Z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D9B772F788BB414AA41F98575E9C3BEC</vt:lpwstr>
  </property>
  <property fmtid="{D5CDD505-2E9C-101B-9397-08002B2CF9AE}" pid="3" name="KSOProductBuildVer">
    <vt:lpwstr>2052-11.1.0.10314</vt:lpwstr>
  </property>
</Properties>
</file>