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"/>
    </mc:Choice>
  </mc:AlternateContent>
  <xr:revisionPtr revIDLastSave="0" documentId="13_ncr:1_{61E431C8-FF8C-40FC-A8CF-9DEB0044C182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捷润目标价" sheetId="4" r:id="rId1"/>
    <sheet name="智凯目标价" sheetId="6" r:id="rId2"/>
    <sheet name="利达目标价" sheetId="7" r:id="rId3"/>
    <sheet name="产品报价 (4)" sheetId="8" state="hidden" r:id="rId4"/>
    <sheet name="宏达" sheetId="10" r:id="rId5"/>
    <sheet name="恒德1" sheetId="11" r:id="rId6"/>
    <sheet name="冲压件核价" sheetId="5" state="hidden" r:id="rId7"/>
  </sheets>
  <externalReferences>
    <externalReference r:id="rId8"/>
    <externalReference r:id="rId9"/>
  </externalReferences>
  <definedNames>
    <definedName name="_xlnm._FilterDatabase" localSheetId="3" hidden="1">'产品报价 (4)'!$A$3:$X$29</definedName>
    <definedName name="_xlnm._FilterDatabase" localSheetId="6" hidden="1">冲压件核价!$A$3:$AG$10</definedName>
    <definedName name="_xlnm._FilterDatabase" localSheetId="5" hidden="1">恒德1!$A$3:$O$9</definedName>
    <definedName name="_xlnm._FilterDatabase" localSheetId="4" hidden="1">宏达!$A$3:$Q$9</definedName>
    <definedName name="_xlnm._FilterDatabase" localSheetId="0" hidden="1">捷润目标价!$B$3:$Q$10</definedName>
    <definedName name="_xlnm._FilterDatabase" localSheetId="2" hidden="1">利达目标价!$A$3:$P$9</definedName>
    <definedName name="_xlnm._FilterDatabase" localSheetId="1" hidden="1">智凯目标价!$B$3:$Q$13</definedName>
    <definedName name="_xlnm.Print_Area" localSheetId="6">冲压件核价!$A$1:$AE$198</definedName>
  </definedNames>
  <calcPr calcId="191029"/>
</workbook>
</file>

<file path=xl/calcChain.xml><?xml version="1.0" encoding="utf-8"?>
<calcChain xmlns="http://schemas.openxmlformats.org/spreadsheetml/2006/main">
  <c r="M8" i="10" l="1"/>
  <c r="O7" i="10"/>
  <c r="O6" i="10"/>
  <c r="O5" i="10"/>
  <c r="O4" i="10"/>
  <c r="J8" i="11"/>
  <c r="I8" i="11"/>
  <c r="O5" i="11"/>
  <c r="O6" i="11"/>
  <c r="O7" i="11"/>
  <c r="O4" i="11"/>
  <c r="I9" i="4" l="1"/>
  <c r="M9" i="4"/>
  <c r="O8" i="4"/>
  <c r="O7" i="4"/>
  <c r="O6" i="4"/>
  <c r="O5" i="4"/>
  <c r="O4" i="4"/>
  <c r="L8" i="7"/>
  <c r="G8" i="7"/>
  <c r="H9" i="4"/>
  <c r="H6" i="4"/>
  <c r="H12" i="6"/>
  <c r="M12" i="6"/>
  <c r="I12" i="6"/>
  <c r="O11" i="6"/>
  <c r="O10" i="6"/>
  <c r="O9" i="6"/>
  <c r="O8" i="6"/>
  <c r="O7" i="6"/>
  <c r="O6" i="6"/>
  <c r="O5" i="6"/>
  <c r="O4" i="6"/>
  <c r="H7" i="11" l="1"/>
  <c r="I7" i="11" s="1"/>
  <c r="H6" i="11"/>
  <c r="I6" i="11" s="1"/>
  <c r="H5" i="11"/>
  <c r="I5" i="11" s="1"/>
  <c r="L4" i="11"/>
  <c r="H4" i="11"/>
  <c r="I4" i="11" s="1"/>
  <c r="J7" i="10"/>
  <c r="L7" i="10" s="1"/>
  <c r="H7" i="10"/>
  <c r="I7" i="10" s="1"/>
  <c r="J6" i="10"/>
  <c r="L6" i="10" s="1"/>
  <c r="H6" i="10"/>
  <c r="I6" i="10" s="1"/>
  <c r="J5" i="10"/>
  <c r="L5" i="10" s="1"/>
  <c r="H5" i="10"/>
  <c r="I5" i="10" s="1"/>
  <c r="J4" i="10"/>
  <c r="H4" i="10"/>
  <c r="I4" i="10" s="1"/>
  <c r="I8" i="10" s="1"/>
  <c r="V28" i="8"/>
  <c r="U28" i="8"/>
  <c r="R28" i="8"/>
  <c r="I28" i="8"/>
  <c r="V27" i="8"/>
  <c r="U27" i="8"/>
  <c r="R27" i="8"/>
  <c r="I27" i="8"/>
  <c r="V26" i="8"/>
  <c r="U26" i="8"/>
  <c r="R26" i="8"/>
  <c r="I26" i="8"/>
  <c r="V25" i="8"/>
  <c r="U25" i="8"/>
  <c r="R25" i="8"/>
  <c r="I25" i="8"/>
  <c r="V24" i="8"/>
  <c r="U24" i="8"/>
  <c r="R24" i="8"/>
  <c r="I24" i="8"/>
  <c r="V23" i="8"/>
  <c r="U23" i="8"/>
  <c r="R23" i="8"/>
  <c r="M23" i="8"/>
  <c r="O23" i="8" s="1"/>
  <c r="L23" i="8"/>
  <c r="I23" i="8"/>
  <c r="V22" i="8"/>
  <c r="U22" i="8"/>
  <c r="R22" i="8"/>
  <c r="O22" i="8"/>
  <c r="M22" i="8"/>
  <c r="L22" i="8"/>
  <c r="I22" i="8"/>
  <c r="V21" i="8"/>
  <c r="U21" i="8"/>
  <c r="R21" i="8"/>
  <c r="O21" i="8"/>
  <c r="M21" i="8"/>
  <c r="L21" i="8"/>
  <c r="I21" i="8"/>
  <c r="V20" i="8"/>
  <c r="U20" i="8"/>
  <c r="R20" i="8"/>
  <c r="M20" i="8"/>
  <c r="O20" i="8" s="1"/>
  <c r="L20" i="8"/>
  <c r="G20" i="8"/>
  <c r="I20" i="8" s="1"/>
  <c r="V19" i="8"/>
  <c r="U19" i="8"/>
  <c r="R19" i="8"/>
  <c r="M19" i="8"/>
  <c r="O19" i="8" s="1"/>
  <c r="L19" i="8"/>
  <c r="J19" i="8"/>
  <c r="I19" i="8"/>
  <c r="V18" i="8"/>
  <c r="U18" i="8"/>
  <c r="R18" i="8"/>
  <c r="M18" i="8"/>
  <c r="O18" i="8" s="1"/>
  <c r="L18" i="8"/>
  <c r="I18" i="8"/>
  <c r="V17" i="8"/>
  <c r="U17" i="8"/>
  <c r="R17" i="8"/>
  <c r="M17" i="8"/>
  <c r="O17" i="8" s="1"/>
  <c r="L17" i="8"/>
  <c r="I17" i="8"/>
  <c r="V16" i="8"/>
  <c r="U16" i="8"/>
  <c r="R16" i="8"/>
  <c r="M16" i="8"/>
  <c r="O16" i="8" s="1"/>
  <c r="L16" i="8"/>
  <c r="I16" i="8"/>
  <c r="V15" i="8"/>
  <c r="U15" i="8"/>
  <c r="R15" i="8"/>
  <c r="O15" i="8"/>
  <c r="M15" i="8"/>
  <c r="L15" i="8"/>
  <c r="I15" i="8"/>
  <c r="V14" i="8"/>
  <c r="U14" i="8"/>
  <c r="R14" i="8"/>
  <c r="M14" i="8"/>
  <c r="O14" i="8" s="1"/>
  <c r="L14" i="8"/>
  <c r="I14" i="8"/>
  <c r="V13" i="8"/>
  <c r="U13" i="8"/>
  <c r="R13" i="8"/>
  <c r="M13" i="8"/>
  <c r="O13" i="8" s="1"/>
  <c r="L13" i="8"/>
  <c r="I13" i="8"/>
  <c r="V12" i="8"/>
  <c r="U12" i="8"/>
  <c r="R12" i="8"/>
  <c r="O12" i="8"/>
  <c r="M12" i="8"/>
  <c r="L12" i="8"/>
  <c r="I12" i="8"/>
  <c r="V11" i="8"/>
  <c r="U11" i="8"/>
  <c r="R11" i="8"/>
  <c r="O11" i="8"/>
  <c r="M11" i="8"/>
  <c r="L11" i="8"/>
  <c r="I11" i="8"/>
  <c r="V10" i="8"/>
  <c r="U10" i="8"/>
  <c r="R10" i="8"/>
  <c r="M10" i="8"/>
  <c r="O10" i="8" s="1"/>
  <c r="L10" i="8"/>
  <c r="I10" i="8"/>
  <c r="V9" i="8"/>
  <c r="U9" i="8"/>
  <c r="R9" i="8"/>
  <c r="M9" i="8"/>
  <c r="O9" i="8" s="1"/>
  <c r="L9" i="8"/>
  <c r="I9" i="8"/>
  <c r="V8" i="8"/>
  <c r="U8" i="8"/>
  <c r="R8" i="8"/>
  <c r="M8" i="8"/>
  <c r="O8" i="8" s="1"/>
  <c r="L8" i="8"/>
  <c r="I8" i="8"/>
  <c r="V7" i="8"/>
  <c r="U7" i="8"/>
  <c r="R7" i="8"/>
  <c r="O7" i="8"/>
  <c r="M7" i="8"/>
  <c r="L7" i="8"/>
  <c r="I7" i="8"/>
  <c r="V6" i="8"/>
  <c r="U6" i="8"/>
  <c r="R6" i="8"/>
  <c r="M6" i="8"/>
  <c r="O6" i="8" s="1"/>
  <c r="L6" i="8"/>
  <c r="I6" i="8"/>
  <c r="V5" i="8"/>
  <c r="U5" i="8"/>
  <c r="R5" i="8"/>
  <c r="M5" i="8"/>
  <c r="O5" i="8" s="1"/>
  <c r="L5" i="8"/>
  <c r="I5" i="8"/>
  <c r="V4" i="8"/>
  <c r="U4" i="8"/>
  <c r="R4" i="8"/>
  <c r="O4" i="8"/>
  <c r="M4" i="8"/>
  <c r="L4" i="8"/>
  <c r="I4" i="8"/>
  <c r="N7" i="7"/>
  <c r="K7" i="7"/>
  <c r="N6" i="7"/>
  <c r="K6" i="7"/>
  <c r="N5" i="7"/>
  <c r="K5" i="7"/>
  <c r="N4" i="7"/>
  <c r="K4" i="7"/>
  <c r="J11" i="6"/>
  <c r="L11" i="6" s="1"/>
  <c r="J10" i="6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L4" i="10" l="1"/>
  <c r="J8" i="10"/>
  <c r="Y139" i="5"/>
  <c r="T139" i="5"/>
  <c r="S133" i="5"/>
  <c r="Y26" i="5"/>
  <c r="Y27" i="5"/>
  <c r="AC182" i="5"/>
  <c r="Y190" i="5"/>
  <c r="Y188" i="5"/>
  <c r="Y189" i="5"/>
  <c r="Y184" i="5"/>
  <c r="Y185" i="5"/>
  <c r="Y186" i="5"/>
  <c r="Y187" i="5"/>
  <c r="Q182" i="5"/>
  <c r="S182" i="5" s="1"/>
  <c r="T182" i="5" s="1"/>
  <c r="T24" i="5"/>
  <c r="T184" i="5"/>
  <c r="T183" i="5"/>
  <c r="Y183" i="5"/>
  <c r="Y182" i="5"/>
  <c r="AC175" i="5"/>
  <c r="Y176" i="5"/>
  <c r="Y175" i="5"/>
  <c r="Y181" i="5" s="1"/>
  <c r="Q175" i="5"/>
  <c r="V171" i="5"/>
  <c r="Y171" i="5" s="1"/>
  <c r="V165" i="5"/>
  <c r="Y165" i="5" s="1"/>
  <c r="AC161" i="5"/>
  <c r="Y170" i="5"/>
  <c r="Y169" i="5"/>
  <c r="T169" i="5"/>
  <c r="AC168" i="5"/>
  <c r="Y168" i="5"/>
  <c r="Q168" i="5"/>
  <c r="S168" i="5" s="1"/>
  <c r="T168" i="5" s="1"/>
  <c r="W164" i="5"/>
  <c r="Y164" i="5" s="1"/>
  <c r="Y163" i="5"/>
  <c r="T163" i="5"/>
  <c r="T162" i="5"/>
  <c r="Y162" i="5"/>
  <c r="Y161" i="5"/>
  <c r="Q161" i="5"/>
  <c r="S161" i="5" s="1"/>
  <c r="T161" i="5" s="1"/>
  <c r="AC154" i="5"/>
  <c r="Q154" i="5"/>
  <c r="Y155" i="5"/>
  <c r="Y154" i="5"/>
  <c r="Y160" i="5" s="1"/>
  <c r="AC147" i="5"/>
  <c r="Q147" i="5"/>
  <c r="S147" i="5" s="1"/>
  <c r="T147" i="5" s="1"/>
  <c r="T153" i="5" s="1"/>
  <c r="Y148" i="5"/>
  <c r="Y147" i="5"/>
  <c r="AC140" i="5"/>
  <c r="Y141" i="5"/>
  <c r="Y142" i="5"/>
  <c r="Q140" i="5"/>
  <c r="S140" i="5" s="1"/>
  <c r="Y140" i="5"/>
  <c r="AC133" i="5"/>
  <c r="Q133" i="5"/>
  <c r="Y133" i="5"/>
  <c r="AC126" i="5"/>
  <c r="V129" i="5"/>
  <c r="Y129" i="5" s="1"/>
  <c r="Y128" i="5"/>
  <c r="Y191" i="5" l="1"/>
  <c r="T191" i="5"/>
  <c r="T167" i="5"/>
  <c r="Y167" i="5"/>
  <c r="S175" i="5"/>
  <c r="T175" i="5" s="1"/>
  <c r="T181" i="5" s="1"/>
  <c r="AA175" i="5" s="1"/>
  <c r="AB175" i="5" s="1"/>
  <c r="T174" i="5"/>
  <c r="Y174" i="5"/>
  <c r="Y153" i="5"/>
  <c r="AA147" i="5" s="1"/>
  <c r="AB147" i="5" s="1"/>
  <c r="S154" i="5"/>
  <c r="T154" i="5" s="1"/>
  <c r="Y146" i="5"/>
  <c r="T140" i="5"/>
  <c r="T133" i="5"/>
  <c r="AA133" i="5" s="1"/>
  <c r="AB133" i="5" s="1"/>
  <c r="Y127" i="5"/>
  <c r="Y126" i="5"/>
  <c r="Q126" i="5"/>
  <c r="AC114" i="5"/>
  <c r="V124" i="5"/>
  <c r="Y124" i="5" s="1"/>
  <c r="Y116" i="5"/>
  <c r="Y117" i="5"/>
  <c r="Y118" i="5"/>
  <c r="Y119" i="5"/>
  <c r="Y120" i="5"/>
  <c r="Y121" i="5"/>
  <c r="Y122" i="5"/>
  <c r="Y123" i="5"/>
  <c r="Q116" i="5"/>
  <c r="T116" i="5" s="1"/>
  <c r="Q114" i="5"/>
  <c r="S114" i="5" s="1"/>
  <c r="T114" i="5" s="1"/>
  <c r="Q115" i="5"/>
  <c r="S115" i="5" s="1"/>
  <c r="T115" i="5" s="1"/>
  <c r="Y115" i="5"/>
  <c r="Y114" i="5"/>
  <c r="AC107" i="5"/>
  <c r="Y108" i="5"/>
  <c r="Q107" i="5"/>
  <c r="S107" i="5" s="1"/>
  <c r="T107" i="5" s="1"/>
  <c r="T113" i="5" s="1"/>
  <c r="Y107" i="5"/>
  <c r="AC100" i="5"/>
  <c r="Y100" i="5"/>
  <c r="Y106" i="5" s="1"/>
  <c r="Q100" i="5"/>
  <c r="AC93" i="5"/>
  <c r="Y93" i="5"/>
  <c r="Y99" i="5" s="1"/>
  <c r="Q93" i="5"/>
  <c r="S93" i="5" s="1"/>
  <c r="T93" i="5" s="1"/>
  <c r="T99" i="5" s="1"/>
  <c r="AC86" i="5"/>
  <c r="Y86" i="5"/>
  <c r="Y92" i="5" s="1"/>
  <c r="Q86" i="5"/>
  <c r="S86" i="5" s="1"/>
  <c r="T86" i="5" s="1"/>
  <c r="T92" i="5" s="1"/>
  <c r="Y83" i="5"/>
  <c r="Y75" i="5"/>
  <c r="Y82" i="5"/>
  <c r="Q79" i="5"/>
  <c r="S79" i="5" s="1"/>
  <c r="T79" i="5" s="1"/>
  <c r="Y81" i="5"/>
  <c r="Y80" i="5"/>
  <c r="T80" i="5"/>
  <c r="Y79" i="5"/>
  <c r="AC72" i="5"/>
  <c r="Y74" i="5"/>
  <c r="T23" i="5"/>
  <c r="T22" i="5"/>
  <c r="T73" i="5"/>
  <c r="Q72" i="5"/>
  <c r="S72" i="5" s="1"/>
  <c r="T72" i="5" s="1"/>
  <c r="Y73" i="5"/>
  <c r="Y72" i="5"/>
  <c r="AC65" i="5"/>
  <c r="Y66" i="5"/>
  <c r="Y65" i="5"/>
  <c r="Q65" i="5"/>
  <c r="S65" i="5" s="1"/>
  <c r="T65" i="5" s="1"/>
  <c r="T71" i="5" s="1"/>
  <c r="AC58" i="5"/>
  <c r="Q58" i="5"/>
  <c r="S58" i="5" s="1"/>
  <c r="T58" i="5" s="1"/>
  <c r="T64" i="5" s="1"/>
  <c r="Y59" i="5"/>
  <c r="Y58" i="5"/>
  <c r="AC51" i="5"/>
  <c r="Y54" i="5"/>
  <c r="Y53" i="5"/>
  <c r="Y52" i="5"/>
  <c r="Y51" i="5"/>
  <c r="Q51" i="5"/>
  <c r="S51" i="5" s="1"/>
  <c r="T51" i="5" s="1"/>
  <c r="T57" i="5" s="1"/>
  <c r="Y47" i="5"/>
  <c r="Y48" i="5"/>
  <c r="Q44" i="5"/>
  <c r="S44" i="5" s="1"/>
  <c r="Y46" i="5"/>
  <c r="Y45" i="5"/>
  <c r="Y44" i="5"/>
  <c r="AC37" i="5"/>
  <c r="AC30" i="5"/>
  <c r="Q37" i="5"/>
  <c r="Y39" i="5"/>
  <c r="Y38" i="5"/>
  <c r="Y37" i="5"/>
  <c r="Y28" i="5"/>
  <c r="Q30" i="5"/>
  <c r="Y32" i="5"/>
  <c r="Y31" i="5"/>
  <c r="Y30" i="5"/>
  <c r="AC21" i="5"/>
  <c r="Y22" i="5"/>
  <c r="Y23" i="5"/>
  <c r="Y24" i="5"/>
  <c r="Y25" i="5"/>
  <c r="Y21" i="5"/>
  <c r="Q21" i="5"/>
  <c r="S21" i="5" s="1"/>
  <c r="T21" i="5" s="1"/>
  <c r="W17" i="5"/>
  <c r="Y17" i="5" s="1"/>
  <c r="AC11" i="5"/>
  <c r="Y12" i="5"/>
  <c r="Y13" i="5"/>
  <c r="Y14" i="5"/>
  <c r="Y15" i="5"/>
  <c r="Y16" i="5"/>
  <c r="Y11" i="5"/>
  <c r="AE147" i="5" l="1"/>
  <c r="AE175" i="5"/>
  <c r="AE133" i="5"/>
  <c r="AA182" i="5"/>
  <c r="AB182" i="5" s="1"/>
  <c r="AA168" i="5"/>
  <c r="AB168" i="5" s="1"/>
  <c r="AA161" i="5"/>
  <c r="AB161" i="5" s="1"/>
  <c r="T160" i="5"/>
  <c r="AA154" i="5" s="1"/>
  <c r="AB154" i="5" s="1"/>
  <c r="Y132" i="5"/>
  <c r="T146" i="5"/>
  <c r="AA140" i="5" s="1"/>
  <c r="AB140" i="5" s="1"/>
  <c r="S126" i="5"/>
  <c r="T126" i="5" s="1"/>
  <c r="T132" i="5" s="1"/>
  <c r="Y125" i="5"/>
  <c r="T125" i="5"/>
  <c r="Y113" i="5"/>
  <c r="AA107" i="5" s="1"/>
  <c r="AB107" i="5" s="1"/>
  <c r="S100" i="5"/>
  <c r="T100" i="5" s="1"/>
  <c r="Y64" i="5"/>
  <c r="AA58" i="5" s="1"/>
  <c r="AB58" i="5" s="1"/>
  <c r="AA93" i="5"/>
  <c r="AB93" i="5" s="1"/>
  <c r="T85" i="5"/>
  <c r="Y36" i="5"/>
  <c r="AA86" i="5"/>
  <c r="AB86" i="5" s="1"/>
  <c r="T78" i="5"/>
  <c r="Y85" i="5"/>
  <c r="Y71" i="5"/>
  <c r="AA65" i="5" s="1"/>
  <c r="AB65" i="5" s="1"/>
  <c r="Y78" i="5"/>
  <c r="Y57" i="5"/>
  <c r="AA51" i="5" s="1"/>
  <c r="AB51" i="5" s="1"/>
  <c r="Y50" i="5"/>
  <c r="T44" i="5"/>
  <c r="T50" i="5" s="1"/>
  <c r="Y43" i="5"/>
  <c r="S37" i="5"/>
  <c r="T37" i="5" s="1"/>
  <c r="T43" i="5" s="1"/>
  <c r="Y29" i="5"/>
  <c r="S30" i="5"/>
  <c r="T30" i="5" s="1"/>
  <c r="T36" i="5" s="1"/>
  <c r="Y20" i="5"/>
  <c r="AE140" i="5" l="1"/>
  <c r="AE93" i="5"/>
  <c r="AE154" i="5"/>
  <c r="AE168" i="5"/>
  <c r="AE182" i="5"/>
  <c r="AE51" i="5"/>
  <c r="AE58" i="5"/>
  <c r="AE107" i="5"/>
  <c r="AE86" i="5"/>
  <c r="AE65" i="5"/>
  <c r="AE161" i="5"/>
  <c r="AA126" i="5"/>
  <c r="AB126" i="5" s="1"/>
  <c r="AA114" i="5"/>
  <c r="AB114" i="5" s="1"/>
  <c r="T106" i="5"/>
  <c r="AA100" i="5" s="1"/>
  <c r="AB100" i="5" s="1"/>
  <c r="AA79" i="5"/>
  <c r="AB79" i="5" s="1"/>
  <c r="AA72" i="5"/>
  <c r="AB72" i="5" s="1"/>
  <c r="AA37" i="5"/>
  <c r="AB37" i="5" s="1"/>
  <c r="AA44" i="5"/>
  <c r="AB44" i="5" s="1"/>
  <c r="AA30" i="5"/>
  <c r="AB30" i="5" s="1"/>
  <c r="AE114" i="5" l="1"/>
  <c r="AE126" i="5"/>
  <c r="AE30" i="5"/>
  <c r="AE44" i="5"/>
  <c r="AE72" i="5"/>
  <c r="AE79" i="5"/>
  <c r="AE37" i="5"/>
  <c r="AE100" i="5"/>
  <c r="Q12" i="5"/>
  <c r="S12" i="5" s="1"/>
  <c r="Q11" i="5"/>
  <c r="S11" i="5" s="1"/>
  <c r="Q4" i="5"/>
  <c r="S4" i="5" s="1"/>
  <c r="Y5" i="5"/>
  <c r="Y6" i="5"/>
  <c r="Y7" i="5"/>
  <c r="Y4" i="5"/>
  <c r="T29" i="5"/>
  <c r="T12" i="5" l="1"/>
  <c r="T11" i="5"/>
  <c r="AA21" i="5"/>
  <c r="AB21" i="5" s="1"/>
  <c r="T4" i="5"/>
  <c r="AE21" i="5" l="1"/>
  <c r="T20" i="5"/>
  <c r="AA11" i="5" s="1"/>
  <c r="AB11" i="5" s="1"/>
  <c r="AE11" i="5" l="1"/>
  <c r="T10" i="5"/>
  <c r="Y10" i="5"/>
  <c r="AA4" i="5" l="1"/>
  <c r="AB4" i="5" s="1"/>
  <c r="AE4" i="5" l="1"/>
  <c r="L8" i="4" l="1"/>
  <c r="L7" i="4"/>
  <c r="L6" i="4"/>
  <c r="L4" i="4"/>
  <c r="L5" i="4"/>
  <c r="K5" i="11"/>
  <c r="L5" i="11" s="1"/>
  <c r="K6" i="11"/>
  <c r="L6" i="11" s="1"/>
  <c r="K7" i="11"/>
  <c r="L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Q4" authorId="0" shapeId="0" xr:uid="{CE332B29-A465-4D3F-9D11-049C6F7E8D54}">
      <text>
        <r>
          <rPr>
            <b/>
            <sz val="9"/>
            <color indexed="81"/>
            <rFont val="宋体"/>
            <family val="3"/>
            <charset val="134"/>
          </rPr>
          <t>吴英格:
按照70%材料利用率反推</t>
        </r>
      </text>
    </comment>
  </commentList>
</comments>
</file>

<file path=xl/sharedStrings.xml><?xml version="1.0" encoding="utf-8"?>
<sst xmlns="http://schemas.openxmlformats.org/spreadsheetml/2006/main" count="776" uniqueCount="209">
  <si>
    <t>图号</t>
  </si>
  <si>
    <t>零件名称</t>
  </si>
  <si>
    <t>零件模具图片名称</t>
  </si>
  <si>
    <t>工序</t>
  </si>
  <si>
    <t>数量</t>
  </si>
  <si>
    <t>合计</t>
  </si>
  <si>
    <t>2.0座框升级钣金件-产品价格汇总</t>
  </si>
  <si>
    <t>材质</t>
  </si>
  <si>
    <t>单件报价</t>
  </si>
  <si>
    <t>模摊费</t>
  </si>
  <si>
    <t>含模摊价</t>
  </si>
  <si>
    <t>备注：以上价格均未税</t>
  </si>
  <si>
    <t>SLT0010607</t>
    <phoneticPr fontId="6" type="noConversion"/>
  </si>
  <si>
    <t>前排靠背复位卷簧限位支架</t>
    <phoneticPr fontId="6" type="noConversion"/>
  </si>
  <si>
    <t>泊头捷润</t>
    <phoneticPr fontId="6" type="noConversion"/>
  </si>
  <si>
    <t>沧州智凯</t>
    <phoneticPr fontId="6" type="noConversion"/>
  </si>
  <si>
    <t>落料</t>
    <phoneticPr fontId="6" type="noConversion"/>
  </si>
  <si>
    <t>成型1</t>
    <phoneticPr fontId="6" type="noConversion"/>
  </si>
  <si>
    <t>成型2</t>
    <phoneticPr fontId="6" type="noConversion"/>
  </si>
  <si>
    <t>冲孔</t>
    <phoneticPr fontId="6" type="noConversion"/>
  </si>
  <si>
    <t>SLT0010599</t>
    <phoneticPr fontId="6" type="noConversion"/>
  </si>
  <si>
    <t>副驾靠背左侧装车钣金焊接总成</t>
    <phoneticPr fontId="6" type="noConversion"/>
  </si>
  <si>
    <t>SLT0010230</t>
    <phoneticPr fontId="6" type="noConversion"/>
  </si>
  <si>
    <t>驾驶员座垫右侧安装板总成</t>
    <phoneticPr fontId="6" type="noConversion"/>
  </si>
  <si>
    <t>成型</t>
    <phoneticPr fontId="6" type="noConversion"/>
  </si>
  <si>
    <t>折弯</t>
    <phoneticPr fontId="6" type="noConversion"/>
  </si>
  <si>
    <t>SLT0010543</t>
    <phoneticPr fontId="6" type="noConversion"/>
  </si>
  <si>
    <t>滑轨左连接板1</t>
    <phoneticPr fontId="6" type="noConversion"/>
  </si>
  <si>
    <t>落料冲孔</t>
    <phoneticPr fontId="6" type="noConversion"/>
  </si>
  <si>
    <t>SLT0010641</t>
    <phoneticPr fontId="6" type="noConversion"/>
  </si>
  <si>
    <t>滑轨左连接板2</t>
    <phoneticPr fontId="6" type="noConversion"/>
  </si>
  <si>
    <t>SLT0010544</t>
    <phoneticPr fontId="6" type="noConversion"/>
  </si>
  <si>
    <t>滑轨右连接板1</t>
    <phoneticPr fontId="6" type="noConversion"/>
  </si>
  <si>
    <t>SLT0010642</t>
    <phoneticPr fontId="6" type="noConversion"/>
  </si>
  <si>
    <t>滑轨右连接板2</t>
    <phoneticPr fontId="6" type="noConversion"/>
  </si>
  <si>
    <t>SLT0010541</t>
    <phoneticPr fontId="6" type="noConversion"/>
  </si>
  <si>
    <t>阻尼器支架</t>
    <phoneticPr fontId="6" type="noConversion"/>
  </si>
  <si>
    <t>SLT0010546</t>
    <phoneticPr fontId="6" type="noConversion"/>
  </si>
  <si>
    <t>直线阀下支架</t>
    <phoneticPr fontId="6" type="noConversion"/>
  </si>
  <si>
    <t>SLT0010552</t>
    <phoneticPr fontId="6" type="noConversion"/>
  </si>
  <si>
    <t>左调角器焊接组件</t>
    <phoneticPr fontId="6" type="noConversion"/>
  </si>
  <si>
    <t>SLT0010558</t>
    <phoneticPr fontId="6" type="noConversion"/>
  </si>
  <si>
    <t>右调角器焊接组件</t>
    <phoneticPr fontId="6" type="noConversion"/>
  </si>
  <si>
    <t>SLT0010549</t>
    <phoneticPr fontId="6" type="noConversion"/>
  </si>
  <si>
    <t>外绞架加强板</t>
    <phoneticPr fontId="6" type="noConversion"/>
  </si>
  <si>
    <t>SLT0010559</t>
    <phoneticPr fontId="6" type="noConversion"/>
  </si>
  <si>
    <t>外绞架加强片</t>
    <phoneticPr fontId="6" type="noConversion"/>
  </si>
  <si>
    <t>SLT0010565</t>
    <phoneticPr fontId="6" type="noConversion"/>
  </si>
  <si>
    <t>内绞架加强片</t>
    <phoneticPr fontId="6" type="noConversion"/>
  </si>
  <si>
    <t>SLT0010679</t>
    <phoneticPr fontId="6" type="noConversion"/>
  </si>
  <si>
    <t>左侧护板固定钣金</t>
    <phoneticPr fontId="6" type="noConversion"/>
  </si>
  <si>
    <t>SLT0010222</t>
    <phoneticPr fontId="6" type="noConversion"/>
  </si>
  <si>
    <t>驾驶员左侧调角器下连接板焊接总成</t>
    <phoneticPr fontId="6" type="noConversion"/>
  </si>
  <si>
    <t>SLT0010646</t>
    <phoneticPr fontId="6" type="noConversion"/>
  </si>
  <si>
    <t>扶手安装支架焊接总成</t>
    <phoneticPr fontId="6" type="noConversion"/>
  </si>
  <si>
    <t>SLT0010553</t>
    <phoneticPr fontId="6" type="noConversion"/>
  </si>
  <si>
    <t>上盖板加强件</t>
    <phoneticPr fontId="6" type="noConversion"/>
  </si>
  <si>
    <t>SLT0010561</t>
    <phoneticPr fontId="6" type="noConversion"/>
  </si>
  <si>
    <t>减震器下挂钩</t>
    <phoneticPr fontId="6" type="noConversion"/>
  </si>
  <si>
    <t>SLT0010560</t>
    <phoneticPr fontId="6" type="noConversion"/>
  </si>
  <si>
    <t>安全上挂钩</t>
    <phoneticPr fontId="6" type="noConversion"/>
  </si>
  <si>
    <t>SPFH590 3.0</t>
    <phoneticPr fontId="6" type="noConversion"/>
  </si>
  <si>
    <t>ASSY</t>
  </si>
  <si>
    <t>ASSY</t>
    <phoneticPr fontId="6" type="noConversion"/>
  </si>
  <si>
    <t>SPFH590 /T=3.0</t>
  </si>
  <si>
    <t>SAPH440 /T=3.0</t>
  </si>
  <si>
    <t>SAPH440 /T=2.0</t>
  </si>
  <si>
    <t>Q235-A</t>
  </si>
  <si>
    <t>Q235 2.0</t>
  </si>
  <si>
    <t>单件报价</t>
    <phoneticPr fontId="6" type="noConversion"/>
  </si>
  <si>
    <t>折弯冲孔</t>
    <phoneticPr fontId="6" type="noConversion"/>
  </si>
  <si>
    <t>落料</t>
  </si>
  <si>
    <t>成型</t>
  </si>
  <si>
    <t>翻边</t>
  </si>
  <si>
    <t>冲孔</t>
  </si>
  <si>
    <t>铆接</t>
  </si>
  <si>
    <t>未提报</t>
    <phoneticPr fontId="6" type="noConversion"/>
  </si>
  <si>
    <t>SLT0010547</t>
    <phoneticPr fontId="6" type="noConversion"/>
  </si>
  <si>
    <t>外绞架支撑板</t>
    <phoneticPr fontId="6" type="noConversion"/>
  </si>
  <si>
    <t>SLT0010548</t>
    <phoneticPr fontId="6" type="noConversion"/>
  </si>
  <si>
    <t>内绞架支撑板</t>
    <phoneticPr fontId="6" type="noConversion"/>
  </si>
  <si>
    <t>SLT0010564</t>
    <phoneticPr fontId="6" type="noConversion"/>
  </si>
  <si>
    <t>滚轮上滑槽</t>
    <phoneticPr fontId="6" type="noConversion"/>
  </si>
  <si>
    <t>SLT0010686</t>
    <phoneticPr fontId="6" type="noConversion"/>
  </si>
  <si>
    <t>驾驶员座垫右侧安装板</t>
    <phoneticPr fontId="6" type="noConversion"/>
  </si>
  <si>
    <t>SPFH590/T=6.0</t>
    <phoneticPr fontId="6" type="noConversion"/>
  </si>
  <si>
    <t>QStE500 2.5</t>
    <phoneticPr fontId="6" type="noConversion"/>
  </si>
  <si>
    <t>9月16日轻卡减震新增</t>
    <phoneticPr fontId="6" type="noConversion"/>
  </si>
  <si>
    <t>SLT0010540</t>
    <phoneticPr fontId="6" type="noConversion"/>
  </si>
  <si>
    <t>滚轮下滑槽</t>
    <phoneticPr fontId="6" type="noConversion"/>
  </si>
  <si>
    <t>整形</t>
  </si>
  <si>
    <t>目标价</t>
    <phoneticPr fontId="6" type="noConversion"/>
  </si>
  <si>
    <t>项目</t>
    <phoneticPr fontId="6" type="noConversion"/>
  </si>
  <si>
    <t>统帅轻卡1880项目</t>
  </si>
  <si>
    <t>平台化-轻卡减震座椅</t>
  </si>
  <si>
    <t>改为总成供货，需要利达重新报价</t>
    <phoneticPr fontId="6" type="noConversion"/>
  </si>
  <si>
    <t>SLT0010557</t>
    <phoneticPr fontId="6" type="noConversion"/>
  </si>
  <si>
    <r>
      <rPr>
        <sz val="11"/>
        <color indexed="8"/>
        <rFont val="宋体"/>
        <family val="3"/>
        <charset val="134"/>
      </rPr>
      <t>外绞架</t>
    </r>
    <r>
      <rPr>
        <sz val="11"/>
        <color indexed="10"/>
        <rFont val="宋体"/>
        <family val="3"/>
        <charset val="134"/>
      </rPr>
      <t>支撑板</t>
    </r>
    <r>
      <rPr>
        <sz val="11"/>
        <color indexed="8"/>
        <rFont val="宋体"/>
        <family val="3"/>
        <charset val="134"/>
      </rPr>
      <t>组件</t>
    </r>
    <phoneticPr fontId="6" type="noConversion"/>
  </si>
  <si>
    <t>SLT0010556</t>
    <phoneticPr fontId="6" type="noConversion"/>
  </si>
  <si>
    <t>内绞架支撑板组件</t>
    <phoneticPr fontId="6" type="noConversion"/>
  </si>
  <si>
    <t>外绞架支撑板组件</t>
    <phoneticPr fontId="6" type="noConversion"/>
  </si>
  <si>
    <t>冲压件核价</t>
    <phoneticPr fontId="6" type="noConversion"/>
  </si>
  <si>
    <t>序</t>
  </si>
  <si>
    <t>厂家</t>
    <phoneticPr fontId="6" type="noConversion"/>
  </si>
  <si>
    <t>核价区间</t>
    <phoneticPr fontId="6" type="noConversion"/>
  </si>
  <si>
    <t>QAD号</t>
    <phoneticPr fontId="6" type="noConversion"/>
  </si>
  <si>
    <t>物料代码</t>
  </si>
  <si>
    <t>名称</t>
  </si>
  <si>
    <t>单件</t>
    <phoneticPr fontId="6" type="noConversion"/>
  </si>
  <si>
    <t>数量</t>
    <phoneticPr fontId="6" type="noConversion"/>
  </si>
  <si>
    <t>下料尺寸</t>
    <phoneticPr fontId="6" type="noConversion"/>
  </si>
  <si>
    <t>含税单价</t>
  </si>
  <si>
    <t>重量</t>
  </si>
  <si>
    <t>材料费</t>
  </si>
  <si>
    <t>加工成本</t>
  </si>
  <si>
    <t>系数</t>
    <phoneticPr fontId="6" type="noConversion"/>
  </si>
  <si>
    <t>含税价格</t>
    <phoneticPr fontId="6" type="noConversion"/>
  </si>
  <si>
    <t>不含税单价</t>
  </si>
  <si>
    <t>未税模具费</t>
    <phoneticPr fontId="6" type="noConversion"/>
  </si>
  <si>
    <t>摊销件数</t>
    <phoneticPr fontId="6" type="noConversion"/>
  </si>
  <si>
    <t>含模摊未税单价</t>
    <phoneticPr fontId="6" type="noConversion"/>
  </si>
  <si>
    <t>号</t>
  </si>
  <si>
    <t>长mm</t>
    <phoneticPr fontId="6" type="noConversion"/>
  </si>
  <si>
    <t>宽mm</t>
    <phoneticPr fontId="6" type="noConversion"/>
  </si>
  <si>
    <t>厚mm</t>
    <phoneticPr fontId="6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</si>
  <si>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</si>
  <si>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</si>
  <si>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</si>
  <si>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</si>
  <si>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</si>
  <si>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</si>
  <si>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6" type="noConversion"/>
  </si>
  <si>
    <t>焊接轴套</t>
    <phoneticPr fontId="6" type="noConversion"/>
  </si>
  <si>
    <t>材料合计：</t>
    <phoneticPr fontId="6" type="noConversion"/>
  </si>
  <si>
    <t>加工费合计：</t>
    <phoneticPr fontId="6" type="noConversion"/>
  </si>
  <si>
    <t>200T</t>
    <phoneticPr fontId="6" type="noConversion"/>
  </si>
  <si>
    <t>160T</t>
    <phoneticPr fontId="6" type="noConversion"/>
  </si>
  <si>
    <t>7/16焊接螺母</t>
    <phoneticPr fontId="6" type="noConversion"/>
  </si>
  <si>
    <t>80T</t>
    <phoneticPr fontId="6" type="noConversion"/>
  </si>
  <si>
    <t>63T</t>
    <phoneticPr fontId="6" type="noConversion"/>
  </si>
  <si>
    <t>125T</t>
    <phoneticPr fontId="6" type="noConversion"/>
  </si>
  <si>
    <t>100T</t>
    <phoneticPr fontId="6" type="noConversion"/>
  </si>
  <si>
    <t>焊接</t>
    <phoneticPr fontId="6" type="noConversion"/>
  </si>
  <si>
    <t>QSTE500TM</t>
    <phoneticPr fontId="6" type="noConversion"/>
  </si>
  <si>
    <t>SAPH440</t>
    <phoneticPr fontId="6" type="noConversion"/>
  </si>
  <si>
    <t>图片</t>
    <phoneticPr fontId="6" type="noConversion"/>
  </si>
  <si>
    <t>驾驶员右侧安装版</t>
    <phoneticPr fontId="6" type="noConversion"/>
  </si>
  <si>
    <t>单件QAD号</t>
    <phoneticPr fontId="6" type="noConversion"/>
  </si>
  <si>
    <t>6801634X2001A</t>
    <phoneticPr fontId="6" type="noConversion"/>
  </si>
  <si>
    <t>前排靠背复位卷簧安装支架</t>
    <phoneticPr fontId="6" type="noConversion"/>
  </si>
  <si>
    <t>SLT0010598</t>
    <phoneticPr fontId="6" type="noConversion"/>
  </si>
  <si>
    <t>SLT0010231</t>
    <phoneticPr fontId="6" type="noConversion"/>
  </si>
  <si>
    <t>BFA0000518</t>
    <phoneticPr fontId="6" type="noConversion"/>
  </si>
  <si>
    <t>中排独立软带轴承</t>
    <phoneticPr fontId="6" type="noConversion"/>
  </si>
  <si>
    <t>321721801400</t>
    <phoneticPr fontId="6" type="noConversion"/>
  </si>
  <si>
    <t>SPFH590 /T=3.0</t>
    <phoneticPr fontId="6" type="noConversion"/>
  </si>
  <si>
    <t>SLT0010537</t>
    <phoneticPr fontId="6" type="noConversion"/>
  </si>
  <si>
    <t>SPFH590</t>
    <phoneticPr fontId="6" type="noConversion"/>
  </si>
  <si>
    <t>M8焊接方螺母</t>
    <phoneticPr fontId="6" type="noConversion"/>
  </si>
  <si>
    <t>SLT0010538</t>
    <phoneticPr fontId="6" type="noConversion"/>
  </si>
  <si>
    <t>调角器右连接板</t>
    <phoneticPr fontId="6" type="noConversion"/>
  </si>
  <si>
    <t>调角器左连接板</t>
    <phoneticPr fontId="6" type="noConversion"/>
  </si>
  <si>
    <t>Q235-A</t>
    <phoneticPr fontId="6" type="noConversion"/>
  </si>
  <si>
    <t>Q235/t=2</t>
    <phoneticPr fontId="6" type="noConversion"/>
  </si>
  <si>
    <t>驾驶员左侧调角器下连接板</t>
    <phoneticPr fontId="6" type="noConversion"/>
  </si>
  <si>
    <t>SLT0010223</t>
    <phoneticPr fontId="6" type="noConversion"/>
  </si>
  <si>
    <t>6801635X2001A</t>
    <phoneticPr fontId="6" type="noConversion"/>
  </si>
  <si>
    <t>调角器下连接板上加强板</t>
    <phoneticPr fontId="6" type="noConversion"/>
  </si>
  <si>
    <t>折弯</t>
  </si>
  <si>
    <t>扶手安装支架</t>
    <phoneticPr fontId="6" type="noConversion"/>
  </si>
  <si>
    <t>SLT0010629</t>
    <phoneticPr fontId="6" type="noConversion"/>
  </si>
  <si>
    <t>SLT0010414</t>
    <phoneticPr fontId="6" type="noConversion"/>
  </si>
  <si>
    <t>45#</t>
    <phoneticPr fontId="6" type="noConversion"/>
  </si>
  <si>
    <t>扶手旋转轴</t>
    <phoneticPr fontId="6" type="noConversion"/>
  </si>
  <si>
    <t>20#</t>
    <phoneticPr fontId="6" type="noConversion"/>
  </si>
  <si>
    <t>SHT0011363</t>
    <phoneticPr fontId="6" type="noConversion"/>
  </si>
  <si>
    <t>SLT0010524</t>
  </si>
  <si>
    <t>外绞架轴套</t>
    <phoneticPr fontId="6" type="noConversion"/>
  </si>
  <si>
    <t>SLT0010535</t>
    <phoneticPr fontId="6" type="noConversion"/>
  </si>
  <si>
    <t>钢轴套1</t>
    <phoneticPr fontId="6" type="noConversion"/>
  </si>
  <si>
    <t>组装轴套</t>
    <phoneticPr fontId="6" type="noConversion"/>
  </si>
  <si>
    <t>SLT0010269</t>
    <phoneticPr fontId="6" type="noConversion"/>
  </si>
  <si>
    <t>内绞架螺母轴套</t>
    <phoneticPr fontId="6" type="noConversion"/>
  </si>
  <si>
    <t>SLT0010682</t>
    <phoneticPr fontId="6" type="noConversion"/>
  </si>
  <si>
    <t>7/16螺母</t>
    <phoneticPr fontId="6" type="noConversion"/>
  </si>
  <si>
    <t>BFA0000400</t>
    <phoneticPr fontId="6" type="noConversion"/>
  </si>
  <si>
    <t>300T</t>
    <phoneticPr fontId="6" type="noConversion"/>
  </si>
  <si>
    <t>调整到智凯，捷润解决不了软带轴承</t>
    <phoneticPr fontId="6" type="noConversion"/>
  </si>
  <si>
    <t>自核未税价（不含模摊）</t>
    <phoneticPr fontId="6" type="noConversion"/>
  </si>
  <si>
    <t>未税目标价（不含模摊）</t>
    <phoneticPr fontId="6" type="noConversion"/>
  </si>
  <si>
    <t>铆接</t>
    <phoneticPr fontId="6" type="noConversion"/>
  </si>
  <si>
    <t>筛选最低目标价（不含模摊）</t>
    <phoneticPr fontId="6" type="noConversion"/>
  </si>
  <si>
    <t>南皮利达-初始报价</t>
    <phoneticPr fontId="6" type="noConversion"/>
  </si>
  <si>
    <t>南皮利达-二次报价</t>
    <phoneticPr fontId="6" type="noConversion"/>
  </si>
  <si>
    <t>产品价格汇总-捷润目标价</t>
    <phoneticPr fontId="6" type="noConversion"/>
  </si>
  <si>
    <t>产品价格汇总-智凯目标价</t>
    <phoneticPr fontId="6" type="noConversion"/>
  </si>
  <si>
    <t>产品价格汇总-利达目标价</t>
    <phoneticPr fontId="6" type="noConversion"/>
  </si>
  <si>
    <t>序号</t>
    <phoneticPr fontId="6" type="noConversion"/>
  </si>
  <si>
    <t>统帅1880及轻卡减震钣金件-产品价格汇总</t>
    <phoneticPr fontId="6" type="noConversion"/>
  </si>
  <si>
    <t>文安恒德-初次报价</t>
    <phoneticPr fontId="6" type="noConversion"/>
  </si>
  <si>
    <t>文安恒德-商定报价</t>
    <phoneticPr fontId="6" type="noConversion"/>
  </si>
  <si>
    <t>航天宏达-初次报价</t>
    <phoneticPr fontId="6" type="noConversion"/>
  </si>
  <si>
    <t>沧州智凯-报价</t>
    <phoneticPr fontId="6" type="noConversion"/>
  </si>
  <si>
    <t>沧州智凯-协商价格</t>
    <phoneticPr fontId="6" type="noConversion"/>
  </si>
  <si>
    <t>泊头捷润-协商价格</t>
    <phoneticPr fontId="6" type="noConversion"/>
  </si>
  <si>
    <t>泊头捷润-报价</t>
    <phoneticPr fontId="6" type="noConversion"/>
  </si>
  <si>
    <t>ASSY-
QStE500 2.5</t>
    <phoneticPr fontId="6" type="noConversion"/>
  </si>
  <si>
    <t>ASSY-
QStE500 3.5</t>
    <phoneticPr fontId="6" type="noConversion"/>
  </si>
  <si>
    <t>航天宏达-协商价格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</si>
</sst>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_);[Red]\(0.00\)"/>
    <numFmt numFmtId="181" formatCode="0.000_);[Red]\(0.000\)"/>
    <numFmt numFmtId="182" formatCode="0_ "/>
    <numFmt numFmtId="183" formatCode="0.0_ "/>
    <numFmt numFmtId="184" formatCode="0.0_);[Red]\(0.0\)"/>
    <numFmt numFmtId="185" formatCode="0.0000_);[Red]\(0.0000\)"/>
    <numFmt numFmtId="186" formatCode="0.000"/>
  </numFmts>
  <fonts count="21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8" fillId="0" borderId="1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</cellStyleXfs>
  <cellXfs count="248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1" xfId="0" applyFont="1" applyBorder="1">
      <alignment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0" fillId="3" borderId="0" xfId="0" applyFill="1">
      <alignment vertical="center"/>
    </xf>
    <xf numFmtId="177" fontId="0" fillId="3" borderId="0" xfId="0" applyNumberFormat="1" applyFill="1" applyAlignment="1">
      <alignment horizontal="center" vertical="center"/>
    </xf>
    <xf numFmtId="176" fontId="0" fillId="3" borderId="0" xfId="0" applyNumberFormat="1" applyFill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3" applyFont="1" applyBorder="1" applyAlignment="1" applyProtection="1">
      <alignment horizontal="center" vertical="center" wrapText="1"/>
      <protection locked="0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0" xfId="4">
      <alignment vertical="center"/>
    </xf>
    <xf numFmtId="0" fontId="7" fillId="0" borderId="2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7" fillId="0" borderId="2" xfId="4" applyBorder="1" applyAlignment="1">
      <alignment horizontal="center" vertical="center" wrapText="1" shrinkToFit="1"/>
    </xf>
    <xf numFmtId="180" fontId="7" fillId="0" borderId="2" xfId="4" applyNumberFormat="1" applyBorder="1" applyAlignment="1">
      <alignment horizontal="center" vertical="center"/>
    </xf>
    <xf numFmtId="181" fontId="7" fillId="0" borderId="2" xfId="4" applyNumberFormat="1" applyBorder="1" applyAlignment="1">
      <alignment horizontal="center" vertical="center" shrinkToFit="1"/>
    </xf>
    <xf numFmtId="180" fontId="7" fillId="0" borderId="2" xfId="4" applyNumberFormat="1" applyBorder="1" applyAlignment="1">
      <alignment horizontal="center" vertical="center" wrapText="1"/>
    </xf>
    <xf numFmtId="180" fontId="7" fillId="0" borderId="2" xfId="4" applyNumberFormat="1" applyBorder="1" applyAlignment="1">
      <alignment horizontal="center" vertical="center" shrinkToFit="1"/>
    </xf>
    <xf numFmtId="177" fontId="10" fillId="5" borderId="1" xfId="4" applyNumberFormat="1" applyFont="1" applyFill="1" applyBorder="1" applyAlignment="1">
      <alignment horizontal="left" vertical="center" wrapText="1"/>
    </xf>
    <xf numFmtId="0" fontId="17" fillId="0" borderId="1" xfId="4" applyFont="1" applyBorder="1" applyAlignment="1">
      <alignment horizontal="center" vertical="center"/>
    </xf>
    <xf numFmtId="180" fontId="7" fillId="0" borderId="1" xfId="4" applyNumberFormat="1" applyBorder="1">
      <alignment vertical="center"/>
    </xf>
    <xf numFmtId="0" fontId="7" fillId="0" borderId="1" xfId="4" applyBorder="1" applyAlignment="1">
      <alignment horizontal="center" vertical="center"/>
    </xf>
    <xf numFmtId="182" fontId="10" fillId="5" borderId="1" xfId="4" applyNumberFormat="1" applyFont="1" applyFill="1" applyBorder="1" applyAlignment="1">
      <alignment horizontal="center" vertical="center" wrapText="1"/>
    </xf>
    <xf numFmtId="183" fontId="17" fillId="0" borderId="1" xfId="4" applyNumberFormat="1" applyFont="1" applyBorder="1">
      <alignment vertical="center"/>
    </xf>
    <xf numFmtId="0" fontId="7" fillId="0" borderId="1" xfId="4" applyBorder="1" applyAlignment="1">
      <alignment horizontal="center" vertical="center" wrapText="1"/>
    </xf>
    <xf numFmtId="0" fontId="10" fillId="5" borderId="1" xfId="4" applyFont="1" applyFill="1" applyBorder="1" applyAlignment="1">
      <alignment vertical="center" wrapText="1"/>
    </xf>
    <xf numFmtId="179" fontId="10" fillId="0" borderId="1" xfId="1" applyNumberFormat="1" applyFont="1" applyFill="1" applyBorder="1" applyAlignment="1" applyProtection="1">
      <alignment vertical="center" wrapText="1"/>
      <protection locked="0"/>
    </xf>
    <xf numFmtId="177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4" applyNumberFormat="1" applyFont="1" applyBorder="1">
      <alignment vertical="center"/>
    </xf>
    <xf numFmtId="177" fontId="7" fillId="2" borderId="1" xfId="4" applyNumberFormat="1" applyFill="1" applyBorder="1" applyAlignment="1">
      <alignment horizontal="center" vertical="center"/>
    </xf>
    <xf numFmtId="180" fontId="7" fillId="2" borderId="1" xfId="4" applyNumberFormat="1" applyFill="1" applyBorder="1" applyAlignment="1">
      <alignment horizontal="center" vertical="center"/>
    </xf>
    <xf numFmtId="0" fontId="7" fillId="0" borderId="1" xfId="4" applyBorder="1" applyAlignment="1">
      <alignment vertical="center" wrapText="1"/>
    </xf>
    <xf numFmtId="0" fontId="7" fillId="0" borderId="0" xfId="4" applyAlignment="1">
      <alignment vertical="center" wrapText="1"/>
    </xf>
    <xf numFmtId="0" fontId="7" fillId="0" borderId="0" xfId="4" applyAlignment="1">
      <alignment horizontal="center" vertical="center" wrapText="1"/>
    </xf>
    <xf numFmtId="180" fontId="7" fillId="0" borderId="0" xfId="4" applyNumberFormat="1" applyAlignment="1">
      <alignment horizontal="center" vertical="center"/>
    </xf>
    <xf numFmtId="181" fontId="7" fillId="0" borderId="0" xfId="4" applyNumberFormat="1" applyAlignment="1">
      <alignment horizontal="center" vertical="center"/>
    </xf>
    <xf numFmtId="0" fontId="7" fillId="0" borderId="0" xfId="4" applyAlignment="1">
      <alignment horizontal="left" vertical="center"/>
    </xf>
    <xf numFmtId="0" fontId="7" fillId="0" borderId="0" xfId="4" applyAlignment="1">
      <alignment horizontal="center" vertical="center"/>
    </xf>
    <xf numFmtId="180" fontId="7" fillId="0" borderId="0" xfId="4" applyNumberFormat="1">
      <alignment vertical="center"/>
    </xf>
    <xf numFmtId="177" fontId="7" fillId="3" borderId="0" xfId="4" applyNumberFormat="1" applyFill="1">
      <alignment vertical="center"/>
    </xf>
    <xf numFmtId="0" fontId="10" fillId="0" borderId="1" xfId="4" applyFont="1" applyBorder="1" applyAlignment="1">
      <alignment vertical="center" wrapText="1"/>
    </xf>
    <xf numFmtId="179" fontId="10" fillId="0" borderId="1" xfId="6" applyNumberFormat="1" applyFont="1" applyBorder="1" applyAlignment="1">
      <alignment vertical="center"/>
    </xf>
    <xf numFmtId="0" fontId="7" fillId="0" borderId="1" xfId="4" applyBorder="1" applyAlignment="1">
      <alignment vertical="center"/>
    </xf>
    <xf numFmtId="0" fontId="10" fillId="0" borderId="1" xfId="4" quotePrefix="1" applyFont="1" applyBorder="1" applyAlignment="1">
      <alignment vertical="center" wrapText="1"/>
    </xf>
    <xf numFmtId="184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180" fontId="10" fillId="0" borderId="1" xfId="0" applyNumberFormat="1" applyFont="1" applyBorder="1" applyAlignment="1">
      <alignment horizontal="center" vertical="center" wrapText="1"/>
    </xf>
    <xf numFmtId="185" fontId="19" fillId="5" borderId="2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  <xf numFmtId="184" fontId="12" fillId="0" borderId="1" xfId="8" applyNumberFormat="1" applyFont="1" applyFill="1" applyBorder="1" applyAlignment="1">
      <alignment horizontal="center" vertical="center"/>
    </xf>
    <xf numFmtId="0" fontId="10" fillId="3" borderId="1" xfId="9" applyFont="1" applyFill="1" applyBorder="1" applyAlignment="1" applyProtection="1">
      <alignment horizontal="center" vertical="center" wrapText="1"/>
      <protection locked="0"/>
    </xf>
    <xf numFmtId="0" fontId="20" fillId="3" borderId="1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10" fillId="0" borderId="1" xfId="9" applyFont="1" applyFill="1" applyBorder="1" applyAlignment="1" applyProtection="1">
      <alignment horizontal="center" vertical="center" wrapText="1"/>
      <protection locked="0"/>
    </xf>
    <xf numFmtId="0" fontId="7" fillId="0" borderId="1" xfId="4" applyFill="1" applyBorder="1" applyAlignment="1">
      <alignment vertical="center"/>
    </xf>
    <xf numFmtId="0" fontId="7" fillId="0" borderId="1" xfId="4" applyFill="1" applyBorder="1" applyAlignment="1">
      <alignment vertical="center" wrapText="1"/>
    </xf>
    <xf numFmtId="0" fontId="7" fillId="0" borderId="1" xfId="4" applyFill="1" applyBorder="1" applyAlignment="1">
      <alignment horizontal="center" vertical="center" wrapText="1"/>
    </xf>
    <xf numFmtId="185" fontId="19" fillId="0" borderId="2" xfId="4" applyNumberFormat="1" applyFont="1" applyFill="1" applyBorder="1" applyAlignment="1">
      <alignment horizontal="center" vertical="center" wrapText="1"/>
    </xf>
    <xf numFmtId="179" fontId="10" fillId="0" borderId="1" xfId="6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vertical="center" wrapText="1"/>
    </xf>
    <xf numFmtId="0" fontId="10" fillId="0" borderId="1" xfId="5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8" fontId="1" fillId="0" borderId="0" xfId="4" applyNumberFormat="1" applyFont="1" applyAlignment="1">
      <alignment horizontal="center" vertical="center"/>
    </xf>
    <xf numFmtId="177" fontId="2" fillId="0" borderId="1" xfId="4" applyNumberFormat="1" applyFont="1" applyBorder="1" applyAlignment="1">
      <alignment horizontal="center" vertical="center" wrapText="1"/>
    </xf>
    <xf numFmtId="0" fontId="7" fillId="0" borderId="1" xfId="4" applyBorder="1">
      <alignment vertical="center"/>
    </xf>
    <xf numFmtId="178" fontId="4" fillId="0" borderId="2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77" fontId="4" fillId="0" borderId="1" xfId="4" applyNumberFormat="1" applyFont="1" applyBorder="1" applyAlignment="1">
      <alignment horizontal="center" vertical="center" wrapText="1"/>
    </xf>
    <xf numFmtId="177" fontId="4" fillId="2" borderId="1" xfId="4" applyNumberFormat="1" applyFont="1" applyFill="1" applyBorder="1" applyAlignment="1">
      <alignment horizontal="center" vertical="center" wrapText="1"/>
    </xf>
    <xf numFmtId="176" fontId="4" fillId="0" borderId="1" xfId="4" applyNumberFormat="1" applyFont="1" applyBorder="1" applyAlignment="1">
      <alignment horizontal="center" vertical="center"/>
    </xf>
    <xf numFmtId="176" fontId="4" fillId="4" borderId="1" xfId="4" applyNumberFormat="1" applyFont="1" applyFill="1" applyBorder="1" applyAlignment="1">
      <alignment horizontal="center" vertical="center"/>
    </xf>
    <xf numFmtId="178" fontId="4" fillId="0" borderId="1" xfId="4" applyNumberFormat="1" applyFont="1" applyBorder="1" applyAlignment="1">
      <alignment horizontal="center" vertical="center" wrapText="1"/>
    </xf>
    <xf numFmtId="178" fontId="4" fillId="0" borderId="1" xfId="4" applyNumberFormat="1" applyFont="1" applyBorder="1" applyAlignment="1">
      <alignment horizontal="center" vertical="center"/>
    </xf>
    <xf numFmtId="178" fontId="4" fillId="0" borderId="1" xfId="4" applyNumberFormat="1" applyFont="1" applyBorder="1">
      <alignment vertical="center"/>
    </xf>
    <xf numFmtId="0" fontId="4" fillId="0" borderId="1" xfId="4" applyFont="1" applyBorder="1" applyAlignment="1">
      <alignment vertical="center" wrapText="1"/>
    </xf>
    <xf numFmtId="178" fontId="4" fillId="0" borderId="2" xfId="4" applyNumberFormat="1" applyFont="1" applyBorder="1" applyAlignment="1">
      <alignment vertical="center" wrapText="1"/>
    </xf>
    <xf numFmtId="49" fontId="15" fillId="0" borderId="1" xfId="4" applyNumberFormat="1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49" fontId="9" fillId="0" borderId="2" xfId="4" applyNumberFormat="1" applyFont="1" applyBorder="1" applyAlignment="1">
      <alignment horizontal="center" vertical="center" wrapText="1"/>
    </xf>
    <xf numFmtId="0" fontId="7" fillId="3" borderId="0" xfId="4" applyFill="1">
      <alignment vertical="center"/>
    </xf>
    <xf numFmtId="176" fontId="7" fillId="0" borderId="0" xfId="4" applyNumberFormat="1">
      <alignment vertical="center"/>
    </xf>
    <xf numFmtId="178" fontId="7" fillId="0" borderId="0" xfId="4" applyNumberFormat="1">
      <alignment vertical="center"/>
    </xf>
    <xf numFmtId="0" fontId="7" fillId="0" borderId="11" xfId="4" applyBorder="1">
      <alignment vertical="center"/>
    </xf>
    <xf numFmtId="0" fontId="9" fillId="0" borderId="12" xfId="3" applyFont="1" applyBorder="1" applyAlignment="1" applyProtection="1">
      <alignment horizontal="center" vertical="center" wrapText="1"/>
      <protection locked="0"/>
    </xf>
    <xf numFmtId="0" fontId="4" fillId="0" borderId="12" xfId="4" applyFont="1" applyBorder="1" applyAlignment="1">
      <alignment horizontal="center" vertical="center"/>
    </xf>
    <xf numFmtId="177" fontId="4" fillId="0" borderId="12" xfId="4" applyNumberFormat="1" applyFont="1" applyBorder="1" applyAlignment="1">
      <alignment horizontal="center" vertical="center" wrapText="1"/>
    </xf>
    <xf numFmtId="177" fontId="4" fillId="2" borderId="12" xfId="4" applyNumberFormat="1" applyFont="1" applyFill="1" applyBorder="1" applyAlignment="1">
      <alignment horizontal="center" vertical="center" wrapText="1"/>
    </xf>
    <xf numFmtId="176" fontId="4" fillId="0" borderId="12" xfId="4" applyNumberFormat="1" applyFont="1" applyBorder="1" applyAlignment="1">
      <alignment horizontal="center" vertical="center"/>
    </xf>
    <xf numFmtId="0" fontId="9" fillId="0" borderId="12" xfId="3" applyFont="1" applyFill="1" applyBorder="1" applyAlignment="1" applyProtection="1">
      <alignment horizontal="center" vertical="center" wrapText="1"/>
      <protection locked="0"/>
    </xf>
    <xf numFmtId="0" fontId="4" fillId="0" borderId="12" xfId="4" applyFont="1" applyFill="1" applyBorder="1" applyAlignment="1">
      <alignment horizontal="center" vertical="center"/>
    </xf>
    <xf numFmtId="177" fontId="4" fillId="0" borderId="12" xfId="4" applyNumberFormat="1" applyFont="1" applyFill="1" applyBorder="1" applyAlignment="1">
      <alignment horizontal="center" vertical="center" wrapText="1"/>
    </xf>
    <xf numFmtId="176" fontId="4" fillId="0" borderId="12" xfId="4" applyNumberFormat="1" applyFont="1" applyFill="1" applyBorder="1" applyAlignment="1">
      <alignment horizontal="center" vertical="center"/>
    </xf>
    <xf numFmtId="0" fontId="7" fillId="0" borderId="12" xfId="4" applyFill="1" applyBorder="1">
      <alignment vertical="center"/>
    </xf>
    <xf numFmtId="178" fontId="1" fillId="0" borderId="0" xfId="0" applyNumberFormat="1" applyFont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178" fontId="4" fillId="0" borderId="12" xfId="0" applyNumberFormat="1" applyFont="1" applyBorder="1" applyAlignment="1">
      <alignment vertical="center"/>
    </xf>
    <xf numFmtId="178" fontId="4" fillId="0" borderId="12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4" fillId="2" borderId="12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78" fontId="4" fillId="0" borderId="4" xfId="0" applyNumberFormat="1" applyFont="1" applyBorder="1" applyAlignment="1">
      <alignment vertical="center"/>
    </xf>
    <xf numFmtId="178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4" fillId="0" borderId="4" xfId="0" applyNumberFormat="1" applyFont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86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>
      <alignment vertical="center"/>
    </xf>
    <xf numFmtId="177" fontId="4" fillId="0" borderId="12" xfId="0" applyNumberFormat="1" applyFont="1" applyBorder="1" applyAlignment="1">
      <alignment horizontal="center" vertical="center" wrapText="1"/>
    </xf>
    <xf numFmtId="177" fontId="4" fillId="6" borderId="1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8" fontId="1" fillId="0" borderId="0" xfId="4" applyNumberFormat="1" applyFont="1" applyAlignment="1">
      <alignment horizontal="center" vertical="center"/>
    </xf>
    <xf numFmtId="177" fontId="2" fillId="0" borderId="1" xfId="4" applyNumberFormat="1" applyFont="1" applyBorder="1" applyAlignment="1">
      <alignment horizontal="center" vertical="center" wrapText="1"/>
    </xf>
    <xf numFmtId="176" fontId="4" fillId="0" borderId="1" xfId="4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1" fillId="0" borderId="9" xfId="0" applyNumberFormat="1" applyFont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left" vertical="center" wrapText="1"/>
    </xf>
    <xf numFmtId="178" fontId="5" fillId="0" borderId="12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178" fontId="1" fillId="0" borderId="0" xfId="4" applyNumberFormat="1" applyFont="1" applyAlignment="1">
      <alignment horizontal="center" vertical="center"/>
    </xf>
    <xf numFmtId="177" fontId="2" fillId="0" borderId="1" xfId="4" applyNumberFormat="1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178" fontId="5" fillId="0" borderId="11" xfId="4" applyNumberFormat="1" applyFont="1" applyBorder="1" applyAlignment="1">
      <alignment horizontal="left" vertical="center" wrapText="1"/>
    </xf>
    <xf numFmtId="178" fontId="5" fillId="0" borderId="12" xfId="4" applyNumberFormat="1" applyFont="1" applyBorder="1" applyAlignment="1">
      <alignment horizontal="left" vertical="center" wrapText="1"/>
    </xf>
    <xf numFmtId="0" fontId="16" fillId="0" borderId="9" xfId="4" applyFont="1" applyBorder="1" applyAlignment="1">
      <alignment horizontal="center" vertical="center"/>
    </xf>
    <xf numFmtId="0" fontId="7" fillId="0" borderId="2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7" fillId="0" borderId="10" xfId="4" applyBorder="1" applyAlignment="1">
      <alignment horizontal="center" vertical="center" wrapText="1"/>
    </xf>
    <xf numFmtId="0" fontId="7" fillId="0" borderId="8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 wrapText="1"/>
    </xf>
    <xf numFmtId="0" fontId="7" fillId="0" borderId="6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 shrinkToFit="1"/>
    </xf>
    <xf numFmtId="0" fontId="7" fillId="0" borderId="6" xfId="4" applyBorder="1" applyAlignment="1">
      <alignment horizontal="center" vertical="center" shrinkToFit="1"/>
    </xf>
    <xf numFmtId="0" fontId="7" fillId="0" borderId="5" xfId="4" applyBorder="1" applyAlignment="1">
      <alignment horizontal="center" vertical="center" shrinkToFit="1"/>
    </xf>
    <xf numFmtId="0" fontId="7" fillId="0" borderId="1" xfId="4" applyBorder="1" applyAlignment="1">
      <alignment horizontal="center" vertical="center" wrapText="1" shrinkToFit="1"/>
    </xf>
    <xf numFmtId="0" fontId="7" fillId="0" borderId="6" xfId="4" applyBorder="1" applyAlignment="1">
      <alignment horizontal="center" vertical="center"/>
    </xf>
    <xf numFmtId="14" fontId="17" fillId="0" borderId="2" xfId="4" applyNumberFormat="1" applyFont="1" applyBorder="1" applyAlignment="1">
      <alignment horizontal="center" vertical="center" wrapText="1"/>
    </xf>
    <xf numFmtId="0" fontId="17" fillId="0" borderId="6" xfId="4" applyFont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 wrapText="1"/>
    </xf>
    <xf numFmtId="0" fontId="17" fillId="4" borderId="2" xfId="4" applyFont="1" applyFill="1" applyBorder="1" applyAlignment="1">
      <alignment horizontal="center" vertical="center" wrapText="1"/>
    </xf>
    <xf numFmtId="0" fontId="17" fillId="4" borderId="6" xfId="4" applyFont="1" applyFill="1" applyBorder="1" applyAlignment="1">
      <alignment horizontal="center" vertical="center" wrapText="1"/>
    </xf>
    <xf numFmtId="0" fontId="17" fillId="4" borderId="5" xfId="4" applyFont="1" applyFill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180" fontId="7" fillId="0" borderId="3" xfId="4" applyNumberFormat="1" applyBorder="1" applyAlignment="1">
      <alignment horizontal="center" vertical="center"/>
    </xf>
    <xf numFmtId="180" fontId="7" fillId="0" borderId="7" xfId="4" applyNumberFormat="1" applyBorder="1" applyAlignment="1">
      <alignment horizontal="center" vertical="center"/>
    </xf>
    <xf numFmtId="181" fontId="7" fillId="0" borderId="3" xfId="4" applyNumberFormat="1" applyBorder="1" applyAlignment="1">
      <alignment horizontal="center" vertical="center" shrinkToFit="1"/>
    </xf>
    <xf numFmtId="181" fontId="7" fillId="0" borderId="4" xfId="4" applyNumberFormat="1" applyBorder="1" applyAlignment="1">
      <alignment horizontal="center" vertical="center" shrinkToFit="1"/>
    </xf>
    <xf numFmtId="181" fontId="7" fillId="0" borderId="7" xfId="4" applyNumberFormat="1" applyBorder="1" applyAlignment="1">
      <alignment horizontal="center" vertical="center" shrinkToFit="1"/>
    </xf>
    <xf numFmtId="180" fontId="7" fillId="0" borderId="2" xfId="4" applyNumberFormat="1" applyBorder="1" applyAlignment="1">
      <alignment horizontal="center" vertical="center"/>
    </xf>
    <xf numFmtId="180" fontId="7" fillId="0" borderId="6" xfId="4" applyNumberFormat="1" applyBorder="1" applyAlignment="1">
      <alignment horizontal="center" vertical="center"/>
    </xf>
    <xf numFmtId="180" fontId="7" fillId="0" borderId="4" xfId="4" applyNumberFormat="1" applyBorder="1" applyAlignment="1">
      <alignment horizontal="center" vertical="center"/>
    </xf>
    <xf numFmtId="177" fontId="7" fillId="2" borderId="1" xfId="4" applyNumberFormat="1" applyFill="1" applyBorder="1" applyAlignment="1">
      <alignment horizontal="center" vertical="center"/>
    </xf>
    <xf numFmtId="9" fontId="0" fillId="0" borderId="1" xfId="7" applyFont="1" applyBorder="1" applyAlignment="1">
      <alignment horizontal="center" vertical="center"/>
    </xf>
    <xf numFmtId="180" fontId="7" fillId="0" borderId="5" xfId="4" applyNumberFormat="1" applyBorder="1" applyAlignment="1">
      <alignment horizontal="center" vertical="center"/>
    </xf>
    <xf numFmtId="179" fontId="7" fillId="3" borderId="2" xfId="4" applyNumberFormat="1" applyFill="1" applyBorder="1" applyAlignment="1">
      <alignment horizontal="center" vertical="center"/>
    </xf>
    <xf numFmtId="179" fontId="7" fillId="3" borderId="6" xfId="4" applyNumberFormat="1" applyFill="1" applyBorder="1" applyAlignment="1">
      <alignment horizontal="center" vertical="center"/>
    </xf>
    <xf numFmtId="179" fontId="7" fillId="3" borderId="5" xfId="4" applyNumberFormat="1" applyFill="1" applyBorder="1" applyAlignment="1">
      <alignment horizontal="center" vertical="center"/>
    </xf>
    <xf numFmtId="182" fontId="7" fillId="0" borderId="2" xfId="4" applyNumberFormat="1" applyBorder="1" applyAlignment="1">
      <alignment horizontal="center" vertical="center"/>
    </xf>
    <xf numFmtId="182" fontId="7" fillId="0" borderId="6" xfId="4" applyNumberFormat="1" applyBorder="1" applyAlignment="1">
      <alignment horizontal="center" vertical="center"/>
    </xf>
    <xf numFmtId="182" fontId="7" fillId="0" borderId="5" xfId="4" applyNumberFormat="1" applyBorder="1" applyAlignment="1">
      <alignment horizontal="center" vertical="center"/>
    </xf>
    <xf numFmtId="179" fontId="7" fillId="0" borderId="2" xfId="4" applyNumberFormat="1" applyBorder="1" applyAlignment="1">
      <alignment horizontal="center" vertical="center"/>
    </xf>
    <xf numFmtId="179" fontId="7" fillId="0" borderId="6" xfId="4" applyNumberFormat="1" applyBorder="1" applyAlignment="1">
      <alignment horizontal="center" vertical="center"/>
    </xf>
    <xf numFmtId="179" fontId="7" fillId="0" borderId="5" xfId="4" applyNumberFormat="1" applyBorder="1" applyAlignment="1">
      <alignment horizontal="center" vertical="center"/>
    </xf>
    <xf numFmtId="177" fontId="7" fillId="3" borderId="2" xfId="4" applyNumberFormat="1" applyFill="1" applyBorder="1" applyAlignment="1">
      <alignment horizontal="center" vertical="center" wrapText="1"/>
    </xf>
    <xf numFmtId="177" fontId="7" fillId="3" borderId="6" xfId="4" applyNumberFormat="1" applyFill="1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/>
    </xf>
    <xf numFmtId="180" fontId="7" fillId="0" borderId="2" xfId="4" applyNumberFormat="1" applyBorder="1" applyAlignment="1">
      <alignment horizontal="center" vertical="center" wrapText="1"/>
    </xf>
    <xf numFmtId="180" fontId="7" fillId="0" borderId="6" xfId="4" applyNumberFormat="1" applyBorder="1" applyAlignment="1">
      <alignment horizontal="center" vertical="center" wrapText="1"/>
    </xf>
    <xf numFmtId="0" fontId="7" fillId="2" borderId="1" xfId="4" applyFill="1" applyBorder="1" applyAlignment="1">
      <alignment horizontal="center" vertical="center" wrapText="1"/>
    </xf>
    <xf numFmtId="178" fontId="5" fillId="0" borderId="13" xfId="4" applyNumberFormat="1" applyFont="1" applyBorder="1" applyAlignment="1">
      <alignment horizontal="left" vertical="center" wrapText="1"/>
    </xf>
    <xf numFmtId="178" fontId="5" fillId="0" borderId="0" xfId="4" applyNumberFormat="1" applyFont="1" applyBorder="1" applyAlignment="1">
      <alignment horizontal="left" vertical="center" wrapText="1"/>
    </xf>
  </cellXfs>
  <cellStyles count="10">
    <cellStyle name="BOM_Level_Below3" xfId="1" xr:uid="{2B9B55C1-EA4E-448C-8789-1B7E18C9BA01}"/>
    <cellStyle name="百分比 2" xfId="7" xr:uid="{705B1959-7A4D-468A-84B0-B95634DF8D95}"/>
    <cellStyle name="常规" xfId="0" builtinId="0"/>
    <cellStyle name="常规 2" xfId="4" xr:uid="{8C27218F-F55B-4C72-B713-B8BBF0028957}"/>
    <cellStyle name="常规 2 10" xfId="8" xr:uid="{987DD150-0E33-45A5-82D3-E884956F0CD2}"/>
    <cellStyle name="常规 3" xfId="6" xr:uid="{CA10B3AA-F8D8-433E-9206-2A4E4D4EB8D2}"/>
    <cellStyle name="常规 6" xfId="2" xr:uid="{6649B1D0-E993-4541-B62F-8EF6FB36C167}"/>
    <cellStyle name="常规_正司机座椅 _28" xfId="5" xr:uid="{C0C42720-480C-49CE-BE12-CDE83E43D294}"/>
    <cellStyle name="样式 1" xfId="3" xr:uid="{9243177B-3FAC-4DAC-8448-363637C1C93A}"/>
    <cellStyle name="样式 1 5 2" xfId="9" xr:uid="{54B3E074-2353-4FBB-B9C2-7C7B4651F3E3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w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wmf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wmf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4.png"/><Relationship Id="rId18" Type="http://schemas.openxmlformats.org/officeDocument/2006/relationships/image" Target="../media/image17.png"/><Relationship Id="rId3" Type="http://schemas.openxmlformats.org/officeDocument/2006/relationships/image" Target="../media/image27.wmf"/><Relationship Id="rId21" Type="http://schemas.openxmlformats.org/officeDocument/2006/relationships/image" Target="../media/image29.png"/><Relationship Id="rId7" Type="http://schemas.openxmlformats.org/officeDocument/2006/relationships/image" Target="../media/image10.png"/><Relationship Id="rId12" Type="http://schemas.openxmlformats.org/officeDocument/2006/relationships/image" Target="../media/image13.png"/><Relationship Id="rId17" Type="http://schemas.openxmlformats.org/officeDocument/2006/relationships/image" Target="../media/image3.wmf"/><Relationship Id="rId25" Type="http://schemas.openxmlformats.org/officeDocument/2006/relationships/image" Target="../media/image33.png"/><Relationship Id="rId2" Type="http://schemas.openxmlformats.org/officeDocument/2006/relationships/image" Target="../media/image26.wmf"/><Relationship Id="rId16" Type="http://schemas.openxmlformats.org/officeDocument/2006/relationships/image" Target="../media/image28.wmf"/><Relationship Id="rId20" Type="http://schemas.openxmlformats.org/officeDocument/2006/relationships/image" Target="../media/image5.png"/><Relationship Id="rId1" Type="http://schemas.openxmlformats.org/officeDocument/2006/relationships/image" Target="../media/image1.wmf"/><Relationship Id="rId6" Type="http://schemas.openxmlformats.org/officeDocument/2006/relationships/image" Target="../media/image19.png"/><Relationship Id="rId11" Type="http://schemas.openxmlformats.org/officeDocument/2006/relationships/image" Target="../media/image21.png"/><Relationship Id="rId24" Type="http://schemas.openxmlformats.org/officeDocument/2006/relationships/image" Target="../media/image32.png"/><Relationship Id="rId5" Type="http://schemas.openxmlformats.org/officeDocument/2006/relationships/image" Target="../media/image2.png"/><Relationship Id="rId15" Type="http://schemas.openxmlformats.org/officeDocument/2006/relationships/image" Target="../media/image16.wmf"/><Relationship Id="rId23" Type="http://schemas.openxmlformats.org/officeDocument/2006/relationships/image" Target="../media/image31.wmf"/><Relationship Id="rId10" Type="http://schemas.openxmlformats.org/officeDocument/2006/relationships/image" Target="../media/image20.png"/><Relationship Id="rId19" Type="http://schemas.openxmlformats.org/officeDocument/2006/relationships/image" Target="../media/image4.png"/><Relationship Id="rId4" Type="http://schemas.openxmlformats.org/officeDocument/2006/relationships/image" Target="../media/image18.wmf"/><Relationship Id="rId9" Type="http://schemas.openxmlformats.org/officeDocument/2006/relationships/image" Target="../media/image12.png"/><Relationship Id="rId14" Type="http://schemas.openxmlformats.org/officeDocument/2006/relationships/image" Target="../media/image15.png"/><Relationship Id="rId22" Type="http://schemas.openxmlformats.org/officeDocument/2006/relationships/image" Target="../media/image3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4" Type="http://schemas.openxmlformats.org/officeDocument/2006/relationships/image" Target="../media/image3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wmf"/><Relationship Id="rId2" Type="http://schemas.openxmlformats.org/officeDocument/2006/relationships/image" Target="../media/image27.wmf"/><Relationship Id="rId1" Type="http://schemas.openxmlformats.org/officeDocument/2006/relationships/image" Target="../media/image26.wmf"/><Relationship Id="rId4" Type="http://schemas.openxmlformats.org/officeDocument/2006/relationships/image" Target="../media/image31.w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4.png"/><Relationship Id="rId18" Type="http://schemas.openxmlformats.org/officeDocument/2006/relationships/image" Target="../media/image17.png"/><Relationship Id="rId3" Type="http://schemas.openxmlformats.org/officeDocument/2006/relationships/image" Target="../media/image27.wmf"/><Relationship Id="rId21" Type="http://schemas.openxmlformats.org/officeDocument/2006/relationships/image" Target="../media/image29.png"/><Relationship Id="rId7" Type="http://schemas.openxmlformats.org/officeDocument/2006/relationships/image" Target="../media/image10.png"/><Relationship Id="rId12" Type="http://schemas.openxmlformats.org/officeDocument/2006/relationships/image" Target="../media/image13.png"/><Relationship Id="rId17" Type="http://schemas.openxmlformats.org/officeDocument/2006/relationships/image" Target="../media/image3.wmf"/><Relationship Id="rId25" Type="http://schemas.openxmlformats.org/officeDocument/2006/relationships/image" Target="../media/image31.wmf"/><Relationship Id="rId2" Type="http://schemas.openxmlformats.org/officeDocument/2006/relationships/image" Target="../media/image26.wmf"/><Relationship Id="rId16" Type="http://schemas.openxmlformats.org/officeDocument/2006/relationships/image" Target="../media/image28.wmf"/><Relationship Id="rId20" Type="http://schemas.openxmlformats.org/officeDocument/2006/relationships/image" Target="../media/image5.png"/><Relationship Id="rId1" Type="http://schemas.openxmlformats.org/officeDocument/2006/relationships/image" Target="../media/image1.wmf"/><Relationship Id="rId6" Type="http://schemas.openxmlformats.org/officeDocument/2006/relationships/image" Target="../media/image19.png"/><Relationship Id="rId11" Type="http://schemas.openxmlformats.org/officeDocument/2006/relationships/image" Target="../media/image21.png"/><Relationship Id="rId24" Type="http://schemas.openxmlformats.org/officeDocument/2006/relationships/image" Target="../media/image30.png"/><Relationship Id="rId5" Type="http://schemas.openxmlformats.org/officeDocument/2006/relationships/image" Target="../media/image2.png"/><Relationship Id="rId15" Type="http://schemas.openxmlformats.org/officeDocument/2006/relationships/image" Target="../media/image16.wmf"/><Relationship Id="rId23" Type="http://schemas.openxmlformats.org/officeDocument/2006/relationships/image" Target="../media/image33.png"/><Relationship Id="rId10" Type="http://schemas.openxmlformats.org/officeDocument/2006/relationships/image" Target="../media/image20.png"/><Relationship Id="rId19" Type="http://schemas.openxmlformats.org/officeDocument/2006/relationships/image" Target="../media/image4.png"/><Relationship Id="rId4" Type="http://schemas.openxmlformats.org/officeDocument/2006/relationships/image" Target="../media/image18.wmf"/><Relationship Id="rId9" Type="http://schemas.openxmlformats.org/officeDocument/2006/relationships/image" Target="../media/image12.png"/><Relationship Id="rId14" Type="http://schemas.openxmlformats.org/officeDocument/2006/relationships/image" Target="../media/image15.png"/><Relationship Id="rId22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137162</xdr:colOff>
      <xdr:row>3</xdr:row>
      <xdr:rowOff>33020</xdr:rowOff>
    </xdr:from>
    <xdr:to>
      <xdr:col>4</xdr:col>
      <xdr:colOff>720130</xdr:colOff>
      <xdr:row>3</xdr:row>
      <xdr:rowOff>753533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1E20030-2139-47EB-9B95-9128E8BA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695" y="1023620"/>
          <a:ext cx="582968" cy="7205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154093</xdr:colOff>
      <xdr:row>4</xdr:row>
      <xdr:rowOff>117686</xdr:rowOff>
    </xdr:from>
    <xdr:to>
      <xdr:col>4</xdr:col>
      <xdr:colOff>557953</xdr:colOff>
      <xdr:row>4</xdr:row>
      <xdr:rowOff>533399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F990D64-650D-4A83-86D1-4F9D82EB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626" y="4257886"/>
          <a:ext cx="403860" cy="415713"/>
        </a:xfrm>
        <a:prstGeom prst="rect">
          <a:avLst/>
        </a:prstGeom>
      </xdr:spPr>
    </xdr:pic>
    <xdr:clientData/>
  </xdr:twoCellAnchor>
  <xdr:twoCellAnchor>
    <xdr:from>
      <xdr:col>4</xdr:col>
      <xdr:colOff>111760</xdr:colOff>
      <xdr:row>5</xdr:row>
      <xdr:rowOff>96520</xdr:rowOff>
    </xdr:from>
    <xdr:to>
      <xdr:col>4</xdr:col>
      <xdr:colOff>658434</xdr:colOff>
      <xdr:row>5</xdr:row>
      <xdr:rowOff>567267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5C052FA-8B95-426A-811E-878AEC8B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55627" y="2467187"/>
          <a:ext cx="546674" cy="470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206587</xdr:colOff>
      <xdr:row>6</xdr:row>
      <xdr:rowOff>123613</xdr:rowOff>
    </xdr:from>
    <xdr:to>
      <xdr:col>4</xdr:col>
      <xdr:colOff>742111</xdr:colOff>
      <xdr:row>6</xdr:row>
      <xdr:rowOff>584200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1734CF9E-EC68-440B-B923-00B6B4440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120" y="15287413"/>
          <a:ext cx="535524" cy="460587"/>
        </a:xfrm>
        <a:prstGeom prst="rect">
          <a:avLst/>
        </a:prstGeom>
      </xdr:spPr>
    </xdr:pic>
    <xdr:clientData/>
  </xdr:twoCellAnchor>
  <xdr:twoCellAnchor>
    <xdr:from>
      <xdr:col>4</xdr:col>
      <xdr:colOff>237913</xdr:colOff>
      <xdr:row>7</xdr:row>
      <xdr:rowOff>185420</xdr:rowOff>
    </xdr:from>
    <xdr:to>
      <xdr:col>4</xdr:col>
      <xdr:colOff>570599</xdr:colOff>
      <xdr:row>7</xdr:row>
      <xdr:rowOff>618067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4E69ECF-C0A1-471E-816C-380A5ACC9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7446" y="16136620"/>
          <a:ext cx="332686" cy="432647"/>
        </a:xfrm>
        <a:prstGeom prst="rect">
          <a:avLst/>
        </a:prstGeom>
      </xdr:spPr>
    </xdr:pic>
    <xdr:clientData/>
  </xdr:twoCellAnchor>
  <xdr:twoCellAnchor editAs="oneCell">
    <xdr:from>
      <xdr:col>16</xdr:col>
      <xdr:colOff>8468</xdr:colOff>
      <xdr:row>5</xdr:row>
      <xdr:rowOff>42333</xdr:rowOff>
    </xdr:from>
    <xdr:to>
      <xdr:col>26</xdr:col>
      <xdr:colOff>567075</xdr:colOff>
      <xdr:row>5</xdr:row>
      <xdr:rowOff>719666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D14548E-2852-4189-BEDA-06F14354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2413000"/>
          <a:ext cx="6739274" cy="67733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</xdr:rowOff>
    </xdr:from>
    <xdr:to>
      <xdr:col>26</xdr:col>
      <xdr:colOff>575733</xdr:colOff>
      <xdr:row>3</xdr:row>
      <xdr:rowOff>756063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5643B1B-4ECC-4376-9393-FEF03B6AB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64333" y="795868"/>
          <a:ext cx="6756400" cy="756062"/>
        </a:xfrm>
        <a:prstGeom prst="rect">
          <a:avLst/>
        </a:prstGeom>
      </xdr:spPr>
    </xdr:pic>
    <xdr:clientData/>
  </xdr:twoCellAnchor>
  <xdr:twoCellAnchor editAs="oneCell">
    <xdr:from>
      <xdr:col>16</xdr:col>
      <xdr:colOff>16933</xdr:colOff>
      <xdr:row>6</xdr:row>
      <xdr:rowOff>127000</xdr:rowOff>
    </xdr:from>
    <xdr:to>
      <xdr:col>26</xdr:col>
      <xdr:colOff>601133</xdr:colOff>
      <xdr:row>6</xdr:row>
      <xdr:rowOff>770576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CDD4DC7-430B-406A-BA64-C0A7B1BA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81266" y="3285067"/>
          <a:ext cx="6764867" cy="643576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7</xdr:row>
      <xdr:rowOff>0</xdr:rowOff>
    </xdr:from>
    <xdr:to>
      <xdr:col>26</xdr:col>
      <xdr:colOff>609600</xdr:colOff>
      <xdr:row>7</xdr:row>
      <xdr:rowOff>694266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8A96E26-8B74-4274-82FA-534E93871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64334" y="3945467"/>
          <a:ext cx="6790266" cy="694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60114</xdr:colOff>
      <xdr:row>3</xdr:row>
      <xdr:rowOff>112607</xdr:rowOff>
    </xdr:from>
    <xdr:to>
      <xdr:col>4</xdr:col>
      <xdr:colOff>700056</xdr:colOff>
      <xdr:row>3</xdr:row>
      <xdr:rowOff>626534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032673B-F786-46F7-ABEA-B74E94DDE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054" y="5614247"/>
          <a:ext cx="639942" cy="513927"/>
        </a:xfrm>
        <a:prstGeom prst="rect">
          <a:avLst/>
        </a:prstGeom>
      </xdr:spPr>
    </xdr:pic>
    <xdr:clientData/>
  </xdr:twoCellAnchor>
  <xdr:twoCellAnchor>
    <xdr:from>
      <xdr:col>4</xdr:col>
      <xdr:colOff>104443</xdr:colOff>
      <xdr:row>4</xdr:row>
      <xdr:rowOff>65494</xdr:rowOff>
    </xdr:from>
    <xdr:to>
      <xdr:col>4</xdr:col>
      <xdr:colOff>583035</xdr:colOff>
      <xdr:row>4</xdr:row>
      <xdr:rowOff>508301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FC3D4C6-6EA7-45C5-AA6B-39BB00732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0142" y="1568617"/>
          <a:ext cx="478592" cy="442807"/>
        </a:xfrm>
        <a:prstGeom prst="rect">
          <a:avLst/>
        </a:prstGeom>
      </xdr:spPr>
    </xdr:pic>
    <xdr:clientData/>
  </xdr:twoCellAnchor>
  <xdr:twoCellAnchor>
    <xdr:from>
      <xdr:col>4</xdr:col>
      <xdr:colOff>162559</xdr:colOff>
      <xdr:row>5</xdr:row>
      <xdr:rowOff>135467</xdr:rowOff>
    </xdr:from>
    <xdr:to>
      <xdr:col>4</xdr:col>
      <xdr:colOff>710134</xdr:colOff>
      <xdr:row>5</xdr:row>
      <xdr:rowOff>660400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2634268-F40E-431B-88DF-BB0AB55E4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499" y="7206827"/>
          <a:ext cx="547575" cy="524933"/>
        </a:xfrm>
        <a:prstGeom prst="rect">
          <a:avLst/>
        </a:prstGeom>
      </xdr:spPr>
    </xdr:pic>
    <xdr:clientData/>
  </xdr:twoCellAnchor>
  <xdr:twoCellAnchor>
    <xdr:from>
      <xdr:col>4</xdr:col>
      <xdr:colOff>129539</xdr:colOff>
      <xdr:row>6</xdr:row>
      <xdr:rowOff>77893</xdr:rowOff>
    </xdr:from>
    <xdr:to>
      <xdr:col>4</xdr:col>
      <xdr:colOff>701040</xdr:colOff>
      <xdr:row>6</xdr:row>
      <xdr:rowOff>584200</xdr:rowOff>
    </xdr:to>
    <xdr:pic>
      <xdr:nvPicPr>
        <xdr:cNvPr id="13" name="图片 12" descr="1629962997(1)">
          <a:extLst>
            <a:ext uri="{FF2B5EF4-FFF2-40B4-BE49-F238E27FC236}">
              <a16:creationId xmlns:a16="http://schemas.microsoft.com/office/drawing/2014/main" id="{EB114639-92F9-40C5-B090-9F20687A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59479" y="9503833"/>
          <a:ext cx="571501" cy="506307"/>
        </a:xfrm>
        <a:prstGeom prst="rect">
          <a:avLst/>
        </a:prstGeom>
      </xdr:spPr>
    </xdr:pic>
    <xdr:clientData/>
  </xdr:twoCellAnchor>
  <xdr:twoCellAnchor>
    <xdr:from>
      <xdr:col>4</xdr:col>
      <xdr:colOff>193887</xdr:colOff>
      <xdr:row>7</xdr:row>
      <xdr:rowOff>173566</xdr:rowOff>
    </xdr:from>
    <xdr:to>
      <xdr:col>4</xdr:col>
      <xdr:colOff>494247</xdr:colOff>
      <xdr:row>7</xdr:row>
      <xdr:rowOff>609599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CC53599-BF62-4635-97D0-2F3A521C2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3827" y="10384366"/>
          <a:ext cx="300360" cy="436033"/>
        </a:xfrm>
        <a:prstGeom prst="rect">
          <a:avLst/>
        </a:prstGeom>
      </xdr:spPr>
    </xdr:pic>
    <xdr:clientData/>
  </xdr:twoCellAnchor>
  <xdr:twoCellAnchor>
    <xdr:from>
      <xdr:col>4</xdr:col>
      <xdr:colOff>215900</xdr:colOff>
      <xdr:row>8</xdr:row>
      <xdr:rowOff>148166</xdr:rowOff>
    </xdr:from>
    <xdr:to>
      <xdr:col>4</xdr:col>
      <xdr:colOff>667323</xdr:colOff>
      <xdr:row>8</xdr:row>
      <xdr:rowOff>651933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69321F4-1D77-4626-861B-9F135623C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45840" y="11143826"/>
          <a:ext cx="451423" cy="503767"/>
        </a:xfrm>
        <a:prstGeom prst="rect">
          <a:avLst/>
        </a:prstGeom>
      </xdr:spPr>
    </xdr:pic>
    <xdr:clientData/>
  </xdr:twoCellAnchor>
  <xdr:twoCellAnchor>
    <xdr:from>
      <xdr:col>4</xdr:col>
      <xdr:colOff>269240</xdr:colOff>
      <xdr:row>9</xdr:row>
      <xdr:rowOff>125307</xdr:rowOff>
    </xdr:from>
    <xdr:to>
      <xdr:col>4</xdr:col>
      <xdr:colOff>710796</xdr:colOff>
      <xdr:row>9</xdr:row>
      <xdr:rowOff>558800</xdr:rowOff>
    </xdr:to>
    <xdr:pic>
      <xdr:nvPicPr>
        <xdr:cNvPr id="16" name="图片 1">
          <a:extLst>
            <a:ext uri="{FF2B5EF4-FFF2-40B4-BE49-F238E27FC236}">
              <a16:creationId xmlns:a16="http://schemas.microsoft.com/office/drawing/2014/main" id="{FFE4FF13-ACDD-478C-A96A-8C325BAC2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9180" y="11905827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155786</xdr:colOff>
      <xdr:row>10</xdr:row>
      <xdr:rowOff>127000</xdr:rowOff>
    </xdr:from>
    <xdr:to>
      <xdr:col>4</xdr:col>
      <xdr:colOff>570568</xdr:colOff>
      <xdr:row>10</xdr:row>
      <xdr:rowOff>541867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FCC678A-D36C-447B-A1BD-D798E8880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85726" y="14262100"/>
          <a:ext cx="414782" cy="414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28787</xdr:colOff>
      <xdr:row>3</xdr:row>
      <xdr:rowOff>73660</xdr:rowOff>
    </xdr:from>
    <xdr:to>
      <xdr:col>3</xdr:col>
      <xdr:colOff>626534</xdr:colOff>
      <xdr:row>3</xdr:row>
      <xdr:rowOff>592667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F4D9C28-613E-4677-BF48-7AFC88E70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8727" y="3220720"/>
          <a:ext cx="597747" cy="519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43179</xdr:colOff>
      <xdr:row>4</xdr:row>
      <xdr:rowOff>105833</xdr:rowOff>
    </xdr:from>
    <xdr:to>
      <xdr:col>3</xdr:col>
      <xdr:colOff>643748</xdr:colOff>
      <xdr:row>4</xdr:row>
      <xdr:rowOff>601133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6D91E9-DCBA-4685-A06D-EA91DB1D5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3119" y="4822613"/>
          <a:ext cx="600569" cy="495300"/>
        </a:xfrm>
        <a:prstGeom prst="rect">
          <a:avLst/>
        </a:prstGeom>
      </xdr:spPr>
    </xdr:pic>
    <xdr:clientData/>
  </xdr:twoCellAnchor>
  <xdr:twoCellAnchor>
    <xdr:from>
      <xdr:col>3</xdr:col>
      <xdr:colOff>109220</xdr:colOff>
      <xdr:row>5</xdr:row>
      <xdr:rowOff>104987</xdr:rowOff>
    </xdr:from>
    <xdr:to>
      <xdr:col>3</xdr:col>
      <xdr:colOff>680474</xdr:colOff>
      <xdr:row>5</xdr:row>
      <xdr:rowOff>635000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32C26E3-73CE-413C-8E77-87FEBC976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9160" y="7961207"/>
          <a:ext cx="571254" cy="530013"/>
        </a:xfrm>
        <a:prstGeom prst="rect">
          <a:avLst/>
        </a:prstGeom>
      </xdr:spPr>
    </xdr:pic>
    <xdr:clientData/>
  </xdr:twoCellAnchor>
  <xdr:twoCellAnchor>
    <xdr:from>
      <xdr:col>3</xdr:col>
      <xdr:colOff>142239</xdr:colOff>
      <xdr:row>6</xdr:row>
      <xdr:rowOff>117686</xdr:rowOff>
    </xdr:from>
    <xdr:to>
      <xdr:col>3</xdr:col>
      <xdr:colOff>653462</xdr:colOff>
      <xdr:row>6</xdr:row>
      <xdr:rowOff>626533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674E2FD-B090-4D8A-8ED3-F8EC1711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72179" y="8758766"/>
          <a:ext cx="511223" cy="50884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</xdr:row>
      <xdr:rowOff>1</xdr:rowOff>
    </xdr:from>
    <xdr:to>
      <xdr:col>30</xdr:col>
      <xdr:colOff>372533</xdr:colOff>
      <xdr:row>4</xdr:row>
      <xdr:rowOff>8467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B8F7977-67D8-46D6-85C5-0413D2143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7667" y="795868"/>
          <a:ext cx="9643533" cy="7958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1</xdr:rowOff>
    </xdr:from>
    <xdr:to>
      <xdr:col>30</xdr:col>
      <xdr:colOff>372533</xdr:colOff>
      <xdr:row>4</xdr:row>
      <xdr:rowOff>770467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A2E1314-FDE5-4FBF-9878-320E01A0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17667" y="1583268"/>
          <a:ext cx="9643533" cy="770466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5</xdr:row>
      <xdr:rowOff>0</xdr:rowOff>
    </xdr:from>
    <xdr:to>
      <xdr:col>30</xdr:col>
      <xdr:colOff>364067</xdr:colOff>
      <xdr:row>6</xdr:row>
      <xdr:rowOff>8466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476A11E-0230-4D47-9B6E-99B5E005D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17668" y="2370667"/>
          <a:ext cx="9635066" cy="7958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</xdr:row>
      <xdr:rowOff>1</xdr:rowOff>
    </xdr:from>
    <xdr:to>
      <xdr:col>30</xdr:col>
      <xdr:colOff>355600</xdr:colOff>
      <xdr:row>6</xdr:row>
      <xdr:rowOff>770467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873A488-B6BF-42FB-AC92-0D1591FC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7667" y="3158068"/>
          <a:ext cx="9626600" cy="7704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137162</xdr:colOff>
      <xdr:row>3</xdr:row>
      <xdr:rowOff>33020</xdr:rowOff>
    </xdr:from>
    <xdr:to>
      <xdr:col>3</xdr:col>
      <xdr:colOff>720130</xdr:colOff>
      <xdr:row>3</xdr:row>
      <xdr:rowOff>753533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2AE7DDD-BA7A-4852-8D59-ACADBE05D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2" y="825500"/>
          <a:ext cx="582968" cy="7205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140469</xdr:colOff>
      <xdr:row>4</xdr:row>
      <xdr:rowOff>135467</xdr:rowOff>
    </xdr:from>
    <xdr:to>
      <xdr:col>3</xdr:col>
      <xdr:colOff>770327</xdr:colOff>
      <xdr:row>4</xdr:row>
      <xdr:rowOff>677334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8936EE6-A482-4DC1-A42B-D6346E87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0409" y="1712807"/>
          <a:ext cx="629858" cy="5418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180340</xdr:colOff>
      <xdr:row>5</xdr:row>
      <xdr:rowOff>54187</xdr:rowOff>
    </xdr:from>
    <xdr:to>
      <xdr:col>3</xdr:col>
      <xdr:colOff>717657</xdr:colOff>
      <xdr:row>5</xdr:row>
      <xdr:rowOff>550333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8940560-05C8-44D6-8761-B5B8ED43C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0280" y="2416387"/>
          <a:ext cx="537317" cy="496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28787</xdr:colOff>
      <xdr:row>6</xdr:row>
      <xdr:rowOff>73660</xdr:rowOff>
    </xdr:from>
    <xdr:to>
      <xdr:col>3</xdr:col>
      <xdr:colOff>626534</xdr:colOff>
      <xdr:row>6</xdr:row>
      <xdr:rowOff>592667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494ECD1-0D95-431D-864D-C3F555C4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8727" y="3220720"/>
          <a:ext cx="597747" cy="519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154093</xdr:colOff>
      <xdr:row>7</xdr:row>
      <xdr:rowOff>117686</xdr:rowOff>
    </xdr:from>
    <xdr:to>
      <xdr:col>3</xdr:col>
      <xdr:colOff>557953</xdr:colOff>
      <xdr:row>7</xdr:row>
      <xdr:rowOff>533399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0C75025-FC5A-4C1E-B275-2B5A42D00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84033" y="4049606"/>
          <a:ext cx="403860" cy="415713"/>
        </a:xfrm>
        <a:prstGeom prst="rect">
          <a:avLst/>
        </a:prstGeom>
      </xdr:spPr>
    </xdr:pic>
    <xdr:clientData/>
  </xdr:twoCellAnchor>
  <xdr:twoCellAnchor>
    <xdr:from>
      <xdr:col>3</xdr:col>
      <xdr:colOff>43179</xdr:colOff>
      <xdr:row>8</xdr:row>
      <xdr:rowOff>105833</xdr:rowOff>
    </xdr:from>
    <xdr:to>
      <xdr:col>3</xdr:col>
      <xdr:colOff>643748</xdr:colOff>
      <xdr:row>8</xdr:row>
      <xdr:rowOff>601133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2B2234B-7AB7-418B-B3F2-D702D4970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3119" y="4822613"/>
          <a:ext cx="600569" cy="495300"/>
        </a:xfrm>
        <a:prstGeom prst="rect">
          <a:avLst/>
        </a:prstGeom>
      </xdr:spPr>
    </xdr:pic>
    <xdr:clientData/>
  </xdr:twoCellAnchor>
  <xdr:twoCellAnchor>
    <xdr:from>
      <xdr:col>3</xdr:col>
      <xdr:colOff>60114</xdr:colOff>
      <xdr:row>9</xdr:row>
      <xdr:rowOff>112607</xdr:rowOff>
    </xdr:from>
    <xdr:to>
      <xdr:col>3</xdr:col>
      <xdr:colOff>700056</xdr:colOff>
      <xdr:row>9</xdr:row>
      <xdr:rowOff>626534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453F159-B73B-4476-8239-E13072C4B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90054" y="5614247"/>
          <a:ext cx="639942" cy="513927"/>
        </a:xfrm>
        <a:prstGeom prst="rect">
          <a:avLst/>
        </a:prstGeom>
      </xdr:spPr>
    </xdr:pic>
    <xdr:clientData/>
  </xdr:twoCellAnchor>
  <xdr:twoCellAnchor>
    <xdr:from>
      <xdr:col>3</xdr:col>
      <xdr:colOff>156634</xdr:colOff>
      <xdr:row>10</xdr:row>
      <xdr:rowOff>117686</xdr:rowOff>
    </xdr:from>
    <xdr:to>
      <xdr:col>3</xdr:col>
      <xdr:colOff>635226</xdr:colOff>
      <xdr:row>10</xdr:row>
      <xdr:rowOff>575733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5AE6109-2B65-4AE7-BF8C-6BD84C21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86574" y="6404186"/>
          <a:ext cx="478592" cy="458047"/>
        </a:xfrm>
        <a:prstGeom prst="rect">
          <a:avLst/>
        </a:prstGeom>
      </xdr:spPr>
    </xdr:pic>
    <xdr:clientData/>
  </xdr:twoCellAnchor>
  <xdr:twoCellAnchor>
    <xdr:from>
      <xdr:col>3</xdr:col>
      <xdr:colOff>162559</xdr:colOff>
      <xdr:row>11</xdr:row>
      <xdr:rowOff>135467</xdr:rowOff>
    </xdr:from>
    <xdr:to>
      <xdr:col>3</xdr:col>
      <xdr:colOff>710134</xdr:colOff>
      <xdr:row>11</xdr:row>
      <xdr:rowOff>660400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4707612-79A7-4F7F-ADF9-8A1DFEE28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92499" y="7206827"/>
          <a:ext cx="547575" cy="524933"/>
        </a:xfrm>
        <a:prstGeom prst="rect">
          <a:avLst/>
        </a:prstGeom>
      </xdr:spPr>
    </xdr:pic>
    <xdr:clientData/>
  </xdr:twoCellAnchor>
  <xdr:twoCellAnchor>
    <xdr:from>
      <xdr:col>3</xdr:col>
      <xdr:colOff>109220</xdr:colOff>
      <xdr:row>12</xdr:row>
      <xdr:rowOff>104987</xdr:rowOff>
    </xdr:from>
    <xdr:to>
      <xdr:col>3</xdr:col>
      <xdr:colOff>680474</xdr:colOff>
      <xdr:row>12</xdr:row>
      <xdr:rowOff>635000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DDE2668-24E4-4DA1-B488-EC77BF422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39160" y="7961207"/>
          <a:ext cx="571254" cy="530013"/>
        </a:xfrm>
        <a:prstGeom prst="rect">
          <a:avLst/>
        </a:prstGeom>
      </xdr:spPr>
    </xdr:pic>
    <xdr:clientData/>
  </xdr:twoCellAnchor>
  <xdr:twoCellAnchor>
    <xdr:from>
      <xdr:col>3</xdr:col>
      <xdr:colOff>142239</xdr:colOff>
      <xdr:row>13</xdr:row>
      <xdr:rowOff>117686</xdr:rowOff>
    </xdr:from>
    <xdr:to>
      <xdr:col>3</xdr:col>
      <xdr:colOff>653462</xdr:colOff>
      <xdr:row>13</xdr:row>
      <xdr:rowOff>626533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0A354F3-E0AA-4DDF-8273-752F91ADD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72179" y="8758766"/>
          <a:ext cx="511223" cy="508847"/>
        </a:xfrm>
        <a:prstGeom prst="rect">
          <a:avLst/>
        </a:prstGeom>
      </xdr:spPr>
    </xdr:pic>
    <xdr:clientData/>
  </xdr:twoCellAnchor>
  <xdr:twoCellAnchor>
    <xdr:from>
      <xdr:col>3</xdr:col>
      <xdr:colOff>129539</xdr:colOff>
      <xdr:row>14</xdr:row>
      <xdr:rowOff>77893</xdr:rowOff>
    </xdr:from>
    <xdr:to>
      <xdr:col>3</xdr:col>
      <xdr:colOff>701040</xdr:colOff>
      <xdr:row>14</xdr:row>
      <xdr:rowOff>584200</xdr:rowOff>
    </xdr:to>
    <xdr:pic>
      <xdr:nvPicPr>
        <xdr:cNvPr id="13" name="图片 12" descr="1629962997(1)">
          <a:extLst>
            <a:ext uri="{FF2B5EF4-FFF2-40B4-BE49-F238E27FC236}">
              <a16:creationId xmlns:a16="http://schemas.microsoft.com/office/drawing/2014/main" id="{786B087F-44C5-43C4-A851-A36478B6F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59479" y="9503833"/>
          <a:ext cx="571501" cy="506307"/>
        </a:xfrm>
        <a:prstGeom prst="rect">
          <a:avLst/>
        </a:prstGeom>
      </xdr:spPr>
    </xdr:pic>
    <xdr:clientData/>
  </xdr:twoCellAnchor>
  <xdr:twoCellAnchor>
    <xdr:from>
      <xdr:col>3</xdr:col>
      <xdr:colOff>193887</xdr:colOff>
      <xdr:row>15</xdr:row>
      <xdr:rowOff>173566</xdr:rowOff>
    </xdr:from>
    <xdr:to>
      <xdr:col>3</xdr:col>
      <xdr:colOff>494247</xdr:colOff>
      <xdr:row>15</xdr:row>
      <xdr:rowOff>609599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DE035463-434D-4D38-A632-17423D82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23827" y="10384366"/>
          <a:ext cx="300360" cy="436033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16</xdr:row>
      <xdr:rowOff>148166</xdr:rowOff>
    </xdr:from>
    <xdr:to>
      <xdr:col>3</xdr:col>
      <xdr:colOff>667323</xdr:colOff>
      <xdr:row>16</xdr:row>
      <xdr:rowOff>651933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E06D12C-735C-43A9-8A1A-2329F104D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45840" y="11143826"/>
          <a:ext cx="451423" cy="503767"/>
        </a:xfrm>
        <a:prstGeom prst="rect">
          <a:avLst/>
        </a:prstGeom>
      </xdr:spPr>
    </xdr:pic>
    <xdr:clientData/>
  </xdr:twoCellAnchor>
  <xdr:twoCellAnchor>
    <xdr:from>
      <xdr:col>3</xdr:col>
      <xdr:colOff>269240</xdr:colOff>
      <xdr:row>17</xdr:row>
      <xdr:rowOff>125307</xdr:rowOff>
    </xdr:from>
    <xdr:to>
      <xdr:col>3</xdr:col>
      <xdr:colOff>710796</xdr:colOff>
      <xdr:row>17</xdr:row>
      <xdr:rowOff>558800</xdr:rowOff>
    </xdr:to>
    <xdr:pic>
      <xdr:nvPicPr>
        <xdr:cNvPr id="16" name="图片 1">
          <a:extLst>
            <a:ext uri="{FF2B5EF4-FFF2-40B4-BE49-F238E27FC236}">
              <a16:creationId xmlns:a16="http://schemas.microsoft.com/office/drawing/2014/main" id="{43C227FD-FB69-499F-B97F-147CB4678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599180" y="11905827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209973</xdr:colOff>
      <xdr:row>18</xdr:row>
      <xdr:rowOff>66040</xdr:rowOff>
    </xdr:from>
    <xdr:to>
      <xdr:col>3</xdr:col>
      <xdr:colOff>710279</xdr:colOff>
      <xdr:row>18</xdr:row>
      <xdr:rowOff>626533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6DAE0A9-B37C-4971-BFD2-FCDA93566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39913" y="12631420"/>
          <a:ext cx="500306" cy="560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111760</xdr:colOff>
      <xdr:row>19</xdr:row>
      <xdr:rowOff>96520</xdr:rowOff>
    </xdr:from>
    <xdr:to>
      <xdr:col>3</xdr:col>
      <xdr:colOff>658434</xdr:colOff>
      <xdr:row>19</xdr:row>
      <xdr:rowOff>567267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ECFD7220-69B2-47D8-A793-8B97D5CB4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41700" y="13446760"/>
          <a:ext cx="546674" cy="470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155786</xdr:colOff>
      <xdr:row>20</xdr:row>
      <xdr:rowOff>127000</xdr:rowOff>
    </xdr:from>
    <xdr:to>
      <xdr:col>3</xdr:col>
      <xdr:colOff>570568</xdr:colOff>
      <xdr:row>20</xdr:row>
      <xdr:rowOff>541867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F99EDC3-B416-4E2A-82B7-5A103F49C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85726" y="14262100"/>
          <a:ext cx="414782" cy="414867"/>
        </a:xfrm>
        <a:prstGeom prst="rect">
          <a:avLst/>
        </a:prstGeom>
      </xdr:spPr>
    </xdr:pic>
    <xdr:clientData/>
  </xdr:twoCellAnchor>
  <xdr:twoCellAnchor>
    <xdr:from>
      <xdr:col>3</xdr:col>
      <xdr:colOff>206587</xdr:colOff>
      <xdr:row>21</xdr:row>
      <xdr:rowOff>123613</xdr:rowOff>
    </xdr:from>
    <xdr:to>
      <xdr:col>3</xdr:col>
      <xdr:colOff>742111</xdr:colOff>
      <xdr:row>21</xdr:row>
      <xdr:rowOff>584200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7C2925FC-E7EA-45D4-B3C9-62BDF40D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36527" y="15043573"/>
          <a:ext cx="535524" cy="460587"/>
        </a:xfrm>
        <a:prstGeom prst="rect">
          <a:avLst/>
        </a:prstGeom>
      </xdr:spPr>
    </xdr:pic>
    <xdr:clientData/>
  </xdr:twoCellAnchor>
  <xdr:twoCellAnchor>
    <xdr:from>
      <xdr:col>3</xdr:col>
      <xdr:colOff>237913</xdr:colOff>
      <xdr:row>22</xdr:row>
      <xdr:rowOff>185420</xdr:rowOff>
    </xdr:from>
    <xdr:to>
      <xdr:col>3</xdr:col>
      <xdr:colOff>570599</xdr:colOff>
      <xdr:row>22</xdr:row>
      <xdr:rowOff>618067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F6080DF3-3019-43FF-AC4A-C42AD70A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567853" y="15890240"/>
          <a:ext cx="332686" cy="432647"/>
        </a:xfrm>
        <a:prstGeom prst="rect">
          <a:avLst/>
        </a:prstGeom>
      </xdr:spPr>
    </xdr:pic>
    <xdr:clientData/>
  </xdr:twoCellAnchor>
  <xdr:twoCellAnchor>
    <xdr:from>
      <xdr:col>3</xdr:col>
      <xdr:colOff>182034</xdr:colOff>
      <xdr:row>23</xdr:row>
      <xdr:rowOff>145415</xdr:rowOff>
    </xdr:from>
    <xdr:to>
      <xdr:col>3</xdr:col>
      <xdr:colOff>455084</xdr:colOff>
      <xdr:row>23</xdr:row>
      <xdr:rowOff>395605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F94332F9-12A2-45AD-9D2C-E664CFCDB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11974" y="16635095"/>
          <a:ext cx="273050" cy="2501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173752</xdr:colOff>
      <xdr:row>26</xdr:row>
      <xdr:rowOff>96079</xdr:rowOff>
    </xdr:from>
    <xdr:to>
      <xdr:col>3</xdr:col>
      <xdr:colOff>677334</xdr:colOff>
      <xdr:row>26</xdr:row>
      <xdr:rowOff>434010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6A2497E6-43F2-46EF-A0C3-1FCF9B52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503692" y="18940339"/>
          <a:ext cx="503582" cy="337931"/>
        </a:xfrm>
        <a:prstGeom prst="rect">
          <a:avLst/>
        </a:prstGeom>
      </xdr:spPr>
    </xdr:pic>
    <xdr:clientData/>
  </xdr:twoCellAnchor>
  <xdr:twoCellAnchor editAs="oneCell">
    <xdr:from>
      <xdr:col>3</xdr:col>
      <xdr:colOff>253264</xdr:colOff>
      <xdr:row>27</xdr:row>
      <xdr:rowOff>162339</xdr:rowOff>
    </xdr:from>
    <xdr:to>
      <xdr:col>3</xdr:col>
      <xdr:colOff>558064</xdr:colOff>
      <xdr:row>27</xdr:row>
      <xdr:rowOff>375699</xdr:rowOff>
    </xdr:to>
    <xdr:pic>
      <xdr:nvPicPr>
        <xdr:cNvPr id="24" name="图片 7">
          <a:extLst>
            <a:ext uri="{FF2B5EF4-FFF2-40B4-BE49-F238E27FC236}">
              <a16:creationId xmlns:a16="http://schemas.microsoft.com/office/drawing/2014/main" id="{E003873A-5187-4783-99B4-63A6297C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204" y="19791459"/>
          <a:ext cx="3048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84667</xdr:colOff>
      <xdr:row>24</xdr:row>
      <xdr:rowOff>118533</xdr:rowOff>
    </xdr:from>
    <xdr:to>
      <xdr:col>3</xdr:col>
      <xdr:colOff>660400</xdr:colOff>
      <xdr:row>24</xdr:row>
      <xdr:rowOff>575733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B9E3086-1D2A-4A4C-AC77-E9017F0AF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4607" y="17393073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135467</xdr:colOff>
      <xdr:row>25</xdr:row>
      <xdr:rowOff>211667</xdr:rowOff>
    </xdr:from>
    <xdr:to>
      <xdr:col>3</xdr:col>
      <xdr:colOff>630767</xdr:colOff>
      <xdr:row>25</xdr:row>
      <xdr:rowOff>541867</xdr:rowOff>
    </xdr:to>
    <xdr:pic>
      <xdr:nvPicPr>
        <xdr:cNvPr id="26" name="图片 37">
          <a:extLst>
            <a:ext uri="{FF2B5EF4-FFF2-40B4-BE49-F238E27FC236}">
              <a16:creationId xmlns:a16="http://schemas.microsoft.com/office/drawing/2014/main" id="{96E7B1FF-7D60-4D68-A3E8-8B046338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407" y="18271067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182034</xdr:colOff>
      <xdr:row>3</xdr:row>
      <xdr:rowOff>145415</xdr:rowOff>
    </xdr:from>
    <xdr:to>
      <xdr:col>3</xdr:col>
      <xdr:colOff>455084</xdr:colOff>
      <xdr:row>3</xdr:row>
      <xdr:rowOff>395605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EAC7AACB-ACA2-4946-8B7B-B806170D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1974" y="16635095"/>
          <a:ext cx="273050" cy="2501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173752</xdr:colOff>
      <xdr:row>6</xdr:row>
      <xdr:rowOff>96079</xdr:rowOff>
    </xdr:from>
    <xdr:to>
      <xdr:col>3</xdr:col>
      <xdr:colOff>677334</xdr:colOff>
      <xdr:row>6</xdr:row>
      <xdr:rowOff>434010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6D2BCCA7-56C7-40C9-B682-4B6166FF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3692" y="18940339"/>
          <a:ext cx="503582" cy="337931"/>
        </a:xfrm>
        <a:prstGeom prst="rect">
          <a:avLst/>
        </a:prstGeom>
      </xdr:spPr>
    </xdr:pic>
    <xdr:clientData/>
  </xdr:twoCellAnchor>
  <xdr:twoCellAnchor>
    <xdr:from>
      <xdr:col>3</xdr:col>
      <xdr:colOff>84667</xdr:colOff>
      <xdr:row>4</xdr:row>
      <xdr:rowOff>118533</xdr:rowOff>
    </xdr:from>
    <xdr:to>
      <xdr:col>3</xdr:col>
      <xdr:colOff>660400</xdr:colOff>
      <xdr:row>4</xdr:row>
      <xdr:rowOff>575733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C40CE02F-9849-4F1A-86EA-63651707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4607" y="17393073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135467</xdr:colOff>
      <xdr:row>5</xdr:row>
      <xdr:rowOff>211667</xdr:rowOff>
    </xdr:from>
    <xdr:to>
      <xdr:col>3</xdr:col>
      <xdr:colOff>630767</xdr:colOff>
      <xdr:row>5</xdr:row>
      <xdr:rowOff>541867</xdr:rowOff>
    </xdr:to>
    <xdr:pic>
      <xdr:nvPicPr>
        <xdr:cNvPr id="26" name="图片 37">
          <a:extLst>
            <a:ext uri="{FF2B5EF4-FFF2-40B4-BE49-F238E27FC236}">
              <a16:creationId xmlns:a16="http://schemas.microsoft.com/office/drawing/2014/main" id="{5BBEA797-FB1D-4F39-B3DF-D8BA7AB0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407" y="18271067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140469</xdr:colOff>
      <xdr:row>3</xdr:row>
      <xdr:rowOff>135467</xdr:rowOff>
    </xdr:from>
    <xdr:to>
      <xdr:col>3</xdr:col>
      <xdr:colOff>770327</xdr:colOff>
      <xdr:row>3</xdr:row>
      <xdr:rowOff>677334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29582F-3C21-4BCB-8A4C-BA9A2B9B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0409" y="927947"/>
          <a:ext cx="629858" cy="5418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180340</xdr:colOff>
      <xdr:row>4</xdr:row>
      <xdr:rowOff>54187</xdr:rowOff>
    </xdr:from>
    <xdr:to>
      <xdr:col>3</xdr:col>
      <xdr:colOff>717657</xdr:colOff>
      <xdr:row>4</xdr:row>
      <xdr:rowOff>550333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B9CD08D-F627-461D-B3A0-C01FDC121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0280" y="1631527"/>
          <a:ext cx="537317" cy="496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209973</xdr:colOff>
      <xdr:row>5</xdr:row>
      <xdr:rowOff>66040</xdr:rowOff>
    </xdr:from>
    <xdr:to>
      <xdr:col>3</xdr:col>
      <xdr:colOff>710279</xdr:colOff>
      <xdr:row>5</xdr:row>
      <xdr:rowOff>626533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C33CCD8-AC4D-4545-AAD6-482E10468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39913" y="3997960"/>
          <a:ext cx="500306" cy="560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253264</xdr:colOff>
      <xdr:row>6</xdr:row>
      <xdr:rowOff>162339</xdr:rowOff>
    </xdr:from>
    <xdr:to>
      <xdr:col>3</xdr:col>
      <xdr:colOff>558064</xdr:colOff>
      <xdr:row>6</xdr:row>
      <xdr:rowOff>375699</xdr:rowOff>
    </xdr:to>
    <xdr:pic>
      <xdr:nvPicPr>
        <xdr:cNvPr id="9" name="图片 7">
          <a:extLst>
            <a:ext uri="{FF2B5EF4-FFF2-40B4-BE49-F238E27FC236}">
              <a16:creationId xmlns:a16="http://schemas.microsoft.com/office/drawing/2014/main" id="{852DD620-DB0B-4C7A-901E-9221274C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204" y="8018559"/>
          <a:ext cx="3048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93134</xdr:colOff>
      <xdr:row>4</xdr:row>
      <xdr:rowOff>127000</xdr:rowOff>
    </xdr:from>
    <xdr:to>
      <xdr:col>6</xdr:col>
      <xdr:colOff>668868</xdr:colOff>
      <xdr:row>7</xdr:row>
      <xdr:rowOff>119380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4050C35-16CC-4C47-9FEC-6F54CC84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8934" y="1024467"/>
          <a:ext cx="575734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186267</xdr:colOff>
      <xdr:row>11</xdr:row>
      <xdr:rowOff>135468</xdr:rowOff>
    </xdr:from>
    <xdr:to>
      <xdr:col>6</xdr:col>
      <xdr:colOff>651087</xdr:colOff>
      <xdr:row>14</xdr:row>
      <xdr:rowOff>72794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206F7E3-96AC-4665-889C-5F6A5B38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2067" y="2336801"/>
          <a:ext cx="464820" cy="4961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118533</xdr:colOff>
      <xdr:row>21</xdr:row>
      <xdr:rowOff>237067</xdr:rowOff>
    </xdr:from>
    <xdr:to>
      <xdr:col>6</xdr:col>
      <xdr:colOff>655850</xdr:colOff>
      <xdr:row>23</xdr:row>
      <xdr:rowOff>89746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D422104-E3EB-47AA-A5D2-1BB8FBDAF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44333" y="4927600"/>
          <a:ext cx="537317" cy="496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160867</xdr:colOff>
      <xdr:row>31</xdr:row>
      <xdr:rowOff>42333</xdr:rowOff>
    </xdr:from>
    <xdr:to>
      <xdr:col>6</xdr:col>
      <xdr:colOff>758614</xdr:colOff>
      <xdr:row>33</xdr:row>
      <xdr:rowOff>70274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18173E2-0CE4-4D8D-8710-61C36CD5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86667" y="6350000"/>
          <a:ext cx="597747" cy="519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37</xdr:row>
      <xdr:rowOff>177800</xdr:rowOff>
    </xdr:from>
    <xdr:to>
      <xdr:col>6</xdr:col>
      <xdr:colOff>530860</xdr:colOff>
      <xdr:row>40</xdr:row>
      <xdr:rowOff>34713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6A6AA8B-0A95-4BA1-BECE-B30390C0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2800" y="7763933"/>
          <a:ext cx="403860" cy="415713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44</xdr:row>
      <xdr:rowOff>143933</xdr:rowOff>
    </xdr:from>
    <xdr:to>
      <xdr:col>6</xdr:col>
      <xdr:colOff>727569</xdr:colOff>
      <xdr:row>47</xdr:row>
      <xdr:rowOff>80433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DE15F67-3D2D-4235-A9B8-C5FFE356F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52800" y="9194800"/>
          <a:ext cx="600569" cy="4953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51</xdr:row>
      <xdr:rowOff>76200</xdr:rowOff>
    </xdr:from>
    <xdr:to>
      <xdr:col>6</xdr:col>
      <xdr:colOff>716142</xdr:colOff>
      <xdr:row>54</xdr:row>
      <xdr:rowOff>31327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254C271-3240-48C2-B3F8-F4E8B32E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02000" y="10591800"/>
          <a:ext cx="639942" cy="513927"/>
        </a:xfrm>
        <a:prstGeom prst="rect">
          <a:avLst/>
        </a:prstGeom>
      </xdr:spPr>
    </xdr:pic>
    <xdr:clientData/>
  </xdr:twoCellAnchor>
  <xdr:twoCellAnchor>
    <xdr:from>
      <xdr:col>6</xdr:col>
      <xdr:colOff>220133</xdr:colOff>
      <xdr:row>59</xdr:row>
      <xdr:rowOff>59267</xdr:rowOff>
    </xdr:from>
    <xdr:to>
      <xdr:col>6</xdr:col>
      <xdr:colOff>698725</xdr:colOff>
      <xdr:row>61</xdr:row>
      <xdr:rowOff>144781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69BB7145-4280-47E2-A56B-0D4B4C9BF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45933" y="12225867"/>
          <a:ext cx="478592" cy="458047"/>
        </a:xfrm>
        <a:prstGeom prst="rect">
          <a:avLst/>
        </a:prstGeom>
      </xdr:spPr>
    </xdr:pic>
    <xdr:clientData/>
  </xdr:twoCellAnchor>
  <xdr:twoCellAnchor>
    <xdr:from>
      <xdr:col>6</xdr:col>
      <xdr:colOff>143933</xdr:colOff>
      <xdr:row>65</xdr:row>
      <xdr:rowOff>101600</xdr:rowOff>
    </xdr:from>
    <xdr:to>
      <xdr:col>6</xdr:col>
      <xdr:colOff>691508</xdr:colOff>
      <xdr:row>68</xdr:row>
      <xdr:rowOff>67733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7BB4240-E3F2-436A-A770-35A53A1D9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69733" y="13546667"/>
          <a:ext cx="547575" cy="524933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72</xdr:row>
      <xdr:rowOff>177800</xdr:rowOff>
    </xdr:from>
    <xdr:to>
      <xdr:col>6</xdr:col>
      <xdr:colOff>672854</xdr:colOff>
      <xdr:row>75</xdr:row>
      <xdr:rowOff>149013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2E4F08B-3A5C-4C26-824B-7A2F58FF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27400" y="15087600"/>
          <a:ext cx="571254" cy="530013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79</xdr:row>
      <xdr:rowOff>169334</xdr:rowOff>
    </xdr:from>
    <xdr:to>
      <xdr:col>6</xdr:col>
      <xdr:colOff>638223</xdr:colOff>
      <xdr:row>82</xdr:row>
      <xdr:rowOff>119381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C31199E-5BE8-4757-B1F5-6D9457D1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52800" y="16543867"/>
          <a:ext cx="511223" cy="508847"/>
        </a:xfrm>
        <a:prstGeom prst="rect">
          <a:avLst/>
        </a:prstGeom>
      </xdr:spPr>
    </xdr:pic>
    <xdr:clientData/>
  </xdr:twoCellAnchor>
  <xdr:twoCellAnchor>
    <xdr:from>
      <xdr:col>6</xdr:col>
      <xdr:colOff>93133</xdr:colOff>
      <xdr:row>86</xdr:row>
      <xdr:rowOff>84666</xdr:rowOff>
    </xdr:from>
    <xdr:to>
      <xdr:col>6</xdr:col>
      <xdr:colOff>664634</xdr:colOff>
      <xdr:row>89</xdr:row>
      <xdr:rowOff>32173</xdr:rowOff>
    </xdr:to>
    <xdr:pic>
      <xdr:nvPicPr>
        <xdr:cNvPr id="24" name="图片 23" descr="1629962997(1)">
          <a:extLst>
            <a:ext uri="{FF2B5EF4-FFF2-40B4-BE49-F238E27FC236}">
              <a16:creationId xmlns:a16="http://schemas.microsoft.com/office/drawing/2014/main" id="{7B207682-D634-42F6-96D5-0271916D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18933" y="17923933"/>
          <a:ext cx="571501" cy="506307"/>
        </a:xfrm>
        <a:prstGeom prst="rect">
          <a:avLst/>
        </a:prstGeom>
      </xdr:spPr>
    </xdr:pic>
    <xdr:clientData/>
  </xdr:twoCellAnchor>
  <xdr:twoCellAnchor>
    <xdr:from>
      <xdr:col>6</xdr:col>
      <xdr:colOff>169333</xdr:colOff>
      <xdr:row>93</xdr:row>
      <xdr:rowOff>160867</xdr:rowOff>
    </xdr:from>
    <xdr:to>
      <xdr:col>6</xdr:col>
      <xdr:colOff>469693</xdr:colOff>
      <xdr:row>96</xdr:row>
      <xdr:rowOff>38100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305E485-B7F0-4078-81F7-A902202FF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95133" y="19464867"/>
          <a:ext cx="300360" cy="436033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101</xdr:row>
      <xdr:rowOff>0</xdr:rowOff>
    </xdr:from>
    <xdr:to>
      <xdr:col>6</xdr:col>
      <xdr:colOff>680023</xdr:colOff>
      <xdr:row>103</xdr:row>
      <xdr:rowOff>131234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456A4396-63C0-47B2-9BB9-12A47855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54400" y="20955000"/>
          <a:ext cx="451423" cy="503767"/>
        </a:xfrm>
        <a:prstGeom prst="rect">
          <a:avLst/>
        </a:prstGeom>
      </xdr:spPr>
    </xdr:pic>
    <xdr:clientData/>
  </xdr:twoCellAnchor>
  <xdr:twoCellAnchor>
    <xdr:from>
      <xdr:col>6</xdr:col>
      <xdr:colOff>177800</xdr:colOff>
      <xdr:row>107</xdr:row>
      <xdr:rowOff>93133</xdr:rowOff>
    </xdr:from>
    <xdr:to>
      <xdr:col>6</xdr:col>
      <xdr:colOff>619356</xdr:colOff>
      <xdr:row>109</xdr:row>
      <xdr:rowOff>154093</xdr:rowOff>
    </xdr:to>
    <xdr:pic>
      <xdr:nvPicPr>
        <xdr:cNvPr id="30" name="图片 1">
          <a:extLst>
            <a:ext uri="{FF2B5EF4-FFF2-40B4-BE49-F238E27FC236}">
              <a16:creationId xmlns:a16="http://schemas.microsoft.com/office/drawing/2014/main" id="{C908227A-055A-42F9-8B9F-98A8EE703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03600" y="22326600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194734</xdr:colOff>
      <xdr:row>119</xdr:row>
      <xdr:rowOff>16934</xdr:rowOff>
    </xdr:from>
    <xdr:to>
      <xdr:col>6</xdr:col>
      <xdr:colOff>695040</xdr:colOff>
      <xdr:row>122</xdr:row>
      <xdr:rowOff>18627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A38B879F-A309-40D4-AF1C-F1E4307E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20534" y="24883534"/>
          <a:ext cx="500306" cy="560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126</xdr:row>
      <xdr:rowOff>160867</xdr:rowOff>
    </xdr:from>
    <xdr:to>
      <xdr:col>6</xdr:col>
      <xdr:colOff>673674</xdr:colOff>
      <xdr:row>129</xdr:row>
      <xdr:rowOff>72814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61ED1449-9100-4FF0-A090-91FABF932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52800" y="26492200"/>
          <a:ext cx="546674" cy="470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133</xdr:row>
      <xdr:rowOff>67733</xdr:rowOff>
    </xdr:from>
    <xdr:to>
      <xdr:col>6</xdr:col>
      <xdr:colOff>567182</xdr:colOff>
      <xdr:row>135</xdr:row>
      <xdr:rowOff>110067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BB836A8E-E676-4392-B59A-C1E55BFD0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8200" y="27863800"/>
          <a:ext cx="414782" cy="414867"/>
        </a:xfrm>
        <a:prstGeom prst="rect">
          <a:avLst/>
        </a:prstGeom>
      </xdr:spPr>
    </xdr:pic>
    <xdr:clientData/>
  </xdr:twoCellAnchor>
  <xdr:twoCellAnchor>
    <xdr:from>
      <xdr:col>6</xdr:col>
      <xdr:colOff>118534</xdr:colOff>
      <xdr:row>140</xdr:row>
      <xdr:rowOff>169333</xdr:rowOff>
    </xdr:from>
    <xdr:to>
      <xdr:col>6</xdr:col>
      <xdr:colOff>654058</xdr:colOff>
      <xdr:row>143</xdr:row>
      <xdr:rowOff>71120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CE0DB1C-26CC-4BDF-A169-222454C1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44334" y="29430133"/>
          <a:ext cx="535524" cy="460587"/>
        </a:xfrm>
        <a:prstGeom prst="rect">
          <a:avLst/>
        </a:prstGeom>
      </xdr:spPr>
    </xdr:pic>
    <xdr:clientData/>
  </xdr:twoCellAnchor>
  <xdr:twoCellAnchor>
    <xdr:from>
      <xdr:col>6</xdr:col>
      <xdr:colOff>143933</xdr:colOff>
      <xdr:row>147</xdr:row>
      <xdr:rowOff>177801</xdr:rowOff>
    </xdr:from>
    <xdr:to>
      <xdr:col>6</xdr:col>
      <xdr:colOff>476619</xdr:colOff>
      <xdr:row>150</xdr:row>
      <xdr:rowOff>51648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5771CEDC-BE66-4B5A-9614-502BEDA3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69733" y="30903334"/>
          <a:ext cx="332686" cy="432647"/>
        </a:xfrm>
        <a:prstGeom prst="rect">
          <a:avLst/>
        </a:prstGeom>
      </xdr:spPr>
    </xdr:pic>
    <xdr:clientData/>
  </xdr:twoCellAnchor>
  <xdr:twoCellAnchor>
    <xdr:from>
      <xdr:col>6</xdr:col>
      <xdr:colOff>152399</xdr:colOff>
      <xdr:row>154</xdr:row>
      <xdr:rowOff>93132</xdr:rowOff>
    </xdr:from>
    <xdr:to>
      <xdr:col>6</xdr:col>
      <xdr:colOff>660614</xdr:colOff>
      <xdr:row>156</xdr:row>
      <xdr:rowOff>186266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92D92DB9-E89E-4431-9415-214AB1EB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78199" y="32283399"/>
          <a:ext cx="508215" cy="465667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162</xdr:row>
      <xdr:rowOff>16933</xdr:rowOff>
    </xdr:from>
    <xdr:to>
      <xdr:col>6</xdr:col>
      <xdr:colOff>702733</xdr:colOff>
      <xdr:row>164</xdr:row>
      <xdr:rowOff>101600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B177C957-F504-4E20-9FEE-1DA09641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85820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135467</xdr:colOff>
      <xdr:row>168</xdr:row>
      <xdr:rowOff>152401</xdr:rowOff>
    </xdr:from>
    <xdr:to>
      <xdr:col>6</xdr:col>
      <xdr:colOff>630767</xdr:colOff>
      <xdr:row>170</xdr:row>
      <xdr:rowOff>110067</xdr:rowOff>
    </xdr:to>
    <xdr:pic>
      <xdr:nvPicPr>
        <xdr:cNvPr id="46" name="图片 37">
          <a:extLst>
            <a:ext uri="{FF2B5EF4-FFF2-40B4-BE49-F238E27FC236}">
              <a16:creationId xmlns:a16="http://schemas.microsoft.com/office/drawing/2014/main" id="{47ED51E3-DF7C-4CF0-B0A0-5F2942BF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67" y="35272134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211667</xdr:colOff>
      <xdr:row>176</xdr:row>
      <xdr:rowOff>42333</xdr:rowOff>
    </xdr:from>
    <xdr:to>
      <xdr:col>6</xdr:col>
      <xdr:colOff>715249</xdr:colOff>
      <xdr:row>178</xdr:row>
      <xdr:rowOff>7731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C3E6FFE-C850-4AA0-83E1-82903941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37467" y="36813066"/>
          <a:ext cx="503582" cy="337931"/>
        </a:xfrm>
        <a:prstGeom prst="rect">
          <a:avLst/>
        </a:prstGeom>
      </xdr:spPr>
    </xdr:pic>
    <xdr:clientData/>
  </xdr:twoCellAnchor>
  <xdr:twoCellAnchor editAs="oneCell">
    <xdr:from>
      <xdr:col>6</xdr:col>
      <xdr:colOff>177799</xdr:colOff>
      <xdr:row>182</xdr:row>
      <xdr:rowOff>186266</xdr:rowOff>
    </xdr:from>
    <xdr:to>
      <xdr:col>6</xdr:col>
      <xdr:colOff>694266</xdr:colOff>
      <xdr:row>184</xdr:row>
      <xdr:rowOff>143932</xdr:rowOff>
    </xdr:to>
    <xdr:pic>
      <xdr:nvPicPr>
        <xdr:cNvPr id="50" name="图片 7">
          <a:extLst>
            <a:ext uri="{FF2B5EF4-FFF2-40B4-BE49-F238E27FC236}">
              <a16:creationId xmlns:a16="http://schemas.microsoft.com/office/drawing/2014/main" id="{F4CADDAF-846A-4308-8D09-3EF0305F4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599" y="38235466"/>
          <a:ext cx="516467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&#36731;&#21345;&#20943;&#38663;&#24179;&#21488;-&#24037;&#33402;BOM-2021.09.16&#65288;&#30446;&#26631;&#20215;&#26684;&#65289;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051;&#37329;&#20214;/&#35780;&#26631;/&#38051;&#37329;&#20214;&#20215;&#26684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升级底座模块化"/>
      <sheetName val="轻卡减震器总成"/>
      <sheetName val="速降阀及气管连接总成变更履历"/>
      <sheetName val="下底板焊接总成-爆炸图"/>
      <sheetName val="上盖板焊接总成-爆炸图"/>
      <sheetName val="内外焊接总成-爆炸图"/>
      <sheetName val="Sheet1"/>
      <sheetName val="Sheet2"/>
    </sheetNames>
    <sheetDataSet>
      <sheetData sheetId="0" refreshError="1"/>
      <sheetData sheetId="1">
        <row r="10">
          <cell r="AU10" t="str">
            <v>SLT0010554</v>
          </cell>
        </row>
        <row r="11">
          <cell r="AU11" t="str">
            <v>SLT0010568</v>
          </cell>
        </row>
        <row r="12">
          <cell r="AU12" t="str">
            <v>SLT0010550</v>
          </cell>
        </row>
        <row r="13">
          <cell r="AU13" t="str">
            <v>SLT0010545</v>
          </cell>
          <cell r="AV13">
            <v>25.251060365999997</v>
          </cell>
        </row>
        <row r="14">
          <cell r="AU14" t="str">
            <v>SLT0010543</v>
          </cell>
          <cell r="AV14">
            <v>3.5084740950000004</v>
          </cell>
        </row>
        <row r="15">
          <cell r="AU15" t="str">
            <v>SLT0010641</v>
          </cell>
          <cell r="AV15">
            <v>2.5884742212000003</v>
          </cell>
        </row>
        <row r="16">
          <cell r="AU16" t="str">
            <v>SLT0010544</v>
          </cell>
          <cell r="AV16">
            <v>5.8972224150000008</v>
          </cell>
        </row>
        <row r="17">
          <cell r="AU17" t="str">
            <v>SLT0010642</v>
          </cell>
          <cell r="AV17">
            <v>4.5147343248</v>
          </cell>
        </row>
        <row r="18">
          <cell r="AU18" t="str">
            <v>SLT0010561</v>
          </cell>
          <cell r="AV18">
            <v>0.77037133319999995</v>
          </cell>
        </row>
        <row r="19">
          <cell r="AU19" t="str">
            <v>SLT0010541</v>
          </cell>
          <cell r="AV19">
            <v>0.40695476975999995</v>
          </cell>
        </row>
        <row r="20">
          <cell r="AU20" t="str">
            <v>SLT0010546</v>
          </cell>
          <cell r="AV20">
            <v>0.13534796204999999</v>
          </cell>
        </row>
        <row r="21">
          <cell r="AU21" t="str">
            <v>SLT0010540</v>
          </cell>
          <cell r="AV21">
            <v>1.8559603893600001</v>
          </cell>
        </row>
        <row r="22">
          <cell r="AU22" t="str">
            <v>SLT0010569</v>
          </cell>
          <cell r="AV22">
            <v>0</v>
          </cell>
        </row>
        <row r="23">
          <cell r="AU23" t="str">
            <v>SLT0010551</v>
          </cell>
          <cell r="AV23">
            <v>0</v>
          </cell>
        </row>
        <row r="24">
          <cell r="AU24" t="str">
            <v>SLT0010570</v>
          </cell>
          <cell r="AV24">
            <v>0</v>
          </cell>
        </row>
        <row r="25">
          <cell r="AU25" t="str">
            <v>SLT0010539</v>
          </cell>
          <cell r="AV25">
            <v>24.0537002706</v>
          </cell>
        </row>
        <row r="26">
          <cell r="AU26" t="str">
            <v>BFA0000316</v>
          </cell>
          <cell r="AV26">
            <v>0.11550000000000001</v>
          </cell>
        </row>
        <row r="27">
          <cell r="AU27" t="str">
            <v>SLT0010553</v>
          </cell>
          <cell r="AV27">
            <v>0.33177060000000003</v>
          </cell>
        </row>
        <row r="28">
          <cell r="AU28" t="str">
            <v>SLT0010552</v>
          </cell>
          <cell r="AV28">
            <v>0</v>
          </cell>
        </row>
        <row r="29">
          <cell r="AU29" t="str">
            <v>SLT0010537</v>
          </cell>
          <cell r="AV29">
            <v>3.191633172</v>
          </cell>
        </row>
        <row r="30">
          <cell r="AU30" t="str">
            <v>Q37108</v>
          </cell>
          <cell r="AV30">
            <v>8.7500000000000008E-2</v>
          </cell>
        </row>
        <row r="31">
          <cell r="AU31" t="str">
            <v>SLT0010558</v>
          </cell>
          <cell r="AV31">
            <v>0</v>
          </cell>
        </row>
        <row r="32">
          <cell r="AU32" t="str">
            <v>SLT0010538</v>
          </cell>
          <cell r="AV32">
            <v>6.6616218774</v>
          </cell>
        </row>
        <row r="33">
          <cell r="AU33" t="str">
            <v>Q37108</v>
          </cell>
          <cell r="AV33">
            <v>8.7500000000000008E-2</v>
          </cell>
        </row>
        <row r="34">
          <cell r="AU34" t="str">
            <v>SLT0010541</v>
          </cell>
          <cell r="AV34">
            <v>0.40695476975999995</v>
          </cell>
        </row>
        <row r="35">
          <cell r="AU35" t="str">
            <v>SLT0010564</v>
          </cell>
          <cell r="AV35">
            <v>1.7480557155600001</v>
          </cell>
        </row>
        <row r="36">
          <cell r="AU36" t="str">
            <v>SLT0010571</v>
          </cell>
          <cell r="AV36">
            <v>0</v>
          </cell>
        </row>
        <row r="37">
          <cell r="AU37" t="str">
            <v>SLT0010562</v>
          </cell>
          <cell r="AV37">
            <v>0</v>
          </cell>
        </row>
        <row r="38">
          <cell r="AU38" t="str">
            <v>SLT0010557</v>
          </cell>
          <cell r="AV38">
            <v>0</v>
          </cell>
        </row>
        <row r="39">
          <cell r="AU39" t="str">
            <v>SLT0010524</v>
          </cell>
          <cell r="AV39">
            <v>0.34331423616000001</v>
          </cell>
        </row>
        <row r="40">
          <cell r="AU40" t="str">
            <v>SLT0010547</v>
          </cell>
          <cell r="AV40">
            <v>4.9153547519999998</v>
          </cell>
        </row>
        <row r="41">
          <cell r="AU41" t="str">
            <v>SLT0010527</v>
          </cell>
          <cell r="AV41">
            <v>0.52500000000000002</v>
          </cell>
        </row>
        <row r="42">
          <cell r="AU42" t="str">
            <v>SLT0010535</v>
          </cell>
          <cell r="AV42">
            <v>0.875</v>
          </cell>
        </row>
        <row r="43">
          <cell r="AU43" t="str">
            <v>SLT0010531</v>
          </cell>
          <cell r="AV43">
            <v>4.8125</v>
          </cell>
        </row>
        <row r="44">
          <cell r="AU44" t="str">
            <v>SLT0010549</v>
          </cell>
          <cell r="AV44">
            <v>1.2627089999999999</v>
          </cell>
        </row>
        <row r="45">
          <cell r="AU45" t="str">
            <v>SLT0010559</v>
          </cell>
          <cell r="AV45">
            <v>0.1439884404</v>
          </cell>
        </row>
        <row r="46">
          <cell r="AU46" t="str">
            <v>SLT0010572</v>
          </cell>
          <cell r="AV46">
            <v>0</v>
          </cell>
        </row>
        <row r="47">
          <cell r="AU47" t="str">
            <v>SLT0010556</v>
          </cell>
          <cell r="AV47">
            <v>0</v>
          </cell>
        </row>
        <row r="48">
          <cell r="AU48" t="str">
            <v>SLT0010548</v>
          </cell>
          <cell r="AV48">
            <v>4.4655332400000001</v>
          </cell>
        </row>
        <row r="49">
          <cell r="AU49" t="str">
            <v>SLT0010269</v>
          </cell>
          <cell r="AV49">
            <v>0.875</v>
          </cell>
        </row>
        <row r="50">
          <cell r="AU50" t="str">
            <v>SLT0010529</v>
          </cell>
          <cell r="AV50">
            <v>3.6744218083124998</v>
          </cell>
        </row>
        <row r="51">
          <cell r="AU51" t="str">
            <v>SLT0010530</v>
          </cell>
          <cell r="AV51">
            <v>4.8446198364375004</v>
          </cell>
        </row>
        <row r="52">
          <cell r="AU52" t="str">
            <v>SLT0010559</v>
          </cell>
          <cell r="AV52">
            <v>0.1439884404</v>
          </cell>
        </row>
        <row r="53">
          <cell r="AU53" t="str">
            <v>SLT0010528</v>
          </cell>
          <cell r="AV53">
            <v>0.35000000000000003</v>
          </cell>
        </row>
        <row r="54">
          <cell r="AU54" t="str">
            <v>SLT0010565</v>
          </cell>
          <cell r="AV54">
            <v>0.1439884404</v>
          </cell>
        </row>
        <row r="55">
          <cell r="AU55" t="str">
            <v>SLT0010525</v>
          </cell>
          <cell r="AV55">
            <v>1.4000000000000001</v>
          </cell>
        </row>
        <row r="56">
          <cell r="AU56" t="str">
            <v>BPC0010161</v>
          </cell>
          <cell r="AV56">
            <v>14.259210000000001</v>
          </cell>
        </row>
        <row r="57">
          <cell r="AU57" t="str">
            <v xml:space="preserve">SLT0010277 </v>
          </cell>
          <cell r="AV57">
            <v>43.544501681415937</v>
          </cell>
        </row>
        <row r="58">
          <cell r="AU58" t="str">
            <v>Q436240</v>
          </cell>
          <cell r="AV58">
            <v>8.7500000000000008E-3</v>
          </cell>
        </row>
        <row r="59">
          <cell r="AU59" t="str">
            <v>SLT0010533</v>
          </cell>
          <cell r="AV59">
            <v>2.4499999999999997</v>
          </cell>
        </row>
        <row r="60">
          <cell r="AU60" t="str">
            <v>SLT0010534</v>
          </cell>
          <cell r="AV60">
            <v>3.5</v>
          </cell>
        </row>
        <row r="61">
          <cell r="AU61" t="str">
            <v>ZKGJ-6804060-51</v>
          </cell>
          <cell r="AV61">
            <v>12.6</v>
          </cell>
        </row>
        <row r="62">
          <cell r="AU62" t="str">
            <v>SLT001056</v>
          </cell>
          <cell r="AV62">
            <v>24.9375</v>
          </cell>
        </row>
        <row r="63">
          <cell r="AU63" t="str">
            <v>Q43640</v>
          </cell>
          <cell r="AV63">
            <v>1.7500000000000002E-2</v>
          </cell>
        </row>
        <row r="64">
          <cell r="AU64" t="str">
            <v>SLT0010521</v>
          </cell>
          <cell r="AV64">
            <v>0.69645003750000001</v>
          </cell>
        </row>
        <row r="65">
          <cell r="AU65" t="str">
            <v>SLT0010532</v>
          </cell>
          <cell r="AV65">
            <v>0.35000000000000003</v>
          </cell>
        </row>
        <row r="66">
          <cell r="AU66" t="str">
            <v>Q43680</v>
          </cell>
          <cell r="AV66">
            <v>3.5000000000000003E-2</v>
          </cell>
        </row>
        <row r="67">
          <cell r="AU67" t="str">
            <v>SLT0010573</v>
          </cell>
          <cell r="AV67">
            <v>2.4891048000000002</v>
          </cell>
        </row>
        <row r="68">
          <cell r="AU68" t="str">
            <v>SLT0010522</v>
          </cell>
          <cell r="AV68">
            <v>0</v>
          </cell>
        </row>
        <row r="69">
          <cell r="AU69" t="str">
            <v>SLT0010536</v>
          </cell>
          <cell r="AV69">
            <v>0</v>
          </cell>
        </row>
        <row r="70">
          <cell r="AU70" t="str">
            <v>SLT0010574</v>
          </cell>
          <cell r="AV70">
            <v>3.1757544000000006</v>
          </cell>
        </row>
        <row r="71">
          <cell r="AU71" t="str">
            <v>SLT0010523</v>
          </cell>
          <cell r="AV71">
            <v>0</v>
          </cell>
        </row>
        <row r="72">
          <cell r="AU72" t="str">
            <v>SLT0010536</v>
          </cell>
          <cell r="AV72">
            <v>0</v>
          </cell>
        </row>
        <row r="73">
          <cell r="AU73" t="str">
            <v>BFA0010021</v>
          </cell>
          <cell r="AV73">
            <v>1.75</v>
          </cell>
        </row>
        <row r="74">
          <cell r="AU74" t="str">
            <v>BPC0000072</v>
          </cell>
          <cell r="AV74">
            <v>0.67900000000000005</v>
          </cell>
        </row>
        <row r="75">
          <cell r="AU75" t="str">
            <v>BPC0000056</v>
          </cell>
          <cell r="AV75">
            <v>1.3580000000000001</v>
          </cell>
        </row>
        <row r="76">
          <cell r="AU76" t="str">
            <v>BPC0000055</v>
          </cell>
          <cell r="AV76">
            <v>1.0972500000000001</v>
          </cell>
        </row>
        <row r="77">
          <cell r="AU77" t="str">
            <v>BPC0000019</v>
          </cell>
          <cell r="AV77">
            <v>1.59355</v>
          </cell>
        </row>
        <row r="78">
          <cell r="AU78" t="str">
            <v>SLT0010560</v>
          </cell>
          <cell r="AV78">
            <v>0.31012625000000005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具费"/>
      <sheetName val="产品价格"/>
      <sheetName val="冲压件核价"/>
    </sheetNames>
    <sheetDataSet>
      <sheetData sheetId="0" refreshError="1">
        <row r="32">
          <cell r="N32">
            <v>0.36299999999999999</v>
          </cell>
        </row>
        <row r="140">
          <cell r="N140">
            <v>0.41099999999999998</v>
          </cell>
        </row>
        <row r="229">
          <cell r="N229">
            <v>0.44</v>
          </cell>
        </row>
      </sheetData>
      <sheetData sheetId="1" refreshError="1"/>
      <sheetData sheetId="2" refreshError="1">
        <row r="5">
          <cell r="U5" t="str">
            <v>成型1</v>
          </cell>
          <cell r="V5" t="str">
            <v>80T</v>
          </cell>
          <cell r="W5">
            <v>0.05</v>
          </cell>
          <cell r="X5">
            <v>1</v>
          </cell>
          <cell r="Y5">
            <v>0.05</v>
          </cell>
        </row>
        <row r="6">
          <cell r="U6" t="str">
            <v>成型2</v>
          </cell>
          <cell r="V6" t="str">
            <v>80T</v>
          </cell>
          <cell r="W6">
            <v>0.05</v>
          </cell>
          <cell r="X6">
            <v>1</v>
          </cell>
          <cell r="Y6">
            <v>0.05</v>
          </cell>
        </row>
        <row r="7">
          <cell r="U7" t="str">
            <v>冲孔</v>
          </cell>
          <cell r="V7" t="str">
            <v>80T</v>
          </cell>
          <cell r="W7">
            <v>0.05</v>
          </cell>
          <cell r="X7">
            <v>1</v>
          </cell>
          <cell r="Y7">
            <v>0.05</v>
          </cell>
        </row>
        <row r="10">
          <cell r="H10" t="str">
            <v>材料合计：</v>
          </cell>
          <cell r="T10">
            <v>0.31970285714285718</v>
          </cell>
          <cell r="U10" t="str">
            <v>加工费合计：</v>
          </cell>
          <cell r="Y10">
            <v>0.2</v>
          </cell>
        </row>
        <row r="11">
          <cell r="E11" t="str">
            <v>SLT0010599</v>
          </cell>
          <cell r="F11" t="str">
            <v>副驾靠背左侧装车钣金焊接总成</v>
          </cell>
          <cell r="H11" t="str">
            <v>副驾靠背左侧装车钣金焊接总成</v>
          </cell>
          <cell r="I11" t="str">
            <v>SLT0010598</v>
          </cell>
          <cell r="J11" t="str">
            <v>QSTE500TM</v>
          </cell>
          <cell r="K11">
            <v>1</v>
          </cell>
          <cell r="N11">
            <v>2.5</v>
          </cell>
          <cell r="O11">
            <v>7</v>
          </cell>
          <cell r="P11">
            <v>3.4</v>
          </cell>
          <cell r="Q11">
            <v>0.55028571428571427</v>
          </cell>
          <cell r="R11">
            <v>0.38519999999999999</v>
          </cell>
          <cell r="S11">
            <v>0.16508571428571428</v>
          </cell>
          <cell r="T11">
            <v>3.2907085714285715</v>
          </cell>
          <cell r="U11" t="str">
            <v>落料</v>
          </cell>
          <cell r="V11" t="str">
            <v>160T</v>
          </cell>
          <cell r="W11">
            <v>0.1</v>
          </cell>
          <cell r="X11">
            <v>1</v>
          </cell>
          <cell r="Y11">
            <v>0.1</v>
          </cell>
          <cell r="Z11">
            <v>1.2</v>
          </cell>
          <cell r="AA11">
            <v>5.5937965714285722</v>
          </cell>
          <cell r="AB11">
            <v>4.950262452591657</v>
          </cell>
        </row>
        <row r="12">
          <cell r="H12" t="str">
            <v>前排靠背复位卷簧安装支架</v>
          </cell>
          <cell r="I12" t="str">
            <v>6801634X2001A</v>
          </cell>
          <cell r="J12" t="str">
            <v>SAPH440</v>
          </cell>
          <cell r="K12">
            <v>1</v>
          </cell>
          <cell r="N12">
            <v>4</v>
          </cell>
          <cell r="O12">
            <v>6.3</v>
          </cell>
          <cell r="P12">
            <v>3.4</v>
          </cell>
          <cell r="Q12">
            <v>5.1285714285714289E-2</v>
          </cell>
          <cell r="R12">
            <v>3.5900000000000001E-2</v>
          </cell>
          <cell r="S12">
            <v>1.5385714285714287E-2</v>
          </cell>
          <cell r="T12">
            <v>0.27078857142857143</v>
          </cell>
          <cell r="U12" t="str">
            <v>折弯</v>
          </cell>
          <cell r="V12" t="str">
            <v>160T</v>
          </cell>
          <cell r="W12">
            <v>0.1</v>
          </cell>
          <cell r="X12">
            <v>1</v>
          </cell>
          <cell r="Y12">
            <v>0.1</v>
          </cell>
        </row>
        <row r="13">
          <cell r="U13" t="str">
            <v>折弯冲孔</v>
          </cell>
          <cell r="V13" t="str">
            <v>160T</v>
          </cell>
          <cell r="W13">
            <v>0.1</v>
          </cell>
          <cell r="X13">
            <v>1</v>
          </cell>
          <cell r="Y13">
            <v>0.1</v>
          </cell>
        </row>
        <row r="14">
          <cell r="U14" t="str">
            <v>冲孔</v>
          </cell>
          <cell r="V14" t="str">
            <v>160T</v>
          </cell>
          <cell r="W14">
            <v>0.1</v>
          </cell>
          <cell r="X14">
            <v>1</v>
          </cell>
          <cell r="Y14">
            <v>0.1</v>
          </cell>
        </row>
        <row r="15">
          <cell r="U15" t="str">
            <v>落料</v>
          </cell>
          <cell r="V15" t="str">
            <v>80T</v>
          </cell>
          <cell r="W15">
            <v>0.05</v>
          </cell>
          <cell r="X15">
            <v>1</v>
          </cell>
          <cell r="Y15">
            <v>0.05</v>
          </cell>
        </row>
        <row r="16">
          <cell r="U16" t="str">
            <v>折弯</v>
          </cell>
          <cell r="V16" t="str">
            <v>80T</v>
          </cell>
          <cell r="W16">
            <v>0.05</v>
          </cell>
          <cell r="X16">
            <v>1</v>
          </cell>
          <cell r="Y16">
            <v>0.05</v>
          </cell>
        </row>
        <row r="17">
          <cell r="U17" t="str">
            <v>焊接</v>
          </cell>
          <cell r="V17">
            <v>12</v>
          </cell>
          <cell r="W17">
            <v>0.60000000000000009</v>
          </cell>
          <cell r="X17">
            <v>1</v>
          </cell>
          <cell r="Y17">
            <v>0.60000000000000009</v>
          </cell>
        </row>
        <row r="20">
          <cell r="H20" t="str">
            <v>材料合计：</v>
          </cell>
          <cell r="T20">
            <v>3.5614971428571431</v>
          </cell>
          <cell r="U20" t="str">
            <v>加工费合计：</v>
          </cell>
          <cell r="Y20">
            <v>1.1000000000000001</v>
          </cell>
        </row>
        <row r="21">
          <cell r="E21" t="str">
            <v>SLT0010230</v>
          </cell>
          <cell r="F21" t="str">
            <v>驾驶员座垫右侧安装板总成</v>
          </cell>
          <cell r="H21" t="str">
            <v>驾驶员右侧安装版</v>
          </cell>
          <cell r="I21" t="str">
            <v>SLT0010231</v>
          </cell>
          <cell r="J21" t="str">
            <v>QSTE500TM</v>
          </cell>
          <cell r="K21">
            <v>1</v>
          </cell>
          <cell r="N21">
            <v>2.5</v>
          </cell>
          <cell r="O21">
            <v>7</v>
          </cell>
          <cell r="P21">
            <v>3.4</v>
          </cell>
          <cell r="Q21">
            <v>0.55028571428571427</v>
          </cell>
          <cell r="R21">
            <v>0.38519999999999999</v>
          </cell>
          <cell r="S21">
            <v>0.16508571428571428</v>
          </cell>
          <cell r="T21">
            <v>3.2907085714285715</v>
          </cell>
          <cell r="U21" t="str">
            <v>落料</v>
          </cell>
          <cell r="V21" t="str">
            <v>200T</v>
          </cell>
          <cell r="W21">
            <v>0.15</v>
          </cell>
          <cell r="X21">
            <v>1</v>
          </cell>
          <cell r="Y21">
            <v>0.15</v>
          </cell>
          <cell r="Z21">
            <v>1.2</v>
          </cell>
          <cell r="AA21">
            <v>6.6992502857142844</v>
          </cell>
          <cell r="AB21">
            <v>5.9285400758533493</v>
          </cell>
        </row>
        <row r="22">
          <cell r="H22" t="str">
            <v>7/16焊接螺母</v>
          </cell>
          <cell r="I22" t="str">
            <v>BFA0000400</v>
          </cell>
          <cell r="K22">
            <v>1</v>
          </cell>
          <cell r="O22">
            <v>0.32</v>
          </cell>
          <cell r="T22">
            <v>0.32</v>
          </cell>
          <cell r="U22" t="str">
            <v>成型</v>
          </cell>
          <cell r="V22" t="str">
            <v>200T</v>
          </cell>
          <cell r="W22">
            <v>0.15</v>
          </cell>
          <cell r="X22">
            <v>1</v>
          </cell>
          <cell r="Y22">
            <v>0.15</v>
          </cell>
        </row>
        <row r="23">
          <cell r="H23" t="str">
            <v>中排独立软带轴承</v>
          </cell>
          <cell r="I23" t="str">
            <v>321721801400</v>
          </cell>
          <cell r="K23">
            <v>1</v>
          </cell>
          <cell r="O23">
            <v>1</v>
          </cell>
          <cell r="T23">
            <v>1</v>
          </cell>
          <cell r="U23" t="str">
            <v>冲孔</v>
          </cell>
          <cell r="V23" t="str">
            <v>160T</v>
          </cell>
          <cell r="W23">
            <v>0.1</v>
          </cell>
          <cell r="X23">
            <v>1</v>
          </cell>
          <cell r="Y23">
            <v>0.1</v>
          </cell>
        </row>
        <row r="24">
          <cell r="H24" t="str">
            <v>M8焊接方螺母</v>
          </cell>
          <cell r="I24" t="str">
            <v>BFA0000518</v>
          </cell>
          <cell r="K24">
            <v>1</v>
          </cell>
          <cell r="O24">
            <v>4.2000000000000003E-2</v>
          </cell>
          <cell r="T24">
            <v>4.2000000000000003E-2</v>
          </cell>
          <cell r="U24" t="str">
            <v>冲孔</v>
          </cell>
          <cell r="V24" t="str">
            <v>160T</v>
          </cell>
          <cell r="W24">
            <v>0.1</v>
          </cell>
          <cell r="X24">
            <v>1</v>
          </cell>
          <cell r="Y24">
            <v>0.1</v>
          </cell>
        </row>
        <row r="25">
          <cell r="U25" t="str">
            <v>折弯</v>
          </cell>
          <cell r="V25" t="str">
            <v>200T</v>
          </cell>
          <cell r="W25">
            <v>0.15</v>
          </cell>
          <cell r="X25">
            <v>1</v>
          </cell>
          <cell r="Y25">
            <v>0.15</v>
          </cell>
        </row>
        <row r="26">
          <cell r="U26" t="str">
            <v>铆接</v>
          </cell>
          <cell r="V26" t="str">
            <v>63T</v>
          </cell>
          <cell r="W26">
            <v>0.04</v>
          </cell>
          <cell r="X26">
            <v>1</v>
          </cell>
          <cell r="Y26">
            <v>0.04</v>
          </cell>
        </row>
        <row r="27">
          <cell r="U27" t="str">
            <v>铆接</v>
          </cell>
          <cell r="V27" t="str">
            <v>63T</v>
          </cell>
          <cell r="W27">
            <v>0.04</v>
          </cell>
          <cell r="X27">
            <v>1</v>
          </cell>
          <cell r="Y27">
            <v>0.04</v>
          </cell>
        </row>
        <row r="28">
          <cell r="U28" t="str">
            <v>焊接</v>
          </cell>
          <cell r="V28">
            <v>4</v>
          </cell>
          <cell r="W28">
            <v>0.05</v>
          </cell>
          <cell r="X28">
            <v>1</v>
          </cell>
          <cell r="Y28">
            <v>0.2</v>
          </cell>
        </row>
        <row r="29">
          <cell r="H29" t="str">
            <v>材料合计：</v>
          </cell>
          <cell r="T29">
            <v>4.6527085714285707</v>
          </cell>
          <cell r="U29" t="str">
            <v>加工费合计：</v>
          </cell>
          <cell r="Y29">
            <v>0.93000000000000016</v>
          </cell>
        </row>
        <row r="30">
          <cell r="E30" t="str">
            <v>SLT0010543</v>
          </cell>
          <cell r="F30" t="str">
            <v>滑轨左连接板1</v>
          </cell>
          <cell r="H30" t="str">
            <v>滑轨左连接板1</v>
          </cell>
          <cell r="I30" t="str">
            <v>SLT0010543</v>
          </cell>
          <cell r="J30" t="str">
            <v>SPFH590 /T=3.0</v>
          </cell>
          <cell r="K30">
            <v>1</v>
          </cell>
          <cell r="L30">
            <v>514</v>
          </cell>
          <cell r="M30">
            <v>93</v>
          </cell>
          <cell r="N30">
            <v>3</v>
          </cell>
          <cell r="O30">
            <v>6.7</v>
          </cell>
          <cell r="P30">
            <v>3.4</v>
          </cell>
          <cell r="Q30">
            <v>1.1257370999999998</v>
          </cell>
          <cell r="R30">
            <v>0.36099999999999999</v>
          </cell>
          <cell r="S30">
            <v>0.76473709999999984</v>
          </cell>
          <cell r="T30">
            <v>4.9423324299999996</v>
          </cell>
          <cell r="U30" t="str">
            <v>落料冲孔</v>
          </cell>
          <cell r="V30" t="str">
            <v>200T</v>
          </cell>
          <cell r="W30">
            <v>0.15</v>
          </cell>
          <cell r="X30">
            <v>1</v>
          </cell>
          <cell r="Y30">
            <v>0.15</v>
          </cell>
          <cell r="Z30">
            <v>1.2</v>
          </cell>
          <cell r="AA30">
            <v>6.4707989159999997</v>
          </cell>
          <cell r="AB30">
            <v>5.7263707221238942</v>
          </cell>
        </row>
        <row r="31">
          <cell r="U31" t="str">
            <v>成型</v>
          </cell>
          <cell r="V31" t="str">
            <v>200T</v>
          </cell>
          <cell r="W31">
            <v>0.15</v>
          </cell>
          <cell r="X31">
            <v>1</v>
          </cell>
          <cell r="Y31">
            <v>0.15</v>
          </cell>
        </row>
        <row r="32">
          <cell r="U32" t="str">
            <v>冲孔</v>
          </cell>
          <cell r="V32" t="str">
            <v>200T</v>
          </cell>
          <cell r="W32">
            <v>0.15</v>
          </cell>
          <cell r="X32">
            <v>1</v>
          </cell>
          <cell r="Y32">
            <v>0.15</v>
          </cell>
        </row>
        <row r="36">
          <cell r="H36" t="str">
            <v>材料合计：</v>
          </cell>
          <cell r="T36">
            <v>4.9423324299999996</v>
          </cell>
          <cell r="U36" t="str">
            <v>加工费合计：</v>
          </cell>
          <cell r="Y36">
            <v>0.44999999999999996</v>
          </cell>
        </row>
        <row r="37">
          <cell r="E37" t="str">
            <v>SLT0010641</v>
          </cell>
          <cell r="F37" t="str">
            <v>滑轨左连接板2</v>
          </cell>
          <cell r="H37" t="str">
            <v>滑轨左连接板2</v>
          </cell>
          <cell r="I37" t="str">
            <v>SLT0010641</v>
          </cell>
          <cell r="J37" t="str">
            <v>SPFH590 /T=3.0</v>
          </cell>
          <cell r="K37">
            <v>1</v>
          </cell>
          <cell r="N37">
            <v>3</v>
          </cell>
          <cell r="O37">
            <v>6.7</v>
          </cell>
          <cell r="P37">
            <v>3.4</v>
          </cell>
          <cell r="Q37">
            <v>0.26</v>
          </cell>
          <cell r="R37">
            <v>0.182</v>
          </cell>
          <cell r="S37">
            <v>7.8000000000000014E-2</v>
          </cell>
          <cell r="T37">
            <v>1.4768000000000001</v>
          </cell>
          <cell r="U37" t="str">
            <v>落料冲孔</v>
          </cell>
          <cell r="V37" t="str">
            <v>200T</v>
          </cell>
          <cell r="W37">
            <v>0.15</v>
          </cell>
          <cell r="X37">
            <v>1</v>
          </cell>
          <cell r="Y37">
            <v>0.15</v>
          </cell>
          <cell r="Z37">
            <v>1.2</v>
          </cell>
          <cell r="AA37">
            <v>2.31216</v>
          </cell>
          <cell r="AB37">
            <v>2.0461592920353984</v>
          </cell>
        </row>
        <row r="38">
          <cell r="U38" t="str">
            <v>成型</v>
          </cell>
          <cell r="V38" t="str">
            <v>200T</v>
          </cell>
          <cell r="W38">
            <v>0.15</v>
          </cell>
          <cell r="X38">
            <v>1</v>
          </cell>
          <cell r="Y38">
            <v>0.15</v>
          </cell>
        </row>
        <row r="39">
          <cell r="U39" t="str">
            <v>冲孔</v>
          </cell>
          <cell r="V39" t="str">
            <v>200T</v>
          </cell>
          <cell r="W39">
            <v>0.15</v>
          </cell>
          <cell r="X39">
            <v>1</v>
          </cell>
          <cell r="Y39">
            <v>0.15</v>
          </cell>
        </row>
        <row r="43">
          <cell r="H43" t="str">
            <v>材料合计：</v>
          </cell>
          <cell r="T43">
            <v>1.4768000000000001</v>
          </cell>
          <cell r="U43" t="str">
            <v>加工费合计：</v>
          </cell>
          <cell r="Y43">
            <v>0.44999999999999996</v>
          </cell>
        </row>
        <row r="44">
          <cell r="E44" t="str">
            <v>SLT0010544</v>
          </cell>
          <cell r="F44" t="str">
            <v>滑轨右连接板1</v>
          </cell>
          <cell r="H44" t="str">
            <v>滑轨右连接板1</v>
          </cell>
          <cell r="I44" t="str">
            <v>SLT0010544</v>
          </cell>
          <cell r="J44" t="str">
            <v>SPFH590 /T=3.0</v>
          </cell>
          <cell r="K44">
            <v>1</v>
          </cell>
          <cell r="N44">
            <v>3</v>
          </cell>
          <cell r="O44">
            <v>6.7</v>
          </cell>
          <cell r="P44">
            <v>3.4</v>
          </cell>
          <cell r="Q44">
            <v>0.96285714285714297</v>
          </cell>
          <cell r="R44">
            <v>0.67400000000000004</v>
          </cell>
          <cell r="S44">
            <v>0.28885714285714292</v>
          </cell>
          <cell r="T44">
            <v>5.4690285714285718</v>
          </cell>
          <cell r="U44" t="str">
            <v>落料</v>
          </cell>
          <cell r="V44" t="str">
            <v>160T</v>
          </cell>
          <cell r="W44">
            <v>0.1</v>
          </cell>
          <cell r="X44">
            <v>1</v>
          </cell>
          <cell r="Y44">
            <v>0.1</v>
          </cell>
          <cell r="Z44">
            <v>1.2</v>
          </cell>
          <cell r="AA44">
            <v>7.1628342857142862</v>
          </cell>
          <cell r="AB44">
            <v>6.3387914032869794</v>
          </cell>
        </row>
        <row r="45">
          <cell r="U45" t="str">
            <v>成型</v>
          </cell>
          <cell r="V45" t="str">
            <v>160T</v>
          </cell>
          <cell r="W45">
            <v>0.1</v>
          </cell>
          <cell r="X45">
            <v>1</v>
          </cell>
          <cell r="Y45">
            <v>0.1</v>
          </cell>
        </row>
        <row r="46">
          <cell r="U46" t="str">
            <v>翻边</v>
          </cell>
          <cell r="V46" t="str">
            <v>160T</v>
          </cell>
          <cell r="W46">
            <v>0.1</v>
          </cell>
          <cell r="X46">
            <v>1</v>
          </cell>
          <cell r="Y46">
            <v>0.1</v>
          </cell>
        </row>
        <row r="47">
          <cell r="U47" t="str">
            <v>冲孔</v>
          </cell>
          <cell r="V47" t="str">
            <v>160T</v>
          </cell>
          <cell r="W47">
            <v>0.1</v>
          </cell>
          <cell r="X47">
            <v>1</v>
          </cell>
          <cell r="Y47">
            <v>0.1</v>
          </cell>
        </row>
        <row r="48">
          <cell r="U48" t="str">
            <v>冲孔</v>
          </cell>
          <cell r="V48" t="str">
            <v>160T</v>
          </cell>
          <cell r="W48">
            <v>0.1</v>
          </cell>
          <cell r="X48">
            <v>1</v>
          </cell>
          <cell r="Y48">
            <v>0.1</v>
          </cell>
        </row>
        <row r="50">
          <cell r="H50" t="str">
            <v>材料合计：</v>
          </cell>
          <cell r="T50">
            <v>5.4690285714285718</v>
          </cell>
          <cell r="U50" t="str">
            <v>加工费合计：</v>
          </cell>
          <cell r="Y50">
            <v>0.5</v>
          </cell>
        </row>
        <row r="51">
          <cell r="E51" t="str">
            <v>SLT0010642</v>
          </cell>
          <cell r="F51" t="str">
            <v>滑轨右连接板2</v>
          </cell>
          <cell r="H51" t="str">
            <v>滑轨右连接板2</v>
          </cell>
          <cell r="I51" t="str">
            <v>SLT0010642</v>
          </cell>
          <cell r="J51" t="str">
            <v>SPFH590 /T=3.0</v>
          </cell>
          <cell r="K51">
            <v>1</v>
          </cell>
          <cell r="N51">
            <v>3</v>
          </cell>
          <cell r="O51">
            <v>6.7</v>
          </cell>
          <cell r="P51">
            <v>3.4</v>
          </cell>
          <cell r="Q51">
            <v>0.55428571428571438</v>
          </cell>
          <cell r="R51">
            <v>0.38800000000000001</v>
          </cell>
          <cell r="S51">
            <v>0.16628571428571437</v>
          </cell>
          <cell r="T51">
            <v>3.1483428571428576</v>
          </cell>
          <cell r="U51" t="str">
            <v>落料</v>
          </cell>
          <cell r="V51" t="str">
            <v>100T</v>
          </cell>
          <cell r="W51">
            <v>7.0000000000000007E-2</v>
          </cell>
          <cell r="X51">
            <v>1</v>
          </cell>
          <cell r="Y51">
            <v>7.0000000000000007E-2</v>
          </cell>
          <cell r="Z51">
            <v>1.2</v>
          </cell>
          <cell r="AA51">
            <v>4.1140114285714295</v>
          </cell>
          <cell r="AB51">
            <v>3.6407180783817963</v>
          </cell>
        </row>
        <row r="52">
          <cell r="U52" t="str">
            <v>折弯</v>
          </cell>
          <cell r="V52" t="str">
            <v>100T</v>
          </cell>
          <cell r="W52">
            <v>7.0000000000000007E-2</v>
          </cell>
          <cell r="X52">
            <v>1</v>
          </cell>
          <cell r="Y52">
            <v>7.0000000000000007E-2</v>
          </cell>
        </row>
        <row r="53">
          <cell r="U53" t="str">
            <v>折弯</v>
          </cell>
          <cell r="V53" t="str">
            <v>100T</v>
          </cell>
          <cell r="W53">
            <v>7.0000000000000007E-2</v>
          </cell>
          <cell r="X53">
            <v>1</v>
          </cell>
          <cell r="Y53">
            <v>7.0000000000000007E-2</v>
          </cell>
        </row>
        <row r="54">
          <cell r="U54" t="str">
            <v>冲孔</v>
          </cell>
          <cell r="V54" t="str">
            <v>100T</v>
          </cell>
          <cell r="W54">
            <v>7.0000000000000007E-2</v>
          </cell>
          <cell r="X54">
            <v>1</v>
          </cell>
          <cell r="Y54">
            <v>7.0000000000000007E-2</v>
          </cell>
        </row>
        <row r="57">
          <cell r="H57" t="str">
            <v>材料合计：</v>
          </cell>
          <cell r="T57">
            <v>3.1483428571428576</v>
          </cell>
          <cell r="U57" t="str">
            <v>加工费合计：</v>
          </cell>
          <cell r="Y57">
            <v>0.28000000000000003</v>
          </cell>
        </row>
        <row r="58">
          <cell r="E58" t="str">
            <v>SLT0010541</v>
          </cell>
          <cell r="F58" t="str">
            <v>阻尼器支架</v>
          </cell>
          <cell r="H58" t="str">
            <v>阻尼器支架</v>
          </cell>
          <cell r="I58" t="str">
            <v>SLT0010541</v>
          </cell>
          <cell r="J58" t="str">
            <v>SPFH590 /T=3.0</v>
          </cell>
          <cell r="K58">
            <v>1</v>
          </cell>
          <cell r="L58">
            <v>88</v>
          </cell>
          <cell r="M58">
            <v>33</v>
          </cell>
          <cell r="N58">
            <v>3</v>
          </cell>
          <cell r="O58">
            <v>6.7</v>
          </cell>
          <cell r="P58">
            <v>3.4</v>
          </cell>
          <cell r="Q58">
            <v>6.8389199999999997E-2</v>
          </cell>
          <cell r="R58">
            <v>3.5999999999999997E-2</v>
          </cell>
          <cell r="S58">
            <v>3.23892E-2</v>
          </cell>
          <cell r="T58">
            <v>0.34808435999999998</v>
          </cell>
          <cell r="U58" t="str">
            <v>落料</v>
          </cell>
          <cell r="V58" t="str">
            <v>80T</v>
          </cell>
          <cell r="W58">
            <v>0.05</v>
          </cell>
          <cell r="X58">
            <v>1</v>
          </cell>
          <cell r="Y58">
            <v>0.05</v>
          </cell>
          <cell r="Z58">
            <v>1.2</v>
          </cell>
          <cell r="AA58">
            <v>0.53770123199999997</v>
          </cell>
          <cell r="AB58">
            <v>0.47584179823008854</v>
          </cell>
        </row>
        <row r="59">
          <cell r="U59" t="str">
            <v>折弯</v>
          </cell>
          <cell r="V59" t="str">
            <v>80T</v>
          </cell>
          <cell r="W59">
            <v>0.05</v>
          </cell>
          <cell r="X59">
            <v>1</v>
          </cell>
          <cell r="Y59">
            <v>0.05</v>
          </cell>
        </row>
        <row r="64">
          <cell r="H64" t="str">
            <v>材料合计：</v>
          </cell>
          <cell r="T64">
            <v>0.34808435999999998</v>
          </cell>
          <cell r="U64" t="str">
            <v>加工费合计：</v>
          </cell>
          <cell r="Y64">
            <v>0.1</v>
          </cell>
        </row>
        <row r="65">
          <cell r="E65" t="str">
            <v>SLT0010546</v>
          </cell>
          <cell r="F65" t="str">
            <v>直线阀下支架</v>
          </cell>
          <cell r="H65" t="str">
            <v>直线阀下支架</v>
          </cell>
          <cell r="I65" t="str">
            <v>SLT0010546</v>
          </cell>
          <cell r="J65" t="str">
            <v>SAPH440</v>
          </cell>
          <cell r="K65">
            <v>1</v>
          </cell>
          <cell r="L65">
            <v>61</v>
          </cell>
          <cell r="M65">
            <v>19</v>
          </cell>
          <cell r="N65">
            <v>2</v>
          </cell>
          <cell r="O65">
            <v>6.45</v>
          </cell>
          <cell r="P65">
            <v>3.4</v>
          </cell>
          <cell r="Q65">
            <v>1.8196299999999999E-2</v>
          </cell>
          <cell r="R65">
            <v>6.0000000000000001E-3</v>
          </cell>
          <cell r="S65">
            <v>1.2196299999999998E-2</v>
          </cell>
          <cell r="T65">
            <v>7.5898715000000005E-2</v>
          </cell>
          <cell r="U65" t="str">
            <v>落料</v>
          </cell>
          <cell r="V65" t="str">
            <v>80T</v>
          </cell>
          <cell r="W65">
            <v>0.05</v>
          </cell>
          <cell r="X65">
            <v>1</v>
          </cell>
          <cell r="Y65">
            <v>0.05</v>
          </cell>
          <cell r="Z65">
            <v>1.2</v>
          </cell>
          <cell r="AA65">
            <v>0.211078458</v>
          </cell>
          <cell r="AB65">
            <v>0.18679509557522125</v>
          </cell>
        </row>
        <row r="66">
          <cell r="U66" t="str">
            <v>折弯</v>
          </cell>
          <cell r="V66" t="str">
            <v>80T</v>
          </cell>
          <cell r="W66">
            <v>0.05</v>
          </cell>
          <cell r="X66">
            <v>1</v>
          </cell>
          <cell r="Y66">
            <v>0.05</v>
          </cell>
        </row>
        <row r="71">
          <cell r="H71" t="str">
            <v>材料合计：</v>
          </cell>
          <cell r="T71">
            <v>7.5898715000000005E-2</v>
          </cell>
          <cell r="U71" t="str">
            <v>加工费合计：</v>
          </cell>
          <cell r="Y71">
            <v>0.1</v>
          </cell>
        </row>
        <row r="72">
          <cell r="E72" t="str">
            <v>SLT0010552</v>
          </cell>
          <cell r="F72" t="str">
            <v>左调角器焊接组件</v>
          </cell>
          <cell r="H72" t="str">
            <v>调角器左连接板</v>
          </cell>
          <cell r="I72" t="str">
            <v>SLT0010537</v>
          </cell>
          <cell r="J72" t="str">
            <v>SPFH590</v>
          </cell>
          <cell r="K72">
            <v>1</v>
          </cell>
          <cell r="L72">
            <v>185</v>
          </cell>
          <cell r="M72">
            <v>104</v>
          </cell>
          <cell r="N72">
            <v>3</v>
          </cell>
          <cell r="O72">
            <v>6.7</v>
          </cell>
          <cell r="P72">
            <v>3.4</v>
          </cell>
          <cell r="Q72">
            <v>0.453102</v>
          </cell>
          <cell r="R72">
            <v>0.3503</v>
          </cell>
          <cell r="S72">
            <v>0.102802</v>
          </cell>
          <cell r="T72">
            <v>2.6862566000000001</v>
          </cell>
          <cell r="U72" t="str">
            <v>落料</v>
          </cell>
          <cell r="V72" t="str">
            <v>160T</v>
          </cell>
          <cell r="W72">
            <v>0.1</v>
          </cell>
          <cell r="X72">
            <v>1</v>
          </cell>
          <cell r="Y72">
            <v>0.1</v>
          </cell>
          <cell r="Z72">
            <v>1.2</v>
          </cell>
          <cell r="AA72">
            <v>3.9243079199999999</v>
          </cell>
          <cell r="AB72">
            <v>3.4728388672566375</v>
          </cell>
        </row>
        <row r="73">
          <cell r="H73" t="str">
            <v>M8焊接方螺母</v>
          </cell>
          <cell r="I73" t="str">
            <v>BFA0000518</v>
          </cell>
          <cell r="K73">
            <v>2</v>
          </cell>
          <cell r="O73">
            <v>4.2000000000000003E-2</v>
          </cell>
          <cell r="T73">
            <v>8.4000000000000005E-2</v>
          </cell>
          <cell r="U73" t="str">
            <v>成型</v>
          </cell>
          <cell r="V73" t="str">
            <v>160T</v>
          </cell>
          <cell r="W73">
            <v>0.1</v>
          </cell>
          <cell r="X73">
            <v>1</v>
          </cell>
          <cell r="Y73">
            <v>0.1</v>
          </cell>
        </row>
        <row r="74">
          <cell r="U74" t="str">
            <v>冲孔</v>
          </cell>
          <cell r="V74" t="str">
            <v>160T</v>
          </cell>
          <cell r="W74">
            <v>0.1</v>
          </cell>
          <cell r="X74">
            <v>1</v>
          </cell>
          <cell r="Y74">
            <v>0.1</v>
          </cell>
        </row>
        <row r="75">
          <cell r="U75" t="str">
            <v>焊接</v>
          </cell>
          <cell r="V75">
            <v>4</v>
          </cell>
          <cell r="W75">
            <v>0.05</v>
          </cell>
          <cell r="X75">
            <v>1</v>
          </cell>
          <cell r="Y75">
            <v>0.2</v>
          </cell>
        </row>
        <row r="78">
          <cell r="H78" t="str">
            <v>材料合计：</v>
          </cell>
          <cell r="T78">
            <v>2.7702566000000002</v>
          </cell>
          <cell r="U78" t="str">
            <v>加工费合计：</v>
          </cell>
          <cell r="Y78">
            <v>0.5</v>
          </cell>
        </row>
        <row r="79">
          <cell r="E79" t="str">
            <v>SLT0010558</v>
          </cell>
          <cell r="F79" t="str">
            <v>右调角器焊接组件</v>
          </cell>
          <cell r="H79" t="str">
            <v>调角器右连接板</v>
          </cell>
          <cell r="I79" t="str">
            <v>SLT0010538</v>
          </cell>
          <cell r="J79" t="str">
            <v>SPFH590</v>
          </cell>
          <cell r="K79">
            <v>1</v>
          </cell>
          <cell r="L79">
            <v>207</v>
          </cell>
          <cell r="M79">
            <v>194</v>
          </cell>
          <cell r="N79">
            <v>3</v>
          </cell>
          <cell r="O79">
            <v>6.7</v>
          </cell>
          <cell r="P79">
            <v>3.4</v>
          </cell>
          <cell r="Q79">
            <v>0.94572089999999986</v>
          </cell>
          <cell r="R79">
            <v>0.8115</v>
          </cell>
          <cell r="S79">
            <v>0.13422089999999987</v>
          </cell>
          <cell r="T79">
            <v>5.8799789699999998</v>
          </cell>
          <cell r="U79" t="str">
            <v>落料</v>
          </cell>
          <cell r="V79" t="str">
            <v>160T</v>
          </cell>
          <cell r="W79">
            <v>0.1</v>
          </cell>
          <cell r="X79">
            <v>1</v>
          </cell>
          <cell r="Y79">
            <v>0.1</v>
          </cell>
          <cell r="Z79">
            <v>1.2</v>
          </cell>
          <cell r="AA79">
            <v>7.8767747639999985</v>
          </cell>
          <cell r="AB79">
            <v>6.9705971362831853</v>
          </cell>
        </row>
        <row r="80">
          <cell r="H80" t="str">
            <v>M8焊接方螺母</v>
          </cell>
          <cell r="K80">
            <v>2</v>
          </cell>
          <cell r="O80">
            <v>4.2000000000000003E-2</v>
          </cell>
          <cell r="T80">
            <v>8.4000000000000005E-2</v>
          </cell>
          <cell r="U80" t="str">
            <v>成型</v>
          </cell>
          <cell r="V80" t="str">
            <v>160T</v>
          </cell>
          <cell r="W80">
            <v>0.1</v>
          </cell>
          <cell r="X80">
            <v>1</v>
          </cell>
          <cell r="Y80">
            <v>0.1</v>
          </cell>
        </row>
        <row r="81">
          <cell r="U81" t="str">
            <v>翻边</v>
          </cell>
          <cell r="V81" t="str">
            <v>160T</v>
          </cell>
          <cell r="W81">
            <v>0.1</v>
          </cell>
          <cell r="X81">
            <v>1</v>
          </cell>
          <cell r="Y81">
            <v>0.1</v>
          </cell>
        </row>
        <row r="82">
          <cell r="U82" t="str">
            <v>冲孔</v>
          </cell>
          <cell r="V82" t="str">
            <v>160T</v>
          </cell>
          <cell r="W82">
            <v>0.1</v>
          </cell>
          <cell r="X82">
            <v>1</v>
          </cell>
          <cell r="Y82">
            <v>0.1</v>
          </cell>
        </row>
        <row r="83">
          <cell r="U83" t="str">
            <v>焊接</v>
          </cell>
          <cell r="V83">
            <v>4</v>
          </cell>
          <cell r="W83">
            <v>0.05</v>
          </cell>
          <cell r="X83">
            <v>1</v>
          </cell>
          <cell r="Y83">
            <v>0.2</v>
          </cell>
        </row>
        <row r="85">
          <cell r="H85" t="str">
            <v>材料合计：</v>
          </cell>
          <cell r="T85">
            <v>5.9639789699999994</v>
          </cell>
          <cell r="U85" t="str">
            <v>加工费合计：</v>
          </cell>
          <cell r="Y85">
            <v>0.60000000000000009</v>
          </cell>
        </row>
        <row r="86">
          <cell r="E86" t="str">
            <v>SLT0010549</v>
          </cell>
          <cell r="F86" t="str">
            <v>外绞架加强板</v>
          </cell>
          <cell r="H86" t="str">
            <v>外绞架加强板</v>
          </cell>
          <cell r="I86" t="str">
            <v>SLT0010549</v>
          </cell>
          <cell r="J86" t="str">
            <v>Q235-A</v>
          </cell>
          <cell r="K86">
            <v>1</v>
          </cell>
          <cell r="L86">
            <v>170</v>
          </cell>
          <cell r="M86">
            <v>25</v>
          </cell>
          <cell r="N86">
            <v>6</v>
          </cell>
          <cell r="O86">
            <v>5.85</v>
          </cell>
          <cell r="P86">
            <v>3.4</v>
          </cell>
          <cell r="Q86">
            <v>0.20017499999999999</v>
          </cell>
          <cell r="R86">
            <v>0.191</v>
          </cell>
          <cell r="S86">
            <v>9.1749999999999887E-3</v>
          </cell>
          <cell r="T86">
            <v>1.1398287499999999</v>
          </cell>
          <cell r="U86" t="str">
            <v>落料冲孔</v>
          </cell>
          <cell r="V86" t="str">
            <v>125T</v>
          </cell>
          <cell r="W86">
            <v>0.08</v>
          </cell>
          <cell r="X86">
            <v>1</v>
          </cell>
          <cell r="Y86">
            <v>0.08</v>
          </cell>
          <cell r="Z86">
            <v>1.2</v>
          </cell>
          <cell r="AA86">
            <v>1.4637944999999999</v>
          </cell>
          <cell r="AB86">
            <v>1.2953933628318584</v>
          </cell>
        </row>
        <row r="92">
          <cell r="H92" t="str">
            <v>材料合计：</v>
          </cell>
          <cell r="T92">
            <v>1.1398287499999999</v>
          </cell>
          <cell r="U92" t="str">
            <v>加工费合计：</v>
          </cell>
          <cell r="Y92">
            <v>0.08</v>
          </cell>
        </row>
        <row r="93">
          <cell r="E93" t="str">
            <v>SLT0010559</v>
          </cell>
          <cell r="F93" t="str">
            <v>外绞架加强片</v>
          </cell>
          <cell r="H93" t="str">
            <v>外绞架加强片</v>
          </cell>
          <cell r="I93" t="str">
            <v>SLT0010559</v>
          </cell>
          <cell r="J93" t="str">
            <v>SPFH590 /T=3.0</v>
          </cell>
          <cell r="K93">
            <v>1</v>
          </cell>
          <cell r="L93">
            <v>31</v>
          </cell>
          <cell r="M93">
            <v>14</v>
          </cell>
          <cell r="N93">
            <v>3</v>
          </cell>
          <cell r="O93">
            <v>6.7</v>
          </cell>
          <cell r="P93">
            <v>3.4</v>
          </cell>
          <cell r="Q93">
            <v>1.0220699999999999E-2</v>
          </cell>
          <cell r="R93">
            <v>7.0000000000000001E-3</v>
          </cell>
          <cell r="S93">
            <v>3.2206999999999991E-3</v>
          </cell>
          <cell r="T93">
            <v>5.7528309999999999E-2</v>
          </cell>
          <cell r="U93" t="str">
            <v>落料</v>
          </cell>
          <cell r="V93" t="str">
            <v>80T</v>
          </cell>
          <cell r="W93">
            <v>0.05</v>
          </cell>
          <cell r="X93">
            <v>1</v>
          </cell>
          <cell r="Y93">
            <v>0.05</v>
          </cell>
          <cell r="Z93">
            <v>1.2</v>
          </cell>
          <cell r="AA93">
            <v>0.129033972</v>
          </cell>
          <cell r="AB93">
            <v>0.1141893557522124</v>
          </cell>
        </row>
        <row r="99">
          <cell r="H99" t="str">
            <v>材料合计：</v>
          </cell>
          <cell r="T99">
            <v>5.7528309999999999E-2</v>
          </cell>
          <cell r="U99" t="str">
            <v>加工费合计：</v>
          </cell>
          <cell r="Y99">
            <v>0.05</v>
          </cell>
        </row>
        <row r="100">
          <cell r="E100" t="str">
            <v>SLT0010565</v>
          </cell>
          <cell r="F100" t="str">
            <v>内绞架加强片</v>
          </cell>
          <cell r="H100" t="str">
            <v>内绞架加强片</v>
          </cell>
          <cell r="I100" t="str">
            <v>SLT0010565</v>
          </cell>
          <cell r="J100" t="str">
            <v>SPFH590 /T=3.0</v>
          </cell>
          <cell r="K100">
            <v>1</v>
          </cell>
          <cell r="L100">
            <v>31</v>
          </cell>
          <cell r="M100">
            <v>14</v>
          </cell>
          <cell r="N100">
            <v>3</v>
          </cell>
          <cell r="O100">
            <v>6.7</v>
          </cell>
          <cell r="P100">
            <v>3.4</v>
          </cell>
          <cell r="Q100">
            <v>1.0220699999999999E-2</v>
          </cell>
          <cell r="R100">
            <v>3.0000000000000001E-3</v>
          </cell>
          <cell r="S100">
            <v>7.2206999999999992E-3</v>
          </cell>
          <cell r="T100">
            <v>4.3928309999999998E-2</v>
          </cell>
          <cell r="U100" t="str">
            <v>落料</v>
          </cell>
          <cell r="V100" t="str">
            <v>80T</v>
          </cell>
          <cell r="W100">
            <v>0.05</v>
          </cell>
          <cell r="X100">
            <v>1</v>
          </cell>
          <cell r="Y100">
            <v>0.05</v>
          </cell>
          <cell r="Z100">
            <v>1.2</v>
          </cell>
          <cell r="AA100">
            <v>0.112713972</v>
          </cell>
          <cell r="AB100">
            <v>9.9746877876106199E-2</v>
          </cell>
        </row>
        <row r="106">
          <cell r="H106" t="str">
            <v>材料合计：</v>
          </cell>
          <cell r="T106">
            <v>4.3928309999999998E-2</v>
          </cell>
          <cell r="U106" t="str">
            <v>加工费合计：</v>
          </cell>
          <cell r="Y106">
            <v>0.05</v>
          </cell>
        </row>
        <row r="107">
          <cell r="E107" t="str">
            <v>SLT0010679</v>
          </cell>
          <cell r="F107" t="str">
            <v>左侧护板固定钣金</v>
          </cell>
          <cell r="H107" t="str">
            <v>左侧护板固定钣金</v>
          </cell>
          <cell r="I107" t="str">
            <v>SLT0010679</v>
          </cell>
          <cell r="J107" t="str">
            <v>Q235/t=2</v>
          </cell>
          <cell r="K107">
            <v>1</v>
          </cell>
          <cell r="N107">
            <v>2</v>
          </cell>
          <cell r="O107">
            <v>5.9</v>
          </cell>
          <cell r="P107">
            <v>3.4</v>
          </cell>
          <cell r="Q107">
            <v>9.5714285714285724E-2</v>
          </cell>
          <cell r="R107">
            <v>6.7000000000000004E-2</v>
          </cell>
          <cell r="S107">
            <v>2.871428571428572E-2</v>
          </cell>
          <cell r="T107">
            <v>0.46708571428571438</v>
          </cell>
          <cell r="U107" t="str">
            <v>落料</v>
          </cell>
          <cell r="V107" t="str">
            <v>125T</v>
          </cell>
          <cell r="W107">
            <v>0.08</v>
          </cell>
          <cell r="X107">
            <v>1</v>
          </cell>
          <cell r="Y107">
            <v>0.08</v>
          </cell>
          <cell r="Z107">
            <v>1.2</v>
          </cell>
          <cell r="AA107">
            <v>0.75250285714285725</v>
          </cell>
          <cell r="AB107">
            <v>0.66593173198482947</v>
          </cell>
        </row>
        <row r="108">
          <cell r="U108" t="str">
            <v>折弯</v>
          </cell>
          <cell r="V108" t="str">
            <v>125T</v>
          </cell>
          <cell r="W108">
            <v>0.08</v>
          </cell>
          <cell r="X108">
            <v>1</v>
          </cell>
          <cell r="Y108">
            <v>0.08</v>
          </cell>
        </row>
        <row r="113">
          <cell r="H113" t="str">
            <v>材料合计：</v>
          </cell>
          <cell r="T113">
            <v>0.46708571428571438</v>
          </cell>
          <cell r="U113" t="str">
            <v>加工费合计：</v>
          </cell>
          <cell r="Y113">
            <v>0.16</v>
          </cell>
        </row>
        <row r="114">
          <cell r="E114" t="str">
            <v>SLT0010222</v>
          </cell>
          <cell r="F114" t="str">
            <v>驾驶员左侧调角器下连接板焊接总成</v>
          </cell>
          <cell r="H114" t="str">
            <v>驾驶员左侧调角器下连接板</v>
          </cell>
          <cell r="I114" t="str">
            <v>SLT0010223</v>
          </cell>
          <cell r="J114" t="str">
            <v>QSTE500TM</v>
          </cell>
          <cell r="K114">
            <v>1</v>
          </cell>
          <cell r="N114">
            <v>3.5</v>
          </cell>
          <cell r="O114">
            <v>7</v>
          </cell>
          <cell r="P114">
            <v>3.4</v>
          </cell>
          <cell r="Q114">
            <v>1.0900000000000001</v>
          </cell>
          <cell r="R114">
            <v>0.76300000000000001</v>
          </cell>
          <cell r="S114">
            <v>0.32700000000000007</v>
          </cell>
          <cell r="T114">
            <v>6.5182000000000002</v>
          </cell>
          <cell r="U114" t="str">
            <v>落料</v>
          </cell>
          <cell r="V114" t="str">
            <v>200T</v>
          </cell>
          <cell r="W114">
            <v>0.15</v>
          </cell>
          <cell r="X114">
            <v>1</v>
          </cell>
          <cell r="Y114">
            <v>0.15</v>
          </cell>
          <cell r="Z114">
            <v>1.2</v>
          </cell>
          <cell r="AA114">
            <v>11.147223428571428</v>
          </cell>
          <cell r="AB114">
            <v>9.8647994943109989</v>
          </cell>
        </row>
        <row r="115">
          <cell r="H115" t="str">
            <v>前排靠背复位卷簧安装支架</v>
          </cell>
          <cell r="I115" t="str">
            <v>6801634X2001A</v>
          </cell>
          <cell r="J115" t="str">
            <v>SAPH440</v>
          </cell>
          <cell r="K115">
            <v>1</v>
          </cell>
          <cell r="N115">
            <v>4</v>
          </cell>
          <cell r="O115">
            <v>6.3</v>
          </cell>
          <cell r="P115">
            <v>3.4</v>
          </cell>
          <cell r="Q115">
            <v>5.1285714285714289E-2</v>
          </cell>
          <cell r="R115">
            <v>3.5900000000000001E-2</v>
          </cell>
          <cell r="S115">
            <v>1.5385714285714287E-2</v>
          </cell>
          <cell r="T115">
            <v>0.27078857142857143</v>
          </cell>
          <cell r="U115" t="str">
            <v>折弯</v>
          </cell>
          <cell r="V115" t="str">
            <v>200T</v>
          </cell>
          <cell r="W115">
            <v>0.15</v>
          </cell>
          <cell r="X115">
            <v>1</v>
          </cell>
          <cell r="Y115">
            <v>0.15</v>
          </cell>
        </row>
        <row r="116">
          <cell r="H116" t="str">
            <v>调角器下连接板上加强板</v>
          </cell>
          <cell r="I116" t="str">
            <v>6801635X2001A</v>
          </cell>
          <cell r="J116" t="str">
            <v>QSTE500TM</v>
          </cell>
          <cell r="K116">
            <v>1</v>
          </cell>
          <cell r="N116">
            <v>2.5</v>
          </cell>
          <cell r="O116">
            <v>7.05</v>
          </cell>
          <cell r="P116">
            <v>3.4</v>
          </cell>
          <cell r="Q116">
            <v>0.10928571428571429</v>
          </cell>
          <cell r="R116">
            <v>7.6499999999999999E-2</v>
          </cell>
          <cell r="S116">
            <v>7.6499999999999999E-2</v>
          </cell>
          <cell r="T116">
            <v>0.51036428571428571</v>
          </cell>
          <cell r="U116" t="str">
            <v>整形</v>
          </cell>
          <cell r="V116" t="str">
            <v>200T</v>
          </cell>
          <cell r="W116">
            <v>0.15</v>
          </cell>
          <cell r="X116">
            <v>1</v>
          </cell>
          <cell r="Y116">
            <v>0.15</v>
          </cell>
        </row>
        <row r="117">
          <cell r="U117" t="str">
            <v>冲孔</v>
          </cell>
          <cell r="V117" t="str">
            <v>160T</v>
          </cell>
          <cell r="W117">
            <v>0.1</v>
          </cell>
          <cell r="X117">
            <v>1</v>
          </cell>
          <cell r="Y117">
            <v>0.1</v>
          </cell>
        </row>
        <row r="118">
          <cell r="U118" t="str">
            <v>冲孔</v>
          </cell>
          <cell r="V118" t="str">
            <v>160T</v>
          </cell>
          <cell r="W118">
            <v>0.1</v>
          </cell>
          <cell r="X118">
            <v>1</v>
          </cell>
          <cell r="Y118">
            <v>0.1</v>
          </cell>
        </row>
        <row r="119">
          <cell r="U119" t="str">
            <v>落料</v>
          </cell>
          <cell r="V119" t="str">
            <v>80T</v>
          </cell>
          <cell r="W119">
            <v>0.05</v>
          </cell>
          <cell r="X119">
            <v>1</v>
          </cell>
          <cell r="Y119">
            <v>0.05</v>
          </cell>
        </row>
        <row r="120">
          <cell r="U120" t="str">
            <v>折弯</v>
          </cell>
          <cell r="V120" t="str">
            <v>80T</v>
          </cell>
          <cell r="W120">
            <v>0.05</v>
          </cell>
          <cell r="X120">
            <v>1</v>
          </cell>
          <cell r="Y120">
            <v>0.05</v>
          </cell>
        </row>
        <row r="121">
          <cell r="U121" t="str">
            <v>落料</v>
          </cell>
          <cell r="V121" t="str">
            <v>125T</v>
          </cell>
          <cell r="W121">
            <v>0.08</v>
          </cell>
          <cell r="X121">
            <v>1</v>
          </cell>
          <cell r="Y121">
            <v>0.08</v>
          </cell>
        </row>
        <row r="122">
          <cell r="U122" t="str">
            <v>折弯</v>
          </cell>
          <cell r="V122" t="str">
            <v>125T</v>
          </cell>
          <cell r="W122">
            <v>0.08</v>
          </cell>
          <cell r="X122">
            <v>1</v>
          </cell>
          <cell r="Y122">
            <v>0.08</v>
          </cell>
        </row>
        <row r="123">
          <cell r="U123" t="str">
            <v>冲孔</v>
          </cell>
          <cell r="V123" t="str">
            <v>125T</v>
          </cell>
          <cell r="W123">
            <v>0.08</v>
          </cell>
          <cell r="X123">
            <v>1</v>
          </cell>
          <cell r="Y123">
            <v>0.08</v>
          </cell>
        </row>
        <row r="124">
          <cell r="U124" t="str">
            <v>焊接</v>
          </cell>
          <cell r="V124">
            <v>20</v>
          </cell>
          <cell r="W124">
            <v>0.05</v>
          </cell>
          <cell r="X124">
            <v>1</v>
          </cell>
          <cell r="Y124">
            <v>1</v>
          </cell>
        </row>
        <row r="125">
          <cell r="H125" t="str">
            <v>材料合计：</v>
          </cell>
          <cell r="T125">
            <v>7.2993528571428579</v>
          </cell>
          <cell r="U125" t="str">
            <v>加工费合计：</v>
          </cell>
          <cell r="Y125">
            <v>1.9899999999999998</v>
          </cell>
        </row>
        <row r="126">
          <cell r="E126" t="str">
            <v>SLT0010646</v>
          </cell>
          <cell r="F126" t="str">
            <v>扶手安装支架焊接总成</v>
          </cell>
          <cell r="H126" t="str">
            <v>扶手安装支架</v>
          </cell>
          <cell r="I126" t="str">
            <v>SLT0010629</v>
          </cell>
          <cell r="J126" t="str">
            <v>SPFH590</v>
          </cell>
          <cell r="K126">
            <v>1</v>
          </cell>
          <cell r="N126">
            <v>3</v>
          </cell>
          <cell r="O126">
            <v>6.7</v>
          </cell>
          <cell r="P126">
            <v>3.4</v>
          </cell>
          <cell r="Q126">
            <v>0.21285714285714286</v>
          </cell>
          <cell r="R126">
            <v>0.14899999999999999</v>
          </cell>
          <cell r="S126">
            <v>6.3857142857142862E-2</v>
          </cell>
          <cell r="T126">
            <v>1.2090285714285713</v>
          </cell>
          <cell r="U126" t="str">
            <v>落料</v>
          </cell>
          <cell r="V126" t="str">
            <v>80T</v>
          </cell>
          <cell r="W126">
            <v>0.05</v>
          </cell>
          <cell r="X126">
            <v>1</v>
          </cell>
          <cell r="Y126">
            <v>0.05</v>
          </cell>
          <cell r="Z126">
            <v>1.2</v>
          </cell>
          <cell r="AA126">
            <v>7.3061142857142842</v>
          </cell>
          <cell r="AB126">
            <v>6.465587863463969</v>
          </cell>
        </row>
        <row r="127">
          <cell r="H127" t="str">
            <v>扶手旋转轴</v>
          </cell>
          <cell r="I127" t="str">
            <v>SLT0010414</v>
          </cell>
          <cell r="J127" t="str">
            <v>45#</v>
          </cell>
          <cell r="K127">
            <v>1</v>
          </cell>
          <cell r="T127">
            <v>2.2999999999999998</v>
          </cell>
          <cell r="U127" t="str">
            <v>成型</v>
          </cell>
          <cell r="V127" t="str">
            <v>80T</v>
          </cell>
          <cell r="W127">
            <v>0.05</v>
          </cell>
          <cell r="X127">
            <v>1</v>
          </cell>
          <cell r="Y127">
            <v>0.05</v>
          </cell>
        </row>
        <row r="128">
          <cell r="H128" t="str">
            <v>焊接轴套</v>
          </cell>
          <cell r="I128" t="str">
            <v>SHT0011363</v>
          </cell>
          <cell r="J128" t="str">
            <v>20#</v>
          </cell>
          <cell r="K128">
            <v>2</v>
          </cell>
          <cell r="T128">
            <v>1.77</v>
          </cell>
          <cell r="U128" t="str">
            <v>冲孔</v>
          </cell>
          <cell r="V128" t="str">
            <v>80T</v>
          </cell>
          <cell r="W128">
            <v>0.05</v>
          </cell>
          <cell r="X128">
            <v>1</v>
          </cell>
          <cell r="Y128">
            <v>0.05</v>
          </cell>
        </row>
        <row r="129">
          <cell r="U129" t="str">
            <v>焊接</v>
          </cell>
          <cell r="V129">
            <v>13.187999999999999</v>
          </cell>
          <cell r="W129">
            <v>0.05</v>
          </cell>
          <cell r="X129">
            <v>1</v>
          </cell>
          <cell r="Y129">
            <v>0.65939999999999999</v>
          </cell>
        </row>
        <row r="132">
          <cell r="H132" t="str">
            <v>材料合计：</v>
          </cell>
          <cell r="T132">
            <v>5.2790285714285705</v>
          </cell>
          <cell r="U132" t="str">
            <v>加工费合计：</v>
          </cell>
          <cell r="Y132">
            <v>0.80940000000000001</v>
          </cell>
        </row>
        <row r="133">
          <cell r="E133" t="str">
            <v>SLT0010553</v>
          </cell>
          <cell r="F133" t="str">
            <v>上盖板加强件</v>
          </cell>
          <cell r="H133" t="str">
            <v>上盖板加强件</v>
          </cell>
          <cell r="I133" t="str">
            <v>SLT0010553</v>
          </cell>
          <cell r="J133" t="str">
            <v>SPFH590</v>
          </cell>
          <cell r="K133">
            <v>1</v>
          </cell>
          <cell r="L133">
            <v>25</v>
          </cell>
          <cell r="M133">
            <v>10</v>
          </cell>
          <cell r="N133">
            <v>3</v>
          </cell>
          <cell r="O133">
            <v>6.7</v>
          </cell>
          <cell r="P133">
            <v>3.4</v>
          </cell>
          <cell r="Q133">
            <v>5.8875000000000004E-3</v>
          </cell>
          <cell r="R133">
            <v>5.0000000000000001E-3</v>
          </cell>
          <cell r="S133">
            <v>8.8750000000000027E-4</v>
          </cell>
          <cell r="T133">
            <v>3.6428750000000003E-2</v>
          </cell>
          <cell r="U133" t="str">
            <v>落料</v>
          </cell>
          <cell r="V133" t="str">
            <v>80T</v>
          </cell>
          <cell r="W133">
            <v>0.05</v>
          </cell>
          <cell r="X133">
            <v>1</v>
          </cell>
          <cell r="Y133">
            <v>0.05</v>
          </cell>
          <cell r="Z133">
            <v>1.2</v>
          </cell>
          <cell r="AA133">
            <v>0.1037145</v>
          </cell>
          <cell r="AB133">
            <v>9.1782743362831862E-2</v>
          </cell>
        </row>
        <row r="139">
          <cell r="H139" t="str">
            <v>材料合计：</v>
          </cell>
          <cell r="T139">
            <v>3.6428750000000003E-2</v>
          </cell>
          <cell r="U139" t="str">
            <v>加工费合计：</v>
          </cell>
          <cell r="Y139">
            <v>0.05</v>
          </cell>
        </row>
        <row r="140">
          <cell r="E140" t="str">
            <v>SLT0010561</v>
          </cell>
          <cell r="F140" t="str">
            <v>减震器下挂钩</v>
          </cell>
          <cell r="H140" t="str">
            <v>减震器下挂钩</v>
          </cell>
          <cell r="I140" t="str">
            <v>SLT0010561</v>
          </cell>
          <cell r="J140" t="str">
            <v>SPFH590</v>
          </cell>
          <cell r="K140">
            <v>1</v>
          </cell>
          <cell r="N140">
            <v>3</v>
          </cell>
          <cell r="O140">
            <v>6.7</v>
          </cell>
          <cell r="P140">
            <v>3.4</v>
          </cell>
          <cell r="Q140">
            <v>0.11857142857142859</v>
          </cell>
          <cell r="R140">
            <v>8.3000000000000004E-2</v>
          </cell>
          <cell r="S140">
            <v>3.5571428571428587E-2</v>
          </cell>
          <cell r="T140">
            <v>0.67348571428571435</v>
          </cell>
          <cell r="U140" t="str">
            <v>落料</v>
          </cell>
          <cell r="V140" t="str">
            <v>80T</v>
          </cell>
          <cell r="W140">
            <v>0.05</v>
          </cell>
          <cell r="X140">
            <v>1</v>
          </cell>
          <cell r="Y140">
            <v>0.05</v>
          </cell>
          <cell r="Z140">
            <v>1.2</v>
          </cell>
          <cell r="AA140">
            <v>0.98818285714285725</v>
          </cell>
          <cell r="AB140">
            <v>0.87449810366624547</v>
          </cell>
        </row>
        <row r="141">
          <cell r="U141" t="str">
            <v>成型</v>
          </cell>
          <cell r="V141" t="str">
            <v>80T</v>
          </cell>
          <cell r="W141">
            <v>0.05</v>
          </cell>
          <cell r="X141">
            <v>1</v>
          </cell>
          <cell r="Y141">
            <v>0.05</v>
          </cell>
        </row>
        <row r="142">
          <cell r="U142" t="str">
            <v>冲孔</v>
          </cell>
          <cell r="V142" t="str">
            <v>80T</v>
          </cell>
          <cell r="W142">
            <v>0.05</v>
          </cell>
          <cell r="X142">
            <v>1</v>
          </cell>
          <cell r="Y142">
            <v>0.05</v>
          </cell>
        </row>
        <row r="146">
          <cell r="H146" t="str">
            <v>材料合计：</v>
          </cell>
          <cell r="T146">
            <v>0.67348571428571435</v>
          </cell>
          <cell r="U146" t="str">
            <v>加工费合计：</v>
          </cell>
          <cell r="Y146">
            <v>0.15000000000000002</v>
          </cell>
        </row>
        <row r="147">
          <cell r="E147" t="str">
            <v>SLT0010560</v>
          </cell>
          <cell r="F147" t="str">
            <v>安全上挂钩</v>
          </cell>
          <cell r="H147" t="str">
            <v>安全上挂钩</v>
          </cell>
          <cell r="I147" t="str">
            <v>SLT0010560</v>
          </cell>
          <cell r="J147" t="str">
            <v>SPFH590</v>
          </cell>
          <cell r="K147">
            <v>1</v>
          </cell>
          <cell r="N147">
            <v>3</v>
          </cell>
          <cell r="O147">
            <v>6.7</v>
          </cell>
          <cell r="P147">
            <v>3.4</v>
          </cell>
          <cell r="Q147">
            <v>6.5714285714285711E-2</v>
          </cell>
          <cell r="R147">
            <v>4.5999999999999999E-2</v>
          </cell>
          <cell r="S147">
            <v>1.9714285714285712E-2</v>
          </cell>
          <cell r="T147">
            <v>0.37325714285714284</v>
          </cell>
          <cell r="U147" t="str">
            <v>落料冲孔</v>
          </cell>
          <cell r="V147" t="str">
            <v>80T</v>
          </cell>
          <cell r="W147">
            <v>0.05</v>
          </cell>
          <cell r="X147">
            <v>1</v>
          </cell>
          <cell r="Y147">
            <v>0.05</v>
          </cell>
          <cell r="Z147">
            <v>1.2</v>
          </cell>
          <cell r="AA147">
            <v>0.56790857142857132</v>
          </cell>
          <cell r="AB147">
            <v>0.50257395701643481</v>
          </cell>
        </row>
        <row r="148">
          <cell r="U148" t="str">
            <v>成型</v>
          </cell>
          <cell r="V148" t="str">
            <v>80T</v>
          </cell>
          <cell r="W148">
            <v>0.05</v>
          </cell>
          <cell r="X148">
            <v>1</v>
          </cell>
          <cell r="Y148">
            <v>0.05</v>
          </cell>
        </row>
        <row r="153">
          <cell r="H153" t="str">
            <v>材料合计：</v>
          </cell>
          <cell r="T153">
            <v>0.37325714285714284</v>
          </cell>
          <cell r="U153" t="str">
            <v>加工费合计：</v>
          </cell>
          <cell r="Y153">
            <v>0.1</v>
          </cell>
        </row>
        <row r="154">
          <cell r="E154" t="str">
            <v>SLT0010540</v>
          </cell>
          <cell r="F154" t="str">
            <v>滚轮下滑槽</v>
          </cell>
          <cell r="H154" t="str">
            <v>滚轮下滑槽</v>
          </cell>
          <cell r="I154" t="str">
            <v>SLT0010540</v>
          </cell>
          <cell r="J154" t="str">
            <v>SAPH440</v>
          </cell>
          <cell r="K154">
            <v>1</v>
          </cell>
          <cell r="L154">
            <v>86</v>
          </cell>
          <cell r="M154">
            <v>77</v>
          </cell>
          <cell r="N154">
            <v>3</v>
          </cell>
          <cell r="O154">
            <v>6.3</v>
          </cell>
          <cell r="P154">
            <v>3.4</v>
          </cell>
          <cell r="Q154">
            <v>0.15594810000000001</v>
          </cell>
          <cell r="R154">
            <v>9.8000000000000004E-2</v>
          </cell>
          <cell r="S154">
            <v>5.7948100000000002E-2</v>
          </cell>
          <cell r="T154">
            <v>0.78544948999999997</v>
          </cell>
          <cell r="U154" t="str">
            <v>落料</v>
          </cell>
          <cell r="V154" t="str">
            <v>80T</v>
          </cell>
          <cell r="W154">
            <v>0.05</v>
          </cell>
          <cell r="X154">
            <v>1</v>
          </cell>
          <cell r="Y154">
            <v>0.05</v>
          </cell>
          <cell r="Z154">
            <v>1.2</v>
          </cell>
          <cell r="AA154">
            <v>1.0625393879999998</v>
          </cell>
          <cell r="AB154">
            <v>0.94030034336283175</v>
          </cell>
        </row>
        <row r="155">
          <cell r="U155" t="str">
            <v>成型</v>
          </cell>
          <cell r="V155" t="str">
            <v>80T</v>
          </cell>
          <cell r="W155">
            <v>0.05</v>
          </cell>
          <cell r="X155">
            <v>1</v>
          </cell>
          <cell r="Y155">
            <v>0.05</v>
          </cell>
        </row>
        <row r="160">
          <cell r="H160" t="str">
            <v>材料合计：</v>
          </cell>
          <cell r="T160">
            <v>0.78544948999999997</v>
          </cell>
          <cell r="U160" t="str">
            <v>加工费合计：</v>
          </cell>
          <cell r="Y160">
            <v>0.1</v>
          </cell>
        </row>
        <row r="161">
          <cell r="E161" t="str">
            <v>SLT0010557</v>
          </cell>
          <cell r="F161" t="str">
            <v>外绞架支撑板组件</v>
          </cell>
          <cell r="H161" t="str">
            <v>外绞架支撑板</v>
          </cell>
          <cell r="I161" t="str">
            <v>SLT0010547</v>
          </cell>
          <cell r="J161" t="str">
            <v>Q235-A</v>
          </cell>
          <cell r="K161">
            <v>1</v>
          </cell>
          <cell r="L161">
            <v>352</v>
          </cell>
          <cell r="M161">
            <v>47</v>
          </cell>
          <cell r="N161">
            <v>6</v>
          </cell>
          <cell r="O161">
            <v>5.85</v>
          </cell>
          <cell r="P161">
            <v>3.4</v>
          </cell>
          <cell r="Q161">
            <v>0.77922239999999987</v>
          </cell>
          <cell r="R161">
            <v>0.498</v>
          </cell>
          <cell r="S161">
            <v>0.28122239999999987</v>
          </cell>
          <cell r="T161">
            <v>3.6022948799999992</v>
          </cell>
          <cell r="U161" t="str">
            <v>落料</v>
          </cell>
          <cell r="V161" t="str">
            <v>80T</v>
          </cell>
          <cell r="W161">
            <v>0.05</v>
          </cell>
          <cell r="X161">
            <v>1</v>
          </cell>
          <cell r="Y161">
            <v>0.05</v>
          </cell>
          <cell r="Z161">
            <v>1.2</v>
          </cell>
          <cell r="AA161">
            <v>7.3670677021538449</v>
          </cell>
          <cell r="AB161">
            <v>6.5195289399591552</v>
          </cell>
        </row>
        <row r="162">
          <cell r="H162" t="str">
            <v>外绞架轴套</v>
          </cell>
          <cell r="I162" t="str">
            <v>SLT0010524</v>
          </cell>
          <cell r="K162">
            <v>1</v>
          </cell>
          <cell r="O162">
            <v>0.6</v>
          </cell>
          <cell r="T162">
            <v>0.6</v>
          </cell>
          <cell r="U162" t="str">
            <v>成型</v>
          </cell>
          <cell r="V162" t="str">
            <v>80T</v>
          </cell>
          <cell r="W162">
            <v>0.05</v>
          </cell>
          <cell r="X162">
            <v>1</v>
          </cell>
          <cell r="Y162">
            <v>0.05</v>
          </cell>
        </row>
        <row r="163">
          <cell r="H163" t="str">
            <v>钢轴套1</v>
          </cell>
          <cell r="I163" t="str">
            <v>SLT0010535</v>
          </cell>
          <cell r="K163">
            <v>1</v>
          </cell>
          <cell r="O163">
            <v>1.33</v>
          </cell>
          <cell r="T163">
            <v>1.33</v>
          </cell>
          <cell r="U163" t="str">
            <v>冲孔</v>
          </cell>
          <cell r="V163" t="str">
            <v>80T</v>
          </cell>
          <cell r="W163">
            <v>0.05</v>
          </cell>
          <cell r="X163">
            <v>1</v>
          </cell>
          <cell r="Y163">
            <v>0.05</v>
          </cell>
        </row>
        <row r="164">
          <cell r="U164" t="str">
            <v>组装轴套</v>
          </cell>
          <cell r="W164">
            <v>8.0128205128205121E-2</v>
          </cell>
          <cell r="X164">
            <v>1</v>
          </cell>
          <cell r="Y164">
            <v>8.0128205128205121E-2</v>
          </cell>
        </row>
        <row r="165">
          <cell r="U165" t="str">
            <v>焊接</v>
          </cell>
          <cell r="V165">
            <v>7.5359999999999996</v>
          </cell>
          <cell r="W165">
            <v>0.05</v>
          </cell>
          <cell r="X165">
            <v>1</v>
          </cell>
          <cell r="Y165">
            <v>0.37680000000000002</v>
          </cell>
        </row>
        <row r="167">
          <cell r="H167" t="str">
            <v>材料合计：</v>
          </cell>
          <cell r="T167">
            <v>5.5322948799999994</v>
          </cell>
          <cell r="U167" t="str">
            <v>加工费合计：</v>
          </cell>
          <cell r="Y167">
            <v>0.60692820512820522</v>
          </cell>
        </row>
        <row r="168">
          <cell r="E168" t="str">
            <v>SLT0010556</v>
          </cell>
          <cell r="F168" t="str">
            <v>内绞架支撑板组件</v>
          </cell>
          <cell r="H168" t="str">
            <v>内绞架支撑板</v>
          </cell>
          <cell r="I168" t="str">
            <v>SLT0010548</v>
          </cell>
          <cell r="J168" t="str">
            <v>Q235-A</v>
          </cell>
          <cell r="K168">
            <v>1</v>
          </cell>
          <cell r="L168">
            <v>334</v>
          </cell>
          <cell r="M168">
            <v>45</v>
          </cell>
          <cell r="N168">
            <v>6</v>
          </cell>
          <cell r="O168">
            <v>5.85</v>
          </cell>
          <cell r="P168">
            <v>3.4</v>
          </cell>
          <cell r="Q168">
            <v>0.70791300000000001</v>
          </cell>
          <cell r="R168">
            <v>0.498</v>
          </cell>
          <cell r="S168">
            <v>0.20991300000000002</v>
          </cell>
          <cell r="T168">
            <v>3.4275868499999995</v>
          </cell>
          <cell r="U168" t="str">
            <v>落料</v>
          </cell>
          <cell r="V168" t="str">
            <v>80T</v>
          </cell>
          <cell r="W168">
            <v>0.05</v>
          </cell>
          <cell r="X168">
            <v>1</v>
          </cell>
          <cell r="Y168">
            <v>0.05</v>
          </cell>
          <cell r="Z168">
            <v>1.2</v>
          </cell>
          <cell r="AA168">
            <v>6.9424705916814116</v>
          </cell>
          <cell r="AB168">
            <v>6.1437792846738164</v>
          </cell>
        </row>
        <row r="169">
          <cell r="H169" t="str">
            <v>内绞架螺母轴套</v>
          </cell>
          <cell r="I169" t="str">
            <v>SLT0010269</v>
          </cell>
          <cell r="K169">
            <v>1</v>
          </cell>
          <cell r="O169">
            <v>1.89380530973451</v>
          </cell>
          <cell r="T169">
            <v>1.89380530973451</v>
          </cell>
          <cell r="U169" t="str">
            <v>成型</v>
          </cell>
          <cell r="V169" t="str">
            <v>80T</v>
          </cell>
          <cell r="W169">
            <v>0.05</v>
          </cell>
          <cell r="X169">
            <v>1</v>
          </cell>
          <cell r="Y169">
            <v>0.05</v>
          </cell>
        </row>
        <row r="170">
          <cell r="U170" t="str">
            <v>冲孔</v>
          </cell>
          <cell r="V170" t="str">
            <v>80T</v>
          </cell>
          <cell r="W170">
            <v>0.05</v>
          </cell>
          <cell r="X170">
            <v>1</v>
          </cell>
          <cell r="Y170">
            <v>0.05</v>
          </cell>
        </row>
        <row r="171">
          <cell r="U171" t="str">
            <v>焊接</v>
          </cell>
          <cell r="V171">
            <v>6.28</v>
          </cell>
          <cell r="W171">
            <v>0.05</v>
          </cell>
          <cell r="X171">
            <v>1</v>
          </cell>
          <cell r="Y171">
            <v>0.31400000000000006</v>
          </cell>
        </row>
        <row r="174">
          <cell r="H174" t="str">
            <v>材料合计：</v>
          </cell>
          <cell r="T174">
            <v>5.3213921597345095</v>
          </cell>
          <cell r="U174" t="str">
            <v>加工费合计：</v>
          </cell>
          <cell r="Y174">
            <v>0.46400000000000008</v>
          </cell>
        </row>
        <row r="175">
          <cell r="E175" t="str">
            <v>SLT0010564</v>
          </cell>
          <cell r="F175" t="str">
            <v>滚轮上滑槽</v>
          </cell>
          <cell r="H175" t="str">
            <v>滚轮上滑槽</v>
          </cell>
          <cell r="I175" t="str">
            <v>SLT0010548</v>
          </cell>
          <cell r="J175" t="str">
            <v>SAPH440</v>
          </cell>
          <cell r="K175">
            <v>1</v>
          </cell>
          <cell r="L175">
            <v>81</v>
          </cell>
          <cell r="M175">
            <v>77</v>
          </cell>
          <cell r="N175">
            <v>3</v>
          </cell>
          <cell r="O175">
            <v>6.3</v>
          </cell>
          <cell r="P175">
            <v>3.4</v>
          </cell>
          <cell r="Q175">
            <v>0.14688134999999999</v>
          </cell>
          <cell r="R175">
            <v>9.6000000000000002E-2</v>
          </cell>
          <cell r="S175">
            <v>5.0881349999999992E-2</v>
          </cell>
          <cell r="T175">
            <v>0.75235591499999988</v>
          </cell>
          <cell r="U175" t="str">
            <v>落料</v>
          </cell>
          <cell r="V175" t="str">
            <v>80T</v>
          </cell>
          <cell r="W175">
            <v>0.05</v>
          </cell>
          <cell r="X175">
            <v>1</v>
          </cell>
          <cell r="Y175">
            <v>0.05</v>
          </cell>
          <cell r="Z175">
            <v>1.2</v>
          </cell>
          <cell r="AA175">
            <v>1.0228270979999998</v>
          </cell>
          <cell r="AB175">
            <v>0.90515672389380519</v>
          </cell>
        </row>
        <row r="176">
          <cell r="U176" t="str">
            <v>成型</v>
          </cell>
          <cell r="V176" t="str">
            <v>80T</v>
          </cell>
          <cell r="W176">
            <v>0.05</v>
          </cell>
          <cell r="X176">
            <v>1</v>
          </cell>
          <cell r="Y176">
            <v>0.05</v>
          </cell>
        </row>
        <row r="181">
          <cell r="H181" t="str">
            <v>材料合计：</v>
          </cell>
          <cell r="T181">
            <v>0.75235591499999988</v>
          </cell>
          <cell r="U181" t="str">
            <v>加工费合计：</v>
          </cell>
          <cell r="Y181">
            <v>0.1</v>
          </cell>
        </row>
        <row r="182">
          <cell r="E182" t="str">
            <v>SLT0010686</v>
          </cell>
          <cell r="F182" t="str">
            <v>驾驶员座垫右侧安装板总成</v>
          </cell>
          <cell r="H182" t="str">
            <v>驾驶员座垫右侧安装板</v>
          </cell>
          <cell r="I182" t="str">
            <v>SLT0010682</v>
          </cell>
          <cell r="J182" t="str">
            <v>QSTE500TM</v>
          </cell>
          <cell r="K182">
            <v>1</v>
          </cell>
          <cell r="N182">
            <v>2.5</v>
          </cell>
          <cell r="O182">
            <v>7</v>
          </cell>
          <cell r="P182">
            <v>3.4</v>
          </cell>
          <cell r="Q182">
            <v>0.8928571428571429</v>
          </cell>
          <cell r="R182">
            <v>0.625</v>
          </cell>
          <cell r="S182">
            <v>0.2678571428571429</v>
          </cell>
          <cell r="T182">
            <v>5.3392857142857144</v>
          </cell>
          <cell r="U182" t="str">
            <v>落料</v>
          </cell>
          <cell r="V182" t="str">
            <v>300T</v>
          </cell>
          <cell r="W182">
            <v>0.2</v>
          </cell>
          <cell r="X182">
            <v>1</v>
          </cell>
          <cell r="Y182">
            <v>0.2</v>
          </cell>
          <cell r="Z182">
            <v>1.2</v>
          </cell>
          <cell r="AA182">
            <v>9.2271428571428569</v>
          </cell>
          <cell r="AB182">
            <v>8.1656131479140335</v>
          </cell>
        </row>
        <row r="183">
          <cell r="H183" t="str">
            <v>7/16螺母</v>
          </cell>
          <cell r="I183" t="str">
            <v>BFA0000400</v>
          </cell>
          <cell r="K183">
            <v>1</v>
          </cell>
          <cell r="O183">
            <v>0.32</v>
          </cell>
          <cell r="T183">
            <v>0.32</v>
          </cell>
          <cell r="U183" t="str">
            <v>成型</v>
          </cell>
          <cell r="V183" t="str">
            <v>300T</v>
          </cell>
          <cell r="W183">
            <v>0.2</v>
          </cell>
          <cell r="X183">
            <v>1</v>
          </cell>
          <cell r="Y183">
            <v>0.2</v>
          </cell>
        </row>
        <row r="184">
          <cell r="H184" t="str">
            <v>中排独立软带轴承</v>
          </cell>
          <cell r="I184" t="str">
            <v>321721801400</v>
          </cell>
          <cell r="K184">
            <v>1</v>
          </cell>
          <cell r="O184">
            <v>1</v>
          </cell>
          <cell r="T184">
            <v>1</v>
          </cell>
          <cell r="U184" t="str">
            <v>翻边</v>
          </cell>
          <cell r="V184" t="str">
            <v>300T</v>
          </cell>
          <cell r="W184">
            <v>0.2</v>
          </cell>
          <cell r="X184">
            <v>1</v>
          </cell>
          <cell r="Y184">
            <v>0.2</v>
          </cell>
        </row>
        <row r="185">
          <cell r="U185" t="str">
            <v>冲孔</v>
          </cell>
          <cell r="V185" t="str">
            <v>160T</v>
          </cell>
          <cell r="W185">
            <v>0.1</v>
          </cell>
          <cell r="X185">
            <v>1</v>
          </cell>
          <cell r="Y185">
            <v>0.1</v>
          </cell>
        </row>
        <row r="186">
          <cell r="U186" t="str">
            <v>冲孔</v>
          </cell>
          <cell r="V186" t="str">
            <v>160T</v>
          </cell>
          <cell r="W186">
            <v>0.1</v>
          </cell>
          <cell r="X186">
            <v>1</v>
          </cell>
          <cell r="Y186">
            <v>0.1</v>
          </cell>
        </row>
        <row r="187">
          <cell r="U187" t="str">
            <v>冲孔</v>
          </cell>
          <cell r="V187" t="str">
            <v>160T</v>
          </cell>
          <cell r="W187">
            <v>0.1</v>
          </cell>
          <cell r="X187">
            <v>1</v>
          </cell>
          <cell r="Y187">
            <v>0.1</v>
          </cell>
        </row>
        <row r="188">
          <cell r="U188" t="str">
            <v>铆接</v>
          </cell>
          <cell r="V188" t="str">
            <v>63T</v>
          </cell>
          <cell r="W188">
            <v>0.04</v>
          </cell>
          <cell r="X188">
            <v>1</v>
          </cell>
          <cell r="Y188">
            <v>0.04</v>
          </cell>
        </row>
        <row r="189">
          <cell r="U189" t="str">
            <v>铆接</v>
          </cell>
          <cell r="V189" t="str">
            <v>63T</v>
          </cell>
          <cell r="W189">
            <v>0.04</v>
          </cell>
          <cell r="X189">
            <v>1</v>
          </cell>
          <cell r="Y189">
            <v>0.04</v>
          </cell>
        </row>
        <row r="190">
          <cell r="U190" t="str">
            <v>焊接</v>
          </cell>
          <cell r="V190">
            <v>2</v>
          </cell>
          <cell r="W190">
            <v>0.05</v>
          </cell>
          <cell r="X190">
            <v>1</v>
          </cell>
          <cell r="Y190">
            <v>0.05</v>
          </cell>
        </row>
        <row r="191">
          <cell r="H191" t="str">
            <v>材料合计：</v>
          </cell>
          <cell r="T191">
            <v>6.6592857142857147</v>
          </cell>
          <cell r="U191" t="str">
            <v>加工费合计：</v>
          </cell>
          <cell r="Y191">
            <v>1.03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3"/>
  <sheetViews>
    <sheetView zoomScale="90" zoomScaleNormal="90" workbookViewId="0">
      <selection activeCell="O9" sqref="O9"/>
    </sheetView>
  </sheetViews>
  <sheetFormatPr defaultColWidth="9" defaultRowHeight="14.4" x14ac:dyDescent="0.25"/>
  <cols>
    <col min="2" max="2" width="21.21875" customWidth="1"/>
    <col min="3" max="3" width="11.109375" style="1" customWidth="1"/>
    <col min="4" max="4" width="14.6640625" style="1" customWidth="1"/>
    <col min="5" max="5" width="12.109375" style="2" customWidth="1"/>
    <col min="6" max="6" width="3.6640625" style="3" customWidth="1"/>
    <col min="7" max="7" width="11.88671875" style="3" customWidth="1"/>
    <col min="8" max="8" width="14.5546875" style="3" customWidth="1"/>
    <col min="9" max="9" width="16" style="3" hidden="1" customWidth="1"/>
    <col min="10" max="10" width="9.33203125" style="4" hidden="1" customWidth="1"/>
    <col min="11" max="11" width="7.6640625" style="4" hidden="1" customWidth="1"/>
    <col min="12" max="12" width="9.21875" style="109" hidden="1" customWidth="1"/>
    <col min="13" max="13" width="9.33203125" style="4" customWidth="1"/>
    <col min="14" max="14" width="7.6640625" style="4" customWidth="1"/>
    <col min="15" max="15" width="9.21875" style="109" customWidth="1"/>
  </cols>
  <sheetData>
    <row r="1" spans="1:15" ht="20.399999999999999" x14ac:dyDescent="0.25">
      <c r="A1" s="183" t="s">
        <v>194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43"/>
      <c r="N1" s="143"/>
      <c r="O1" s="143"/>
    </row>
    <row r="2" spans="1:15" ht="14.4" customHeight="1" x14ac:dyDescent="0.25">
      <c r="A2" s="181" t="s">
        <v>197</v>
      </c>
      <c r="B2" s="184" t="s">
        <v>92</v>
      </c>
      <c r="C2" s="185" t="s">
        <v>0</v>
      </c>
      <c r="D2" s="185" t="s">
        <v>1</v>
      </c>
      <c r="E2" s="186" t="s">
        <v>2</v>
      </c>
      <c r="F2" s="186" t="s">
        <v>4</v>
      </c>
      <c r="G2" s="185" t="s">
        <v>7</v>
      </c>
      <c r="H2" s="186" t="s">
        <v>189</v>
      </c>
      <c r="I2" s="187" t="s">
        <v>191</v>
      </c>
      <c r="J2" s="179" t="s">
        <v>205</v>
      </c>
      <c r="K2" s="179"/>
      <c r="L2" s="179"/>
      <c r="M2" s="179" t="s">
        <v>204</v>
      </c>
      <c r="N2" s="179"/>
      <c r="O2" s="179"/>
    </row>
    <row r="3" spans="1:15" ht="27.75" customHeight="1" x14ac:dyDescent="0.25">
      <c r="A3" s="182"/>
      <c r="B3" s="184"/>
      <c r="C3" s="185"/>
      <c r="D3" s="185"/>
      <c r="E3" s="186"/>
      <c r="F3" s="186"/>
      <c r="G3" s="185"/>
      <c r="H3" s="186"/>
      <c r="I3" s="187"/>
      <c r="J3" s="5" t="s">
        <v>69</v>
      </c>
      <c r="K3" s="5" t="s">
        <v>9</v>
      </c>
      <c r="L3" s="105" t="s">
        <v>10</v>
      </c>
      <c r="M3" s="5" t="s">
        <v>69</v>
      </c>
      <c r="N3" s="5" t="s">
        <v>9</v>
      </c>
      <c r="O3" s="107" t="s">
        <v>10</v>
      </c>
    </row>
    <row r="4" spans="1:15" ht="62.25" customHeight="1" x14ac:dyDescent="0.25">
      <c r="A4" s="16">
        <v>1</v>
      </c>
      <c r="B4" s="26" t="s">
        <v>93</v>
      </c>
      <c r="C4" s="11" t="s">
        <v>12</v>
      </c>
      <c r="D4" s="11" t="s">
        <v>13</v>
      </c>
      <c r="E4" s="15"/>
      <c r="F4" s="6">
        <v>1</v>
      </c>
      <c r="G4" s="23" t="s">
        <v>61</v>
      </c>
      <c r="H4" s="157">
        <v>0.55189999999999995</v>
      </c>
      <c r="I4" s="106">
        <v>0.55189683944374224</v>
      </c>
      <c r="J4" s="24">
        <v>0.70796460176991161</v>
      </c>
      <c r="K4" s="7">
        <v>5.7520000000000002E-2</v>
      </c>
      <c r="L4" s="32">
        <f t="shared" ref="L4" si="0">J4+K4</f>
        <v>0.76548460176991162</v>
      </c>
      <c r="M4" s="174">
        <v>0.70796460176991161</v>
      </c>
      <c r="N4" s="7">
        <v>5.7520000000000002E-2</v>
      </c>
      <c r="O4" s="32">
        <f t="shared" ref="O4:O8" si="1">M4+N4</f>
        <v>0.76548460176991162</v>
      </c>
    </row>
    <row r="5" spans="1:15" ht="62.25" customHeight="1" x14ac:dyDescent="0.25">
      <c r="A5" s="16">
        <v>2</v>
      </c>
      <c r="B5" s="26" t="s">
        <v>94</v>
      </c>
      <c r="C5" s="14" t="s">
        <v>29</v>
      </c>
      <c r="D5" s="12" t="s">
        <v>30</v>
      </c>
      <c r="E5" s="13"/>
      <c r="F5" s="6">
        <v>1</v>
      </c>
      <c r="G5" s="25" t="s">
        <v>64</v>
      </c>
      <c r="H5" s="157">
        <v>2.5884742212000003</v>
      </c>
      <c r="I5" s="106">
        <v>2.0461592920353984</v>
      </c>
      <c r="J5" s="24">
        <v>2.2566371681415931</v>
      </c>
      <c r="K5" s="7">
        <v>5.7500000000000002E-2</v>
      </c>
      <c r="L5" s="32">
        <f t="shared" ref="L5:L8" si="2">J5+K5</f>
        <v>2.3141371681415932</v>
      </c>
      <c r="M5" s="24">
        <v>2.35</v>
      </c>
      <c r="N5" s="7">
        <v>5.7500000000000002E-2</v>
      </c>
      <c r="O5" s="32">
        <f t="shared" si="1"/>
        <v>2.4075000000000002</v>
      </c>
    </row>
    <row r="6" spans="1:15" ht="62.25" customHeight="1" x14ac:dyDescent="0.25">
      <c r="A6" s="16">
        <v>3</v>
      </c>
      <c r="B6" s="26" t="s">
        <v>94</v>
      </c>
      <c r="C6" s="19" t="s">
        <v>53</v>
      </c>
      <c r="D6" s="21" t="s">
        <v>54</v>
      </c>
      <c r="E6" s="18"/>
      <c r="F6" s="6">
        <v>1</v>
      </c>
      <c r="G6" s="25" t="s">
        <v>62</v>
      </c>
      <c r="H6" s="157">
        <f>1.39+2.04+0.71</f>
        <v>4.1399999999999997</v>
      </c>
      <c r="I6" s="106">
        <v>4.1399999999999997</v>
      </c>
      <c r="J6" s="24">
        <v>8.4955752212389388</v>
      </c>
      <c r="K6" s="8">
        <v>7.0800000000000002E-2</v>
      </c>
      <c r="L6" s="32">
        <f t="shared" si="2"/>
        <v>8.566375221238939</v>
      </c>
      <c r="M6" s="174">
        <v>8.1999999999999993</v>
      </c>
      <c r="N6" s="8">
        <v>7.0800000000000002E-2</v>
      </c>
      <c r="O6" s="32">
        <f t="shared" si="1"/>
        <v>8.2707999999999995</v>
      </c>
    </row>
    <row r="7" spans="1:15" ht="62.25" customHeight="1" x14ac:dyDescent="0.25">
      <c r="A7" s="16">
        <v>4</v>
      </c>
      <c r="B7" s="26" t="s">
        <v>94</v>
      </c>
      <c r="C7" s="19" t="s">
        <v>57</v>
      </c>
      <c r="D7" s="21" t="s">
        <v>58</v>
      </c>
      <c r="E7" s="18"/>
      <c r="F7" s="6">
        <v>1</v>
      </c>
      <c r="G7" s="25" t="s">
        <v>64</v>
      </c>
      <c r="H7" s="157">
        <v>0.77037133319999995</v>
      </c>
      <c r="I7" s="106">
        <v>0.77037133319999995</v>
      </c>
      <c r="J7" s="24">
        <v>1.1946902654867257</v>
      </c>
      <c r="K7" s="8">
        <v>3.1E-2</v>
      </c>
      <c r="L7" s="32">
        <f t="shared" si="2"/>
        <v>1.2256902654867257</v>
      </c>
      <c r="M7" s="174">
        <v>1.1000000000000001</v>
      </c>
      <c r="N7" s="8">
        <v>3.1E-2</v>
      </c>
      <c r="O7" s="32">
        <f t="shared" si="1"/>
        <v>1.131</v>
      </c>
    </row>
    <row r="8" spans="1:15" ht="62.25" customHeight="1" x14ac:dyDescent="0.25">
      <c r="A8" s="16">
        <v>5</v>
      </c>
      <c r="B8" s="26" t="s">
        <v>94</v>
      </c>
      <c r="C8" s="19" t="s">
        <v>59</v>
      </c>
      <c r="D8" s="22" t="s">
        <v>60</v>
      </c>
      <c r="E8" s="18"/>
      <c r="F8" s="6">
        <v>1</v>
      </c>
      <c r="G8" s="25" t="s">
        <v>64</v>
      </c>
      <c r="H8" s="157">
        <v>0.31012625000000005</v>
      </c>
      <c r="I8" s="106">
        <v>0.31012625000000005</v>
      </c>
      <c r="J8" s="24">
        <v>0.65486725663716816</v>
      </c>
      <c r="K8" s="8">
        <v>3.1E-2</v>
      </c>
      <c r="L8" s="32">
        <f t="shared" si="2"/>
        <v>0.68586725663716819</v>
      </c>
      <c r="M8" s="174">
        <v>0.6</v>
      </c>
      <c r="N8" s="8">
        <v>3.1E-2</v>
      </c>
      <c r="O8" s="32">
        <f t="shared" si="1"/>
        <v>0.63100000000000001</v>
      </c>
    </row>
    <row r="9" spans="1:15" ht="27" customHeight="1" x14ac:dyDescent="0.25">
      <c r="A9" s="159"/>
      <c r="B9" s="160"/>
      <c r="C9" s="161"/>
      <c r="D9" s="162"/>
      <c r="E9" s="163"/>
      <c r="F9" s="164"/>
      <c r="G9" s="165"/>
      <c r="H9" s="166">
        <f>SUM(H4:H8)</f>
        <v>8.3608718043999986</v>
      </c>
      <c r="I9" s="167">
        <f>SUM(I4:I8)</f>
        <v>7.8185537146791404</v>
      </c>
      <c r="J9" s="168"/>
      <c r="K9" s="169"/>
      <c r="L9" s="170"/>
      <c r="M9" s="168">
        <f>SUM(M4:M8)</f>
        <v>12.957964601769911</v>
      </c>
      <c r="N9" s="169"/>
      <c r="O9" s="175"/>
    </row>
    <row r="10" spans="1:15" ht="17.25" customHeight="1" x14ac:dyDescent="0.25">
      <c r="A10" s="180" t="s">
        <v>11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x14ac:dyDescent="0.25">
      <c r="C11"/>
      <c r="D11"/>
      <c r="E11"/>
      <c r="F11"/>
      <c r="G11"/>
      <c r="H11"/>
      <c r="I11"/>
      <c r="J11"/>
      <c r="K11"/>
      <c r="L11" s="108"/>
      <c r="M11"/>
      <c r="N11"/>
      <c r="O11" s="108"/>
    </row>
    <row r="12" spans="1:15" x14ac:dyDescent="0.25">
      <c r="C12"/>
      <c r="D12"/>
      <c r="E12"/>
      <c r="F12"/>
      <c r="G12"/>
      <c r="H12"/>
      <c r="I12"/>
      <c r="J12"/>
      <c r="K12"/>
      <c r="L12" s="108"/>
      <c r="M12"/>
      <c r="N12"/>
      <c r="O12" s="108"/>
    </row>
    <row r="13" spans="1:15" x14ac:dyDescent="0.25">
      <c r="C13"/>
      <c r="D13"/>
      <c r="E13"/>
      <c r="F13"/>
      <c r="G13"/>
      <c r="H13"/>
      <c r="I13"/>
      <c r="J13"/>
      <c r="K13"/>
      <c r="L13" s="108"/>
      <c r="M13"/>
      <c r="N13"/>
      <c r="O13" s="108"/>
    </row>
    <row r="14" spans="1:15" x14ac:dyDescent="0.25">
      <c r="C14"/>
      <c r="D14"/>
      <c r="E14"/>
      <c r="F14"/>
      <c r="G14"/>
      <c r="H14"/>
      <c r="I14"/>
      <c r="J14"/>
      <c r="K14"/>
      <c r="L14" s="108"/>
      <c r="M14"/>
      <c r="N14"/>
      <c r="O14" s="108"/>
    </row>
    <row r="15" spans="1:15" ht="13.5" customHeight="1" x14ac:dyDescent="0.25">
      <c r="C15"/>
      <c r="D15"/>
      <c r="E15"/>
      <c r="F15"/>
      <c r="G15"/>
      <c r="H15"/>
      <c r="I15"/>
      <c r="J15"/>
      <c r="K15"/>
      <c r="L15" s="108"/>
      <c r="M15"/>
      <c r="N15"/>
      <c r="O15" s="108"/>
    </row>
    <row r="16" spans="1:15" ht="13.5" customHeight="1" x14ac:dyDescent="0.25">
      <c r="C16"/>
      <c r="D16"/>
      <c r="E16"/>
      <c r="F16"/>
      <c r="G16"/>
      <c r="H16"/>
      <c r="I16"/>
      <c r="J16"/>
      <c r="K16"/>
      <c r="L16" s="108"/>
      <c r="M16"/>
      <c r="N16"/>
      <c r="O16" s="108"/>
    </row>
    <row r="17" spans="3:15" x14ac:dyDescent="0.25">
      <c r="C17"/>
      <c r="D17"/>
      <c r="E17"/>
      <c r="F17"/>
      <c r="G17"/>
      <c r="H17"/>
      <c r="I17"/>
      <c r="J17"/>
      <c r="K17"/>
      <c r="L17" s="108"/>
      <c r="M17"/>
      <c r="N17"/>
      <c r="O17" s="108"/>
    </row>
    <row r="18" spans="3:15" ht="13.5" customHeight="1" x14ac:dyDescent="0.25">
      <c r="C18"/>
      <c r="D18"/>
      <c r="E18"/>
      <c r="F18"/>
      <c r="G18"/>
      <c r="H18"/>
      <c r="I18"/>
      <c r="J18"/>
      <c r="K18"/>
      <c r="L18" s="108"/>
      <c r="M18"/>
      <c r="N18"/>
      <c r="O18" s="108"/>
    </row>
    <row r="19" spans="3:15" x14ac:dyDescent="0.25">
      <c r="C19"/>
      <c r="D19"/>
      <c r="E19"/>
      <c r="F19"/>
      <c r="G19"/>
      <c r="H19"/>
      <c r="I19"/>
      <c r="J19"/>
      <c r="K19"/>
      <c r="L19" s="108"/>
      <c r="M19"/>
      <c r="N19"/>
      <c r="O19" s="108"/>
    </row>
    <row r="20" spans="3:15" x14ac:dyDescent="0.25">
      <c r="C20"/>
      <c r="D20"/>
      <c r="E20"/>
      <c r="F20"/>
      <c r="G20"/>
      <c r="H20"/>
      <c r="I20"/>
      <c r="J20"/>
      <c r="K20"/>
      <c r="L20" s="108"/>
      <c r="M20"/>
      <c r="N20"/>
      <c r="O20" s="108"/>
    </row>
    <row r="21" spans="3:15" x14ac:dyDescent="0.25">
      <c r="C21"/>
      <c r="D21"/>
      <c r="E21"/>
      <c r="F21"/>
      <c r="G21"/>
      <c r="H21"/>
      <c r="I21"/>
      <c r="J21"/>
      <c r="K21"/>
      <c r="L21" s="108"/>
      <c r="M21"/>
      <c r="N21"/>
      <c r="O21" s="108"/>
    </row>
    <row r="22" spans="3:15" x14ac:dyDescent="0.25">
      <c r="C22"/>
      <c r="D22"/>
      <c r="E22"/>
      <c r="F22"/>
      <c r="G22"/>
      <c r="H22"/>
      <c r="I22"/>
      <c r="J22"/>
      <c r="K22"/>
      <c r="L22" s="108"/>
      <c r="M22"/>
      <c r="N22"/>
      <c r="O22" s="108"/>
    </row>
    <row r="23" spans="3:15" x14ac:dyDescent="0.25">
      <c r="C23"/>
      <c r="D23"/>
      <c r="E23"/>
      <c r="F23"/>
      <c r="G23"/>
      <c r="H23"/>
      <c r="I23"/>
      <c r="J23"/>
      <c r="K23"/>
      <c r="L23" s="108"/>
      <c r="M23"/>
      <c r="N23"/>
      <c r="O23" s="108"/>
    </row>
    <row r="24" spans="3:15" x14ac:dyDescent="0.25">
      <c r="C24"/>
      <c r="D24"/>
      <c r="E24"/>
      <c r="F24"/>
      <c r="G24"/>
      <c r="H24"/>
      <c r="I24"/>
      <c r="J24"/>
      <c r="K24"/>
      <c r="L24" s="108"/>
      <c r="M24"/>
      <c r="N24"/>
      <c r="O24" s="108"/>
    </row>
    <row r="25" spans="3:15" ht="13.5" customHeight="1" x14ac:dyDescent="0.25">
      <c r="C25"/>
      <c r="D25"/>
      <c r="E25"/>
      <c r="F25"/>
      <c r="G25"/>
      <c r="H25"/>
      <c r="I25"/>
      <c r="J25"/>
      <c r="K25"/>
      <c r="L25" s="108"/>
      <c r="M25"/>
      <c r="N25"/>
      <c r="O25" s="108"/>
    </row>
    <row r="26" spans="3:15" x14ac:dyDescent="0.25">
      <c r="C26"/>
      <c r="D26"/>
      <c r="E26"/>
      <c r="F26"/>
      <c r="G26"/>
      <c r="H26"/>
      <c r="I26"/>
      <c r="J26"/>
      <c r="K26"/>
      <c r="L26" s="108"/>
      <c r="M26"/>
      <c r="N26"/>
      <c r="O26" s="108"/>
    </row>
    <row r="27" spans="3:15" x14ac:dyDescent="0.25">
      <c r="C27"/>
      <c r="D27"/>
      <c r="E27"/>
      <c r="F27"/>
      <c r="G27"/>
      <c r="H27"/>
      <c r="I27"/>
      <c r="J27"/>
      <c r="K27"/>
      <c r="L27" s="108"/>
      <c r="M27"/>
      <c r="N27"/>
      <c r="O27" s="108"/>
    </row>
    <row r="28" spans="3:15" x14ac:dyDescent="0.25">
      <c r="C28"/>
      <c r="D28"/>
      <c r="E28"/>
      <c r="F28"/>
      <c r="G28"/>
      <c r="H28"/>
      <c r="I28"/>
      <c r="J28"/>
      <c r="K28"/>
      <c r="L28" s="108"/>
      <c r="M28"/>
      <c r="N28"/>
      <c r="O28" s="108"/>
    </row>
    <row r="29" spans="3:15" x14ac:dyDescent="0.25">
      <c r="C29"/>
      <c r="D29"/>
      <c r="E29"/>
      <c r="F29"/>
      <c r="G29"/>
      <c r="H29"/>
      <c r="I29"/>
      <c r="J29"/>
      <c r="K29"/>
      <c r="L29" s="108"/>
      <c r="M29"/>
      <c r="N29"/>
      <c r="O29" s="108"/>
    </row>
    <row r="30" spans="3:15" x14ac:dyDescent="0.25">
      <c r="C30"/>
      <c r="D30"/>
      <c r="E30"/>
      <c r="F30"/>
      <c r="G30"/>
      <c r="H30"/>
      <c r="I30"/>
      <c r="J30"/>
      <c r="K30"/>
      <c r="L30" s="108"/>
      <c r="M30"/>
      <c r="N30"/>
      <c r="O30" s="108"/>
    </row>
    <row r="31" spans="3:15" x14ac:dyDescent="0.25">
      <c r="C31"/>
      <c r="D31"/>
      <c r="E31"/>
      <c r="F31"/>
      <c r="G31"/>
      <c r="H31"/>
      <c r="I31"/>
      <c r="J31"/>
      <c r="K31"/>
      <c r="L31" s="108"/>
      <c r="M31"/>
      <c r="N31"/>
      <c r="O31" s="108"/>
    </row>
    <row r="32" spans="3:15" x14ac:dyDescent="0.25">
      <c r="C32"/>
      <c r="D32"/>
      <c r="E32"/>
      <c r="F32"/>
      <c r="G32"/>
      <c r="H32"/>
      <c r="I32"/>
      <c r="J32"/>
      <c r="K32"/>
      <c r="L32" s="108"/>
      <c r="M32"/>
      <c r="N32"/>
      <c r="O32" s="108"/>
    </row>
    <row r="33" spans="3:15" x14ac:dyDescent="0.25">
      <c r="C33"/>
      <c r="D33"/>
      <c r="E33"/>
      <c r="F33"/>
      <c r="G33"/>
      <c r="H33"/>
      <c r="I33"/>
      <c r="J33"/>
      <c r="K33"/>
      <c r="L33" s="108"/>
      <c r="M33"/>
      <c r="N33"/>
      <c r="O33" s="108"/>
    </row>
    <row r="34" spans="3:15" x14ac:dyDescent="0.25">
      <c r="C34"/>
      <c r="D34"/>
      <c r="E34"/>
      <c r="F34"/>
      <c r="G34"/>
      <c r="H34"/>
      <c r="I34"/>
      <c r="J34"/>
      <c r="K34"/>
      <c r="L34" s="108"/>
      <c r="M34"/>
      <c r="N34"/>
      <c r="O34" s="108"/>
    </row>
    <row r="35" spans="3:15" x14ac:dyDescent="0.25">
      <c r="C35"/>
      <c r="D35"/>
      <c r="E35"/>
      <c r="F35"/>
      <c r="G35"/>
      <c r="H35"/>
      <c r="I35"/>
      <c r="J35"/>
      <c r="K35"/>
      <c r="L35" s="108"/>
      <c r="M35"/>
      <c r="N35"/>
      <c r="O35" s="108"/>
    </row>
    <row r="36" spans="3:15" x14ac:dyDescent="0.25">
      <c r="C36"/>
      <c r="D36"/>
      <c r="E36"/>
      <c r="F36"/>
      <c r="G36"/>
      <c r="H36"/>
      <c r="I36"/>
      <c r="J36"/>
      <c r="K36"/>
      <c r="L36" s="108"/>
      <c r="M36"/>
      <c r="N36"/>
      <c r="O36" s="108"/>
    </row>
    <row r="37" spans="3:15" x14ac:dyDescent="0.25">
      <c r="C37"/>
      <c r="D37"/>
      <c r="E37"/>
      <c r="F37"/>
      <c r="G37"/>
      <c r="H37"/>
      <c r="I37"/>
      <c r="J37"/>
      <c r="K37"/>
      <c r="L37" s="108"/>
      <c r="M37"/>
      <c r="N37"/>
      <c r="O37" s="108"/>
    </row>
    <row r="38" spans="3:15" x14ac:dyDescent="0.25">
      <c r="C38"/>
      <c r="D38"/>
      <c r="E38"/>
      <c r="F38"/>
      <c r="G38"/>
      <c r="H38"/>
      <c r="I38"/>
      <c r="J38"/>
      <c r="K38"/>
      <c r="L38" s="108"/>
      <c r="M38"/>
      <c r="N38"/>
      <c r="O38" s="108"/>
    </row>
    <row r="39" spans="3:15" x14ac:dyDescent="0.25">
      <c r="C39"/>
      <c r="D39"/>
      <c r="E39"/>
      <c r="F39"/>
      <c r="G39"/>
      <c r="H39"/>
      <c r="I39"/>
      <c r="J39"/>
      <c r="K39"/>
      <c r="L39" s="108"/>
      <c r="M39"/>
      <c r="N39"/>
      <c r="O39" s="108"/>
    </row>
    <row r="40" spans="3:15" x14ac:dyDescent="0.25">
      <c r="C40"/>
      <c r="D40"/>
      <c r="E40"/>
      <c r="F40"/>
      <c r="G40"/>
      <c r="H40"/>
      <c r="I40"/>
      <c r="J40"/>
      <c r="K40"/>
      <c r="L40" s="108"/>
      <c r="M40"/>
      <c r="N40"/>
      <c r="O40" s="108"/>
    </row>
    <row r="41" spans="3:15" x14ac:dyDescent="0.25">
      <c r="C41"/>
      <c r="D41"/>
      <c r="E41"/>
      <c r="F41"/>
      <c r="G41"/>
      <c r="H41"/>
      <c r="I41"/>
      <c r="J41"/>
      <c r="K41"/>
      <c r="L41" s="108"/>
      <c r="M41"/>
      <c r="N41"/>
      <c r="O41" s="108"/>
    </row>
    <row r="42" spans="3:15" x14ac:dyDescent="0.25">
      <c r="C42"/>
      <c r="D42"/>
      <c r="E42"/>
      <c r="F42"/>
      <c r="G42"/>
      <c r="H42"/>
      <c r="I42"/>
      <c r="J42"/>
      <c r="K42"/>
      <c r="L42" s="108"/>
      <c r="M42"/>
      <c r="N42"/>
      <c r="O42" s="108"/>
    </row>
    <row r="43" spans="3:15" x14ac:dyDescent="0.25">
      <c r="C43"/>
      <c r="D43"/>
      <c r="E43"/>
      <c r="F43"/>
      <c r="G43"/>
      <c r="H43"/>
      <c r="I43"/>
      <c r="J43"/>
      <c r="K43"/>
      <c r="L43" s="108"/>
      <c r="M43"/>
      <c r="N43"/>
      <c r="O43" s="108"/>
    </row>
    <row r="44" spans="3:15" x14ac:dyDescent="0.25">
      <c r="C44"/>
      <c r="D44"/>
      <c r="E44"/>
      <c r="F44"/>
      <c r="G44"/>
      <c r="H44"/>
      <c r="I44"/>
      <c r="J44"/>
      <c r="K44"/>
      <c r="L44" s="108"/>
      <c r="M44"/>
      <c r="N44"/>
      <c r="O44" s="108"/>
    </row>
    <row r="45" spans="3:15" x14ac:dyDescent="0.25">
      <c r="C45"/>
      <c r="D45"/>
      <c r="E45"/>
      <c r="F45"/>
      <c r="G45"/>
      <c r="H45"/>
      <c r="I45"/>
      <c r="J45"/>
      <c r="K45"/>
      <c r="L45" s="108"/>
      <c r="M45"/>
      <c r="N45"/>
      <c r="O45" s="108"/>
    </row>
    <row r="46" spans="3:15" x14ac:dyDescent="0.25">
      <c r="C46"/>
      <c r="D46"/>
      <c r="E46"/>
      <c r="F46"/>
      <c r="G46"/>
      <c r="H46"/>
      <c r="I46"/>
      <c r="J46"/>
      <c r="K46"/>
      <c r="L46" s="108"/>
      <c r="M46"/>
      <c r="N46"/>
      <c r="O46" s="108"/>
    </row>
    <row r="47" spans="3:15" x14ac:dyDescent="0.25">
      <c r="C47"/>
      <c r="D47"/>
      <c r="E47"/>
      <c r="F47"/>
      <c r="G47"/>
      <c r="H47"/>
      <c r="I47"/>
      <c r="J47"/>
      <c r="K47"/>
      <c r="L47" s="108"/>
      <c r="M47"/>
      <c r="N47"/>
      <c r="O47" s="108"/>
    </row>
    <row r="48" spans="3:15" x14ac:dyDescent="0.25">
      <c r="C48"/>
      <c r="D48"/>
      <c r="E48"/>
      <c r="F48"/>
      <c r="G48"/>
      <c r="H48"/>
      <c r="I48"/>
      <c r="J48"/>
      <c r="K48"/>
      <c r="L48" s="108"/>
      <c r="M48"/>
      <c r="N48"/>
      <c r="O48" s="108"/>
    </row>
    <row r="49" spans="3:15" x14ac:dyDescent="0.25">
      <c r="C49"/>
      <c r="D49"/>
      <c r="E49"/>
      <c r="F49"/>
      <c r="G49"/>
      <c r="H49"/>
      <c r="I49"/>
      <c r="J49"/>
      <c r="K49"/>
      <c r="L49" s="108"/>
      <c r="M49"/>
      <c r="N49"/>
      <c r="O49" s="108"/>
    </row>
    <row r="50" spans="3:15" x14ac:dyDescent="0.25">
      <c r="C50"/>
      <c r="D50"/>
      <c r="E50"/>
      <c r="F50"/>
      <c r="G50"/>
      <c r="H50"/>
      <c r="I50"/>
      <c r="J50"/>
      <c r="K50"/>
      <c r="L50" s="108"/>
      <c r="M50"/>
      <c r="N50"/>
      <c r="O50" s="108"/>
    </row>
    <row r="51" spans="3:15" x14ac:dyDescent="0.25">
      <c r="C51"/>
      <c r="D51"/>
      <c r="E51"/>
      <c r="F51"/>
      <c r="G51"/>
      <c r="H51"/>
      <c r="I51"/>
      <c r="J51"/>
      <c r="K51"/>
      <c r="L51" s="108"/>
      <c r="M51"/>
      <c r="N51"/>
      <c r="O51" s="108"/>
    </row>
    <row r="52" spans="3:15" x14ac:dyDescent="0.25">
      <c r="C52"/>
      <c r="D52"/>
      <c r="E52"/>
      <c r="F52"/>
      <c r="G52"/>
      <c r="H52"/>
      <c r="I52"/>
      <c r="J52"/>
      <c r="K52"/>
      <c r="L52" s="108"/>
      <c r="M52"/>
      <c r="N52"/>
      <c r="O52" s="108"/>
    </row>
    <row r="53" spans="3:15" x14ac:dyDescent="0.25">
      <c r="C53"/>
      <c r="D53"/>
      <c r="E53"/>
      <c r="F53"/>
      <c r="G53"/>
      <c r="H53"/>
      <c r="I53"/>
      <c r="J53"/>
      <c r="K53"/>
      <c r="L53" s="108"/>
      <c r="M53"/>
      <c r="N53"/>
      <c r="O53" s="108"/>
    </row>
    <row r="54" spans="3:15" x14ac:dyDescent="0.25">
      <c r="C54"/>
      <c r="D54"/>
      <c r="E54"/>
      <c r="F54"/>
      <c r="G54"/>
      <c r="H54"/>
      <c r="I54"/>
      <c r="J54"/>
      <c r="K54"/>
      <c r="L54" s="108"/>
      <c r="M54"/>
      <c r="N54"/>
      <c r="O54" s="108"/>
    </row>
    <row r="55" spans="3:15" x14ac:dyDescent="0.25">
      <c r="C55"/>
      <c r="D55"/>
      <c r="E55"/>
      <c r="F55"/>
      <c r="G55"/>
      <c r="H55"/>
      <c r="I55"/>
      <c r="J55"/>
      <c r="K55"/>
      <c r="L55" s="108"/>
      <c r="M55"/>
      <c r="N55"/>
      <c r="O55" s="108"/>
    </row>
    <row r="56" spans="3:15" x14ac:dyDescent="0.25">
      <c r="C56"/>
      <c r="D56"/>
      <c r="E56"/>
      <c r="F56"/>
      <c r="G56"/>
      <c r="H56"/>
      <c r="I56"/>
      <c r="J56"/>
      <c r="K56"/>
      <c r="L56" s="108"/>
      <c r="M56"/>
      <c r="N56"/>
      <c r="O56" s="108"/>
    </row>
    <row r="57" spans="3:15" x14ac:dyDescent="0.25">
      <c r="C57"/>
      <c r="D57"/>
      <c r="E57"/>
      <c r="F57"/>
      <c r="G57"/>
      <c r="H57"/>
      <c r="I57"/>
      <c r="J57"/>
      <c r="K57"/>
      <c r="L57" s="108"/>
      <c r="M57"/>
      <c r="N57"/>
      <c r="O57" s="108"/>
    </row>
    <row r="58" spans="3:15" x14ac:dyDescent="0.25">
      <c r="C58"/>
      <c r="D58"/>
      <c r="E58"/>
      <c r="F58"/>
      <c r="G58"/>
      <c r="H58"/>
      <c r="I58"/>
      <c r="J58"/>
      <c r="K58"/>
      <c r="L58" s="108"/>
      <c r="M58"/>
      <c r="N58"/>
      <c r="O58" s="108"/>
    </row>
    <row r="59" spans="3:15" x14ac:dyDescent="0.25">
      <c r="C59"/>
      <c r="D59"/>
      <c r="E59"/>
      <c r="F59"/>
      <c r="G59"/>
      <c r="H59"/>
      <c r="I59"/>
      <c r="J59"/>
      <c r="K59"/>
      <c r="L59" s="108"/>
      <c r="M59"/>
      <c r="N59"/>
      <c r="O59" s="108"/>
    </row>
    <row r="60" spans="3:15" x14ac:dyDescent="0.25">
      <c r="C60"/>
      <c r="D60"/>
      <c r="E60"/>
      <c r="F60"/>
      <c r="G60"/>
      <c r="H60"/>
      <c r="I60"/>
      <c r="J60"/>
      <c r="K60"/>
      <c r="L60" s="108"/>
      <c r="M60"/>
      <c r="N60"/>
      <c r="O60" s="108"/>
    </row>
    <row r="61" spans="3:15" x14ac:dyDescent="0.25">
      <c r="C61"/>
      <c r="D61"/>
      <c r="E61"/>
      <c r="F61"/>
      <c r="G61"/>
      <c r="H61"/>
      <c r="I61"/>
      <c r="J61"/>
      <c r="K61"/>
      <c r="L61" s="108"/>
      <c r="M61"/>
      <c r="N61"/>
      <c r="O61" s="108"/>
    </row>
    <row r="62" spans="3:15" x14ac:dyDescent="0.25">
      <c r="C62"/>
      <c r="D62"/>
      <c r="E62"/>
      <c r="F62"/>
      <c r="G62"/>
      <c r="H62"/>
      <c r="I62"/>
      <c r="J62"/>
      <c r="K62"/>
      <c r="L62" s="108"/>
      <c r="M62"/>
      <c r="N62"/>
      <c r="O62" s="108"/>
    </row>
    <row r="63" spans="3:15" x14ac:dyDescent="0.25">
      <c r="C63"/>
      <c r="D63"/>
      <c r="E63"/>
      <c r="F63"/>
      <c r="G63"/>
      <c r="H63"/>
      <c r="I63"/>
      <c r="J63"/>
      <c r="K63"/>
      <c r="L63" s="108"/>
      <c r="M63"/>
      <c r="N63"/>
      <c r="O63" s="108"/>
    </row>
    <row r="64" spans="3:15" x14ac:dyDescent="0.25">
      <c r="C64"/>
      <c r="D64"/>
      <c r="E64"/>
      <c r="F64"/>
      <c r="G64"/>
      <c r="H64"/>
      <c r="I64"/>
      <c r="J64"/>
      <c r="K64"/>
      <c r="L64" s="108"/>
      <c r="M64"/>
      <c r="N64"/>
      <c r="O64" s="108"/>
    </row>
    <row r="65" spans="3:15" x14ac:dyDescent="0.25">
      <c r="C65"/>
      <c r="D65"/>
      <c r="E65"/>
      <c r="F65"/>
      <c r="G65"/>
      <c r="H65"/>
      <c r="I65"/>
      <c r="J65"/>
      <c r="K65"/>
      <c r="L65" s="108"/>
      <c r="M65"/>
      <c r="N65"/>
      <c r="O65" s="108"/>
    </row>
    <row r="66" spans="3:15" x14ac:dyDescent="0.25">
      <c r="C66"/>
      <c r="D66"/>
      <c r="E66"/>
      <c r="F66"/>
      <c r="G66"/>
      <c r="H66"/>
      <c r="I66"/>
      <c r="J66"/>
      <c r="K66"/>
      <c r="L66" s="108"/>
      <c r="M66"/>
      <c r="N66"/>
      <c r="O66" s="108"/>
    </row>
    <row r="67" spans="3:15" x14ac:dyDescent="0.25">
      <c r="C67"/>
      <c r="D67"/>
      <c r="E67"/>
      <c r="F67"/>
      <c r="G67"/>
      <c r="H67"/>
      <c r="I67"/>
      <c r="J67"/>
      <c r="K67"/>
      <c r="L67" s="108"/>
      <c r="M67"/>
      <c r="N67"/>
      <c r="O67" s="108"/>
    </row>
    <row r="68" spans="3:15" x14ac:dyDescent="0.25">
      <c r="C68"/>
      <c r="D68"/>
      <c r="E68"/>
      <c r="F68"/>
      <c r="G68"/>
      <c r="H68"/>
      <c r="I68"/>
      <c r="J68"/>
      <c r="K68"/>
      <c r="L68" s="108"/>
      <c r="M68"/>
      <c r="N68"/>
      <c r="O68" s="108"/>
    </row>
    <row r="69" spans="3:15" x14ac:dyDescent="0.25">
      <c r="C69"/>
      <c r="D69"/>
      <c r="E69"/>
      <c r="F69"/>
      <c r="G69"/>
      <c r="H69"/>
      <c r="I69"/>
      <c r="J69"/>
      <c r="K69"/>
      <c r="L69" s="108"/>
      <c r="M69"/>
      <c r="N69"/>
      <c r="O69" s="108"/>
    </row>
    <row r="70" spans="3:15" x14ac:dyDescent="0.25">
      <c r="C70"/>
      <c r="D70"/>
      <c r="E70"/>
      <c r="F70"/>
      <c r="G70"/>
      <c r="H70"/>
      <c r="I70"/>
      <c r="J70"/>
      <c r="K70"/>
      <c r="L70" s="108"/>
      <c r="M70"/>
      <c r="N70"/>
      <c r="O70" s="108"/>
    </row>
    <row r="71" spans="3:15" x14ac:dyDescent="0.25">
      <c r="C71"/>
      <c r="D71"/>
      <c r="E71"/>
      <c r="F71"/>
      <c r="G71"/>
      <c r="H71"/>
      <c r="I71"/>
      <c r="J71"/>
      <c r="K71"/>
      <c r="L71" s="108"/>
      <c r="M71"/>
      <c r="N71"/>
      <c r="O71" s="108"/>
    </row>
    <row r="72" spans="3:15" x14ac:dyDescent="0.25">
      <c r="C72"/>
      <c r="D72"/>
      <c r="E72"/>
      <c r="F72"/>
      <c r="G72"/>
      <c r="H72"/>
      <c r="I72"/>
      <c r="J72"/>
      <c r="K72"/>
      <c r="L72" s="108"/>
      <c r="M72"/>
      <c r="N72"/>
      <c r="O72" s="108"/>
    </row>
    <row r="73" spans="3:15" x14ac:dyDescent="0.25">
      <c r="C73"/>
      <c r="D73"/>
      <c r="E73"/>
      <c r="F73"/>
      <c r="G73"/>
      <c r="H73"/>
      <c r="I73"/>
      <c r="J73"/>
      <c r="K73"/>
      <c r="L73" s="108"/>
      <c r="M73"/>
      <c r="N73"/>
      <c r="O73" s="108"/>
    </row>
    <row r="74" spans="3:15" x14ac:dyDescent="0.25">
      <c r="C74"/>
      <c r="D74"/>
      <c r="E74"/>
      <c r="F74"/>
      <c r="G74"/>
      <c r="H74"/>
      <c r="I74"/>
      <c r="J74"/>
      <c r="K74"/>
      <c r="L74" s="108"/>
      <c r="M74"/>
      <c r="N74"/>
      <c r="O74" s="108"/>
    </row>
    <row r="75" spans="3:15" x14ac:dyDescent="0.25">
      <c r="C75"/>
      <c r="D75"/>
      <c r="E75"/>
      <c r="F75"/>
      <c r="G75"/>
      <c r="H75"/>
      <c r="I75"/>
      <c r="J75"/>
      <c r="K75"/>
      <c r="L75" s="108"/>
      <c r="M75"/>
      <c r="N75"/>
      <c r="O75" s="108"/>
    </row>
    <row r="76" spans="3:15" x14ac:dyDescent="0.25">
      <c r="C76"/>
      <c r="D76"/>
      <c r="E76"/>
      <c r="F76"/>
      <c r="G76"/>
      <c r="H76"/>
      <c r="I76"/>
      <c r="J76"/>
      <c r="K76"/>
      <c r="L76" s="108"/>
      <c r="M76"/>
      <c r="N76"/>
      <c r="O76" s="108"/>
    </row>
    <row r="77" spans="3:15" x14ac:dyDescent="0.25">
      <c r="C77"/>
      <c r="D77"/>
      <c r="E77"/>
      <c r="F77"/>
      <c r="G77"/>
      <c r="H77"/>
      <c r="I77"/>
      <c r="J77"/>
      <c r="K77"/>
      <c r="L77" s="108"/>
      <c r="M77"/>
      <c r="N77"/>
      <c r="O77" s="108"/>
    </row>
    <row r="78" spans="3:15" x14ac:dyDescent="0.25">
      <c r="C78"/>
      <c r="D78"/>
      <c r="E78"/>
      <c r="F78"/>
      <c r="G78"/>
      <c r="H78"/>
      <c r="I78"/>
      <c r="J78"/>
      <c r="K78"/>
      <c r="L78" s="108"/>
      <c r="M78"/>
      <c r="N78"/>
      <c r="O78" s="108"/>
    </row>
    <row r="79" spans="3:15" x14ac:dyDescent="0.25">
      <c r="C79"/>
      <c r="D79"/>
      <c r="E79"/>
      <c r="F79"/>
      <c r="G79"/>
      <c r="H79"/>
      <c r="I79"/>
      <c r="J79"/>
      <c r="K79"/>
      <c r="L79" s="108"/>
      <c r="M79"/>
      <c r="N79"/>
      <c r="O79" s="108"/>
    </row>
    <row r="80" spans="3:15" x14ac:dyDescent="0.25">
      <c r="C80"/>
      <c r="D80"/>
      <c r="E80"/>
      <c r="F80"/>
      <c r="G80"/>
      <c r="H80"/>
      <c r="I80"/>
      <c r="J80"/>
      <c r="K80"/>
      <c r="L80" s="108"/>
      <c r="M80"/>
      <c r="N80"/>
      <c r="O80" s="108"/>
    </row>
    <row r="81" spans="3:15" x14ac:dyDescent="0.25">
      <c r="C81"/>
      <c r="D81"/>
      <c r="E81"/>
      <c r="F81"/>
      <c r="G81"/>
      <c r="H81"/>
      <c r="I81"/>
      <c r="J81"/>
      <c r="K81"/>
      <c r="L81" s="108"/>
      <c r="M81"/>
      <c r="N81"/>
      <c r="O81" s="108"/>
    </row>
    <row r="82" spans="3:15" x14ac:dyDescent="0.25">
      <c r="C82"/>
      <c r="D82"/>
      <c r="E82"/>
      <c r="F82"/>
      <c r="G82"/>
      <c r="H82"/>
      <c r="I82"/>
      <c r="J82"/>
      <c r="K82"/>
      <c r="L82" s="108"/>
      <c r="M82"/>
      <c r="N82"/>
      <c r="O82" s="108"/>
    </row>
    <row r="83" spans="3:15" x14ac:dyDescent="0.25">
      <c r="C83"/>
      <c r="D83"/>
      <c r="E83"/>
      <c r="F83"/>
      <c r="G83"/>
      <c r="H83"/>
      <c r="I83"/>
      <c r="J83"/>
      <c r="K83"/>
      <c r="L83" s="108"/>
      <c r="M83"/>
      <c r="N83"/>
      <c r="O83" s="108"/>
    </row>
    <row r="84" spans="3:15" x14ac:dyDescent="0.25">
      <c r="C84"/>
      <c r="D84"/>
      <c r="E84"/>
      <c r="F84"/>
      <c r="G84"/>
      <c r="H84"/>
      <c r="I84"/>
      <c r="J84"/>
      <c r="K84"/>
      <c r="L84" s="108"/>
      <c r="M84"/>
      <c r="N84"/>
      <c r="O84" s="108"/>
    </row>
    <row r="85" spans="3:15" x14ac:dyDescent="0.25">
      <c r="C85"/>
      <c r="D85"/>
      <c r="E85"/>
      <c r="F85"/>
      <c r="G85"/>
      <c r="H85"/>
      <c r="I85"/>
      <c r="J85"/>
      <c r="K85"/>
      <c r="L85" s="108"/>
      <c r="M85"/>
      <c r="N85"/>
      <c r="O85" s="108"/>
    </row>
    <row r="86" spans="3:15" x14ac:dyDescent="0.25">
      <c r="C86"/>
      <c r="D86"/>
      <c r="E86"/>
      <c r="F86"/>
      <c r="G86"/>
      <c r="H86"/>
      <c r="I86"/>
      <c r="J86"/>
      <c r="K86"/>
      <c r="L86" s="108"/>
      <c r="M86"/>
      <c r="N86"/>
      <c r="O86" s="108"/>
    </row>
    <row r="87" spans="3:15" x14ac:dyDescent="0.25">
      <c r="C87"/>
      <c r="D87"/>
      <c r="E87"/>
      <c r="F87"/>
      <c r="G87"/>
      <c r="H87"/>
      <c r="I87"/>
      <c r="J87"/>
      <c r="K87"/>
      <c r="L87" s="108"/>
      <c r="M87"/>
      <c r="N87"/>
      <c r="O87" s="108"/>
    </row>
    <row r="88" spans="3:15" x14ac:dyDescent="0.25">
      <c r="C88"/>
      <c r="D88"/>
      <c r="E88"/>
      <c r="F88"/>
      <c r="G88"/>
      <c r="H88"/>
      <c r="I88"/>
      <c r="J88"/>
      <c r="K88"/>
      <c r="L88" s="108"/>
      <c r="M88"/>
      <c r="N88"/>
      <c r="O88" s="108"/>
    </row>
    <row r="89" spans="3:15" x14ac:dyDescent="0.25">
      <c r="C89"/>
      <c r="D89"/>
      <c r="E89"/>
      <c r="F89"/>
      <c r="G89"/>
      <c r="H89"/>
      <c r="I89"/>
      <c r="J89"/>
      <c r="K89"/>
      <c r="L89" s="108"/>
      <c r="M89"/>
      <c r="N89"/>
      <c r="O89" s="108"/>
    </row>
    <row r="90" spans="3:15" x14ac:dyDescent="0.25">
      <c r="C90"/>
      <c r="D90"/>
      <c r="E90"/>
      <c r="F90"/>
      <c r="G90"/>
      <c r="H90"/>
      <c r="I90"/>
      <c r="J90"/>
      <c r="K90"/>
      <c r="L90" s="108"/>
      <c r="M90"/>
      <c r="N90"/>
      <c r="O90" s="108"/>
    </row>
    <row r="91" spans="3:15" x14ac:dyDescent="0.25">
      <c r="C91"/>
      <c r="D91"/>
      <c r="E91"/>
      <c r="F91"/>
      <c r="G91"/>
      <c r="H91"/>
      <c r="I91"/>
      <c r="J91"/>
      <c r="K91"/>
      <c r="L91" s="108"/>
      <c r="M91"/>
      <c r="N91"/>
      <c r="O91" s="108"/>
    </row>
    <row r="92" spans="3:15" x14ac:dyDescent="0.25">
      <c r="C92"/>
      <c r="D92"/>
      <c r="E92"/>
      <c r="F92"/>
      <c r="G92"/>
      <c r="H92"/>
      <c r="I92"/>
      <c r="J92"/>
      <c r="K92"/>
      <c r="L92" s="108"/>
      <c r="M92"/>
      <c r="N92"/>
      <c r="O92" s="108"/>
    </row>
    <row r="93" spans="3:15" x14ac:dyDescent="0.25">
      <c r="C93"/>
      <c r="D93"/>
      <c r="E93"/>
      <c r="F93"/>
      <c r="G93"/>
      <c r="H93"/>
      <c r="I93"/>
      <c r="J93"/>
      <c r="K93"/>
      <c r="L93" s="108"/>
      <c r="M93"/>
      <c r="N93"/>
      <c r="O93" s="108"/>
    </row>
  </sheetData>
  <autoFilter ref="B3:Q10" xr:uid="{00000000-0001-0000-0100-000000000000}"/>
  <mergeCells count="13">
    <mergeCell ref="M2:O2"/>
    <mergeCell ref="A10:O10"/>
    <mergeCell ref="A2:A3"/>
    <mergeCell ref="A1:L1"/>
    <mergeCell ref="B2:B3"/>
    <mergeCell ref="J2:L2"/>
    <mergeCell ref="C2:C3"/>
    <mergeCell ref="D2:D3"/>
    <mergeCell ref="E2:E3"/>
    <mergeCell ref="F2:F3"/>
    <mergeCell ref="G2:G3"/>
    <mergeCell ref="I2:I3"/>
    <mergeCell ref="H2:H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42CC-1DEB-431A-A8D9-316A63F81F9B}">
  <dimension ref="A1:O96"/>
  <sheetViews>
    <sheetView zoomScale="73" zoomScaleNormal="73" workbookViewId="0">
      <selection activeCell="H2" sqref="H2:H3"/>
    </sheetView>
  </sheetViews>
  <sheetFormatPr defaultColWidth="9" defaultRowHeight="14.4" x14ac:dyDescent="0.25"/>
  <cols>
    <col min="2" max="2" width="22.77734375" customWidth="1"/>
    <col min="3" max="3" width="11.109375" style="1" customWidth="1"/>
    <col min="4" max="4" width="14.6640625" style="1" customWidth="1"/>
    <col min="5" max="5" width="12.109375" style="2" customWidth="1"/>
    <col min="6" max="6" width="3.6640625" style="3" customWidth="1"/>
    <col min="7" max="7" width="11.88671875" style="3" customWidth="1"/>
    <col min="8" max="8" width="14.21875" style="3" customWidth="1"/>
    <col min="9" max="9" width="17.5546875" style="3" hidden="1" customWidth="1"/>
    <col min="10" max="10" width="10.33203125" customWidth="1"/>
    <col min="11" max="11" width="8.109375" customWidth="1"/>
    <col min="12" max="12" width="9.21875" style="108" customWidth="1"/>
    <col min="13" max="13" width="10.33203125" customWidth="1"/>
    <col min="14" max="14" width="8.109375" customWidth="1"/>
    <col min="15" max="15" width="9.21875" style="108" customWidth="1"/>
  </cols>
  <sheetData>
    <row r="1" spans="1:15" ht="20.399999999999999" x14ac:dyDescent="0.25">
      <c r="A1" s="183" t="s">
        <v>195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43"/>
      <c r="N1" s="143"/>
      <c r="O1" s="143"/>
    </row>
    <row r="2" spans="1:15" x14ac:dyDescent="0.25">
      <c r="A2" s="181" t="s">
        <v>197</v>
      </c>
      <c r="B2" s="184" t="s">
        <v>92</v>
      </c>
      <c r="C2" s="185" t="s">
        <v>0</v>
      </c>
      <c r="D2" s="185" t="s">
        <v>1</v>
      </c>
      <c r="E2" s="186" t="s">
        <v>2</v>
      </c>
      <c r="F2" s="186" t="s">
        <v>4</v>
      </c>
      <c r="G2" s="185" t="s">
        <v>7</v>
      </c>
      <c r="H2" s="186" t="s">
        <v>189</v>
      </c>
      <c r="I2" s="187" t="s">
        <v>191</v>
      </c>
      <c r="J2" s="179" t="s">
        <v>202</v>
      </c>
      <c r="K2" s="179"/>
      <c r="L2" s="179"/>
      <c r="M2" s="179" t="s">
        <v>203</v>
      </c>
      <c r="N2" s="179"/>
      <c r="O2" s="179"/>
    </row>
    <row r="3" spans="1:15" ht="21.6" customHeight="1" x14ac:dyDescent="0.25">
      <c r="A3" s="182"/>
      <c r="B3" s="184"/>
      <c r="C3" s="185"/>
      <c r="D3" s="185"/>
      <c r="E3" s="186"/>
      <c r="F3" s="186"/>
      <c r="G3" s="185"/>
      <c r="H3" s="186"/>
      <c r="I3" s="187"/>
      <c r="J3" s="5" t="s">
        <v>8</v>
      </c>
      <c r="K3" s="5" t="s">
        <v>9</v>
      </c>
      <c r="L3" s="105" t="s">
        <v>10</v>
      </c>
      <c r="M3" s="5" t="s">
        <v>8</v>
      </c>
      <c r="N3" s="5" t="s">
        <v>9</v>
      </c>
      <c r="O3" s="107" t="s">
        <v>10</v>
      </c>
    </row>
    <row r="4" spans="1:15" ht="62.25" customHeight="1" x14ac:dyDescent="0.25">
      <c r="A4" s="16">
        <v>1</v>
      </c>
      <c r="B4" s="26" t="s">
        <v>94</v>
      </c>
      <c r="C4" s="19" t="s">
        <v>33</v>
      </c>
      <c r="D4" s="20" t="s">
        <v>34</v>
      </c>
      <c r="E4" s="18"/>
      <c r="F4" s="6">
        <v>1</v>
      </c>
      <c r="G4" s="25" t="s">
        <v>64</v>
      </c>
      <c r="H4" s="157">
        <v>4.5147343248</v>
      </c>
      <c r="I4" s="106">
        <v>3.6407180783817963</v>
      </c>
      <c r="J4" s="27">
        <f>6.8/1.13</f>
        <v>6.0176991150442483</v>
      </c>
      <c r="K4" s="8">
        <v>6.1899999999999997E-2</v>
      </c>
      <c r="L4" s="32">
        <f t="shared" ref="L4:L11" si="0">J4+K4</f>
        <v>6.0795991150442479</v>
      </c>
      <c r="M4" s="144">
        <v>3.7</v>
      </c>
      <c r="N4" s="8">
        <v>6.1899999999999997E-2</v>
      </c>
      <c r="O4" s="32">
        <f t="shared" ref="O4:O11" si="1">M4+N4</f>
        <v>3.7619000000000002</v>
      </c>
    </row>
    <row r="5" spans="1:15" ht="44.4" customHeight="1" x14ac:dyDescent="0.25">
      <c r="A5" s="16">
        <v>2</v>
      </c>
      <c r="B5" s="26" t="s">
        <v>94</v>
      </c>
      <c r="C5" s="19" t="s">
        <v>35</v>
      </c>
      <c r="D5" s="20" t="s">
        <v>36</v>
      </c>
      <c r="E5" s="18"/>
      <c r="F5" s="6">
        <v>1</v>
      </c>
      <c r="G5" s="25" t="s">
        <v>65</v>
      </c>
      <c r="H5" s="157">
        <v>0.40695476975999995</v>
      </c>
      <c r="I5" s="106">
        <v>0.40695476975999995</v>
      </c>
      <c r="J5" s="27">
        <f>0.8/1.13</f>
        <v>0.70796460176991161</v>
      </c>
      <c r="K5" s="8">
        <v>1.77E-2</v>
      </c>
      <c r="L5" s="32">
        <f t="shared" si="0"/>
        <v>0.72566460176991165</v>
      </c>
      <c r="M5" s="144">
        <v>0.45</v>
      </c>
      <c r="N5" s="8">
        <v>1.77E-2</v>
      </c>
      <c r="O5" s="32">
        <f t="shared" si="1"/>
        <v>0.4677</v>
      </c>
    </row>
    <row r="6" spans="1:15" ht="62.25" customHeight="1" x14ac:dyDescent="0.25">
      <c r="A6" s="16">
        <v>3</v>
      </c>
      <c r="B6" s="26" t="s">
        <v>94</v>
      </c>
      <c r="C6" s="19" t="s">
        <v>37</v>
      </c>
      <c r="D6" s="20" t="s">
        <v>38</v>
      </c>
      <c r="E6" s="18"/>
      <c r="F6" s="6">
        <v>1</v>
      </c>
      <c r="G6" s="25" t="s">
        <v>66</v>
      </c>
      <c r="H6" s="157">
        <v>0.13534796204999999</v>
      </c>
      <c r="I6" s="106">
        <v>0.13534796204999999</v>
      </c>
      <c r="J6" s="27">
        <f>0.27/1.13</f>
        <v>0.23893805309734517</v>
      </c>
      <c r="K6" s="8">
        <v>1.3299999999999999E-2</v>
      </c>
      <c r="L6" s="32">
        <f t="shared" si="0"/>
        <v>0.25223805309734515</v>
      </c>
      <c r="M6" s="144">
        <v>0.22</v>
      </c>
      <c r="N6" s="8">
        <v>1.3299999999999999E-2</v>
      </c>
      <c r="O6" s="32">
        <f t="shared" si="1"/>
        <v>0.23330000000000001</v>
      </c>
    </row>
    <row r="7" spans="1:15" ht="48" customHeight="1" x14ac:dyDescent="0.25">
      <c r="A7" s="16">
        <v>4</v>
      </c>
      <c r="B7" s="26" t="s">
        <v>94</v>
      </c>
      <c r="C7" s="19" t="s">
        <v>43</v>
      </c>
      <c r="D7" s="21" t="s">
        <v>44</v>
      </c>
      <c r="E7" s="18"/>
      <c r="F7" s="6">
        <v>1</v>
      </c>
      <c r="G7" s="25" t="s">
        <v>67</v>
      </c>
      <c r="H7" s="157">
        <v>1.2627089999999999</v>
      </c>
      <c r="I7" s="106">
        <v>1.2627089999999999</v>
      </c>
      <c r="J7" s="27">
        <f>2.5/1.13</f>
        <v>2.2123893805309738</v>
      </c>
      <c r="K7" s="8">
        <v>1.06E-2</v>
      </c>
      <c r="L7" s="32">
        <f t="shared" si="0"/>
        <v>2.2229893805309739</v>
      </c>
      <c r="M7" s="144">
        <v>1.85</v>
      </c>
      <c r="N7" s="8">
        <v>1.06E-2</v>
      </c>
      <c r="O7" s="32">
        <f t="shared" si="1"/>
        <v>1.8606</v>
      </c>
    </row>
    <row r="8" spans="1:15" ht="50.4" customHeight="1" x14ac:dyDescent="0.25">
      <c r="A8" s="16">
        <v>5</v>
      </c>
      <c r="B8" s="26" t="s">
        <v>94</v>
      </c>
      <c r="C8" s="19" t="s">
        <v>45</v>
      </c>
      <c r="D8" s="21" t="s">
        <v>46</v>
      </c>
      <c r="E8" s="18"/>
      <c r="F8" s="6">
        <v>1</v>
      </c>
      <c r="G8" s="25" t="s">
        <v>64</v>
      </c>
      <c r="H8" s="157">
        <v>0.1439884404</v>
      </c>
      <c r="I8" s="106">
        <v>0.1141893557522124</v>
      </c>
      <c r="J8" s="27">
        <f>0.2/1.13</f>
        <v>0.1769911504424779</v>
      </c>
      <c r="K8" s="8">
        <v>5.3E-3</v>
      </c>
      <c r="L8" s="32">
        <f t="shared" si="0"/>
        <v>0.1822911504424779</v>
      </c>
      <c r="M8" s="144">
        <v>0.15</v>
      </c>
      <c r="N8" s="8">
        <v>5.3E-3</v>
      </c>
      <c r="O8" s="32">
        <f t="shared" si="1"/>
        <v>0.15529999999999999</v>
      </c>
    </row>
    <row r="9" spans="1:15" ht="62.25" customHeight="1" x14ac:dyDescent="0.25">
      <c r="A9" s="16">
        <v>6</v>
      </c>
      <c r="B9" s="26" t="s">
        <v>94</v>
      </c>
      <c r="C9" s="19" t="s">
        <v>47</v>
      </c>
      <c r="D9" s="21" t="s">
        <v>48</v>
      </c>
      <c r="E9" s="18"/>
      <c r="F9" s="6">
        <v>1</v>
      </c>
      <c r="G9" s="25" t="s">
        <v>64</v>
      </c>
      <c r="H9" s="157">
        <v>0.1439884404</v>
      </c>
      <c r="I9" s="106">
        <v>9.9746877876106199E-2</v>
      </c>
      <c r="J9" s="27">
        <f>0.14/1.13</f>
        <v>0.12389380530973454</v>
      </c>
      <c r="K9" s="8">
        <v>5.3E-3</v>
      </c>
      <c r="L9" s="32">
        <f t="shared" si="0"/>
        <v>0.12919380530973454</v>
      </c>
      <c r="M9" s="144">
        <v>0.11</v>
      </c>
      <c r="N9" s="8">
        <v>5.3E-3</v>
      </c>
      <c r="O9" s="32">
        <f t="shared" si="1"/>
        <v>0.1153</v>
      </c>
    </row>
    <row r="10" spans="1:15" ht="49.2" customHeight="1" x14ac:dyDescent="0.25">
      <c r="A10" s="16">
        <v>7</v>
      </c>
      <c r="B10" s="26" t="s">
        <v>94</v>
      </c>
      <c r="C10" s="19" t="s">
        <v>49</v>
      </c>
      <c r="D10" s="21" t="s">
        <v>50</v>
      </c>
      <c r="E10" s="18"/>
      <c r="F10" s="6">
        <v>1</v>
      </c>
      <c r="G10" s="25" t="s">
        <v>68</v>
      </c>
      <c r="H10" s="157">
        <v>0.7</v>
      </c>
      <c r="I10" s="106">
        <v>0.66593173198482947</v>
      </c>
      <c r="J10" s="27">
        <f>0.9/1.13</f>
        <v>0.79646017699115057</v>
      </c>
      <c r="K10" s="8">
        <v>1.77E-2</v>
      </c>
      <c r="L10" s="32">
        <f t="shared" si="0"/>
        <v>0.81416017699115062</v>
      </c>
      <c r="M10" s="144">
        <v>0.6</v>
      </c>
      <c r="N10" s="8">
        <v>1.77E-2</v>
      </c>
      <c r="O10" s="32">
        <f t="shared" si="1"/>
        <v>0.61770000000000003</v>
      </c>
    </row>
    <row r="11" spans="1:15" ht="62.25" customHeight="1" x14ac:dyDescent="0.25">
      <c r="A11" s="16">
        <v>8</v>
      </c>
      <c r="B11" s="26" t="s">
        <v>94</v>
      </c>
      <c r="C11" s="19" t="s">
        <v>55</v>
      </c>
      <c r="D11" s="21" t="s">
        <v>56</v>
      </c>
      <c r="E11" s="18"/>
      <c r="F11" s="6">
        <v>1</v>
      </c>
      <c r="G11" s="25" t="s">
        <v>64</v>
      </c>
      <c r="H11" s="157">
        <v>0.33177060000000003</v>
      </c>
      <c r="I11" s="106">
        <v>9.1782743362831862E-2</v>
      </c>
      <c r="J11" s="27">
        <f>0.15/1.13</f>
        <v>0.13274336283185842</v>
      </c>
      <c r="K11" s="8">
        <v>5.3E-3</v>
      </c>
      <c r="L11" s="32">
        <f t="shared" si="0"/>
        <v>0.13804336283185842</v>
      </c>
      <c r="M11" s="144">
        <v>0.13</v>
      </c>
      <c r="N11" s="8">
        <v>5.3E-3</v>
      </c>
      <c r="O11" s="32">
        <f t="shared" si="1"/>
        <v>0.1353</v>
      </c>
    </row>
    <row r="12" spans="1:15" ht="23.4" customHeight="1" x14ac:dyDescent="0.25">
      <c r="A12" s="145"/>
      <c r="B12" s="146"/>
      <c r="C12" s="147"/>
      <c r="D12" s="148"/>
      <c r="E12" s="149"/>
      <c r="F12" s="150"/>
      <c r="G12" s="151"/>
      <c r="H12" s="158">
        <f>SUM(H4:H11)</f>
        <v>7.6394935374100008</v>
      </c>
      <c r="I12" s="152">
        <f>SUM(I4:I11)</f>
        <v>6.4173805191677769</v>
      </c>
      <c r="J12" s="153"/>
      <c r="K12" s="154"/>
      <c r="L12" s="155"/>
      <c r="M12" s="156">
        <f>SUM(M4:M11)</f>
        <v>7.2100000000000009</v>
      </c>
      <c r="N12" s="154"/>
      <c r="O12" s="155"/>
    </row>
    <row r="13" spans="1:15" ht="17.25" customHeight="1" x14ac:dyDescent="0.25">
      <c r="A13" s="180" t="s">
        <v>11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</row>
    <row r="14" spans="1:15" x14ac:dyDescent="0.25">
      <c r="C14"/>
      <c r="D14"/>
      <c r="E14"/>
      <c r="F14"/>
      <c r="G14"/>
      <c r="H14"/>
      <c r="I14"/>
      <c r="J14" s="9"/>
      <c r="L14" s="110"/>
      <c r="M14" s="9"/>
      <c r="O14" s="110"/>
    </row>
    <row r="15" spans="1:15" x14ac:dyDescent="0.25">
      <c r="C15"/>
      <c r="D15"/>
      <c r="E15"/>
      <c r="F15"/>
      <c r="G15"/>
      <c r="H15"/>
      <c r="I15"/>
      <c r="L15" s="110"/>
      <c r="O15" s="110"/>
    </row>
    <row r="16" spans="1:15" x14ac:dyDescent="0.25">
      <c r="C16"/>
      <c r="D16"/>
      <c r="E16"/>
      <c r="F16"/>
      <c r="G16"/>
      <c r="H16"/>
      <c r="I16"/>
    </row>
    <row r="17" spans="3:9" x14ac:dyDescent="0.25">
      <c r="C17"/>
      <c r="D17"/>
      <c r="E17"/>
      <c r="F17"/>
      <c r="G17"/>
      <c r="H17"/>
      <c r="I17"/>
    </row>
    <row r="18" spans="3:9" ht="13.5" customHeight="1" x14ac:dyDescent="0.25">
      <c r="C18"/>
      <c r="D18"/>
      <c r="E18"/>
      <c r="F18"/>
      <c r="G18"/>
      <c r="H18"/>
      <c r="I18"/>
    </row>
    <row r="19" spans="3:9" ht="13.5" customHeight="1" x14ac:dyDescent="0.25">
      <c r="C19"/>
      <c r="D19"/>
      <c r="E19"/>
      <c r="F19"/>
      <c r="G19"/>
      <c r="H19"/>
      <c r="I19"/>
    </row>
    <row r="20" spans="3:9" x14ac:dyDescent="0.25">
      <c r="C20"/>
      <c r="D20"/>
      <c r="E20"/>
      <c r="F20"/>
      <c r="G20"/>
      <c r="H20"/>
      <c r="I20"/>
    </row>
    <row r="21" spans="3:9" ht="13.5" customHeight="1" x14ac:dyDescent="0.25">
      <c r="C21"/>
      <c r="D21"/>
      <c r="E21"/>
      <c r="F21"/>
      <c r="G21"/>
      <c r="H21"/>
      <c r="I21"/>
    </row>
    <row r="22" spans="3:9" x14ac:dyDescent="0.25">
      <c r="C22"/>
      <c r="D22"/>
      <c r="E22"/>
      <c r="F22"/>
      <c r="G22"/>
      <c r="H22"/>
      <c r="I22"/>
    </row>
    <row r="23" spans="3:9" x14ac:dyDescent="0.25">
      <c r="C23"/>
      <c r="D23"/>
      <c r="E23"/>
      <c r="F23"/>
      <c r="G23"/>
      <c r="H23"/>
      <c r="I23"/>
    </row>
    <row r="24" spans="3:9" x14ac:dyDescent="0.25">
      <c r="C24"/>
      <c r="D24"/>
      <c r="E24"/>
      <c r="F24"/>
      <c r="G24"/>
      <c r="H24"/>
      <c r="I24"/>
    </row>
    <row r="25" spans="3:9" x14ac:dyDescent="0.25">
      <c r="C25"/>
      <c r="D25"/>
      <c r="E25"/>
      <c r="F25"/>
      <c r="G25"/>
      <c r="H25"/>
      <c r="I25"/>
    </row>
    <row r="26" spans="3:9" x14ac:dyDescent="0.25">
      <c r="C26"/>
      <c r="D26"/>
      <c r="E26"/>
      <c r="F26"/>
      <c r="G26"/>
      <c r="H26"/>
      <c r="I26"/>
    </row>
    <row r="27" spans="3:9" x14ac:dyDescent="0.25">
      <c r="C27"/>
      <c r="D27"/>
      <c r="E27"/>
      <c r="F27"/>
      <c r="G27"/>
      <c r="H27"/>
      <c r="I27"/>
    </row>
    <row r="28" spans="3:9" ht="13.5" customHeight="1" x14ac:dyDescent="0.25">
      <c r="C28"/>
      <c r="D28"/>
      <c r="E28"/>
      <c r="F28"/>
      <c r="G28"/>
      <c r="H28"/>
      <c r="I28"/>
    </row>
    <row r="29" spans="3:9" x14ac:dyDescent="0.25">
      <c r="C29"/>
      <c r="D29"/>
      <c r="E29"/>
      <c r="F29"/>
      <c r="G29"/>
      <c r="H29"/>
      <c r="I29"/>
    </row>
    <row r="30" spans="3:9" x14ac:dyDescent="0.25">
      <c r="C30"/>
      <c r="D30"/>
      <c r="E30"/>
      <c r="F30"/>
      <c r="G30"/>
      <c r="H30"/>
      <c r="I30"/>
    </row>
    <row r="31" spans="3:9" x14ac:dyDescent="0.25">
      <c r="C31"/>
      <c r="D31"/>
      <c r="E31"/>
      <c r="F31"/>
      <c r="G31"/>
      <c r="H31"/>
      <c r="I31"/>
    </row>
    <row r="32" spans="3:9" x14ac:dyDescent="0.25">
      <c r="C32"/>
      <c r="D32"/>
      <c r="E32"/>
      <c r="F32"/>
      <c r="G32"/>
      <c r="H32"/>
      <c r="I32"/>
    </row>
    <row r="33" spans="3:9" x14ac:dyDescent="0.25">
      <c r="C33"/>
      <c r="D33"/>
      <c r="E33"/>
      <c r="F33"/>
      <c r="G33"/>
      <c r="H33"/>
      <c r="I33"/>
    </row>
    <row r="34" spans="3:9" x14ac:dyDescent="0.25">
      <c r="C34"/>
      <c r="D34"/>
      <c r="E34"/>
      <c r="F34"/>
      <c r="G34"/>
      <c r="H34"/>
      <c r="I34"/>
    </row>
    <row r="35" spans="3:9" x14ac:dyDescent="0.25">
      <c r="C35"/>
      <c r="D35"/>
      <c r="E35"/>
      <c r="F35"/>
      <c r="G35"/>
      <c r="H35"/>
      <c r="I35"/>
    </row>
    <row r="36" spans="3:9" x14ac:dyDescent="0.25">
      <c r="C36"/>
      <c r="D36"/>
      <c r="E36"/>
      <c r="F36"/>
      <c r="G36"/>
      <c r="H36"/>
      <c r="I36"/>
    </row>
    <row r="37" spans="3:9" x14ac:dyDescent="0.25">
      <c r="C37"/>
      <c r="D37"/>
      <c r="E37"/>
      <c r="F37"/>
      <c r="G37"/>
      <c r="H37"/>
      <c r="I37"/>
    </row>
    <row r="38" spans="3:9" x14ac:dyDescent="0.25">
      <c r="C38"/>
      <c r="D38"/>
      <c r="E38"/>
      <c r="F38"/>
      <c r="G38"/>
      <c r="H38"/>
      <c r="I38"/>
    </row>
    <row r="39" spans="3:9" x14ac:dyDescent="0.25">
      <c r="C39"/>
      <c r="D39"/>
      <c r="E39"/>
      <c r="F39"/>
      <c r="G39"/>
      <c r="H39"/>
      <c r="I39"/>
    </row>
    <row r="40" spans="3:9" x14ac:dyDescent="0.25">
      <c r="C40"/>
      <c r="D40"/>
      <c r="E40"/>
      <c r="F40"/>
      <c r="G40"/>
      <c r="H40"/>
      <c r="I40"/>
    </row>
    <row r="41" spans="3:9" x14ac:dyDescent="0.25">
      <c r="C41"/>
      <c r="D41"/>
      <c r="E41"/>
      <c r="F41"/>
      <c r="G41"/>
      <c r="H41"/>
      <c r="I41"/>
    </row>
    <row r="42" spans="3:9" x14ac:dyDescent="0.25">
      <c r="C42"/>
      <c r="D42"/>
      <c r="E42"/>
      <c r="F42"/>
      <c r="G42"/>
      <c r="H42"/>
      <c r="I42"/>
    </row>
    <row r="43" spans="3:9" x14ac:dyDescent="0.25">
      <c r="C43"/>
      <c r="D43"/>
      <c r="E43"/>
      <c r="F43"/>
      <c r="G43"/>
      <c r="H43"/>
      <c r="I43"/>
    </row>
    <row r="44" spans="3:9" x14ac:dyDescent="0.25">
      <c r="C44"/>
      <c r="D44"/>
      <c r="E44"/>
      <c r="F44"/>
      <c r="G44"/>
      <c r="H44"/>
      <c r="I44"/>
    </row>
    <row r="45" spans="3:9" x14ac:dyDescent="0.25">
      <c r="C45"/>
      <c r="D45"/>
      <c r="E45"/>
      <c r="F45"/>
      <c r="G45"/>
      <c r="H45"/>
      <c r="I45"/>
    </row>
    <row r="46" spans="3:9" x14ac:dyDescent="0.25">
      <c r="C46"/>
      <c r="D46"/>
      <c r="E46"/>
      <c r="F46"/>
      <c r="G46"/>
      <c r="H46"/>
      <c r="I46"/>
    </row>
    <row r="47" spans="3:9" x14ac:dyDescent="0.25">
      <c r="C47"/>
      <c r="D47"/>
      <c r="E47"/>
      <c r="F47"/>
      <c r="G47"/>
      <c r="H47"/>
      <c r="I47"/>
    </row>
    <row r="48" spans="3:9" x14ac:dyDescent="0.25">
      <c r="C48"/>
      <c r="D48"/>
      <c r="E48"/>
      <c r="F48"/>
      <c r="G48"/>
      <c r="H48"/>
      <c r="I48"/>
    </row>
    <row r="49" spans="3:9" x14ac:dyDescent="0.25">
      <c r="C49"/>
      <c r="D49"/>
      <c r="E49"/>
      <c r="F49"/>
      <c r="G49"/>
      <c r="H49"/>
      <c r="I49"/>
    </row>
    <row r="50" spans="3:9" x14ac:dyDescent="0.25">
      <c r="C50"/>
      <c r="D50"/>
      <c r="E50"/>
      <c r="F50"/>
      <c r="G50"/>
      <c r="H50"/>
      <c r="I50"/>
    </row>
    <row r="51" spans="3:9" x14ac:dyDescent="0.25">
      <c r="C51"/>
      <c r="D51"/>
      <c r="E51"/>
      <c r="F51"/>
      <c r="G51"/>
      <c r="H51"/>
      <c r="I51"/>
    </row>
    <row r="52" spans="3:9" x14ac:dyDescent="0.25">
      <c r="C52"/>
      <c r="D52"/>
      <c r="E52"/>
      <c r="F52"/>
      <c r="G52"/>
      <c r="H52"/>
      <c r="I52"/>
    </row>
    <row r="53" spans="3:9" x14ac:dyDescent="0.25">
      <c r="C53"/>
      <c r="D53"/>
      <c r="E53"/>
      <c r="F53"/>
      <c r="G53"/>
      <c r="H53"/>
      <c r="I53"/>
    </row>
    <row r="54" spans="3:9" x14ac:dyDescent="0.25">
      <c r="C54"/>
      <c r="D54"/>
      <c r="E54"/>
      <c r="F54"/>
      <c r="G54"/>
      <c r="H54"/>
      <c r="I54"/>
    </row>
    <row r="55" spans="3:9" x14ac:dyDescent="0.25">
      <c r="C55"/>
      <c r="D55"/>
      <c r="E55"/>
      <c r="F55"/>
      <c r="G55"/>
      <c r="H55"/>
      <c r="I55"/>
    </row>
    <row r="56" spans="3:9" x14ac:dyDescent="0.25">
      <c r="C56"/>
      <c r="D56"/>
      <c r="E56"/>
      <c r="F56"/>
      <c r="G56"/>
      <c r="H56"/>
      <c r="I56"/>
    </row>
    <row r="57" spans="3:9" x14ac:dyDescent="0.25">
      <c r="C57"/>
      <c r="D57"/>
      <c r="E57"/>
      <c r="F57"/>
      <c r="G57"/>
      <c r="H57"/>
      <c r="I57"/>
    </row>
    <row r="58" spans="3:9" x14ac:dyDescent="0.25">
      <c r="C58"/>
      <c r="D58"/>
      <c r="E58"/>
      <c r="F58"/>
      <c r="G58"/>
      <c r="H58"/>
      <c r="I58"/>
    </row>
    <row r="59" spans="3:9" x14ac:dyDescent="0.25">
      <c r="C59"/>
      <c r="D59"/>
      <c r="E59"/>
      <c r="F59"/>
      <c r="G59"/>
      <c r="H59"/>
      <c r="I59"/>
    </row>
    <row r="60" spans="3:9" x14ac:dyDescent="0.25">
      <c r="C60"/>
      <c r="D60"/>
      <c r="E60"/>
      <c r="F60"/>
      <c r="G60"/>
      <c r="H60"/>
      <c r="I60"/>
    </row>
    <row r="61" spans="3:9" x14ac:dyDescent="0.25">
      <c r="C61"/>
      <c r="D61"/>
      <c r="E61"/>
      <c r="F61"/>
      <c r="G61"/>
      <c r="H61"/>
      <c r="I61"/>
    </row>
    <row r="62" spans="3:9" x14ac:dyDescent="0.25">
      <c r="C62"/>
      <c r="D62"/>
      <c r="E62"/>
      <c r="F62"/>
      <c r="G62"/>
      <c r="H62"/>
      <c r="I62"/>
    </row>
    <row r="63" spans="3:9" x14ac:dyDescent="0.25">
      <c r="C63"/>
      <c r="D63"/>
      <c r="E63"/>
      <c r="F63"/>
      <c r="G63"/>
      <c r="H63"/>
      <c r="I63"/>
    </row>
    <row r="64" spans="3:9" x14ac:dyDescent="0.25">
      <c r="C64"/>
      <c r="D64"/>
      <c r="E64"/>
      <c r="F64"/>
      <c r="G64"/>
      <c r="H64"/>
      <c r="I64"/>
    </row>
    <row r="65" spans="3:9" x14ac:dyDescent="0.25">
      <c r="C65"/>
      <c r="D65"/>
      <c r="E65"/>
      <c r="F65"/>
      <c r="G65"/>
      <c r="H65"/>
      <c r="I65"/>
    </row>
    <row r="66" spans="3:9" x14ac:dyDescent="0.25">
      <c r="C66"/>
      <c r="D66"/>
      <c r="E66"/>
      <c r="F66"/>
      <c r="G66"/>
      <c r="H66"/>
      <c r="I66"/>
    </row>
    <row r="67" spans="3:9" x14ac:dyDescent="0.25">
      <c r="C67"/>
      <c r="D67"/>
      <c r="E67"/>
      <c r="F67"/>
      <c r="G67"/>
      <c r="H67"/>
      <c r="I67"/>
    </row>
    <row r="68" spans="3:9" x14ac:dyDescent="0.25">
      <c r="C68"/>
      <c r="D68"/>
      <c r="E68"/>
      <c r="F68"/>
      <c r="G68"/>
      <c r="H68"/>
      <c r="I68"/>
    </row>
    <row r="69" spans="3:9" x14ac:dyDescent="0.25">
      <c r="C69"/>
      <c r="D69"/>
      <c r="E69"/>
      <c r="F69"/>
      <c r="G69"/>
      <c r="H69"/>
      <c r="I69"/>
    </row>
    <row r="70" spans="3:9" x14ac:dyDescent="0.25">
      <c r="C70"/>
      <c r="D70"/>
      <c r="E70"/>
      <c r="F70"/>
      <c r="G70"/>
      <c r="H70"/>
      <c r="I70"/>
    </row>
    <row r="71" spans="3:9" x14ac:dyDescent="0.25">
      <c r="C71"/>
      <c r="D71"/>
      <c r="E71"/>
      <c r="F71"/>
      <c r="G71"/>
      <c r="H71"/>
      <c r="I71"/>
    </row>
    <row r="72" spans="3:9" x14ac:dyDescent="0.25">
      <c r="C72"/>
      <c r="D72"/>
      <c r="E72"/>
      <c r="F72"/>
      <c r="G72"/>
      <c r="H72"/>
      <c r="I72"/>
    </row>
    <row r="73" spans="3:9" x14ac:dyDescent="0.25">
      <c r="C73"/>
      <c r="D73"/>
      <c r="E73"/>
      <c r="F73"/>
      <c r="G73"/>
      <c r="H73"/>
      <c r="I73"/>
    </row>
    <row r="74" spans="3:9" x14ac:dyDescent="0.25">
      <c r="C74"/>
      <c r="D74"/>
      <c r="E74"/>
      <c r="F74"/>
      <c r="G74"/>
      <c r="H74"/>
      <c r="I74"/>
    </row>
    <row r="75" spans="3:9" x14ac:dyDescent="0.25">
      <c r="C75"/>
      <c r="D75"/>
      <c r="E75"/>
      <c r="F75"/>
      <c r="G75"/>
      <c r="H75"/>
      <c r="I75"/>
    </row>
    <row r="76" spans="3:9" x14ac:dyDescent="0.25">
      <c r="C76"/>
      <c r="D76"/>
      <c r="E76"/>
      <c r="F76"/>
      <c r="G76"/>
      <c r="H76"/>
      <c r="I76"/>
    </row>
    <row r="77" spans="3:9" x14ac:dyDescent="0.25">
      <c r="C77"/>
      <c r="D77"/>
      <c r="E77"/>
      <c r="F77"/>
      <c r="G77"/>
      <c r="H77"/>
      <c r="I77"/>
    </row>
    <row r="78" spans="3:9" x14ac:dyDescent="0.25">
      <c r="C78"/>
      <c r="D78"/>
      <c r="E78"/>
      <c r="F78"/>
      <c r="G78"/>
      <c r="H78"/>
      <c r="I78"/>
    </row>
    <row r="79" spans="3:9" x14ac:dyDescent="0.25">
      <c r="C79"/>
      <c r="D79"/>
      <c r="E79"/>
      <c r="F79"/>
      <c r="G79"/>
      <c r="H79"/>
      <c r="I79"/>
    </row>
    <row r="80" spans="3:9" x14ac:dyDescent="0.25">
      <c r="C80"/>
      <c r="D80"/>
      <c r="E80"/>
      <c r="F80"/>
      <c r="G80"/>
      <c r="H80"/>
      <c r="I80"/>
    </row>
    <row r="81" spans="3:9" x14ac:dyDescent="0.25">
      <c r="C81"/>
      <c r="D81"/>
      <c r="E81"/>
      <c r="F81"/>
      <c r="G81"/>
      <c r="H81"/>
      <c r="I81"/>
    </row>
    <row r="82" spans="3:9" x14ac:dyDescent="0.25">
      <c r="C82"/>
      <c r="D82"/>
      <c r="E82"/>
      <c r="F82"/>
      <c r="G82"/>
      <c r="H82"/>
      <c r="I82"/>
    </row>
    <row r="83" spans="3:9" x14ac:dyDescent="0.25">
      <c r="C83"/>
      <c r="D83"/>
      <c r="E83"/>
      <c r="F83"/>
      <c r="G83"/>
      <c r="H83"/>
      <c r="I83"/>
    </row>
    <row r="84" spans="3:9" x14ac:dyDescent="0.25">
      <c r="C84"/>
      <c r="D84"/>
      <c r="E84"/>
      <c r="F84"/>
      <c r="G84"/>
      <c r="H84"/>
      <c r="I84"/>
    </row>
    <row r="85" spans="3:9" x14ac:dyDescent="0.25">
      <c r="C85"/>
      <c r="D85"/>
      <c r="E85"/>
      <c r="F85"/>
      <c r="G85"/>
      <c r="H85"/>
      <c r="I85"/>
    </row>
    <row r="86" spans="3:9" x14ac:dyDescent="0.25">
      <c r="C86"/>
      <c r="D86"/>
      <c r="E86"/>
      <c r="F86"/>
      <c r="G86"/>
      <c r="H86"/>
      <c r="I86"/>
    </row>
    <row r="87" spans="3:9" x14ac:dyDescent="0.25">
      <c r="C87"/>
      <c r="D87"/>
      <c r="E87"/>
      <c r="F87"/>
      <c r="G87"/>
      <c r="H87"/>
      <c r="I87"/>
    </row>
    <row r="88" spans="3:9" x14ac:dyDescent="0.25">
      <c r="C88"/>
      <c r="D88"/>
      <c r="E88"/>
      <c r="F88"/>
      <c r="G88"/>
      <c r="H88"/>
      <c r="I88"/>
    </row>
    <row r="89" spans="3:9" x14ac:dyDescent="0.25">
      <c r="C89"/>
      <c r="D89"/>
      <c r="E89"/>
      <c r="F89"/>
      <c r="G89"/>
      <c r="H89"/>
      <c r="I89"/>
    </row>
    <row r="90" spans="3:9" x14ac:dyDescent="0.25">
      <c r="C90"/>
      <c r="D90"/>
      <c r="E90"/>
      <c r="F90"/>
      <c r="G90"/>
      <c r="H90"/>
      <c r="I90"/>
    </row>
    <row r="91" spans="3:9" x14ac:dyDescent="0.25">
      <c r="C91"/>
      <c r="D91"/>
      <c r="E91"/>
      <c r="F91"/>
      <c r="G91"/>
      <c r="H91"/>
      <c r="I91"/>
    </row>
    <row r="92" spans="3:9" x14ac:dyDescent="0.25">
      <c r="C92"/>
      <c r="D92"/>
      <c r="E92"/>
      <c r="F92"/>
      <c r="G92"/>
      <c r="H92"/>
      <c r="I92"/>
    </row>
    <row r="93" spans="3:9" x14ac:dyDescent="0.25">
      <c r="C93"/>
      <c r="D93"/>
      <c r="E93"/>
      <c r="F93"/>
      <c r="G93"/>
      <c r="H93"/>
      <c r="I93"/>
    </row>
    <row r="94" spans="3:9" x14ac:dyDescent="0.25">
      <c r="C94"/>
      <c r="D94"/>
      <c r="E94"/>
      <c r="F94"/>
      <c r="G94"/>
      <c r="H94"/>
      <c r="I94"/>
    </row>
    <row r="95" spans="3:9" x14ac:dyDescent="0.25">
      <c r="C95"/>
      <c r="D95"/>
      <c r="E95"/>
      <c r="F95"/>
      <c r="G95"/>
      <c r="H95"/>
      <c r="I95"/>
    </row>
    <row r="96" spans="3:9" x14ac:dyDescent="0.25">
      <c r="C96"/>
      <c r="D96"/>
      <c r="E96"/>
      <c r="F96"/>
      <c r="G96"/>
      <c r="H96"/>
      <c r="I96"/>
    </row>
  </sheetData>
  <mergeCells count="13">
    <mergeCell ref="A1:L1"/>
    <mergeCell ref="B2:B3"/>
    <mergeCell ref="C2:C3"/>
    <mergeCell ref="D2:D3"/>
    <mergeCell ref="E2:E3"/>
    <mergeCell ref="F2:F3"/>
    <mergeCell ref="G2:G3"/>
    <mergeCell ref="I2:I3"/>
    <mergeCell ref="M2:O2"/>
    <mergeCell ref="A13:O13"/>
    <mergeCell ref="H2:H3"/>
    <mergeCell ref="J2:L2"/>
    <mergeCell ref="A2:A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EB248-F3BD-466D-8D2C-D789E1FD7213}">
  <dimension ref="A1:N92"/>
  <sheetViews>
    <sheetView zoomScale="90" zoomScaleNormal="90" workbookViewId="0">
      <pane xSplit="6" ySplit="3" topLeftCell="G4" activePane="bottomRight" state="frozen"/>
      <selection pane="topRight" activeCell="F1" sqref="F1"/>
      <selection pane="bottomLeft" activeCell="A5" sqref="A5"/>
      <selection pane="bottomRight" activeCell="K13" sqref="K13"/>
    </sheetView>
  </sheetViews>
  <sheetFormatPr defaultColWidth="9" defaultRowHeight="14.4" x14ac:dyDescent="0.25"/>
  <cols>
    <col min="1" max="1" width="22.77734375" customWidth="1"/>
    <col min="2" max="2" width="11.109375" style="1" customWidth="1"/>
    <col min="3" max="3" width="14.6640625" style="1" customWidth="1"/>
    <col min="4" max="4" width="12.109375" style="2" customWidth="1"/>
    <col min="5" max="5" width="3.6640625" style="3" customWidth="1"/>
    <col min="6" max="6" width="11.88671875" style="3" customWidth="1"/>
    <col min="7" max="7" width="15.109375" style="3" customWidth="1"/>
    <col min="8" max="8" width="18.109375" style="3" hidden="1" customWidth="1"/>
    <col min="9" max="9" width="6.33203125" customWidth="1"/>
    <col min="10" max="10" width="7.44140625" customWidth="1"/>
    <col min="11" max="11" width="9.88671875" style="108" customWidth="1"/>
    <col min="12" max="12" width="6.33203125" customWidth="1"/>
    <col min="13" max="13" width="7.44140625" customWidth="1"/>
    <col min="14" max="14" width="9.88671875" style="108" customWidth="1"/>
  </cols>
  <sheetData>
    <row r="1" spans="1:14" ht="20.399999999999999" x14ac:dyDescent="0.25">
      <c r="A1" s="188" t="s">
        <v>196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x14ac:dyDescent="0.25">
      <c r="A2" s="184" t="s">
        <v>92</v>
      </c>
      <c r="B2" s="185" t="s">
        <v>0</v>
      </c>
      <c r="C2" s="185" t="s">
        <v>1</v>
      </c>
      <c r="D2" s="186" t="s">
        <v>2</v>
      </c>
      <c r="E2" s="186" t="s">
        <v>4</v>
      </c>
      <c r="F2" s="185" t="s">
        <v>7</v>
      </c>
      <c r="G2" s="186" t="s">
        <v>189</v>
      </c>
      <c r="H2" s="187" t="s">
        <v>191</v>
      </c>
      <c r="I2" s="179" t="s">
        <v>192</v>
      </c>
      <c r="J2" s="179"/>
      <c r="K2" s="179"/>
      <c r="L2" s="179" t="s">
        <v>193</v>
      </c>
      <c r="M2" s="179"/>
      <c r="N2" s="179"/>
    </row>
    <row r="3" spans="1:14" ht="27.75" customHeight="1" x14ac:dyDescent="0.25">
      <c r="A3" s="184"/>
      <c r="B3" s="185"/>
      <c r="C3" s="185"/>
      <c r="D3" s="186"/>
      <c r="E3" s="186"/>
      <c r="F3" s="185"/>
      <c r="G3" s="186"/>
      <c r="H3" s="187"/>
      <c r="I3" s="5" t="s">
        <v>8</v>
      </c>
      <c r="J3" s="5" t="s">
        <v>9</v>
      </c>
      <c r="K3" s="105" t="s">
        <v>10</v>
      </c>
      <c r="L3" s="5" t="s">
        <v>8</v>
      </c>
      <c r="M3" s="5" t="s">
        <v>9</v>
      </c>
      <c r="N3" s="105" t="s">
        <v>10</v>
      </c>
    </row>
    <row r="4" spans="1:14" ht="62.25" customHeight="1" x14ac:dyDescent="0.25">
      <c r="A4" s="26" t="s">
        <v>94</v>
      </c>
      <c r="B4" s="95" t="s">
        <v>26</v>
      </c>
      <c r="C4" s="98" t="s">
        <v>27</v>
      </c>
      <c r="D4" s="97"/>
      <c r="E4" s="6">
        <v>1</v>
      </c>
      <c r="F4" s="25" t="s">
        <v>64</v>
      </c>
      <c r="G4" s="171">
        <v>3.508474095</v>
      </c>
      <c r="H4" s="106">
        <v>3.508474095</v>
      </c>
      <c r="I4" s="42">
        <v>5.47</v>
      </c>
      <c r="J4" s="6">
        <v>0.44</v>
      </c>
      <c r="K4" s="32">
        <f t="shared" ref="K4:K7" si="0">I4+J4</f>
        <v>5.91</v>
      </c>
      <c r="L4" s="42">
        <v>5.38</v>
      </c>
      <c r="M4" s="6">
        <v>0.44</v>
      </c>
      <c r="N4" s="32">
        <f>L4+M4</f>
        <v>5.82</v>
      </c>
    </row>
    <row r="5" spans="1:14" ht="62.25" customHeight="1" x14ac:dyDescent="0.25">
      <c r="A5" s="26" t="s">
        <v>94</v>
      </c>
      <c r="B5" s="19" t="s">
        <v>31</v>
      </c>
      <c r="C5" s="20" t="s">
        <v>32</v>
      </c>
      <c r="D5" s="18"/>
      <c r="E5" s="6">
        <v>1</v>
      </c>
      <c r="F5" s="25" t="s">
        <v>155</v>
      </c>
      <c r="G5" s="157">
        <v>5.8972224150000008</v>
      </c>
      <c r="H5" s="106">
        <v>5.8972224150000008</v>
      </c>
      <c r="I5" s="6">
        <v>8.06</v>
      </c>
      <c r="J5" s="6">
        <v>0.44</v>
      </c>
      <c r="K5" s="32">
        <f t="shared" si="0"/>
        <v>8.5</v>
      </c>
      <c r="L5" s="6">
        <v>7.93</v>
      </c>
      <c r="M5" s="6">
        <v>0.44</v>
      </c>
      <c r="N5" s="32">
        <f>L5+M5</f>
        <v>8.3699999999999992</v>
      </c>
    </row>
    <row r="6" spans="1:14" ht="62.25" customHeight="1" x14ac:dyDescent="0.25">
      <c r="A6" s="26" t="s">
        <v>94</v>
      </c>
      <c r="B6" s="19" t="s">
        <v>39</v>
      </c>
      <c r="C6" s="21" t="s">
        <v>40</v>
      </c>
      <c r="D6" s="18"/>
      <c r="E6" s="6">
        <v>1</v>
      </c>
      <c r="F6" s="25" t="s">
        <v>62</v>
      </c>
      <c r="G6" s="157">
        <v>3.37</v>
      </c>
      <c r="H6" s="106">
        <v>3.37</v>
      </c>
      <c r="I6" s="6">
        <v>6.45</v>
      </c>
      <c r="J6" s="6">
        <v>0.26</v>
      </c>
      <c r="K6" s="32">
        <f t="shared" si="0"/>
        <v>6.71</v>
      </c>
      <c r="L6" s="6">
        <v>6.35</v>
      </c>
      <c r="M6" s="6">
        <v>0.26</v>
      </c>
      <c r="N6" s="32">
        <f t="shared" ref="N6:N7" si="1">L6+M6</f>
        <v>6.6099999999999994</v>
      </c>
    </row>
    <row r="7" spans="1:14" ht="62.25" customHeight="1" x14ac:dyDescent="0.25">
      <c r="A7" s="26" t="s">
        <v>94</v>
      </c>
      <c r="B7" s="19" t="s">
        <v>41</v>
      </c>
      <c r="C7" s="21" t="s">
        <v>42</v>
      </c>
      <c r="D7" s="18"/>
      <c r="E7" s="6">
        <v>1</v>
      </c>
      <c r="F7" s="25" t="s">
        <v>62</v>
      </c>
      <c r="G7" s="157">
        <v>6.84</v>
      </c>
      <c r="H7" s="106">
        <v>6.84</v>
      </c>
      <c r="I7" s="6">
        <v>11.02</v>
      </c>
      <c r="J7" s="6">
        <v>0.36</v>
      </c>
      <c r="K7" s="32">
        <f t="shared" si="0"/>
        <v>11.379999999999999</v>
      </c>
      <c r="L7" s="6">
        <v>10.85</v>
      </c>
      <c r="M7" s="6">
        <v>0.36</v>
      </c>
      <c r="N7" s="32">
        <f t="shared" si="1"/>
        <v>11.209999999999999</v>
      </c>
    </row>
    <row r="8" spans="1:14" ht="33" customHeight="1" x14ac:dyDescent="0.25">
      <c r="A8" s="172"/>
      <c r="B8" s="147"/>
      <c r="C8" s="148"/>
      <c r="D8" s="149"/>
      <c r="E8" s="150"/>
      <c r="F8" s="151"/>
      <c r="G8" s="173">
        <f>SUM(G4:G7)</f>
        <v>19.615696509999999</v>
      </c>
      <c r="H8" s="152"/>
      <c r="I8" s="150"/>
      <c r="J8" s="150"/>
      <c r="K8" s="155"/>
      <c r="L8" s="150">
        <f>SUM(L4:L7)</f>
        <v>30.509999999999998</v>
      </c>
      <c r="M8" s="150"/>
      <c r="N8" s="155"/>
    </row>
    <row r="9" spans="1:14" ht="17.25" customHeight="1" x14ac:dyDescent="0.25">
      <c r="A9" s="189" t="s">
        <v>11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</row>
    <row r="10" spans="1:14" x14ac:dyDescent="0.25">
      <c r="B10"/>
      <c r="C10"/>
      <c r="D10"/>
      <c r="E10"/>
      <c r="F10"/>
      <c r="G10"/>
      <c r="H10"/>
      <c r="K10" s="110"/>
      <c r="N10" s="110"/>
    </row>
    <row r="11" spans="1:14" x14ac:dyDescent="0.25">
      <c r="B11"/>
      <c r="C11"/>
      <c r="D11"/>
      <c r="E11"/>
      <c r="F11"/>
      <c r="G11"/>
      <c r="H11"/>
    </row>
    <row r="12" spans="1:14" x14ac:dyDescent="0.25">
      <c r="B12"/>
      <c r="C12"/>
      <c r="D12"/>
      <c r="E12"/>
      <c r="F12"/>
      <c r="G12"/>
      <c r="H12"/>
    </row>
    <row r="13" spans="1:14" x14ac:dyDescent="0.25">
      <c r="B13"/>
      <c r="C13"/>
      <c r="D13"/>
      <c r="E13"/>
      <c r="F13"/>
      <c r="G13"/>
      <c r="H13"/>
    </row>
    <row r="14" spans="1:14" ht="13.5" customHeight="1" x14ac:dyDescent="0.25">
      <c r="B14"/>
      <c r="C14"/>
      <c r="D14"/>
      <c r="E14"/>
      <c r="F14"/>
      <c r="G14"/>
      <c r="H14"/>
    </row>
    <row r="15" spans="1:14" ht="13.5" customHeight="1" x14ac:dyDescent="0.25">
      <c r="B15"/>
      <c r="C15"/>
      <c r="D15"/>
      <c r="E15"/>
      <c r="F15"/>
      <c r="G15"/>
      <c r="H15"/>
    </row>
    <row r="16" spans="1:14" x14ac:dyDescent="0.25">
      <c r="B16"/>
      <c r="C16"/>
      <c r="D16"/>
      <c r="E16"/>
      <c r="F16"/>
      <c r="G16"/>
      <c r="H16"/>
    </row>
    <row r="17" spans="2:8" ht="13.5" customHeight="1" x14ac:dyDescent="0.25">
      <c r="B17"/>
      <c r="C17"/>
      <c r="D17"/>
      <c r="E17"/>
      <c r="F17"/>
      <c r="G17"/>
      <c r="H17"/>
    </row>
    <row r="18" spans="2:8" x14ac:dyDescent="0.25">
      <c r="B18"/>
      <c r="C18"/>
      <c r="D18"/>
      <c r="E18"/>
      <c r="F18"/>
      <c r="G18"/>
      <c r="H18"/>
    </row>
    <row r="19" spans="2:8" x14ac:dyDescent="0.25">
      <c r="B19"/>
      <c r="C19"/>
      <c r="D19"/>
      <c r="E19"/>
      <c r="F19"/>
      <c r="G19"/>
      <c r="H19"/>
    </row>
    <row r="20" spans="2:8" x14ac:dyDescent="0.25">
      <c r="B20"/>
      <c r="C20"/>
      <c r="D20"/>
      <c r="E20"/>
      <c r="F20"/>
      <c r="G20"/>
      <c r="H20"/>
    </row>
    <row r="21" spans="2:8" x14ac:dyDescent="0.25">
      <c r="B21"/>
      <c r="C21"/>
      <c r="D21"/>
      <c r="E21"/>
      <c r="F21"/>
      <c r="G21"/>
      <c r="H21"/>
    </row>
    <row r="22" spans="2:8" x14ac:dyDescent="0.25">
      <c r="B22"/>
      <c r="C22"/>
      <c r="D22"/>
      <c r="E22"/>
      <c r="F22"/>
      <c r="G22"/>
      <c r="H22"/>
    </row>
    <row r="23" spans="2:8" x14ac:dyDescent="0.25">
      <c r="B23"/>
      <c r="C23"/>
      <c r="D23"/>
      <c r="E23"/>
      <c r="F23"/>
      <c r="G23"/>
      <c r="H23"/>
    </row>
    <row r="24" spans="2:8" ht="13.5" customHeight="1" x14ac:dyDescent="0.25">
      <c r="B24"/>
      <c r="C24"/>
      <c r="D24"/>
      <c r="E24"/>
      <c r="F24"/>
      <c r="G24"/>
      <c r="H24"/>
    </row>
    <row r="25" spans="2:8" x14ac:dyDescent="0.25">
      <c r="B25"/>
      <c r="C25"/>
      <c r="D25"/>
      <c r="E25"/>
      <c r="F25"/>
      <c r="G25"/>
      <c r="H25"/>
    </row>
    <row r="26" spans="2:8" x14ac:dyDescent="0.25">
      <c r="B26"/>
      <c r="C26"/>
      <c r="D26"/>
      <c r="E26"/>
      <c r="F26"/>
      <c r="G26"/>
      <c r="H26"/>
    </row>
    <row r="27" spans="2:8" x14ac:dyDescent="0.25">
      <c r="B27"/>
      <c r="C27"/>
      <c r="D27"/>
      <c r="E27"/>
      <c r="F27"/>
      <c r="G27"/>
      <c r="H27"/>
    </row>
    <row r="28" spans="2:8" x14ac:dyDescent="0.25">
      <c r="B28"/>
      <c r="C28"/>
      <c r="D28"/>
      <c r="E28"/>
      <c r="F28"/>
      <c r="G28"/>
      <c r="H28"/>
    </row>
    <row r="29" spans="2:8" x14ac:dyDescent="0.25">
      <c r="B29"/>
      <c r="C29"/>
      <c r="D29"/>
      <c r="E29"/>
      <c r="F29"/>
      <c r="G29"/>
      <c r="H29"/>
    </row>
    <row r="30" spans="2:8" x14ac:dyDescent="0.25">
      <c r="B30"/>
      <c r="C30"/>
      <c r="D30"/>
      <c r="E30"/>
      <c r="F30"/>
      <c r="G30"/>
      <c r="H30"/>
    </row>
    <row r="31" spans="2:8" x14ac:dyDescent="0.25">
      <c r="B31"/>
      <c r="C31"/>
      <c r="D31"/>
      <c r="E31"/>
      <c r="F31"/>
      <c r="G31"/>
      <c r="H31"/>
    </row>
    <row r="32" spans="2:8" x14ac:dyDescent="0.25">
      <c r="B32"/>
      <c r="C32"/>
      <c r="D32"/>
      <c r="E32"/>
      <c r="F32"/>
      <c r="G32"/>
      <c r="H32"/>
    </row>
    <row r="33" spans="2:8" x14ac:dyDescent="0.25">
      <c r="B33"/>
      <c r="C33"/>
      <c r="D33"/>
      <c r="E33"/>
      <c r="F33"/>
      <c r="G33"/>
      <c r="H33"/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  <row r="37" spans="2:8" x14ac:dyDescent="0.25">
      <c r="B37"/>
      <c r="C37"/>
      <c r="D37"/>
      <c r="E37"/>
      <c r="F37"/>
      <c r="G37"/>
      <c r="H37"/>
    </row>
    <row r="38" spans="2:8" x14ac:dyDescent="0.25">
      <c r="B38"/>
      <c r="C38"/>
      <c r="D38"/>
      <c r="E38"/>
      <c r="F38"/>
      <c r="G38"/>
      <c r="H38"/>
    </row>
    <row r="39" spans="2:8" x14ac:dyDescent="0.25">
      <c r="B39"/>
      <c r="C39"/>
      <c r="D39"/>
      <c r="E39"/>
      <c r="F39"/>
      <c r="G39"/>
      <c r="H39"/>
    </row>
    <row r="40" spans="2:8" x14ac:dyDescent="0.25">
      <c r="B40"/>
      <c r="C40"/>
      <c r="D40"/>
      <c r="E40"/>
      <c r="F40"/>
      <c r="G40"/>
      <c r="H40"/>
    </row>
    <row r="41" spans="2:8" x14ac:dyDescent="0.25">
      <c r="B41"/>
      <c r="C41"/>
      <c r="D41"/>
      <c r="E41"/>
      <c r="F41"/>
      <c r="G41"/>
      <c r="H41"/>
    </row>
    <row r="42" spans="2:8" x14ac:dyDescent="0.25">
      <c r="B42"/>
      <c r="C42"/>
      <c r="D42"/>
      <c r="E42"/>
      <c r="F42"/>
      <c r="G42"/>
      <c r="H42"/>
    </row>
    <row r="43" spans="2:8" x14ac:dyDescent="0.25">
      <c r="B43"/>
      <c r="C43"/>
      <c r="D43"/>
      <c r="E43"/>
      <c r="F43"/>
      <c r="G43"/>
      <c r="H43"/>
    </row>
    <row r="44" spans="2:8" x14ac:dyDescent="0.25">
      <c r="B44"/>
      <c r="C44"/>
      <c r="D44"/>
      <c r="E44"/>
      <c r="F44"/>
      <c r="G44"/>
      <c r="H44"/>
    </row>
    <row r="45" spans="2:8" x14ac:dyDescent="0.25">
      <c r="B45"/>
      <c r="C45"/>
      <c r="D45"/>
      <c r="E45"/>
      <c r="F45"/>
      <c r="G45"/>
      <c r="H45"/>
    </row>
    <row r="46" spans="2:8" x14ac:dyDescent="0.25">
      <c r="B46"/>
      <c r="C46"/>
      <c r="D46"/>
      <c r="E46"/>
      <c r="F46"/>
      <c r="G46"/>
      <c r="H46"/>
    </row>
    <row r="47" spans="2:8" x14ac:dyDescent="0.25">
      <c r="B47"/>
      <c r="C47"/>
      <c r="D47"/>
      <c r="E47"/>
      <c r="F47"/>
      <c r="G47"/>
      <c r="H47"/>
    </row>
    <row r="48" spans="2:8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  <row r="51" spans="2:8" x14ac:dyDescent="0.25">
      <c r="B51"/>
      <c r="C51"/>
      <c r="D51"/>
      <c r="E51"/>
      <c r="F51"/>
      <c r="G51"/>
      <c r="H51"/>
    </row>
    <row r="52" spans="2:8" x14ac:dyDescent="0.25">
      <c r="B52"/>
      <c r="C52"/>
      <c r="D52"/>
      <c r="E52"/>
      <c r="F52"/>
      <c r="G52"/>
      <c r="H52"/>
    </row>
    <row r="53" spans="2:8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  <row r="55" spans="2:8" x14ac:dyDescent="0.25">
      <c r="B55"/>
      <c r="C55"/>
      <c r="D55"/>
      <c r="E55"/>
      <c r="F55"/>
      <c r="G55"/>
      <c r="H55"/>
    </row>
    <row r="56" spans="2:8" x14ac:dyDescent="0.25">
      <c r="B56"/>
      <c r="C56"/>
      <c r="D56"/>
      <c r="E56"/>
      <c r="F56"/>
      <c r="G56"/>
      <c r="H56"/>
    </row>
    <row r="57" spans="2:8" x14ac:dyDescent="0.25">
      <c r="B57"/>
      <c r="C57"/>
      <c r="D57"/>
      <c r="E57"/>
      <c r="F57"/>
      <c r="G57"/>
      <c r="H57"/>
    </row>
    <row r="58" spans="2:8" x14ac:dyDescent="0.25">
      <c r="B58"/>
      <c r="C58"/>
      <c r="D58"/>
      <c r="E58"/>
      <c r="F58"/>
      <c r="G58"/>
      <c r="H58"/>
    </row>
    <row r="59" spans="2:8" x14ac:dyDescent="0.25">
      <c r="B59"/>
      <c r="C59"/>
      <c r="D59"/>
      <c r="E59"/>
      <c r="F59"/>
      <c r="G59"/>
      <c r="H59"/>
    </row>
    <row r="60" spans="2:8" x14ac:dyDescent="0.25">
      <c r="B60"/>
      <c r="C60"/>
      <c r="D60"/>
      <c r="E60"/>
      <c r="F60"/>
      <c r="G60"/>
      <c r="H60"/>
    </row>
    <row r="61" spans="2:8" x14ac:dyDescent="0.25">
      <c r="B61"/>
      <c r="C61"/>
      <c r="D61"/>
      <c r="E61"/>
      <c r="F61"/>
      <c r="G61"/>
      <c r="H61"/>
    </row>
    <row r="62" spans="2:8" x14ac:dyDescent="0.25">
      <c r="B62"/>
      <c r="C62"/>
      <c r="D62"/>
      <c r="E62"/>
      <c r="F62"/>
      <c r="G62"/>
      <c r="H62"/>
    </row>
    <row r="63" spans="2:8" x14ac:dyDescent="0.25">
      <c r="B63"/>
      <c r="C63"/>
      <c r="D63"/>
      <c r="E63"/>
      <c r="F63"/>
      <c r="G63"/>
      <c r="H63"/>
    </row>
    <row r="64" spans="2:8" x14ac:dyDescent="0.25">
      <c r="B64"/>
      <c r="C64"/>
      <c r="D64"/>
      <c r="E64"/>
      <c r="F64"/>
      <c r="G64"/>
      <c r="H64"/>
    </row>
    <row r="65" spans="2:8" x14ac:dyDescent="0.25">
      <c r="B65"/>
      <c r="C65"/>
      <c r="D65"/>
      <c r="E65"/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/>
      <c r="C70"/>
      <c r="D70"/>
      <c r="E70"/>
      <c r="F70"/>
      <c r="G70"/>
      <c r="H70"/>
    </row>
    <row r="71" spans="2:8" x14ac:dyDescent="0.25">
      <c r="B71"/>
      <c r="C71"/>
      <c r="D71"/>
      <c r="E71"/>
      <c r="F71"/>
      <c r="G71"/>
      <c r="H71"/>
    </row>
    <row r="72" spans="2:8" x14ac:dyDescent="0.25">
      <c r="B72"/>
      <c r="C72"/>
      <c r="D72"/>
      <c r="E72"/>
      <c r="F72"/>
      <c r="G72"/>
      <c r="H72"/>
    </row>
    <row r="73" spans="2:8" x14ac:dyDescent="0.25">
      <c r="B73"/>
      <c r="C73"/>
      <c r="D73"/>
      <c r="E73"/>
      <c r="F73"/>
      <c r="G73"/>
      <c r="H73"/>
    </row>
    <row r="74" spans="2:8" x14ac:dyDescent="0.25">
      <c r="B74"/>
      <c r="C74"/>
      <c r="D74"/>
      <c r="E74"/>
      <c r="F74"/>
      <c r="G74"/>
      <c r="H74"/>
    </row>
    <row r="75" spans="2:8" x14ac:dyDescent="0.25">
      <c r="B75"/>
      <c r="C75"/>
      <c r="D75"/>
      <c r="E75"/>
      <c r="F75"/>
      <c r="G75"/>
      <c r="H75"/>
    </row>
    <row r="76" spans="2:8" x14ac:dyDescent="0.25">
      <c r="B76"/>
      <c r="C76"/>
      <c r="D76"/>
      <c r="E76"/>
      <c r="F76"/>
      <c r="G76"/>
      <c r="H76"/>
    </row>
    <row r="77" spans="2:8" x14ac:dyDescent="0.25">
      <c r="B77"/>
      <c r="C77"/>
      <c r="D77"/>
      <c r="E77"/>
      <c r="F77"/>
      <c r="G77"/>
      <c r="H77"/>
    </row>
    <row r="78" spans="2:8" x14ac:dyDescent="0.25">
      <c r="B78"/>
      <c r="C78"/>
      <c r="D78"/>
      <c r="E78"/>
      <c r="F78"/>
      <c r="G78"/>
      <c r="H78"/>
    </row>
    <row r="79" spans="2:8" x14ac:dyDescent="0.25">
      <c r="B79"/>
      <c r="C79"/>
      <c r="D79"/>
      <c r="E79"/>
      <c r="F79"/>
      <c r="G79"/>
      <c r="H79"/>
    </row>
    <row r="80" spans="2:8" x14ac:dyDescent="0.25">
      <c r="B80"/>
      <c r="C80"/>
      <c r="D80"/>
      <c r="E80"/>
      <c r="F80"/>
      <c r="G80"/>
      <c r="H80"/>
    </row>
    <row r="81" spans="2:8" x14ac:dyDescent="0.25">
      <c r="B81"/>
      <c r="C81"/>
      <c r="D81"/>
      <c r="E81"/>
      <c r="F81"/>
      <c r="G81"/>
      <c r="H81"/>
    </row>
    <row r="82" spans="2:8" x14ac:dyDescent="0.25">
      <c r="B82"/>
      <c r="C82"/>
      <c r="D82"/>
      <c r="E82"/>
      <c r="F82"/>
      <c r="G82"/>
      <c r="H82"/>
    </row>
    <row r="83" spans="2:8" x14ac:dyDescent="0.25">
      <c r="B83"/>
      <c r="C83"/>
      <c r="D83"/>
      <c r="E83"/>
      <c r="F83"/>
      <c r="G83"/>
      <c r="H83"/>
    </row>
    <row r="84" spans="2:8" x14ac:dyDescent="0.25">
      <c r="B84"/>
      <c r="C84"/>
      <c r="D84"/>
      <c r="E84"/>
      <c r="F84"/>
      <c r="G84"/>
      <c r="H84"/>
    </row>
    <row r="85" spans="2:8" x14ac:dyDescent="0.25">
      <c r="B85"/>
      <c r="C85"/>
      <c r="D85"/>
      <c r="E85"/>
      <c r="F85"/>
      <c r="G85"/>
      <c r="H85"/>
    </row>
    <row r="86" spans="2:8" x14ac:dyDescent="0.25">
      <c r="B86"/>
      <c r="C86"/>
      <c r="D86"/>
      <c r="E86"/>
      <c r="F86"/>
      <c r="G86"/>
      <c r="H86"/>
    </row>
    <row r="87" spans="2:8" x14ac:dyDescent="0.25">
      <c r="B87"/>
      <c r="C87"/>
      <c r="D87"/>
      <c r="E87"/>
      <c r="F87"/>
      <c r="G87"/>
      <c r="H87"/>
    </row>
    <row r="88" spans="2:8" x14ac:dyDescent="0.25">
      <c r="B88"/>
      <c r="C88"/>
      <c r="D88"/>
      <c r="E88"/>
      <c r="F88"/>
      <c r="G88"/>
      <c r="H88"/>
    </row>
    <row r="89" spans="2:8" x14ac:dyDescent="0.25">
      <c r="B89"/>
      <c r="C89"/>
      <c r="D89"/>
      <c r="E89"/>
      <c r="F89"/>
      <c r="G89"/>
      <c r="H89"/>
    </row>
    <row r="90" spans="2:8" x14ac:dyDescent="0.25">
      <c r="B90"/>
      <c r="C90"/>
      <c r="D90"/>
      <c r="E90"/>
      <c r="F90"/>
      <c r="G90"/>
      <c r="H90"/>
    </row>
    <row r="91" spans="2:8" x14ac:dyDescent="0.25">
      <c r="B91"/>
      <c r="C91"/>
      <c r="D91"/>
      <c r="E91"/>
      <c r="F91"/>
      <c r="G91"/>
      <c r="H91"/>
    </row>
    <row r="92" spans="2:8" x14ac:dyDescent="0.25">
      <c r="B92"/>
      <c r="C92"/>
      <c r="D92"/>
      <c r="E92"/>
      <c r="F92"/>
      <c r="G92"/>
      <c r="H92"/>
    </row>
  </sheetData>
  <autoFilter ref="A3:P9" xr:uid="{00000000-0001-0000-0100-000000000000}"/>
  <mergeCells count="12">
    <mergeCell ref="A1:N1"/>
    <mergeCell ref="I2:K2"/>
    <mergeCell ref="L2:N2"/>
    <mergeCell ref="A9:N9"/>
    <mergeCell ref="A2:A3"/>
    <mergeCell ref="B2:B3"/>
    <mergeCell ref="C2:C3"/>
    <mergeCell ref="D2:D3"/>
    <mergeCell ref="E2:E3"/>
    <mergeCell ref="F2:F3"/>
    <mergeCell ref="H2:H3"/>
    <mergeCell ref="G2:G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6149-1741-47B9-BC4D-9F9789C29C80}">
  <dimension ref="A1:X112"/>
  <sheetViews>
    <sheetView zoomScale="90" zoomScaleNormal="90" workbookViewId="0">
      <pane xSplit="6" ySplit="3" topLeftCell="G4" activePane="bottomRight" state="frozen"/>
      <selection pane="topRight" activeCell="F1" sqref="F1"/>
      <selection pane="bottomLeft" activeCell="A5" sqref="A5"/>
      <selection pane="bottomRight" activeCell="H4" sqref="H4:H28"/>
    </sheetView>
  </sheetViews>
  <sheetFormatPr defaultColWidth="9" defaultRowHeight="14.4" x14ac:dyDescent="0.25"/>
  <cols>
    <col min="1" max="1" width="22.77734375" customWidth="1"/>
    <col min="2" max="2" width="11.109375" style="1" customWidth="1"/>
    <col min="3" max="3" width="14.6640625" style="1" customWidth="1"/>
    <col min="4" max="4" width="12.109375" style="2" customWidth="1"/>
    <col min="5" max="5" width="3.6640625" style="3" customWidth="1"/>
    <col min="6" max="6" width="11.88671875" style="3" customWidth="1"/>
    <col min="7" max="9" width="13.44140625" style="3" customWidth="1"/>
    <col min="10" max="10" width="9.33203125" style="4" customWidth="1"/>
    <col min="11" max="11" width="7.6640625" style="4" customWidth="1"/>
    <col min="12" max="12" width="9.21875" style="30" customWidth="1"/>
    <col min="13" max="13" width="10.33203125" customWidth="1"/>
    <col min="14" max="14" width="8.109375" customWidth="1"/>
    <col min="15" max="15" width="9.21875" style="29" customWidth="1"/>
    <col min="16" max="16" width="6.33203125" customWidth="1"/>
    <col min="17" max="17" width="7.44140625" customWidth="1"/>
    <col min="18" max="18" width="9.88671875" style="29" customWidth="1"/>
    <col min="19" max="19" width="6.33203125" customWidth="1"/>
    <col min="20" max="20" width="7.44140625" customWidth="1"/>
    <col min="21" max="21" width="9.88671875" style="29" customWidth="1"/>
    <col min="22" max="22" width="13" hidden="1" customWidth="1"/>
  </cols>
  <sheetData>
    <row r="1" spans="1:24" ht="20.399999999999999" x14ac:dyDescent="0.25">
      <c r="B1" s="191" t="s">
        <v>6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99"/>
      <c r="T1" s="99"/>
      <c r="U1" s="99"/>
    </row>
    <row r="2" spans="1:24" x14ac:dyDescent="0.25">
      <c r="A2" s="184" t="s">
        <v>92</v>
      </c>
      <c r="B2" s="185" t="s">
        <v>0</v>
      </c>
      <c r="C2" s="185" t="s">
        <v>1</v>
      </c>
      <c r="D2" s="186" t="s">
        <v>2</v>
      </c>
      <c r="E2" s="186" t="s">
        <v>4</v>
      </c>
      <c r="F2" s="185" t="s">
        <v>7</v>
      </c>
      <c r="G2" s="192" t="s">
        <v>189</v>
      </c>
      <c r="H2" s="192" t="s">
        <v>188</v>
      </c>
      <c r="I2" s="187" t="s">
        <v>191</v>
      </c>
      <c r="J2" s="179" t="s">
        <v>14</v>
      </c>
      <c r="K2" s="179"/>
      <c r="L2" s="179"/>
      <c r="M2" s="179" t="s">
        <v>15</v>
      </c>
      <c r="N2" s="179"/>
      <c r="O2" s="179"/>
      <c r="P2" s="179" t="s">
        <v>192</v>
      </c>
      <c r="Q2" s="179"/>
      <c r="R2" s="179"/>
      <c r="S2" s="179" t="s">
        <v>193</v>
      </c>
      <c r="T2" s="179"/>
      <c r="U2" s="179"/>
      <c r="V2" s="26"/>
    </row>
    <row r="3" spans="1:24" ht="27.75" customHeight="1" x14ac:dyDescent="0.25">
      <c r="A3" s="184"/>
      <c r="B3" s="185"/>
      <c r="C3" s="185"/>
      <c r="D3" s="186"/>
      <c r="E3" s="186"/>
      <c r="F3" s="185"/>
      <c r="G3" s="192"/>
      <c r="H3" s="192"/>
      <c r="I3" s="187"/>
      <c r="J3" s="5" t="s">
        <v>69</v>
      </c>
      <c r="K3" s="5" t="s">
        <v>9</v>
      </c>
      <c r="L3" s="105" t="s">
        <v>10</v>
      </c>
      <c r="M3" s="5" t="s">
        <v>8</v>
      </c>
      <c r="N3" s="5" t="s">
        <v>9</v>
      </c>
      <c r="O3" s="105" t="s">
        <v>10</v>
      </c>
      <c r="P3" s="5" t="s">
        <v>8</v>
      </c>
      <c r="Q3" s="5" t="s">
        <v>9</v>
      </c>
      <c r="R3" s="105" t="s">
        <v>10</v>
      </c>
      <c r="S3" s="5" t="s">
        <v>8</v>
      </c>
      <c r="T3" s="5" t="s">
        <v>9</v>
      </c>
      <c r="U3" s="105" t="s">
        <v>10</v>
      </c>
      <c r="V3" s="105" t="s">
        <v>91</v>
      </c>
    </row>
    <row r="4" spans="1:24" ht="62.25" customHeight="1" x14ac:dyDescent="0.25">
      <c r="A4" s="26" t="s">
        <v>93</v>
      </c>
      <c r="B4" s="96" t="s">
        <v>12</v>
      </c>
      <c r="C4" s="96" t="s">
        <v>13</v>
      </c>
      <c r="D4" s="15"/>
      <c r="E4" s="6">
        <v>1</v>
      </c>
      <c r="F4" s="23" t="s">
        <v>61</v>
      </c>
      <c r="G4" s="24">
        <v>0.55189999999999995</v>
      </c>
      <c r="H4" s="24">
        <v>0.55189683944374224</v>
      </c>
      <c r="I4" s="106">
        <f>IF(G4&lt;=H4,G4,H4)</f>
        <v>0.55189683944374224</v>
      </c>
      <c r="J4" s="24">
        <v>0.70796460176991161</v>
      </c>
      <c r="K4" s="7">
        <v>5.7520000000000002E-2</v>
      </c>
      <c r="L4" s="32">
        <f t="shared" ref="L4:L23" si="0">J4+K4</f>
        <v>0.76548460176991162</v>
      </c>
      <c r="M4" s="27">
        <f>1/1.13</f>
        <v>0.88495575221238942</v>
      </c>
      <c r="N4" s="8">
        <v>3.1E-2</v>
      </c>
      <c r="O4" s="101">
        <f>M4+N4</f>
        <v>0.91595575221238945</v>
      </c>
      <c r="P4" s="42" t="s">
        <v>76</v>
      </c>
      <c r="Q4" s="42"/>
      <c r="R4" s="101" t="e">
        <f t="shared" ref="R4:R28" si="1">P4+Q4</f>
        <v>#VALUE!</v>
      </c>
      <c r="S4" s="42" t="s">
        <v>76</v>
      </c>
      <c r="T4" s="42"/>
      <c r="U4" s="101" t="e">
        <f t="shared" ref="U4:U28" si="2">S4+T4</f>
        <v>#VALUE!</v>
      </c>
      <c r="V4" s="26" t="e">
        <f>VLOOKUP(B4,[1]轻卡减震器总成!$AU$10:$AV$78,2,0)</f>
        <v>#N/A</v>
      </c>
    </row>
    <row r="5" spans="1:24" ht="62.25" customHeight="1" x14ac:dyDescent="0.25">
      <c r="A5" s="26" t="s">
        <v>93</v>
      </c>
      <c r="B5" s="100" t="s">
        <v>20</v>
      </c>
      <c r="C5" s="96" t="s">
        <v>21</v>
      </c>
      <c r="D5" s="97"/>
      <c r="E5" s="6">
        <v>1</v>
      </c>
      <c r="F5" s="23" t="s">
        <v>63</v>
      </c>
      <c r="G5" s="24">
        <v>7</v>
      </c>
      <c r="H5" s="24">
        <v>4.950262452591657</v>
      </c>
      <c r="I5" s="106">
        <f t="shared" ref="I5:I28" si="3">IF(G5&lt;=H5,G5,H5)</f>
        <v>4.950262452591657</v>
      </c>
      <c r="J5" s="24">
        <v>11.061946902654869</v>
      </c>
      <c r="K5" s="7">
        <v>0.24779999999999999</v>
      </c>
      <c r="L5" s="101">
        <f t="shared" si="0"/>
        <v>11.309746902654869</v>
      </c>
      <c r="M5" s="102">
        <f>8.5/1.13</f>
        <v>7.5221238938053103</v>
      </c>
      <c r="N5" s="103">
        <v>7.0800000000000002E-2</v>
      </c>
      <c r="O5" s="101">
        <f t="shared" ref="O5:O23" si="4">M5+N5</f>
        <v>7.5929238938053105</v>
      </c>
      <c r="P5" s="6">
        <v>9.85</v>
      </c>
      <c r="Q5" s="6">
        <v>1.1100000000000001</v>
      </c>
      <c r="R5" s="32">
        <f t="shared" si="1"/>
        <v>10.959999999999999</v>
      </c>
      <c r="S5" s="6">
        <v>9.6999999999999993</v>
      </c>
      <c r="T5" s="6">
        <v>1.1100000000000001</v>
      </c>
      <c r="U5" s="32">
        <f>S5+T5</f>
        <v>10.809999999999999</v>
      </c>
      <c r="V5" s="26" t="e">
        <f>VLOOKUP(B5,[1]轻卡减震器总成!$AU$10:$AV$78,2,0)</f>
        <v>#N/A</v>
      </c>
    </row>
    <row r="6" spans="1:24" ht="62.25" customHeight="1" x14ac:dyDescent="0.25">
      <c r="A6" s="26" t="s">
        <v>94</v>
      </c>
      <c r="B6" s="95" t="s">
        <v>22</v>
      </c>
      <c r="C6" s="96" t="s">
        <v>23</v>
      </c>
      <c r="D6" s="97"/>
      <c r="E6" s="6">
        <v>1</v>
      </c>
      <c r="F6" s="23" t="s">
        <v>63</v>
      </c>
      <c r="G6" s="24">
        <v>8</v>
      </c>
      <c r="H6" s="24">
        <v>5.9285400758533493</v>
      </c>
      <c r="I6" s="106">
        <f t="shared" si="3"/>
        <v>5.9285400758533493</v>
      </c>
      <c r="J6" s="24">
        <v>8.5840707964601766</v>
      </c>
      <c r="K6" s="101">
        <v>0.1062</v>
      </c>
      <c r="L6" s="101">
        <f t="shared" si="0"/>
        <v>8.690270796460176</v>
      </c>
      <c r="M6" s="102">
        <f>12/1.13</f>
        <v>10.619469026548673</v>
      </c>
      <c r="N6" s="103">
        <v>0.1062</v>
      </c>
      <c r="O6" s="101">
        <f t="shared" si="4"/>
        <v>10.725669026548672</v>
      </c>
      <c r="P6" s="42">
        <v>10.64</v>
      </c>
      <c r="Q6" s="6">
        <v>1.05</v>
      </c>
      <c r="R6" s="32">
        <f t="shared" si="1"/>
        <v>11.690000000000001</v>
      </c>
      <c r="S6" s="42">
        <v>10.48</v>
      </c>
      <c r="T6" s="6">
        <v>1.05</v>
      </c>
      <c r="U6" s="32">
        <f>S6+T6</f>
        <v>11.530000000000001</v>
      </c>
      <c r="V6" s="26" t="e">
        <f>VLOOKUP(B6,[1]轻卡减震器总成!$AU$10:$AV$78,2,0)</f>
        <v>#N/A</v>
      </c>
      <c r="X6" s="41" t="s">
        <v>187</v>
      </c>
    </row>
    <row r="7" spans="1:24" ht="62.25" customHeight="1" x14ac:dyDescent="0.25">
      <c r="A7" s="26" t="s">
        <v>94</v>
      </c>
      <c r="B7" s="95" t="s">
        <v>26</v>
      </c>
      <c r="C7" s="98" t="s">
        <v>27</v>
      </c>
      <c r="D7" s="97"/>
      <c r="E7" s="6">
        <v>1</v>
      </c>
      <c r="F7" s="25" t="s">
        <v>64</v>
      </c>
      <c r="G7" s="24">
        <v>3.508474095</v>
      </c>
      <c r="H7" s="24">
        <v>5.7263707221238942</v>
      </c>
      <c r="I7" s="106">
        <f t="shared" si="3"/>
        <v>3.508474095</v>
      </c>
      <c r="J7" s="24">
        <v>4.2477876106194694</v>
      </c>
      <c r="K7" s="7">
        <v>5.7500000000000002E-2</v>
      </c>
      <c r="L7" s="101">
        <f t="shared" si="0"/>
        <v>4.3052876106194695</v>
      </c>
      <c r="M7" s="102">
        <f>6.5/1.13</f>
        <v>5.7522123893805315</v>
      </c>
      <c r="N7" s="103">
        <v>4.4200000000000003E-2</v>
      </c>
      <c r="O7" s="101">
        <f t="shared" si="4"/>
        <v>5.7964123893805315</v>
      </c>
      <c r="P7" s="42">
        <v>5.47</v>
      </c>
      <c r="Q7" s="6">
        <v>0.44</v>
      </c>
      <c r="R7" s="32">
        <f t="shared" si="1"/>
        <v>5.91</v>
      </c>
      <c r="S7" s="42">
        <v>5.38</v>
      </c>
      <c r="T7" s="6">
        <v>0.44</v>
      </c>
      <c r="U7" s="32">
        <f>S7+T7</f>
        <v>5.82</v>
      </c>
      <c r="V7" s="26">
        <f>VLOOKUP(B7,[1]轻卡减震器总成!$AU$10:$AV$78,2,0)</f>
        <v>3.5084740950000004</v>
      </c>
    </row>
    <row r="8" spans="1:24" ht="62.25" customHeight="1" x14ac:dyDescent="0.25">
      <c r="A8" s="26" t="s">
        <v>94</v>
      </c>
      <c r="B8" s="95" t="s">
        <v>29</v>
      </c>
      <c r="C8" s="98" t="s">
        <v>30</v>
      </c>
      <c r="D8" s="97"/>
      <c r="E8" s="6">
        <v>1</v>
      </c>
      <c r="F8" s="25" t="s">
        <v>64</v>
      </c>
      <c r="G8" s="24">
        <v>2.5884742212000003</v>
      </c>
      <c r="H8" s="24">
        <v>2.0461592920353984</v>
      </c>
      <c r="I8" s="106">
        <f t="shared" si="3"/>
        <v>2.0461592920353984</v>
      </c>
      <c r="J8" s="24">
        <v>2.2566371681415931</v>
      </c>
      <c r="K8" s="7">
        <v>5.7500000000000002E-2</v>
      </c>
      <c r="L8" s="32">
        <f t="shared" si="0"/>
        <v>2.3141371681415932</v>
      </c>
      <c r="M8" s="27">
        <f>3.2/1.13</f>
        <v>2.8318584070796464</v>
      </c>
      <c r="N8" s="8">
        <v>3.5400000000000001E-2</v>
      </c>
      <c r="O8" s="101">
        <f t="shared" si="4"/>
        <v>2.8672584070796465</v>
      </c>
      <c r="P8" s="42" t="s">
        <v>76</v>
      </c>
      <c r="Q8" s="42"/>
      <c r="R8" s="101" t="e">
        <f t="shared" si="1"/>
        <v>#VALUE!</v>
      </c>
      <c r="S8" s="42" t="s">
        <v>76</v>
      </c>
      <c r="T8" s="42"/>
      <c r="U8" s="101" t="e">
        <f>S8+T8</f>
        <v>#VALUE!</v>
      </c>
      <c r="V8" s="26">
        <f>VLOOKUP(B8,[1]轻卡减震器总成!$AU$10:$AV$78,2,0)</f>
        <v>2.5884742212000003</v>
      </c>
    </row>
    <row r="9" spans="1:24" ht="62.25" customHeight="1" x14ac:dyDescent="0.25">
      <c r="A9" s="26" t="s">
        <v>94</v>
      </c>
      <c r="B9" s="19" t="s">
        <v>31</v>
      </c>
      <c r="C9" s="20" t="s">
        <v>32</v>
      </c>
      <c r="D9" s="18"/>
      <c r="E9" s="6">
        <v>1</v>
      </c>
      <c r="F9" s="25" t="s">
        <v>155</v>
      </c>
      <c r="G9" s="24">
        <v>5.8972224150000008</v>
      </c>
      <c r="H9" s="24">
        <v>6.3387914032869794</v>
      </c>
      <c r="I9" s="106">
        <f t="shared" si="3"/>
        <v>5.8972224150000008</v>
      </c>
      <c r="J9" s="24">
        <v>15.044247787610621</v>
      </c>
      <c r="K9" s="7">
        <v>0.13270000000000001</v>
      </c>
      <c r="L9" s="101">
        <f t="shared" si="0"/>
        <v>15.17694778761062</v>
      </c>
      <c r="M9" s="102">
        <f>11/1.13</f>
        <v>9.7345132743362832</v>
      </c>
      <c r="N9" s="103">
        <v>7.0800000000000002E-2</v>
      </c>
      <c r="O9" s="101">
        <f t="shared" si="4"/>
        <v>9.8053132743362834</v>
      </c>
      <c r="P9" s="6">
        <v>8.06</v>
      </c>
      <c r="Q9" s="6">
        <v>0.44</v>
      </c>
      <c r="R9" s="32">
        <f t="shared" si="1"/>
        <v>8.5</v>
      </c>
      <c r="S9" s="6">
        <v>7.93</v>
      </c>
      <c r="T9" s="6">
        <v>0.44</v>
      </c>
      <c r="U9" s="32">
        <f>S9+T9</f>
        <v>8.3699999999999992</v>
      </c>
      <c r="V9" s="26">
        <f>VLOOKUP(B9,[1]轻卡减震器总成!$AU$10:$AV$78,2,0)</f>
        <v>5.8972224150000008</v>
      </c>
    </row>
    <row r="10" spans="1:24" ht="62.25" customHeight="1" x14ac:dyDescent="0.25">
      <c r="A10" s="26" t="s">
        <v>94</v>
      </c>
      <c r="B10" s="19" t="s">
        <v>33</v>
      </c>
      <c r="C10" s="20" t="s">
        <v>34</v>
      </c>
      <c r="D10" s="18"/>
      <c r="E10" s="6">
        <v>1</v>
      </c>
      <c r="F10" s="25" t="s">
        <v>64</v>
      </c>
      <c r="G10" s="24">
        <v>4.5147343248</v>
      </c>
      <c r="H10" s="24">
        <v>3.6407180783817963</v>
      </c>
      <c r="I10" s="106">
        <f t="shared" si="3"/>
        <v>3.6407180783817963</v>
      </c>
      <c r="J10" s="24">
        <v>6.72566371681416</v>
      </c>
      <c r="K10" s="7">
        <v>0.1062</v>
      </c>
      <c r="L10" s="101">
        <f t="shared" si="0"/>
        <v>6.8318637168141603</v>
      </c>
      <c r="M10" s="27">
        <f>6.8/1.13</f>
        <v>6.0176991150442483</v>
      </c>
      <c r="N10" s="8">
        <v>6.1899999999999997E-2</v>
      </c>
      <c r="O10" s="32">
        <f t="shared" si="4"/>
        <v>6.0795991150442479</v>
      </c>
      <c r="P10" s="42" t="s">
        <v>76</v>
      </c>
      <c r="Q10" s="42"/>
      <c r="R10" s="101" t="e">
        <f t="shared" si="1"/>
        <v>#VALUE!</v>
      </c>
      <c r="S10" s="42" t="s">
        <v>76</v>
      </c>
      <c r="T10" s="42"/>
      <c r="U10" s="101" t="e">
        <f t="shared" si="2"/>
        <v>#VALUE!</v>
      </c>
      <c r="V10" s="26">
        <f>VLOOKUP(B10,[1]轻卡减震器总成!$AU$10:$AV$78,2,0)</f>
        <v>4.5147343248</v>
      </c>
    </row>
    <row r="11" spans="1:24" ht="62.25" customHeight="1" x14ac:dyDescent="0.25">
      <c r="A11" s="26" t="s">
        <v>94</v>
      </c>
      <c r="B11" s="19" t="s">
        <v>35</v>
      </c>
      <c r="C11" s="20" t="s">
        <v>36</v>
      </c>
      <c r="D11" s="18"/>
      <c r="E11" s="6">
        <v>1</v>
      </c>
      <c r="F11" s="25" t="s">
        <v>65</v>
      </c>
      <c r="G11" s="24">
        <v>0.40695476975999995</v>
      </c>
      <c r="H11" s="24">
        <v>0.47584179823008854</v>
      </c>
      <c r="I11" s="106">
        <f t="shared" si="3"/>
        <v>0.40695476975999995</v>
      </c>
      <c r="J11" s="24">
        <v>0.50442477876106195</v>
      </c>
      <c r="K11" s="7">
        <v>0.24779999999999999</v>
      </c>
      <c r="L11" s="101">
        <f t="shared" si="0"/>
        <v>0.75222477876106197</v>
      </c>
      <c r="M11" s="27">
        <f>0.8/1.13</f>
        <v>0.70796460176991161</v>
      </c>
      <c r="N11" s="8">
        <v>1.77E-2</v>
      </c>
      <c r="O11" s="32">
        <f t="shared" si="4"/>
        <v>0.72566460176991165</v>
      </c>
      <c r="P11" s="42" t="s">
        <v>76</v>
      </c>
      <c r="Q11" s="42"/>
      <c r="R11" s="101" t="e">
        <f t="shared" si="1"/>
        <v>#VALUE!</v>
      </c>
      <c r="S11" s="42" t="s">
        <v>76</v>
      </c>
      <c r="T11" s="42"/>
      <c r="U11" s="101" t="e">
        <f t="shared" si="2"/>
        <v>#VALUE!</v>
      </c>
      <c r="V11" s="26">
        <f>VLOOKUP(B11,[1]轻卡减震器总成!$AU$10:$AV$78,2,0)</f>
        <v>0.40695476975999995</v>
      </c>
    </row>
    <row r="12" spans="1:24" ht="62.25" customHeight="1" x14ac:dyDescent="0.25">
      <c r="A12" s="26" t="s">
        <v>94</v>
      </c>
      <c r="B12" s="19" t="s">
        <v>37</v>
      </c>
      <c r="C12" s="20" t="s">
        <v>38</v>
      </c>
      <c r="D12" s="18"/>
      <c r="E12" s="6">
        <v>1</v>
      </c>
      <c r="F12" s="25" t="s">
        <v>66</v>
      </c>
      <c r="G12" s="24">
        <v>0.13534796204999999</v>
      </c>
      <c r="H12" s="24">
        <v>0.18679509557522125</v>
      </c>
      <c r="I12" s="106">
        <f t="shared" si="3"/>
        <v>0.13534796204999999</v>
      </c>
      <c r="J12" s="24">
        <v>0.22123893805309736</v>
      </c>
      <c r="K12" s="7">
        <v>0.2301</v>
      </c>
      <c r="L12" s="101">
        <f t="shared" si="0"/>
        <v>0.45133893805309733</v>
      </c>
      <c r="M12" s="27">
        <f>0.27/1.13</f>
        <v>0.23893805309734517</v>
      </c>
      <c r="N12" s="8">
        <v>1.3299999999999999E-2</v>
      </c>
      <c r="O12" s="32">
        <f t="shared" si="4"/>
        <v>0.25223805309734515</v>
      </c>
      <c r="P12" s="42" t="s">
        <v>76</v>
      </c>
      <c r="Q12" s="42"/>
      <c r="R12" s="101" t="e">
        <f t="shared" si="1"/>
        <v>#VALUE!</v>
      </c>
      <c r="S12" s="42" t="s">
        <v>76</v>
      </c>
      <c r="T12" s="42"/>
      <c r="U12" s="101" t="e">
        <f t="shared" si="2"/>
        <v>#VALUE!</v>
      </c>
      <c r="V12" s="26">
        <f>VLOOKUP(B12,[1]轻卡减震器总成!$AU$10:$AV$78,2,0)</f>
        <v>0.13534796204999999</v>
      </c>
    </row>
    <row r="13" spans="1:24" ht="62.25" customHeight="1" x14ac:dyDescent="0.25">
      <c r="A13" s="26" t="s">
        <v>94</v>
      </c>
      <c r="B13" s="19" t="s">
        <v>39</v>
      </c>
      <c r="C13" s="21" t="s">
        <v>40</v>
      </c>
      <c r="D13" s="18"/>
      <c r="E13" s="6">
        <v>1</v>
      </c>
      <c r="F13" s="25" t="s">
        <v>62</v>
      </c>
      <c r="G13" s="24">
        <v>3.37</v>
      </c>
      <c r="H13" s="24">
        <v>3.4728388672566375</v>
      </c>
      <c r="I13" s="106">
        <f t="shared" si="3"/>
        <v>3.37</v>
      </c>
      <c r="J13" s="24">
        <v>5.9292035398230096</v>
      </c>
      <c r="K13" s="7">
        <v>7.0800000000000002E-2</v>
      </c>
      <c r="L13" s="101">
        <f t="shared" si="0"/>
        <v>6.0000035398230098</v>
      </c>
      <c r="M13" s="27">
        <f>7/1.13</f>
        <v>6.1946902654867264</v>
      </c>
      <c r="N13" s="8">
        <v>4.87E-2</v>
      </c>
      <c r="O13" s="101">
        <f t="shared" si="4"/>
        <v>6.2433902654867266</v>
      </c>
      <c r="P13" s="6">
        <v>6.45</v>
      </c>
      <c r="Q13" s="6">
        <v>0.26</v>
      </c>
      <c r="R13" s="32">
        <f t="shared" si="1"/>
        <v>6.71</v>
      </c>
      <c r="S13" s="6">
        <v>6.35</v>
      </c>
      <c r="T13" s="6">
        <v>0.26</v>
      </c>
      <c r="U13" s="32">
        <f t="shared" si="2"/>
        <v>6.6099999999999994</v>
      </c>
      <c r="V13" s="26">
        <f>VLOOKUP(B13,[1]轻卡减震器总成!$AU$10:$AV$78,2,0)</f>
        <v>0</v>
      </c>
    </row>
    <row r="14" spans="1:24" ht="62.25" customHeight="1" x14ac:dyDescent="0.25">
      <c r="A14" s="26" t="s">
        <v>94</v>
      </c>
      <c r="B14" s="19" t="s">
        <v>41</v>
      </c>
      <c r="C14" s="21" t="s">
        <v>42</v>
      </c>
      <c r="D14" s="18"/>
      <c r="E14" s="6">
        <v>1</v>
      </c>
      <c r="F14" s="25" t="s">
        <v>62</v>
      </c>
      <c r="G14" s="24">
        <v>6.84</v>
      </c>
      <c r="H14" s="24">
        <v>6.9705971362831853</v>
      </c>
      <c r="I14" s="106">
        <f t="shared" si="3"/>
        <v>6.84</v>
      </c>
      <c r="J14" s="24">
        <v>13.274336283185843</v>
      </c>
      <c r="K14" s="7">
        <v>0.18579999999999999</v>
      </c>
      <c r="L14" s="101">
        <f t="shared" si="0"/>
        <v>13.460136283185843</v>
      </c>
      <c r="M14" s="27">
        <f>14/1.13</f>
        <v>12.389380530973453</v>
      </c>
      <c r="N14" s="8">
        <v>7.0800000000000002E-2</v>
      </c>
      <c r="O14" s="101">
        <f t="shared" si="4"/>
        <v>12.460180530973453</v>
      </c>
      <c r="P14" s="6">
        <v>11.02</v>
      </c>
      <c r="Q14" s="6">
        <v>0.36</v>
      </c>
      <c r="R14" s="32">
        <f t="shared" si="1"/>
        <v>11.379999999999999</v>
      </c>
      <c r="S14" s="6">
        <v>10.85</v>
      </c>
      <c r="T14" s="6">
        <v>0.36</v>
      </c>
      <c r="U14" s="32">
        <f t="shared" si="2"/>
        <v>11.209999999999999</v>
      </c>
      <c r="V14" s="26">
        <f>VLOOKUP(B14,[1]轻卡减震器总成!$AU$10:$AV$78,2,0)</f>
        <v>0</v>
      </c>
    </row>
    <row r="15" spans="1:24" ht="62.25" customHeight="1" x14ac:dyDescent="0.25">
      <c r="A15" s="26" t="s">
        <v>94</v>
      </c>
      <c r="B15" s="19" t="s">
        <v>43</v>
      </c>
      <c r="C15" s="21" t="s">
        <v>44</v>
      </c>
      <c r="D15" s="18"/>
      <c r="E15" s="6">
        <v>1</v>
      </c>
      <c r="F15" s="25" t="s">
        <v>67</v>
      </c>
      <c r="G15" s="24">
        <v>1.2627089999999999</v>
      </c>
      <c r="H15" s="24">
        <v>1.2953933628318584</v>
      </c>
      <c r="I15" s="106">
        <f t="shared" si="3"/>
        <v>1.2627089999999999</v>
      </c>
      <c r="J15" s="24">
        <v>2.2123893805309738</v>
      </c>
      <c r="K15" s="7">
        <v>2.8299999999999999E-2</v>
      </c>
      <c r="L15" s="101">
        <f t="shared" si="0"/>
        <v>2.240689380530974</v>
      </c>
      <c r="M15" s="27">
        <f>2.5/1.13</f>
        <v>2.2123893805309738</v>
      </c>
      <c r="N15" s="8">
        <v>1.06E-2</v>
      </c>
      <c r="O15" s="32">
        <f t="shared" si="4"/>
        <v>2.2229893805309739</v>
      </c>
      <c r="P15" s="42" t="s">
        <v>76</v>
      </c>
      <c r="Q15" s="42"/>
      <c r="R15" s="101" t="e">
        <f t="shared" si="1"/>
        <v>#VALUE!</v>
      </c>
      <c r="S15" s="42" t="s">
        <v>76</v>
      </c>
      <c r="T15" s="42"/>
      <c r="U15" s="101" t="e">
        <f t="shared" si="2"/>
        <v>#VALUE!</v>
      </c>
      <c r="V15" s="26">
        <f>VLOOKUP(B15,[1]轻卡减震器总成!$AU$10:$AV$78,2,0)</f>
        <v>1.2627089999999999</v>
      </c>
    </row>
    <row r="16" spans="1:24" ht="62.25" customHeight="1" x14ac:dyDescent="0.25">
      <c r="A16" s="26" t="s">
        <v>94</v>
      </c>
      <c r="B16" s="19" t="s">
        <v>45</v>
      </c>
      <c r="C16" s="21" t="s">
        <v>46</v>
      </c>
      <c r="D16" s="18"/>
      <c r="E16" s="6">
        <v>1</v>
      </c>
      <c r="F16" s="25" t="s">
        <v>64</v>
      </c>
      <c r="G16" s="24">
        <v>0.1439884404</v>
      </c>
      <c r="H16" s="24">
        <v>0.1141893557522124</v>
      </c>
      <c r="I16" s="106">
        <f t="shared" si="3"/>
        <v>0.1141893557522124</v>
      </c>
      <c r="J16" s="24">
        <v>0.18584070796460178</v>
      </c>
      <c r="K16" s="7">
        <v>1.3299999999999999E-2</v>
      </c>
      <c r="L16" s="101">
        <f t="shared" si="0"/>
        <v>0.19914070796460179</v>
      </c>
      <c r="M16" s="27">
        <f>0.2/1.13</f>
        <v>0.1769911504424779</v>
      </c>
      <c r="N16" s="8">
        <v>5.3E-3</v>
      </c>
      <c r="O16" s="32">
        <f t="shared" si="4"/>
        <v>0.1822911504424779</v>
      </c>
      <c r="P16" s="42" t="s">
        <v>76</v>
      </c>
      <c r="Q16" s="42"/>
      <c r="R16" s="101" t="e">
        <f t="shared" si="1"/>
        <v>#VALUE!</v>
      </c>
      <c r="S16" s="42" t="s">
        <v>76</v>
      </c>
      <c r="T16" s="42"/>
      <c r="U16" s="101" t="e">
        <f t="shared" si="2"/>
        <v>#VALUE!</v>
      </c>
      <c r="V16" s="26">
        <f>VLOOKUP(B16,[1]轻卡减震器总成!$AU$10:$AV$78,2,0)</f>
        <v>0.1439884404</v>
      </c>
    </row>
    <row r="17" spans="1:23" ht="62.25" customHeight="1" x14ac:dyDescent="0.25">
      <c r="A17" s="26" t="s">
        <v>94</v>
      </c>
      <c r="B17" s="19" t="s">
        <v>47</v>
      </c>
      <c r="C17" s="21" t="s">
        <v>48</v>
      </c>
      <c r="D17" s="18"/>
      <c r="E17" s="6">
        <v>1</v>
      </c>
      <c r="F17" s="25" t="s">
        <v>64</v>
      </c>
      <c r="G17" s="24">
        <v>0.1439884404</v>
      </c>
      <c r="H17" s="24">
        <v>9.9746877876106199E-2</v>
      </c>
      <c r="I17" s="106">
        <f t="shared" si="3"/>
        <v>9.9746877876106199E-2</v>
      </c>
      <c r="J17" s="24">
        <v>0.16814159292035399</v>
      </c>
      <c r="K17" s="8">
        <v>1.3299999999999999E-2</v>
      </c>
      <c r="L17" s="101">
        <f t="shared" si="0"/>
        <v>0.181441592920354</v>
      </c>
      <c r="M17" s="27">
        <f>0.14/1.13</f>
        <v>0.12389380530973454</v>
      </c>
      <c r="N17" s="8">
        <v>5.3E-3</v>
      </c>
      <c r="O17" s="32">
        <f t="shared" si="4"/>
        <v>0.12919380530973454</v>
      </c>
      <c r="P17" s="42" t="s">
        <v>76</v>
      </c>
      <c r="Q17" s="42"/>
      <c r="R17" s="101" t="e">
        <f t="shared" si="1"/>
        <v>#VALUE!</v>
      </c>
      <c r="S17" s="42" t="s">
        <v>76</v>
      </c>
      <c r="T17" s="42"/>
      <c r="U17" s="101" t="e">
        <f t="shared" si="2"/>
        <v>#VALUE!</v>
      </c>
      <c r="V17" s="26">
        <f>VLOOKUP(B17,[1]轻卡减震器总成!$AU$10:$AV$78,2,0)</f>
        <v>0.1439884404</v>
      </c>
    </row>
    <row r="18" spans="1:23" ht="62.25" customHeight="1" x14ac:dyDescent="0.25">
      <c r="A18" s="26" t="s">
        <v>94</v>
      </c>
      <c r="B18" s="19" t="s">
        <v>49</v>
      </c>
      <c r="C18" s="21" t="s">
        <v>50</v>
      </c>
      <c r="D18" s="18"/>
      <c r="E18" s="6">
        <v>1</v>
      </c>
      <c r="F18" s="25" t="s">
        <v>68</v>
      </c>
      <c r="G18" s="24">
        <v>0.7</v>
      </c>
      <c r="H18" s="24">
        <v>0.66593173198482947</v>
      </c>
      <c r="I18" s="106">
        <f t="shared" si="3"/>
        <v>0.66593173198482947</v>
      </c>
      <c r="J18" s="24">
        <v>0.9734513274336285</v>
      </c>
      <c r="K18" s="8">
        <v>2.6499999999999999E-2</v>
      </c>
      <c r="L18" s="101">
        <f t="shared" si="0"/>
        <v>0.99995132743362847</v>
      </c>
      <c r="M18" s="27">
        <f>0.9/1.13</f>
        <v>0.79646017699115057</v>
      </c>
      <c r="N18" s="8">
        <v>1.77E-2</v>
      </c>
      <c r="O18" s="32">
        <f t="shared" si="4"/>
        <v>0.81416017699115062</v>
      </c>
      <c r="P18" s="42" t="s">
        <v>76</v>
      </c>
      <c r="Q18" s="42"/>
      <c r="R18" s="101" t="e">
        <f t="shared" si="1"/>
        <v>#VALUE!</v>
      </c>
      <c r="S18" s="42" t="s">
        <v>76</v>
      </c>
      <c r="T18" s="42"/>
      <c r="U18" s="101" t="e">
        <f t="shared" si="2"/>
        <v>#VALUE!</v>
      </c>
      <c r="V18" s="26" t="e">
        <f>VLOOKUP(B18,[1]轻卡减震器总成!$AU$10:$AV$78,2,0)</f>
        <v>#N/A</v>
      </c>
    </row>
    <row r="19" spans="1:23" ht="62.25" customHeight="1" x14ac:dyDescent="0.25">
      <c r="A19" s="26" t="s">
        <v>94</v>
      </c>
      <c r="B19" s="19" t="s">
        <v>51</v>
      </c>
      <c r="C19" s="21" t="s">
        <v>52</v>
      </c>
      <c r="D19" s="18"/>
      <c r="E19" s="6">
        <v>1</v>
      </c>
      <c r="F19" s="25" t="s">
        <v>62</v>
      </c>
      <c r="G19" s="24">
        <v>13.661</v>
      </c>
      <c r="H19" s="24">
        <v>9.8647994943109989</v>
      </c>
      <c r="I19" s="106">
        <f t="shared" si="3"/>
        <v>9.8647994943109989</v>
      </c>
      <c r="J19" s="24">
        <f>16/1.13</f>
        <v>14.159292035398231</v>
      </c>
      <c r="K19" s="8">
        <v>0.22120000000000001</v>
      </c>
      <c r="L19" s="101">
        <f t="shared" si="0"/>
        <v>14.38049203539823</v>
      </c>
      <c r="M19" s="102">
        <f>21/1.13</f>
        <v>18.584070796460178</v>
      </c>
      <c r="N19" s="103">
        <v>0.1593</v>
      </c>
      <c r="O19" s="101">
        <f t="shared" si="4"/>
        <v>18.743370796460177</v>
      </c>
      <c r="P19" s="42">
        <v>17.25</v>
      </c>
      <c r="Q19" s="6">
        <v>1.35</v>
      </c>
      <c r="R19" s="32">
        <f t="shared" si="1"/>
        <v>18.600000000000001</v>
      </c>
      <c r="S19" s="42">
        <v>16.98</v>
      </c>
      <c r="T19" s="6">
        <v>1.35</v>
      </c>
      <c r="U19" s="32">
        <f>S19+T19</f>
        <v>18.330000000000002</v>
      </c>
      <c r="V19" s="26" t="e">
        <f>VLOOKUP(B19,[1]轻卡减震器总成!$AU$10:$AV$78,2,0)</f>
        <v>#N/A</v>
      </c>
    </row>
    <row r="20" spans="1:23" ht="62.25" customHeight="1" x14ac:dyDescent="0.25">
      <c r="A20" s="26" t="s">
        <v>94</v>
      </c>
      <c r="B20" s="19" t="s">
        <v>53</v>
      </c>
      <c r="C20" s="21" t="s">
        <v>54</v>
      </c>
      <c r="D20" s="18"/>
      <c r="E20" s="6">
        <v>1</v>
      </c>
      <c r="F20" s="25" t="s">
        <v>62</v>
      </c>
      <c r="G20" s="24">
        <f>1.39+2.04+0.71</f>
        <v>4.1399999999999997</v>
      </c>
      <c r="H20" s="24">
        <v>6.465587863463969</v>
      </c>
      <c r="I20" s="106">
        <f t="shared" si="3"/>
        <v>4.1399999999999997</v>
      </c>
      <c r="J20" s="24">
        <v>8.4955752212389388</v>
      </c>
      <c r="K20" s="8">
        <v>7.0800000000000002E-2</v>
      </c>
      <c r="L20" s="32">
        <f t="shared" si="0"/>
        <v>8.566375221238939</v>
      </c>
      <c r="M20" s="102">
        <f>12/1.13</f>
        <v>10.619469026548673</v>
      </c>
      <c r="N20" s="103">
        <v>6.1899999999999997E-2</v>
      </c>
      <c r="O20" s="101">
        <f t="shared" si="4"/>
        <v>10.681369026548673</v>
      </c>
      <c r="P20" s="42" t="s">
        <v>76</v>
      </c>
      <c r="Q20" s="42"/>
      <c r="R20" s="101" t="e">
        <f t="shared" si="1"/>
        <v>#VALUE!</v>
      </c>
      <c r="S20" s="42" t="s">
        <v>76</v>
      </c>
      <c r="T20" s="42"/>
      <c r="U20" s="101" t="e">
        <f t="shared" si="2"/>
        <v>#VALUE!</v>
      </c>
      <c r="V20" s="26" t="e">
        <f>VLOOKUP(B20,[1]轻卡减震器总成!$AU$10:$AV$78,2,0)</f>
        <v>#N/A</v>
      </c>
    </row>
    <row r="21" spans="1:23" ht="62.25" customHeight="1" x14ac:dyDescent="0.25">
      <c r="A21" s="26" t="s">
        <v>94</v>
      </c>
      <c r="B21" s="19" t="s">
        <v>55</v>
      </c>
      <c r="C21" s="21" t="s">
        <v>56</v>
      </c>
      <c r="D21" s="18"/>
      <c r="E21" s="6">
        <v>1</v>
      </c>
      <c r="F21" s="25" t="s">
        <v>64</v>
      </c>
      <c r="G21" s="24">
        <v>0.33177060000000003</v>
      </c>
      <c r="H21" s="24">
        <v>9.1782743362831862E-2</v>
      </c>
      <c r="I21" s="106">
        <f t="shared" si="3"/>
        <v>9.1782743362831862E-2</v>
      </c>
      <c r="J21" s="24">
        <v>0.18584070796460178</v>
      </c>
      <c r="K21" s="8">
        <v>1.3299999999999999E-2</v>
      </c>
      <c r="L21" s="101">
        <f t="shared" si="0"/>
        <v>0.19914070796460179</v>
      </c>
      <c r="M21" s="27">
        <f>0.15/1.13</f>
        <v>0.13274336283185842</v>
      </c>
      <c r="N21" s="8">
        <v>5.3E-3</v>
      </c>
      <c r="O21" s="32">
        <f t="shared" si="4"/>
        <v>0.13804336283185842</v>
      </c>
      <c r="P21" s="42" t="s">
        <v>76</v>
      </c>
      <c r="Q21" s="42"/>
      <c r="R21" s="101" t="e">
        <f t="shared" si="1"/>
        <v>#VALUE!</v>
      </c>
      <c r="S21" s="42" t="s">
        <v>76</v>
      </c>
      <c r="T21" s="42"/>
      <c r="U21" s="101" t="e">
        <f t="shared" si="2"/>
        <v>#VALUE!</v>
      </c>
      <c r="V21" s="26">
        <f>VLOOKUP(B21,[1]轻卡减震器总成!$AU$10:$AV$78,2,0)</f>
        <v>0.33177060000000003</v>
      </c>
    </row>
    <row r="22" spans="1:23" ht="62.25" customHeight="1" x14ac:dyDescent="0.25">
      <c r="A22" s="26" t="s">
        <v>94</v>
      </c>
      <c r="B22" s="19" t="s">
        <v>57</v>
      </c>
      <c r="C22" s="21" t="s">
        <v>58</v>
      </c>
      <c r="D22" s="18"/>
      <c r="E22" s="6">
        <v>1</v>
      </c>
      <c r="F22" s="25" t="s">
        <v>64</v>
      </c>
      <c r="G22" s="24">
        <v>0.77037133319999995</v>
      </c>
      <c r="H22" s="24">
        <v>0.87449810366624547</v>
      </c>
      <c r="I22" s="106">
        <f t="shared" si="3"/>
        <v>0.77037133319999995</v>
      </c>
      <c r="J22" s="24">
        <v>1.1946902654867257</v>
      </c>
      <c r="K22" s="8">
        <v>3.1E-2</v>
      </c>
      <c r="L22" s="32">
        <f t="shared" si="0"/>
        <v>1.2256902654867257</v>
      </c>
      <c r="M22" s="27">
        <f>1.5/1.13</f>
        <v>1.3274336283185841</v>
      </c>
      <c r="N22" s="8">
        <v>2.2100000000000002E-2</v>
      </c>
      <c r="O22" s="101">
        <f t="shared" si="4"/>
        <v>1.3495336283185841</v>
      </c>
      <c r="P22" s="42" t="s">
        <v>76</v>
      </c>
      <c r="Q22" s="42"/>
      <c r="R22" s="101" t="e">
        <f t="shared" si="1"/>
        <v>#VALUE!</v>
      </c>
      <c r="S22" s="42" t="s">
        <v>76</v>
      </c>
      <c r="T22" s="42"/>
      <c r="U22" s="101" t="e">
        <f t="shared" si="2"/>
        <v>#VALUE!</v>
      </c>
      <c r="V22" s="26">
        <f>VLOOKUP(B22,[1]轻卡减震器总成!$AU$10:$AV$78,2,0)</f>
        <v>0.77037133319999995</v>
      </c>
    </row>
    <row r="23" spans="1:23" ht="62.25" customHeight="1" x14ac:dyDescent="0.25">
      <c r="A23" s="26" t="s">
        <v>94</v>
      </c>
      <c r="B23" s="19" t="s">
        <v>59</v>
      </c>
      <c r="C23" s="22" t="s">
        <v>60</v>
      </c>
      <c r="D23" s="18"/>
      <c r="E23" s="6">
        <v>1</v>
      </c>
      <c r="F23" s="25" t="s">
        <v>64</v>
      </c>
      <c r="G23" s="24">
        <v>0.31012625000000005</v>
      </c>
      <c r="H23" s="24">
        <v>0.50257395701643481</v>
      </c>
      <c r="I23" s="106">
        <f t="shared" si="3"/>
        <v>0.31012625000000005</v>
      </c>
      <c r="J23" s="24">
        <v>0.65486725663716816</v>
      </c>
      <c r="K23" s="8">
        <v>3.1E-2</v>
      </c>
      <c r="L23" s="32">
        <f t="shared" si="0"/>
        <v>0.68586725663716819</v>
      </c>
      <c r="M23" s="27">
        <f>1.3/1.13</f>
        <v>1.1504424778761064</v>
      </c>
      <c r="N23" s="8">
        <v>1.5900000000000001E-2</v>
      </c>
      <c r="O23" s="101">
        <f t="shared" si="4"/>
        <v>1.1663424778761065</v>
      </c>
      <c r="P23" s="42" t="s">
        <v>76</v>
      </c>
      <c r="Q23" s="42"/>
      <c r="R23" s="101" t="e">
        <f t="shared" si="1"/>
        <v>#VALUE!</v>
      </c>
      <c r="S23" s="42" t="s">
        <v>76</v>
      </c>
      <c r="T23" s="42"/>
      <c r="U23" s="101" t="e">
        <f t="shared" si="2"/>
        <v>#VALUE!</v>
      </c>
      <c r="V23" s="26">
        <f>VLOOKUP(B23,[1]轻卡减震器总成!$AU$10:$AV$78,2,0)</f>
        <v>0.31012625000000005</v>
      </c>
    </row>
    <row r="24" spans="1:23" ht="62.25" customHeight="1" x14ac:dyDescent="0.25">
      <c r="A24" s="17" t="s">
        <v>87</v>
      </c>
      <c r="B24" s="33" t="s">
        <v>88</v>
      </c>
      <c r="C24" s="34" t="s">
        <v>89</v>
      </c>
      <c r="D24" s="33"/>
      <c r="E24" s="6">
        <v>1</v>
      </c>
      <c r="F24" s="25" t="s">
        <v>65</v>
      </c>
      <c r="G24" s="24">
        <v>1.8559603893600001</v>
      </c>
      <c r="H24" s="24">
        <v>0.94030034336283175</v>
      </c>
      <c r="I24" s="106">
        <f t="shared" si="3"/>
        <v>0.94030034336283175</v>
      </c>
      <c r="J24" s="24"/>
      <c r="K24" s="8"/>
      <c r="L24" s="101"/>
      <c r="M24" s="27"/>
      <c r="N24" s="8"/>
      <c r="O24" s="101"/>
      <c r="P24" s="42">
        <v>1.55</v>
      </c>
      <c r="Q24" s="42">
        <v>0.17</v>
      </c>
      <c r="R24" s="32">
        <f t="shared" si="1"/>
        <v>1.72</v>
      </c>
      <c r="S24" s="42">
        <v>1.55</v>
      </c>
      <c r="T24" s="42">
        <v>0.17</v>
      </c>
      <c r="U24" s="32">
        <f>S24+T24</f>
        <v>1.72</v>
      </c>
      <c r="V24" s="26">
        <f>VLOOKUP(B24,[1]轻卡减震器总成!$AU$10:$AV$78,2,0)</f>
        <v>1.8559603893600001</v>
      </c>
    </row>
    <row r="25" spans="1:23" ht="62.25" customHeight="1" x14ac:dyDescent="0.25">
      <c r="A25" s="17" t="s">
        <v>87</v>
      </c>
      <c r="B25" s="33" t="s">
        <v>96</v>
      </c>
      <c r="C25" s="43" t="s">
        <v>97</v>
      </c>
      <c r="D25" s="36"/>
      <c r="E25" s="6">
        <v>1</v>
      </c>
      <c r="F25" s="25" t="s">
        <v>85</v>
      </c>
      <c r="G25" s="24">
        <v>6.22</v>
      </c>
      <c r="H25" s="24">
        <v>6.5195289399591552</v>
      </c>
      <c r="I25" s="106">
        <f t="shared" si="3"/>
        <v>6.22</v>
      </c>
      <c r="J25" s="24"/>
      <c r="K25" s="8"/>
      <c r="L25" s="101"/>
      <c r="M25" s="27"/>
      <c r="N25" s="8"/>
      <c r="O25" s="101"/>
      <c r="P25" s="42">
        <v>7.22</v>
      </c>
      <c r="Q25" s="42">
        <v>0.56000000000000005</v>
      </c>
      <c r="R25" s="32">
        <f t="shared" si="1"/>
        <v>7.7799999999999994</v>
      </c>
      <c r="S25" s="42">
        <v>7.22</v>
      </c>
      <c r="T25" s="42">
        <v>0.56000000000000005</v>
      </c>
      <c r="U25" s="32">
        <f>S25+T25</f>
        <v>7.7799999999999994</v>
      </c>
      <c r="V25" s="26">
        <f>VLOOKUP(B25,[1]轻卡减震器总成!$AU$10:$AV$78,2,0)</f>
        <v>0</v>
      </c>
      <c r="W25" s="41" t="s">
        <v>95</v>
      </c>
    </row>
    <row r="26" spans="1:23" ht="62.25" customHeight="1" x14ac:dyDescent="0.25">
      <c r="A26" s="17" t="s">
        <v>87</v>
      </c>
      <c r="B26" s="36" t="s">
        <v>98</v>
      </c>
      <c r="C26" s="37" t="s">
        <v>99</v>
      </c>
      <c r="D26" s="36"/>
      <c r="E26" s="6">
        <v>1</v>
      </c>
      <c r="F26" s="25" t="s">
        <v>85</v>
      </c>
      <c r="G26" s="24">
        <v>4.4655332400000001</v>
      </c>
      <c r="H26" s="24">
        <v>6.1437792846738164</v>
      </c>
      <c r="I26" s="106">
        <f t="shared" si="3"/>
        <v>4.4655332400000001</v>
      </c>
      <c r="J26" s="24"/>
      <c r="K26" s="8"/>
      <c r="L26" s="101"/>
      <c r="M26" s="27"/>
      <c r="N26" s="8"/>
      <c r="O26" s="101"/>
      <c r="P26" s="42">
        <v>6.94</v>
      </c>
      <c r="Q26" s="42">
        <v>0.56000000000000005</v>
      </c>
      <c r="R26" s="32">
        <f t="shared" si="1"/>
        <v>7.5</v>
      </c>
      <c r="S26" s="42">
        <v>6.94</v>
      </c>
      <c r="T26" s="42">
        <v>0.56000000000000005</v>
      </c>
      <c r="U26" s="32">
        <f t="shared" si="2"/>
        <v>7.5</v>
      </c>
      <c r="V26" s="26">
        <f>VLOOKUP(B26,[1]轻卡减震器总成!$AU$10:$AV$78,2,0)</f>
        <v>0</v>
      </c>
      <c r="W26" s="41" t="s">
        <v>95</v>
      </c>
    </row>
    <row r="27" spans="1:23" ht="62.25" customHeight="1" x14ac:dyDescent="0.25">
      <c r="A27" s="17" t="s">
        <v>87</v>
      </c>
      <c r="B27" s="38" t="s">
        <v>81</v>
      </c>
      <c r="C27" s="39" t="s">
        <v>82</v>
      </c>
      <c r="D27" s="38"/>
      <c r="E27" s="6">
        <v>1</v>
      </c>
      <c r="F27" s="40" t="s">
        <v>65</v>
      </c>
      <c r="G27" s="24">
        <v>1.7480557155600001</v>
      </c>
      <c r="H27" s="24">
        <v>0.90515672389380519</v>
      </c>
      <c r="I27" s="106">
        <f t="shared" si="3"/>
        <v>0.90515672389380519</v>
      </c>
      <c r="J27" s="24"/>
      <c r="K27" s="8"/>
      <c r="L27" s="101"/>
      <c r="M27" s="27"/>
      <c r="N27" s="8"/>
      <c r="O27" s="101"/>
      <c r="P27" s="42">
        <v>1.54</v>
      </c>
      <c r="Q27" s="42">
        <v>0.17</v>
      </c>
      <c r="R27" s="32">
        <f t="shared" si="1"/>
        <v>1.71</v>
      </c>
      <c r="S27" s="42">
        <v>1.54</v>
      </c>
      <c r="T27" s="42">
        <v>0.17</v>
      </c>
      <c r="U27" s="32">
        <f t="shared" si="2"/>
        <v>1.71</v>
      </c>
      <c r="V27" s="26">
        <f>VLOOKUP(B27,[1]轻卡减震器总成!$AU$10:$AV$78,2,0)</f>
        <v>1.7480557155600001</v>
      </c>
    </row>
    <row r="28" spans="1:23" ht="62.25" customHeight="1" x14ac:dyDescent="0.25">
      <c r="A28" s="17" t="s">
        <v>87</v>
      </c>
      <c r="B28" s="35" t="s">
        <v>83</v>
      </c>
      <c r="C28" s="35" t="s">
        <v>84</v>
      </c>
      <c r="D28" s="35"/>
      <c r="E28" s="6">
        <v>1</v>
      </c>
      <c r="F28" s="35" t="s">
        <v>86</v>
      </c>
      <c r="G28" s="24">
        <v>8.1656131479140335</v>
      </c>
      <c r="H28" s="24">
        <v>8.1656131479140335</v>
      </c>
      <c r="I28" s="106">
        <f t="shared" si="3"/>
        <v>8.1656131479140335</v>
      </c>
      <c r="J28" s="24"/>
      <c r="K28" s="8"/>
      <c r="L28" s="101"/>
      <c r="M28" s="27"/>
      <c r="N28" s="8"/>
      <c r="O28" s="101"/>
      <c r="P28" s="42">
        <v>11.69</v>
      </c>
      <c r="Q28" s="42">
        <v>0.93</v>
      </c>
      <c r="R28" s="32">
        <f t="shared" si="1"/>
        <v>12.62</v>
      </c>
      <c r="S28" s="42">
        <v>11.69</v>
      </c>
      <c r="T28" s="42">
        <v>0.93</v>
      </c>
      <c r="U28" s="32">
        <f t="shared" si="2"/>
        <v>12.62</v>
      </c>
      <c r="V28" s="26" t="e">
        <f>VLOOKUP(B28,[1]轻卡减震器总成!$AU$10:$AV$78,2,0)</f>
        <v>#N/A</v>
      </c>
    </row>
    <row r="29" spans="1:23" ht="17.25" customHeight="1" x14ac:dyDescent="0.25">
      <c r="A29" s="180" t="s">
        <v>11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04"/>
      <c r="T29" s="104"/>
      <c r="U29" s="104"/>
    </row>
    <row r="30" spans="1:23" x14ac:dyDescent="0.25">
      <c r="B30"/>
      <c r="C30"/>
      <c r="D30"/>
      <c r="E30"/>
      <c r="F30"/>
      <c r="G30"/>
      <c r="H30"/>
      <c r="I30"/>
      <c r="J30"/>
      <c r="K30"/>
      <c r="L30" s="29"/>
      <c r="M30" s="9"/>
      <c r="O30" s="31"/>
      <c r="R30" s="31"/>
      <c r="U30" s="31"/>
    </row>
    <row r="31" spans="1:23" x14ac:dyDescent="0.25">
      <c r="B31"/>
      <c r="C31"/>
      <c r="D31"/>
      <c r="E31"/>
      <c r="F31"/>
      <c r="G31"/>
      <c r="H31"/>
      <c r="I31"/>
      <c r="J31"/>
      <c r="K31"/>
      <c r="L31" s="29"/>
      <c r="O31" s="31"/>
    </row>
    <row r="32" spans="1:23" x14ac:dyDescent="0.25">
      <c r="B32"/>
      <c r="C32"/>
      <c r="D32"/>
      <c r="E32"/>
      <c r="F32"/>
      <c r="G32"/>
      <c r="H32"/>
      <c r="I32"/>
      <c r="J32"/>
      <c r="K32"/>
      <c r="L32" s="29"/>
    </row>
    <row r="33" spans="2:12" x14ac:dyDescent="0.25">
      <c r="B33"/>
      <c r="C33"/>
      <c r="D33"/>
      <c r="E33"/>
      <c r="F33"/>
      <c r="G33"/>
      <c r="H33"/>
      <c r="I33"/>
      <c r="J33"/>
      <c r="K33"/>
      <c r="L33" s="29"/>
    </row>
    <row r="34" spans="2:12" ht="13.5" customHeight="1" x14ac:dyDescent="0.25">
      <c r="B34"/>
      <c r="C34"/>
      <c r="D34"/>
      <c r="E34"/>
      <c r="F34"/>
      <c r="G34"/>
      <c r="H34"/>
      <c r="I34"/>
      <c r="J34"/>
      <c r="K34"/>
      <c r="L34" s="29"/>
    </row>
    <row r="35" spans="2:12" ht="13.5" customHeight="1" x14ac:dyDescent="0.25">
      <c r="B35"/>
      <c r="C35"/>
      <c r="D35"/>
      <c r="E35"/>
      <c r="F35"/>
      <c r="G35"/>
      <c r="H35"/>
      <c r="I35"/>
      <c r="J35"/>
      <c r="K35"/>
      <c r="L35" s="29"/>
    </row>
    <row r="36" spans="2:12" x14ac:dyDescent="0.25">
      <c r="B36"/>
      <c r="C36"/>
      <c r="D36"/>
      <c r="E36"/>
      <c r="F36"/>
      <c r="G36"/>
      <c r="H36"/>
      <c r="I36"/>
      <c r="J36"/>
      <c r="K36"/>
      <c r="L36" s="29"/>
    </row>
    <row r="37" spans="2:12" ht="13.5" customHeight="1" x14ac:dyDescent="0.25">
      <c r="B37"/>
      <c r="C37"/>
      <c r="D37"/>
      <c r="E37"/>
      <c r="F37"/>
      <c r="G37"/>
      <c r="H37"/>
      <c r="I37"/>
      <c r="J37"/>
      <c r="K37"/>
      <c r="L37" s="29"/>
    </row>
    <row r="38" spans="2:12" x14ac:dyDescent="0.25">
      <c r="B38"/>
      <c r="C38"/>
      <c r="D38"/>
      <c r="E38"/>
      <c r="F38"/>
      <c r="G38"/>
      <c r="H38"/>
      <c r="I38"/>
      <c r="J38"/>
      <c r="K38"/>
      <c r="L38" s="29"/>
    </row>
    <row r="39" spans="2:12" x14ac:dyDescent="0.25">
      <c r="B39"/>
      <c r="C39"/>
      <c r="D39"/>
      <c r="E39"/>
      <c r="F39"/>
      <c r="G39"/>
      <c r="H39"/>
      <c r="I39"/>
      <c r="J39"/>
      <c r="K39"/>
      <c r="L39" s="29"/>
    </row>
    <row r="40" spans="2:12" x14ac:dyDescent="0.25">
      <c r="B40"/>
      <c r="C40"/>
      <c r="D40"/>
      <c r="E40"/>
      <c r="F40"/>
      <c r="G40"/>
      <c r="H40"/>
      <c r="I40"/>
      <c r="J40"/>
      <c r="K40"/>
      <c r="L40" s="29"/>
    </row>
    <row r="41" spans="2:12" x14ac:dyDescent="0.25">
      <c r="B41"/>
      <c r="C41"/>
      <c r="D41"/>
      <c r="E41"/>
      <c r="F41"/>
      <c r="G41"/>
      <c r="H41"/>
      <c r="I41"/>
      <c r="J41"/>
      <c r="K41"/>
      <c r="L41" s="29"/>
    </row>
    <row r="42" spans="2:12" x14ac:dyDescent="0.25">
      <c r="B42"/>
      <c r="C42"/>
      <c r="D42"/>
      <c r="E42"/>
      <c r="F42"/>
      <c r="G42"/>
      <c r="H42"/>
      <c r="I42"/>
      <c r="J42"/>
      <c r="K42"/>
      <c r="L42" s="29"/>
    </row>
    <row r="43" spans="2:12" x14ac:dyDescent="0.25">
      <c r="B43"/>
      <c r="C43"/>
      <c r="D43"/>
      <c r="E43"/>
      <c r="F43"/>
      <c r="G43"/>
      <c r="H43"/>
      <c r="I43"/>
      <c r="J43"/>
      <c r="K43"/>
      <c r="L43" s="29"/>
    </row>
    <row r="44" spans="2:12" ht="13.5" customHeight="1" x14ac:dyDescent="0.25">
      <c r="B44"/>
      <c r="C44"/>
      <c r="D44"/>
      <c r="E44"/>
      <c r="F44"/>
      <c r="G44"/>
      <c r="H44"/>
      <c r="I44"/>
      <c r="J44"/>
      <c r="K44"/>
      <c r="L44" s="29"/>
    </row>
    <row r="45" spans="2:12" x14ac:dyDescent="0.25">
      <c r="B45"/>
      <c r="C45"/>
      <c r="D45"/>
      <c r="E45"/>
      <c r="F45"/>
      <c r="G45"/>
      <c r="H45"/>
      <c r="I45"/>
      <c r="J45"/>
      <c r="K45"/>
      <c r="L45" s="29"/>
    </row>
    <row r="46" spans="2:12" x14ac:dyDescent="0.25">
      <c r="B46"/>
      <c r="C46"/>
      <c r="D46"/>
      <c r="E46"/>
      <c r="F46"/>
      <c r="G46"/>
      <c r="H46"/>
      <c r="I46"/>
      <c r="J46"/>
      <c r="K46"/>
      <c r="L46" s="29"/>
    </row>
    <row r="47" spans="2:12" x14ac:dyDescent="0.25">
      <c r="B47"/>
      <c r="C47"/>
      <c r="D47"/>
      <c r="E47"/>
      <c r="F47"/>
      <c r="G47"/>
      <c r="H47"/>
      <c r="I47"/>
      <c r="J47"/>
      <c r="K47"/>
      <c r="L47" s="29"/>
    </row>
    <row r="48" spans="2:12" x14ac:dyDescent="0.25">
      <c r="B48"/>
      <c r="C48"/>
      <c r="D48"/>
      <c r="E48"/>
      <c r="F48"/>
      <c r="G48"/>
      <c r="H48"/>
      <c r="I48"/>
      <c r="J48"/>
      <c r="K48"/>
      <c r="L48" s="29"/>
    </row>
    <row r="49" spans="2:12" x14ac:dyDescent="0.25">
      <c r="B49"/>
      <c r="C49"/>
      <c r="D49"/>
      <c r="E49"/>
      <c r="F49"/>
      <c r="G49"/>
      <c r="H49"/>
      <c r="I49"/>
      <c r="J49"/>
      <c r="K49"/>
      <c r="L49" s="29"/>
    </row>
    <row r="50" spans="2:12" x14ac:dyDescent="0.25">
      <c r="B50"/>
      <c r="C50"/>
      <c r="D50"/>
      <c r="E50"/>
      <c r="F50"/>
      <c r="G50"/>
      <c r="H50"/>
      <c r="I50"/>
      <c r="J50"/>
      <c r="K50"/>
      <c r="L50" s="29"/>
    </row>
    <row r="51" spans="2:12" x14ac:dyDescent="0.25">
      <c r="B51"/>
      <c r="C51"/>
      <c r="D51"/>
      <c r="E51"/>
      <c r="F51"/>
      <c r="G51"/>
      <c r="H51"/>
      <c r="I51"/>
      <c r="J51"/>
      <c r="K51"/>
      <c r="L51" s="29"/>
    </row>
    <row r="52" spans="2:12" x14ac:dyDescent="0.25">
      <c r="B52"/>
      <c r="C52"/>
      <c r="D52"/>
      <c r="E52"/>
      <c r="F52"/>
      <c r="G52"/>
      <c r="H52"/>
      <c r="I52"/>
      <c r="J52"/>
      <c r="K52"/>
      <c r="L52" s="29"/>
    </row>
    <row r="53" spans="2:12" x14ac:dyDescent="0.25">
      <c r="B53"/>
      <c r="C53"/>
      <c r="D53"/>
      <c r="E53"/>
      <c r="F53"/>
      <c r="G53"/>
      <c r="H53"/>
      <c r="I53"/>
      <c r="J53"/>
      <c r="K53"/>
      <c r="L53" s="29"/>
    </row>
    <row r="54" spans="2:12" x14ac:dyDescent="0.25">
      <c r="B54"/>
      <c r="C54"/>
      <c r="D54"/>
      <c r="E54"/>
      <c r="F54"/>
      <c r="G54"/>
      <c r="H54"/>
      <c r="I54"/>
      <c r="J54"/>
      <c r="K54"/>
      <c r="L54" s="29"/>
    </row>
    <row r="55" spans="2:12" x14ac:dyDescent="0.25">
      <c r="B55"/>
      <c r="C55"/>
      <c r="D55"/>
      <c r="E55"/>
      <c r="F55"/>
      <c r="G55"/>
      <c r="H55"/>
      <c r="I55"/>
      <c r="J55"/>
      <c r="K55"/>
      <c r="L55" s="29"/>
    </row>
    <row r="56" spans="2:12" x14ac:dyDescent="0.25">
      <c r="B56"/>
      <c r="C56"/>
      <c r="D56"/>
      <c r="E56"/>
      <c r="F56"/>
      <c r="G56"/>
      <c r="H56"/>
      <c r="I56"/>
      <c r="J56"/>
      <c r="K56"/>
      <c r="L56" s="29"/>
    </row>
    <row r="57" spans="2:12" x14ac:dyDescent="0.25">
      <c r="B57"/>
      <c r="C57"/>
      <c r="D57"/>
      <c r="E57"/>
      <c r="F57"/>
      <c r="G57"/>
      <c r="H57"/>
      <c r="I57"/>
      <c r="J57"/>
      <c r="K57"/>
      <c r="L57" s="29"/>
    </row>
    <row r="58" spans="2:12" x14ac:dyDescent="0.25">
      <c r="B58"/>
      <c r="C58"/>
      <c r="D58"/>
      <c r="E58"/>
      <c r="F58"/>
      <c r="G58"/>
      <c r="H58"/>
      <c r="I58"/>
      <c r="J58"/>
      <c r="K58"/>
      <c r="L58" s="29"/>
    </row>
    <row r="59" spans="2:12" x14ac:dyDescent="0.25">
      <c r="B59"/>
      <c r="C59"/>
      <c r="D59"/>
      <c r="E59"/>
      <c r="F59"/>
      <c r="G59"/>
      <c r="H59"/>
      <c r="I59"/>
      <c r="J59"/>
      <c r="K59"/>
      <c r="L59" s="29"/>
    </row>
    <row r="60" spans="2:12" x14ac:dyDescent="0.25">
      <c r="B60"/>
      <c r="C60"/>
      <c r="D60"/>
      <c r="E60"/>
      <c r="F60"/>
      <c r="G60"/>
      <c r="H60"/>
      <c r="I60"/>
      <c r="J60"/>
      <c r="K60"/>
      <c r="L60" s="29"/>
    </row>
    <row r="61" spans="2:12" x14ac:dyDescent="0.25">
      <c r="B61"/>
      <c r="C61"/>
      <c r="D61"/>
      <c r="E61"/>
      <c r="F61"/>
      <c r="G61"/>
      <c r="H61"/>
      <c r="I61"/>
      <c r="J61"/>
      <c r="K61"/>
      <c r="L61" s="29"/>
    </row>
    <row r="62" spans="2:12" x14ac:dyDescent="0.25">
      <c r="B62"/>
      <c r="C62"/>
      <c r="D62"/>
      <c r="E62"/>
      <c r="F62"/>
      <c r="G62"/>
      <c r="H62"/>
      <c r="I62"/>
      <c r="J62"/>
      <c r="K62"/>
      <c r="L62" s="29"/>
    </row>
    <row r="63" spans="2:12" x14ac:dyDescent="0.25">
      <c r="B63"/>
      <c r="C63"/>
      <c r="D63"/>
      <c r="E63"/>
      <c r="F63"/>
      <c r="G63"/>
      <c r="H63"/>
      <c r="I63"/>
      <c r="J63"/>
      <c r="K63"/>
      <c r="L63" s="29"/>
    </row>
    <row r="64" spans="2:12" x14ac:dyDescent="0.25">
      <c r="B64"/>
      <c r="C64"/>
      <c r="D64"/>
      <c r="E64"/>
      <c r="F64"/>
      <c r="G64"/>
      <c r="H64"/>
      <c r="I64"/>
      <c r="J64"/>
      <c r="K64"/>
      <c r="L64" s="29"/>
    </row>
    <row r="65" spans="2:12" x14ac:dyDescent="0.25">
      <c r="B65"/>
      <c r="C65"/>
      <c r="D65"/>
      <c r="E65"/>
      <c r="F65"/>
      <c r="G65"/>
      <c r="H65"/>
      <c r="I65"/>
      <c r="J65"/>
      <c r="K65"/>
      <c r="L65" s="29"/>
    </row>
    <row r="66" spans="2:12" x14ac:dyDescent="0.25">
      <c r="B66"/>
      <c r="C66"/>
      <c r="D66"/>
      <c r="E66"/>
      <c r="F66"/>
      <c r="G66"/>
      <c r="H66"/>
      <c r="I66"/>
      <c r="J66"/>
      <c r="K66"/>
      <c r="L66" s="29"/>
    </row>
    <row r="67" spans="2:12" x14ac:dyDescent="0.25">
      <c r="B67"/>
      <c r="C67"/>
      <c r="D67"/>
      <c r="E67"/>
      <c r="F67"/>
      <c r="G67"/>
      <c r="H67"/>
      <c r="I67"/>
      <c r="J67"/>
      <c r="K67"/>
      <c r="L67" s="29"/>
    </row>
    <row r="68" spans="2:12" x14ac:dyDescent="0.25">
      <c r="B68"/>
      <c r="C68"/>
      <c r="D68"/>
      <c r="E68"/>
      <c r="F68"/>
      <c r="G68"/>
      <c r="H68"/>
      <c r="I68"/>
      <c r="J68"/>
      <c r="K68"/>
      <c r="L68" s="29"/>
    </row>
    <row r="69" spans="2:12" x14ac:dyDescent="0.25">
      <c r="B69"/>
      <c r="C69"/>
      <c r="D69"/>
      <c r="E69"/>
      <c r="F69"/>
      <c r="G69"/>
      <c r="H69"/>
      <c r="I69"/>
      <c r="J69"/>
      <c r="K69"/>
      <c r="L69" s="29"/>
    </row>
    <row r="70" spans="2:12" x14ac:dyDescent="0.25">
      <c r="B70"/>
      <c r="C70"/>
      <c r="D70"/>
      <c r="E70"/>
      <c r="F70"/>
      <c r="G70"/>
      <c r="H70"/>
      <c r="I70"/>
      <c r="J70"/>
      <c r="K70"/>
      <c r="L70" s="29"/>
    </row>
    <row r="71" spans="2:12" x14ac:dyDescent="0.25">
      <c r="B71"/>
      <c r="C71"/>
      <c r="D71"/>
      <c r="E71"/>
      <c r="F71"/>
      <c r="G71"/>
      <c r="H71"/>
      <c r="I71"/>
      <c r="J71"/>
      <c r="K71"/>
      <c r="L71" s="29"/>
    </row>
    <row r="72" spans="2:12" x14ac:dyDescent="0.25">
      <c r="B72"/>
      <c r="C72"/>
      <c r="D72"/>
      <c r="E72"/>
      <c r="F72"/>
      <c r="G72"/>
      <c r="H72"/>
      <c r="I72"/>
      <c r="J72"/>
      <c r="K72"/>
      <c r="L72" s="29"/>
    </row>
    <row r="73" spans="2:12" x14ac:dyDescent="0.25">
      <c r="B73"/>
      <c r="C73"/>
      <c r="D73"/>
      <c r="E73"/>
      <c r="F73"/>
      <c r="G73"/>
      <c r="H73"/>
      <c r="I73"/>
      <c r="J73"/>
      <c r="K73"/>
      <c r="L73" s="29"/>
    </row>
    <row r="74" spans="2:12" x14ac:dyDescent="0.25">
      <c r="B74"/>
      <c r="C74"/>
      <c r="D74"/>
      <c r="E74"/>
      <c r="F74"/>
      <c r="G74"/>
      <c r="H74"/>
      <c r="I74"/>
      <c r="J74"/>
      <c r="K74"/>
      <c r="L74" s="29"/>
    </row>
    <row r="75" spans="2:12" x14ac:dyDescent="0.25">
      <c r="B75"/>
      <c r="C75"/>
      <c r="D75"/>
      <c r="E75"/>
      <c r="F75"/>
      <c r="G75"/>
      <c r="H75"/>
      <c r="I75"/>
      <c r="J75"/>
      <c r="K75"/>
      <c r="L75" s="29"/>
    </row>
    <row r="76" spans="2:12" x14ac:dyDescent="0.25">
      <c r="B76"/>
      <c r="C76"/>
      <c r="D76"/>
      <c r="E76"/>
      <c r="F76"/>
      <c r="G76"/>
      <c r="H76"/>
      <c r="I76"/>
      <c r="J76"/>
      <c r="K76"/>
      <c r="L76" s="29"/>
    </row>
    <row r="77" spans="2:12" x14ac:dyDescent="0.25">
      <c r="B77"/>
      <c r="C77"/>
      <c r="D77"/>
      <c r="E77"/>
      <c r="F77"/>
      <c r="G77"/>
      <c r="H77"/>
      <c r="I77"/>
      <c r="J77"/>
      <c r="K77"/>
      <c r="L77" s="29"/>
    </row>
    <row r="78" spans="2:12" x14ac:dyDescent="0.25">
      <c r="B78"/>
      <c r="C78"/>
      <c r="D78"/>
      <c r="E78"/>
      <c r="F78"/>
      <c r="G78"/>
      <c r="H78"/>
      <c r="I78"/>
      <c r="J78"/>
      <c r="K78"/>
      <c r="L78" s="29"/>
    </row>
    <row r="79" spans="2:12" x14ac:dyDescent="0.25">
      <c r="B79"/>
      <c r="C79"/>
      <c r="D79"/>
      <c r="E79"/>
      <c r="F79"/>
      <c r="G79"/>
      <c r="H79"/>
      <c r="I79"/>
      <c r="J79"/>
      <c r="K79"/>
      <c r="L79" s="29"/>
    </row>
    <row r="80" spans="2:12" x14ac:dyDescent="0.25">
      <c r="B80"/>
      <c r="C80"/>
      <c r="D80"/>
      <c r="E80"/>
      <c r="F80"/>
      <c r="G80"/>
      <c r="H80"/>
      <c r="I80"/>
      <c r="J80"/>
      <c r="K80"/>
      <c r="L80" s="29"/>
    </row>
    <row r="81" spans="2:12" x14ac:dyDescent="0.25">
      <c r="B81"/>
      <c r="C81"/>
      <c r="D81"/>
      <c r="E81"/>
      <c r="F81"/>
      <c r="G81"/>
      <c r="H81"/>
      <c r="I81"/>
      <c r="J81"/>
      <c r="K81"/>
      <c r="L81" s="29"/>
    </row>
    <row r="82" spans="2:12" x14ac:dyDescent="0.25">
      <c r="B82"/>
      <c r="C82"/>
      <c r="D82"/>
      <c r="E82"/>
      <c r="F82"/>
      <c r="G82"/>
      <c r="H82"/>
      <c r="I82"/>
      <c r="J82"/>
      <c r="K82"/>
      <c r="L82" s="29"/>
    </row>
    <row r="83" spans="2:12" x14ac:dyDescent="0.25">
      <c r="B83"/>
      <c r="C83"/>
      <c r="D83"/>
      <c r="E83"/>
      <c r="F83"/>
      <c r="G83"/>
      <c r="H83"/>
      <c r="I83"/>
      <c r="J83"/>
      <c r="K83"/>
      <c r="L83" s="29"/>
    </row>
    <row r="84" spans="2:12" x14ac:dyDescent="0.25">
      <c r="B84"/>
      <c r="C84"/>
      <c r="D84"/>
      <c r="E84"/>
      <c r="F84"/>
      <c r="G84"/>
      <c r="H84"/>
      <c r="I84"/>
      <c r="J84"/>
      <c r="K84"/>
      <c r="L84" s="29"/>
    </row>
    <row r="85" spans="2:12" x14ac:dyDescent="0.25">
      <c r="B85"/>
      <c r="C85"/>
      <c r="D85"/>
      <c r="E85"/>
      <c r="F85"/>
      <c r="G85"/>
      <c r="H85"/>
      <c r="I85"/>
      <c r="J85"/>
      <c r="K85"/>
      <c r="L85" s="29"/>
    </row>
    <row r="86" spans="2:12" x14ac:dyDescent="0.25">
      <c r="B86"/>
      <c r="C86"/>
      <c r="D86"/>
      <c r="E86"/>
      <c r="F86"/>
      <c r="G86"/>
      <c r="H86"/>
      <c r="I86"/>
      <c r="J86"/>
      <c r="K86"/>
      <c r="L86" s="29"/>
    </row>
    <row r="87" spans="2:12" x14ac:dyDescent="0.25">
      <c r="B87"/>
      <c r="C87"/>
      <c r="D87"/>
      <c r="E87"/>
      <c r="F87"/>
      <c r="G87"/>
      <c r="H87"/>
      <c r="I87"/>
      <c r="J87"/>
      <c r="K87"/>
      <c r="L87" s="29"/>
    </row>
    <row r="88" spans="2:12" x14ac:dyDescent="0.25">
      <c r="B88"/>
      <c r="C88"/>
      <c r="D88"/>
      <c r="E88"/>
      <c r="F88"/>
      <c r="G88"/>
      <c r="H88"/>
      <c r="I88"/>
      <c r="J88"/>
      <c r="K88"/>
      <c r="L88" s="29"/>
    </row>
    <row r="89" spans="2:12" x14ac:dyDescent="0.25">
      <c r="B89"/>
      <c r="C89"/>
      <c r="D89"/>
      <c r="E89"/>
      <c r="F89"/>
      <c r="G89"/>
      <c r="H89"/>
      <c r="I89"/>
      <c r="J89"/>
      <c r="K89"/>
      <c r="L89" s="29"/>
    </row>
    <row r="90" spans="2:12" x14ac:dyDescent="0.25">
      <c r="B90"/>
      <c r="C90"/>
      <c r="D90"/>
      <c r="E90"/>
      <c r="F90"/>
      <c r="G90"/>
      <c r="H90"/>
      <c r="I90"/>
      <c r="J90"/>
      <c r="K90"/>
      <c r="L90" s="29"/>
    </row>
    <row r="91" spans="2:12" x14ac:dyDescent="0.25">
      <c r="B91"/>
      <c r="C91"/>
      <c r="D91"/>
      <c r="E91"/>
      <c r="F91"/>
      <c r="G91"/>
      <c r="H91"/>
      <c r="I91"/>
      <c r="J91"/>
      <c r="K91"/>
      <c r="L91" s="29"/>
    </row>
    <row r="92" spans="2:12" x14ac:dyDescent="0.25">
      <c r="B92"/>
      <c r="C92"/>
      <c r="D92"/>
      <c r="E92"/>
      <c r="F92"/>
      <c r="G92"/>
      <c r="H92"/>
      <c r="I92"/>
      <c r="J92"/>
      <c r="K92"/>
      <c r="L92" s="29"/>
    </row>
    <row r="93" spans="2:12" x14ac:dyDescent="0.25">
      <c r="B93"/>
      <c r="C93"/>
      <c r="D93"/>
      <c r="E93"/>
      <c r="F93"/>
      <c r="G93"/>
      <c r="H93"/>
      <c r="I93"/>
      <c r="J93"/>
      <c r="K93"/>
      <c r="L93" s="29"/>
    </row>
    <row r="94" spans="2:12" x14ac:dyDescent="0.25">
      <c r="B94"/>
      <c r="C94"/>
      <c r="D94"/>
      <c r="E94"/>
      <c r="F94"/>
      <c r="G94"/>
      <c r="H94"/>
      <c r="I94"/>
      <c r="J94"/>
      <c r="K94"/>
      <c r="L94" s="29"/>
    </row>
    <row r="95" spans="2:12" x14ac:dyDescent="0.25">
      <c r="B95"/>
      <c r="C95"/>
      <c r="D95"/>
      <c r="E95"/>
      <c r="F95"/>
      <c r="G95"/>
      <c r="H95"/>
      <c r="I95"/>
      <c r="J95"/>
      <c r="K95"/>
      <c r="L95" s="29"/>
    </row>
    <row r="96" spans="2:12" x14ac:dyDescent="0.25">
      <c r="B96"/>
      <c r="C96"/>
      <c r="D96"/>
      <c r="E96"/>
      <c r="F96"/>
      <c r="G96"/>
      <c r="H96"/>
      <c r="I96"/>
      <c r="J96"/>
      <c r="K96"/>
      <c r="L96" s="29"/>
    </row>
    <row r="97" spans="2:12" x14ac:dyDescent="0.25">
      <c r="B97"/>
      <c r="C97"/>
      <c r="D97"/>
      <c r="E97"/>
      <c r="F97"/>
      <c r="G97"/>
      <c r="H97"/>
      <c r="I97"/>
      <c r="J97"/>
      <c r="K97"/>
      <c r="L97" s="29"/>
    </row>
    <row r="98" spans="2:12" x14ac:dyDescent="0.25">
      <c r="B98"/>
      <c r="C98"/>
      <c r="D98"/>
      <c r="E98"/>
      <c r="F98"/>
      <c r="G98"/>
      <c r="H98"/>
      <c r="I98"/>
      <c r="J98"/>
      <c r="K98"/>
      <c r="L98" s="29"/>
    </row>
    <row r="99" spans="2:12" x14ac:dyDescent="0.25">
      <c r="B99"/>
      <c r="C99"/>
      <c r="D99"/>
      <c r="E99"/>
      <c r="F99"/>
      <c r="G99"/>
      <c r="H99"/>
      <c r="I99"/>
      <c r="J99"/>
      <c r="K99"/>
      <c r="L99" s="29"/>
    </row>
    <row r="100" spans="2:12" x14ac:dyDescent="0.25">
      <c r="B100"/>
      <c r="C100"/>
      <c r="D100"/>
      <c r="E100"/>
      <c r="F100"/>
      <c r="G100"/>
      <c r="H100"/>
      <c r="I100"/>
      <c r="J100"/>
      <c r="K100"/>
      <c r="L100" s="29"/>
    </row>
    <row r="101" spans="2:12" x14ac:dyDescent="0.25">
      <c r="B101"/>
      <c r="C101"/>
      <c r="D101"/>
      <c r="E101"/>
      <c r="F101"/>
      <c r="G101"/>
      <c r="H101"/>
      <c r="I101"/>
      <c r="J101"/>
      <c r="K101"/>
      <c r="L101" s="29"/>
    </row>
    <row r="102" spans="2:12" x14ac:dyDescent="0.25">
      <c r="B102"/>
      <c r="C102"/>
      <c r="D102"/>
      <c r="E102"/>
      <c r="F102"/>
      <c r="G102"/>
      <c r="H102"/>
      <c r="I102"/>
      <c r="J102"/>
      <c r="K102"/>
      <c r="L102" s="29"/>
    </row>
    <row r="103" spans="2:12" x14ac:dyDescent="0.25">
      <c r="B103"/>
      <c r="C103"/>
      <c r="D103"/>
      <c r="E103"/>
      <c r="F103"/>
      <c r="G103"/>
      <c r="H103"/>
      <c r="I103"/>
      <c r="J103"/>
      <c r="K103"/>
      <c r="L103" s="29"/>
    </row>
    <row r="104" spans="2:12" x14ac:dyDescent="0.25">
      <c r="B104"/>
      <c r="C104"/>
      <c r="D104"/>
      <c r="E104"/>
      <c r="F104"/>
      <c r="G104"/>
      <c r="H104"/>
      <c r="I104"/>
      <c r="J104"/>
      <c r="K104"/>
      <c r="L104" s="29"/>
    </row>
    <row r="105" spans="2:12" x14ac:dyDescent="0.25">
      <c r="B105"/>
      <c r="C105"/>
      <c r="D105"/>
      <c r="E105"/>
      <c r="F105"/>
      <c r="G105"/>
      <c r="H105"/>
      <c r="I105"/>
      <c r="J105"/>
      <c r="K105"/>
      <c r="L105" s="29"/>
    </row>
    <row r="106" spans="2:12" x14ac:dyDescent="0.25">
      <c r="B106"/>
      <c r="C106"/>
      <c r="D106"/>
      <c r="E106"/>
      <c r="F106"/>
      <c r="G106"/>
      <c r="H106"/>
      <c r="I106"/>
      <c r="J106"/>
      <c r="K106"/>
      <c r="L106" s="29"/>
    </row>
    <row r="107" spans="2:12" x14ac:dyDescent="0.25">
      <c r="B107"/>
      <c r="C107"/>
      <c r="D107"/>
      <c r="E107"/>
      <c r="F107"/>
      <c r="G107"/>
      <c r="H107"/>
      <c r="I107"/>
      <c r="J107"/>
      <c r="K107"/>
      <c r="L107" s="29"/>
    </row>
    <row r="108" spans="2:12" x14ac:dyDescent="0.25">
      <c r="B108"/>
      <c r="C108"/>
      <c r="D108"/>
      <c r="E108"/>
      <c r="F108"/>
      <c r="G108"/>
      <c r="H108"/>
      <c r="I108"/>
      <c r="J108"/>
      <c r="K108"/>
      <c r="L108" s="29"/>
    </row>
    <row r="109" spans="2:12" x14ac:dyDescent="0.25">
      <c r="B109"/>
      <c r="C109"/>
      <c r="D109"/>
      <c r="E109"/>
      <c r="F109"/>
      <c r="G109"/>
      <c r="H109"/>
      <c r="I109"/>
      <c r="J109"/>
      <c r="K109"/>
      <c r="L109" s="29"/>
    </row>
    <row r="110" spans="2:12" x14ac:dyDescent="0.25">
      <c r="B110"/>
      <c r="C110"/>
      <c r="D110"/>
      <c r="E110"/>
      <c r="F110"/>
      <c r="G110"/>
      <c r="H110"/>
      <c r="I110"/>
      <c r="J110"/>
      <c r="K110"/>
      <c r="L110" s="29"/>
    </row>
    <row r="111" spans="2:12" x14ac:dyDescent="0.25">
      <c r="B111"/>
      <c r="C111"/>
      <c r="D111"/>
      <c r="E111"/>
      <c r="F111"/>
      <c r="G111"/>
      <c r="H111"/>
      <c r="I111"/>
      <c r="J111"/>
      <c r="K111"/>
      <c r="L111" s="29"/>
    </row>
    <row r="112" spans="2:12" x14ac:dyDescent="0.25">
      <c r="B112"/>
      <c r="C112"/>
      <c r="D112"/>
      <c r="E112"/>
      <c r="F112"/>
      <c r="G112"/>
      <c r="H112"/>
      <c r="I112"/>
      <c r="J112"/>
      <c r="K112"/>
      <c r="L112" s="29"/>
    </row>
  </sheetData>
  <autoFilter ref="A3:X29" xr:uid="{00000000-0001-0000-0100-000000000000}"/>
  <mergeCells count="15">
    <mergeCell ref="S2:U2"/>
    <mergeCell ref="A29:R29"/>
    <mergeCell ref="B1:R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M2:O2"/>
    <mergeCell ref="P2:R2"/>
  </mergeCells>
  <phoneticPr fontId="6" type="noConversion"/>
  <conditionalFormatting sqref="B27">
    <cfRule type="duplicateValues" dxfId="32" priority="1"/>
  </conditionalFormatting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E7FF-907A-40CC-B884-700D15C6DE23}">
  <dimension ref="A1:O158"/>
  <sheetViews>
    <sheetView tabSelected="1"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M8" sqref="M8"/>
    </sheetView>
  </sheetViews>
  <sheetFormatPr defaultColWidth="9" defaultRowHeight="14.4" x14ac:dyDescent="0.25"/>
  <cols>
    <col min="1" max="1" width="22.77734375" style="44" customWidth="1"/>
    <col min="2" max="2" width="11.109375" style="131" customWidth="1"/>
    <col min="3" max="3" width="14.6640625" style="131" customWidth="1"/>
    <col min="4" max="4" width="12.109375" style="66" customWidth="1"/>
    <col min="5" max="5" width="3.6640625" style="71" customWidth="1"/>
    <col min="6" max="6" width="11.88671875" style="71" customWidth="1"/>
    <col min="7" max="8" width="13.44140625" style="71" hidden="1" customWidth="1"/>
    <col min="9" max="9" width="16.109375" style="71" customWidth="1"/>
    <col min="10" max="10" width="6.33203125" style="44" customWidth="1"/>
    <col min="11" max="11" width="7.44140625" style="44" customWidth="1"/>
    <col min="12" max="12" width="9.88671875" style="129" customWidth="1"/>
    <col min="13" max="13" width="6.33203125" style="44" customWidth="1"/>
    <col min="14" max="14" width="7.44140625" style="44" customWidth="1"/>
    <col min="15" max="15" width="9.88671875" style="129" customWidth="1"/>
    <col min="16" max="16384" width="9" style="44"/>
  </cols>
  <sheetData>
    <row r="1" spans="1:15" ht="20.399999999999999" x14ac:dyDescent="0.25">
      <c r="B1" s="194" t="s">
        <v>198</v>
      </c>
      <c r="C1" s="194"/>
      <c r="D1" s="194"/>
      <c r="E1" s="194"/>
      <c r="F1" s="194"/>
      <c r="G1" s="194"/>
      <c r="H1" s="194"/>
      <c r="I1" s="194"/>
      <c r="J1" s="111"/>
      <c r="K1" s="111"/>
      <c r="L1" s="111"/>
      <c r="M1" s="176"/>
      <c r="N1" s="176"/>
      <c r="O1" s="176"/>
    </row>
    <row r="2" spans="1:15" x14ac:dyDescent="0.25">
      <c r="A2" s="195" t="s">
        <v>92</v>
      </c>
      <c r="B2" s="196" t="s">
        <v>0</v>
      </c>
      <c r="C2" s="196" t="s">
        <v>1</v>
      </c>
      <c r="D2" s="197" t="s">
        <v>2</v>
      </c>
      <c r="E2" s="197" t="s">
        <v>4</v>
      </c>
      <c r="F2" s="196" t="s">
        <v>7</v>
      </c>
      <c r="G2" s="197" t="s">
        <v>189</v>
      </c>
      <c r="H2" s="197" t="s">
        <v>188</v>
      </c>
      <c r="I2" s="198" t="s">
        <v>191</v>
      </c>
      <c r="J2" s="193" t="s">
        <v>201</v>
      </c>
      <c r="K2" s="193"/>
      <c r="L2" s="193"/>
      <c r="M2" s="193" t="s">
        <v>208</v>
      </c>
      <c r="N2" s="193"/>
      <c r="O2" s="193"/>
    </row>
    <row r="3" spans="1:15" ht="27.75" customHeight="1" x14ac:dyDescent="0.25">
      <c r="A3" s="195"/>
      <c r="B3" s="196"/>
      <c r="C3" s="196"/>
      <c r="D3" s="197"/>
      <c r="E3" s="197"/>
      <c r="F3" s="196"/>
      <c r="G3" s="197"/>
      <c r="H3" s="197"/>
      <c r="I3" s="198"/>
      <c r="J3" s="112" t="s">
        <v>8</v>
      </c>
      <c r="K3" s="112" t="s">
        <v>9</v>
      </c>
      <c r="L3" s="112" t="s">
        <v>10</v>
      </c>
      <c r="M3" s="177" t="s">
        <v>8</v>
      </c>
      <c r="N3" s="177" t="s">
        <v>9</v>
      </c>
      <c r="O3" s="177" t="s">
        <v>10</v>
      </c>
    </row>
    <row r="4" spans="1:15" ht="62.25" customHeight="1" x14ac:dyDescent="0.25">
      <c r="A4" s="113" t="s">
        <v>87</v>
      </c>
      <c r="B4" s="36" t="s">
        <v>88</v>
      </c>
      <c r="C4" s="37" t="s">
        <v>89</v>
      </c>
      <c r="D4" s="36"/>
      <c r="E4" s="115">
        <v>1</v>
      </c>
      <c r="F4" s="25" t="s">
        <v>65</v>
      </c>
      <c r="G4" s="117">
        <v>1.8559603893600001</v>
      </c>
      <c r="H4" s="117">
        <f>VLOOKUP(B4,[2]冲压件核价!E24:AB284,24,0)</f>
        <v>0.94030034336283175</v>
      </c>
      <c r="I4" s="118">
        <f t="shared" ref="I4:I7" si="0">IF(G4&lt;=H4,G4,H4)</f>
        <v>0.94030034336283175</v>
      </c>
      <c r="J4" s="115">
        <f>1.34/1.13</f>
        <v>1.1858407079646021</v>
      </c>
      <c r="K4" s="115">
        <v>8.0000000000000016E-2</v>
      </c>
      <c r="L4" s="120">
        <f>J4+K4</f>
        <v>1.2658407079646021</v>
      </c>
      <c r="M4" s="115">
        <v>1.18</v>
      </c>
      <c r="N4" s="115">
        <v>8.0000000000000016E-2</v>
      </c>
      <c r="O4" s="120">
        <f>M4+N4</f>
        <v>1.26</v>
      </c>
    </row>
    <row r="5" spans="1:15" ht="62.25" customHeight="1" x14ac:dyDescent="0.25">
      <c r="A5" s="113" t="s">
        <v>87</v>
      </c>
      <c r="B5" s="36" t="s">
        <v>96</v>
      </c>
      <c r="C5" s="126" t="s">
        <v>97</v>
      </c>
      <c r="D5" s="36"/>
      <c r="E5" s="115">
        <v>1</v>
      </c>
      <c r="F5" s="25" t="s">
        <v>85</v>
      </c>
      <c r="G5" s="117">
        <v>6.22</v>
      </c>
      <c r="H5" s="117">
        <f>VLOOKUP(B5,[2]冲压件核价!E25:AB285,24,0)</f>
        <v>6.5195289399591552</v>
      </c>
      <c r="I5" s="118">
        <f t="shared" si="0"/>
        <v>6.22</v>
      </c>
      <c r="J5" s="115">
        <f>16.89/1.13</f>
        <v>14.946902654867259</v>
      </c>
      <c r="K5" s="115">
        <v>8.0000000000000016E-2</v>
      </c>
      <c r="L5" s="120">
        <f t="shared" ref="L5:L7" si="1">J5+K5</f>
        <v>15.026902654867259</v>
      </c>
      <c r="M5" s="115">
        <v>13.72</v>
      </c>
      <c r="N5" s="115">
        <v>8.0000000000000016E-2</v>
      </c>
      <c r="O5" s="120">
        <f t="shared" ref="O5:O7" si="2">M5+N5</f>
        <v>13.8</v>
      </c>
    </row>
    <row r="6" spans="1:15" ht="62.25" customHeight="1" x14ac:dyDescent="0.25">
      <c r="A6" s="113" t="s">
        <v>87</v>
      </c>
      <c r="B6" s="36" t="s">
        <v>98</v>
      </c>
      <c r="C6" s="37" t="s">
        <v>99</v>
      </c>
      <c r="D6" s="36"/>
      <c r="E6" s="115">
        <v>1</v>
      </c>
      <c r="F6" s="25" t="s">
        <v>85</v>
      </c>
      <c r="G6" s="117">
        <v>4.4655332400000001</v>
      </c>
      <c r="H6" s="117">
        <f>VLOOKUP(B6,[2]冲压件核价!E28:AB286,24,0)</f>
        <v>6.1437792846738164</v>
      </c>
      <c r="I6" s="118">
        <f t="shared" si="0"/>
        <v>4.4655332400000001</v>
      </c>
      <c r="J6" s="115">
        <f>10.2/1.13</f>
        <v>9.0265486725663724</v>
      </c>
      <c r="K6" s="115">
        <v>7.0796460176991163E-2</v>
      </c>
      <c r="L6" s="120">
        <f t="shared" si="1"/>
        <v>9.0973451327433636</v>
      </c>
      <c r="M6" s="115">
        <v>8.32</v>
      </c>
      <c r="N6" s="115">
        <v>7.0796460176991163E-2</v>
      </c>
      <c r="O6" s="120">
        <f t="shared" si="2"/>
        <v>8.3907964601769915</v>
      </c>
    </row>
    <row r="7" spans="1:15" ht="62.25" customHeight="1" x14ac:dyDescent="0.25">
      <c r="A7" s="113" t="s">
        <v>87</v>
      </c>
      <c r="B7" s="127" t="s">
        <v>81</v>
      </c>
      <c r="C7" s="128" t="s">
        <v>82</v>
      </c>
      <c r="D7" s="127"/>
      <c r="E7" s="115">
        <v>1</v>
      </c>
      <c r="F7" s="40" t="s">
        <v>65</v>
      </c>
      <c r="G7" s="117">
        <v>1.7480557155600001</v>
      </c>
      <c r="H7" s="117">
        <f>VLOOKUP(B7,[2]冲压件核价!E29:AB287,24,0)</f>
        <v>0.90515672389380519</v>
      </c>
      <c r="I7" s="118">
        <f t="shared" si="0"/>
        <v>0.90515672389380519</v>
      </c>
      <c r="J7" s="115">
        <f>1.34/1.13</f>
        <v>1.1858407079646021</v>
      </c>
      <c r="K7" s="115">
        <v>8.0000000000000016E-2</v>
      </c>
      <c r="L7" s="120">
        <f t="shared" si="1"/>
        <v>1.2658407079646021</v>
      </c>
      <c r="M7" s="115">
        <v>1.18</v>
      </c>
      <c r="N7" s="115">
        <v>8.0000000000000016E-2</v>
      </c>
      <c r="O7" s="120">
        <f t="shared" si="2"/>
        <v>1.26</v>
      </c>
    </row>
    <row r="8" spans="1:15" ht="25.8" customHeight="1" x14ac:dyDescent="0.25">
      <c r="A8" s="142"/>
      <c r="B8" s="138"/>
      <c r="C8" s="138"/>
      <c r="D8" s="138"/>
      <c r="E8" s="139"/>
      <c r="F8" s="138"/>
      <c r="G8" s="140"/>
      <c r="H8" s="140"/>
      <c r="I8" s="140">
        <f>SUM(I4:I7)</f>
        <v>12.530990307256637</v>
      </c>
      <c r="J8" s="139">
        <f>SUM(J4:J7)</f>
        <v>26.345132743362832</v>
      </c>
      <c r="K8" s="139"/>
      <c r="L8" s="141"/>
      <c r="M8" s="139">
        <f>SUM(M4:M7)</f>
        <v>24.4</v>
      </c>
      <c r="N8" s="139"/>
      <c r="O8" s="141"/>
    </row>
    <row r="9" spans="1:15" ht="17.25" customHeight="1" x14ac:dyDescent="0.25">
      <c r="A9" s="246" t="s">
        <v>11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</row>
    <row r="10" spans="1:15" x14ac:dyDescent="0.25">
      <c r="B10" s="44"/>
      <c r="C10" s="44"/>
      <c r="D10" s="44"/>
      <c r="E10" s="44"/>
      <c r="F10" s="44"/>
      <c r="G10" s="44"/>
      <c r="H10" s="44"/>
      <c r="I10" s="44"/>
      <c r="L10" s="130"/>
      <c r="O10" s="130"/>
    </row>
    <row r="11" spans="1:15" x14ac:dyDescent="0.25">
      <c r="B11" s="44"/>
      <c r="C11" s="44"/>
      <c r="D11" s="44"/>
      <c r="E11" s="44"/>
      <c r="F11" s="44"/>
      <c r="G11" s="44"/>
      <c r="H11" s="44"/>
      <c r="I11" s="44"/>
      <c r="L11" s="44"/>
      <c r="O11" s="44"/>
    </row>
    <row r="12" spans="1:15" x14ac:dyDescent="0.25">
      <c r="B12" s="44"/>
      <c r="C12" s="44"/>
      <c r="D12" s="44"/>
      <c r="E12" s="44"/>
      <c r="F12" s="44"/>
      <c r="G12" s="44"/>
      <c r="H12" s="44"/>
      <c r="I12" s="44"/>
      <c r="L12" s="44"/>
      <c r="O12" s="44"/>
    </row>
    <row r="13" spans="1:15" x14ac:dyDescent="0.25">
      <c r="B13" s="44"/>
      <c r="C13" s="44"/>
      <c r="D13" s="44"/>
      <c r="E13" s="44"/>
      <c r="F13" s="44"/>
      <c r="G13" s="44"/>
      <c r="H13" s="44"/>
      <c r="I13" s="44"/>
      <c r="L13" s="44"/>
      <c r="O13" s="44"/>
    </row>
    <row r="14" spans="1:15" ht="13.5" customHeight="1" x14ac:dyDescent="0.25">
      <c r="B14" s="44"/>
      <c r="C14" s="44"/>
      <c r="D14" s="44"/>
      <c r="E14" s="44"/>
      <c r="F14" s="44"/>
      <c r="G14" s="44"/>
      <c r="H14" s="44"/>
      <c r="I14" s="44"/>
      <c r="L14" s="44"/>
      <c r="O14" s="44"/>
    </row>
    <row r="15" spans="1:15" ht="13.5" customHeight="1" x14ac:dyDescent="0.25">
      <c r="B15" s="44"/>
      <c r="C15" s="44"/>
      <c r="D15" s="44"/>
      <c r="E15" s="44"/>
      <c r="F15" s="44"/>
      <c r="G15" s="44"/>
      <c r="H15" s="44"/>
      <c r="I15" s="44"/>
      <c r="L15" s="44"/>
      <c r="O15" s="44"/>
    </row>
    <row r="16" spans="1:15" x14ac:dyDescent="0.25">
      <c r="B16" s="44"/>
      <c r="C16" s="44"/>
      <c r="D16" s="44"/>
      <c r="E16" s="44"/>
      <c r="F16" s="44"/>
      <c r="G16" s="44"/>
      <c r="H16" s="44"/>
      <c r="I16" s="44"/>
      <c r="L16" s="44"/>
      <c r="O16" s="44"/>
    </row>
    <row r="17" s="44" customFormat="1" ht="13.5" customHeight="1" x14ac:dyDescent="0.25"/>
    <row r="18" s="44" customFormat="1" x14ac:dyDescent="0.25"/>
    <row r="19" s="44" customFormat="1" x14ac:dyDescent="0.25"/>
    <row r="20" s="44" customFormat="1" x14ac:dyDescent="0.25"/>
    <row r="21" s="44" customFormat="1" x14ac:dyDescent="0.25"/>
    <row r="22" s="44" customFormat="1" x14ac:dyDescent="0.25"/>
    <row r="23" s="44" customFormat="1" x14ac:dyDescent="0.25"/>
    <row r="24" s="44" customFormat="1" ht="13.5" customHeight="1" x14ac:dyDescent="0.25"/>
    <row r="25" s="44" customFormat="1" x14ac:dyDescent="0.25"/>
    <row r="26" s="44" customFormat="1" x14ac:dyDescent="0.25"/>
    <row r="27" s="44" customFormat="1" x14ac:dyDescent="0.25"/>
    <row r="28" s="44" customFormat="1" x14ac:dyDescent="0.25"/>
    <row r="29" s="44" customFormat="1" x14ac:dyDescent="0.25"/>
    <row r="30" s="44" customFormat="1" x14ac:dyDescent="0.25"/>
    <row r="31" s="44" customFormat="1" x14ac:dyDescent="0.25"/>
    <row r="32" s="44" customFormat="1" x14ac:dyDescent="0.25"/>
    <row r="33" s="44" customFormat="1" x14ac:dyDescent="0.25"/>
    <row r="34" s="44" customFormat="1" x14ac:dyDescent="0.25"/>
    <row r="35" s="44" customFormat="1" x14ac:dyDescent="0.25"/>
    <row r="36" s="44" customFormat="1" x14ac:dyDescent="0.25"/>
    <row r="37" s="44" customFormat="1" x14ac:dyDescent="0.25"/>
    <row r="38" s="44" customFormat="1" x14ac:dyDescent="0.25"/>
    <row r="39" s="44" customFormat="1" x14ac:dyDescent="0.25"/>
    <row r="40" s="44" customFormat="1" x14ac:dyDescent="0.25"/>
    <row r="41" s="44" customFormat="1" x14ac:dyDescent="0.25"/>
    <row r="42" s="44" customFormat="1" x14ac:dyDescent="0.25"/>
    <row r="43" s="44" customFormat="1" x14ac:dyDescent="0.25"/>
    <row r="44" s="44" customFormat="1" x14ac:dyDescent="0.25"/>
    <row r="45" s="44" customFormat="1" x14ac:dyDescent="0.25"/>
    <row r="46" s="44" customFormat="1" x14ac:dyDescent="0.25"/>
    <row r="47" s="44" customFormat="1" x14ac:dyDescent="0.25"/>
    <row r="48" s="44" customFormat="1" x14ac:dyDescent="0.25"/>
    <row r="49" s="44" customFormat="1" x14ac:dyDescent="0.25"/>
    <row r="50" s="44" customFormat="1" x14ac:dyDescent="0.25"/>
    <row r="51" s="44" customFormat="1" x14ac:dyDescent="0.25"/>
    <row r="52" s="44" customFormat="1" x14ac:dyDescent="0.25"/>
    <row r="53" s="44" customFormat="1" x14ac:dyDescent="0.25"/>
    <row r="54" s="44" customFormat="1" x14ac:dyDescent="0.25"/>
    <row r="55" s="44" customFormat="1" x14ac:dyDescent="0.25"/>
    <row r="56" s="44" customFormat="1" x14ac:dyDescent="0.25"/>
    <row r="57" s="44" customFormat="1" x14ac:dyDescent="0.25"/>
    <row r="58" s="44" customFormat="1" x14ac:dyDescent="0.25"/>
    <row r="59" s="44" customFormat="1" x14ac:dyDescent="0.25"/>
    <row r="60" s="44" customFormat="1" x14ac:dyDescent="0.25"/>
    <row r="61" s="44" customFormat="1" x14ac:dyDescent="0.25"/>
    <row r="62" s="44" customFormat="1" x14ac:dyDescent="0.25"/>
    <row r="63" s="44" customFormat="1" x14ac:dyDescent="0.25"/>
    <row r="64" s="44" customFormat="1" x14ac:dyDescent="0.25"/>
    <row r="65" s="44" customFormat="1" x14ac:dyDescent="0.25"/>
    <row r="66" s="44" customFormat="1" x14ac:dyDescent="0.25"/>
    <row r="67" s="44" customFormat="1" x14ac:dyDescent="0.25"/>
    <row r="68" s="44" customFormat="1" x14ac:dyDescent="0.25"/>
    <row r="69" s="44" customFormat="1" x14ac:dyDescent="0.25"/>
    <row r="70" s="44" customFormat="1" x14ac:dyDescent="0.25"/>
    <row r="71" s="44" customFormat="1" x14ac:dyDescent="0.25"/>
    <row r="72" s="44" customFormat="1" x14ac:dyDescent="0.25"/>
    <row r="73" s="44" customFormat="1" x14ac:dyDescent="0.25"/>
    <row r="74" s="44" customFormat="1" x14ac:dyDescent="0.25"/>
    <row r="75" s="44" customFormat="1" x14ac:dyDescent="0.25"/>
    <row r="76" s="44" customFormat="1" x14ac:dyDescent="0.25"/>
    <row r="77" s="44" customFormat="1" x14ac:dyDescent="0.25"/>
    <row r="78" s="44" customFormat="1" x14ac:dyDescent="0.25"/>
    <row r="79" s="44" customFormat="1" x14ac:dyDescent="0.25"/>
    <row r="80" s="44" customFormat="1" x14ac:dyDescent="0.25"/>
    <row r="81" spans="2:15" x14ac:dyDescent="0.25">
      <c r="B81" s="44"/>
      <c r="C81" s="44"/>
      <c r="D81" s="44"/>
      <c r="E81" s="44"/>
      <c r="F81" s="44"/>
      <c r="G81" s="44"/>
      <c r="H81" s="44"/>
      <c r="I81" s="44"/>
      <c r="L81" s="44"/>
      <c r="O81" s="44"/>
    </row>
    <row r="82" spans="2:15" x14ac:dyDescent="0.25">
      <c r="B82" s="44"/>
      <c r="C82" s="44"/>
      <c r="D82" s="44"/>
      <c r="E82" s="44"/>
      <c r="F82" s="44"/>
      <c r="G82" s="44"/>
      <c r="H82" s="44"/>
      <c r="I82" s="44"/>
      <c r="L82" s="44"/>
      <c r="O82" s="44"/>
    </row>
    <row r="83" spans="2:15" x14ac:dyDescent="0.25">
      <c r="B83" s="44"/>
      <c r="C83" s="44"/>
      <c r="D83" s="44"/>
      <c r="E83" s="44"/>
      <c r="F83" s="44"/>
      <c r="G83" s="44"/>
      <c r="H83" s="44"/>
      <c r="I83" s="44"/>
      <c r="L83" s="44"/>
      <c r="O83" s="44"/>
    </row>
    <row r="84" spans="2:15" x14ac:dyDescent="0.25">
      <c r="B84" s="44"/>
      <c r="C84" s="44"/>
      <c r="D84" s="44"/>
      <c r="E84" s="44"/>
      <c r="F84" s="44"/>
      <c r="G84" s="44"/>
      <c r="H84" s="44"/>
      <c r="I84" s="44"/>
      <c r="L84" s="44"/>
      <c r="O84" s="44"/>
    </row>
    <row r="85" spans="2:15" x14ac:dyDescent="0.25">
      <c r="B85" s="44"/>
      <c r="C85" s="44"/>
      <c r="D85" s="44"/>
      <c r="E85" s="44"/>
      <c r="F85" s="44"/>
      <c r="G85" s="44"/>
      <c r="H85" s="44"/>
      <c r="I85" s="44"/>
      <c r="L85" s="44"/>
      <c r="O85" s="44"/>
    </row>
    <row r="86" spans="2:15" x14ac:dyDescent="0.25">
      <c r="B86" s="44"/>
      <c r="C86" s="44"/>
      <c r="D86" s="44"/>
      <c r="E86" s="44"/>
      <c r="F86" s="44"/>
      <c r="G86" s="44"/>
      <c r="H86" s="44"/>
      <c r="I86" s="44"/>
      <c r="L86" s="44"/>
      <c r="O86" s="44"/>
    </row>
    <row r="87" spans="2:15" x14ac:dyDescent="0.25">
      <c r="B87" s="44"/>
      <c r="C87" s="44"/>
      <c r="D87" s="44"/>
      <c r="E87" s="44"/>
      <c r="F87" s="44"/>
      <c r="G87" s="44"/>
      <c r="H87" s="44"/>
      <c r="I87" s="44"/>
      <c r="L87" s="44"/>
      <c r="O87" s="44"/>
    </row>
    <row r="88" spans="2:15" x14ac:dyDescent="0.25">
      <c r="B88" s="44"/>
      <c r="C88" s="44"/>
      <c r="D88" s="44"/>
      <c r="E88" s="44"/>
      <c r="F88" s="44"/>
      <c r="G88" s="44"/>
      <c r="H88" s="44"/>
      <c r="I88" s="44"/>
      <c r="L88" s="44"/>
      <c r="O88" s="44"/>
    </row>
    <row r="89" spans="2:15" x14ac:dyDescent="0.25">
      <c r="B89" s="44"/>
      <c r="C89" s="44"/>
      <c r="D89" s="44"/>
      <c r="E89" s="44"/>
      <c r="F89" s="44"/>
      <c r="G89" s="44"/>
      <c r="H89" s="44"/>
      <c r="I89" s="44"/>
      <c r="L89" s="44"/>
      <c r="O89" s="44"/>
    </row>
    <row r="90" spans="2:15" x14ac:dyDescent="0.25">
      <c r="B90" s="44"/>
      <c r="C90" s="44"/>
      <c r="D90" s="44"/>
      <c r="E90" s="44"/>
      <c r="F90" s="44"/>
      <c r="G90" s="44"/>
      <c r="H90" s="44"/>
      <c r="I90" s="44"/>
      <c r="L90" s="44"/>
      <c r="O90" s="44"/>
    </row>
    <row r="91" spans="2:15" x14ac:dyDescent="0.25">
      <c r="B91" s="44"/>
      <c r="C91" s="44"/>
      <c r="D91" s="44"/>
      <c r="E91" s="44"/>
      <c r="F91" s="44"/>
      <c r="G91" s="44"/>
      <c r="H91" s="44"/>
      <c r="I91" s="44"/>
      <c r="L91" s="44"/>
      <c r="O91" s="44"/>
    </row>
    <row r="92" spans="2:15" x14ac:dyDescent="0.25">
      <c r="B92" s="44"/>
      <c r="C92" s="44"/>
      <c r="D92" s="44"/>
      <c r="E92" s="44"/>
      <c r="F92" s="44"/>
      <c r="G92" s="44"/>
      <c r="H92" s="44"/>
      <c r="I92" s="44"/>
      <c r="L92" s="44"/>
      <c r="O92" s="44"/>
    </row>
    <row r="93" spans="2:15" x14ac:dyDescent="0.25">
      <c r="L93" s="44"/>
      <c r="O93" s="44"/>
    </row>
    <row r="94" spans="2:15" x14ac:dyDescent="0.25">
      <c r="L94" s="44"/>
      <c r="O94" s="44"/>
    </row>
    <row r="95" spans="2:15" x14ac:dyDescent="0.25">
      <c r="L95" s="44"/>
      <c r="O95" s="44"/>
    </row>
    <row r="96" spans="2:15" x14ac:dyDescent="0.25">
      <c r="L96" s="44"/>
      <c r="O96" s="44"/>
    </row>
    <row r="97" spans="12:15" x14ac:dyDescent="0.25">
      <c r="L97" s="44"/>
      <c r="O97" s="44"/>
    </row>
    <row r="98" spans="12:15" x14ac:dyDescent="0.25">
      <c r="L98" s="44"/>
      <c r="O98" s="44"/>
    </row>
    <row r="99" spans="12:15" x14ac:dyDescent="0.25">
      <c r="L99" s="44"/>
      <c r="O99" s="44"/>
    </row>
    <row r="100" spans="12:15" x14ac:dyDescent="0.25">
      <c r="L100" s="44"/>
      <c r="O100" s="44"/>
    </row>
    <row r="101" spans="12:15" x14ac:dyDescent="0.25">
      <c r="L101" s="44"/>
      <c r="O101" s="44"/>
    </row>
    <row r="102" spans="12:15" x14ac:dyDescent="0.25">
      <c r="L102" s="44"/>
      <c r="O102" s="44"/>
    </row>
    <row r="103" spans="12:15" x14ac:dyDescent="0.25">
      <c r="L103" s="44"/>
      <c r="O103" s="44"/>
    </row>
    <row r="104" spans="12:15" x14ac:dyDescent="0.25">
      <c r="L104" s="44"/>
      <c r="O104" s="44"/>
    </row>
    <row r="105" spans="12:15" x14ac:dyDescent="0.25">
      <c r="L105" s="44"/>
      <c r="O105" s="44"/>
    </row>
    <row r="106" spans="12:15" x14ac:dyDescent="0.25">
      <c r="L106" s="44"/>
      <c r="O106" s="44"/>
    </row>
    <row r="107" spans="12:15" x14ac:dyDescent="0.25">
      <c r="L107" s="44"/>
      <c r="O107" s="44"/>
    </row>
    <row r="108" spans="12:15" x14ac:dyDescent="0.25">
      <c r="L108" s="44"/>
      <c r="O108" s="44"/>
    </row>
    <row r="109" spans="12:15" x14ac:dyDescent="0.25">
      <c r="L109" s="44"/>
      <c r="O109" s="44"/>
    </row>
    <row r="110" spans="12:15" x14ac:dyDescent="0.25">
      <c r="L110" s="44"/>
      <c r="O110" s="44"/>
    </row>
    <row r="111" spans="12:15" x14ac:dyDescent="0.25">
      <c r="L111" s="44"/>
      <c r="O111" s="44"/>
    </row>
    <row r="112" spans="12:15" x14ac:dyDescent="0.25">
      <c r="L112" s="44"/>
      <c r="O112" s="44"/>
    </row>
    <row r="113" spans="12:15" x14ac:dyDescent="0.25">
      <c r="L113" s="44"/>
      <c r="O113" s="44"/>
    </row>
    <row r="114" spans="12:15" x14ac:dyDescent="0.25">
      <c r="L114" s="44"/>
      <c r="O114" s="44"/>
    </row>
    <row r="115" spans="12:15" x14ac:dyDescent="0.25">
      <c r="L115" s="44"/>
      <c r="O115" s="44"/>
    </row>
    <row r="116" spans="12:15" x14ac:dyDescent="0.25">
      <c r="L116" s="44"/>
      <c r="O116" s="44"/>
    </row>
    <row r="117" spans="12:15" x14ac:dyDescent="0.25">
      <c r="L117" s="44"/>
      <c r="O117" s="44"/>
    </row>
    <row r="118" spans="12:15" x14ac:dyDescent="0.25">
      <c r="L118" s="44"/>
      <c r="O118" s="44"/>
    </row>
    <row r="119" spans="12:15" x14ac:dyDescent="0.25">
      <c r="L119" s="44"/>
      <c r="O119" s="44"/>
    </row>
    <row r="120" spans="12:15" x14ac:dyDescent="0.25">
      <c r="L120" s="44"/>
      <c r="O120" s="44"/>
    </row>
    <row r="121" spans="12:15" x14ac:dyDescent="0.25">
      <c r="L121" s="44"/>
      <c r="O121" s="44"/>
    </row>
    <row r="122" spans="12:15" x14ac:dyDescent="0.25">
      <c r="L122" s="44"/>
      <c r="O122" s="44"/>
    </row>
    <row r="123" spans="12:15" x14ac:dyDescent="0.25">
      <c r="L123" s="44"/>
      <c r="O123" s="44"/>
    </row>
    <row r="124" spans="12:15" x14ac:dyDescent="0.25">
      <c r="L124" s="44"/>
      <c r="O124" s="44"/>
    </row>
    <row r="125" spans="12:15" x14ac:dyDescent="0.25">
      <c r="L125" s="44"/>
      <c r="O125" s="44"/>
    </row>
    <row r="126" spans="12:15" x14ac:dyDescent="0.25">
      <c r="L126" s="44"/>
      <c r="O126" s="44"/>
    </row>
    <row r="127" spans="12:15" x14ac:dyDescent="0.25">
      <c r="L127" s="44"/>
      <c r="O127" s="44"/>
    </row>
    <row r="128" spans="12:15" x14ac:dyDescent="0.25">
      <c r="L128" s="44"/>
      <c r="O128" s="44"/>
    </row>
    <row r="129" spans="12:15" x14ac:dyDescent="0.25">
      <c r="L129" s="44"/>
      <c r="O129" s="44"/>
    </row>
    <row r="130" spans="12:15" x14ac:dyDescent="0.25">
      <c r="L130" s="44"/>
      <c r="O130" s="44"/>
    </row>
    <row r="131" spans="12:15" x14ac:dyDescent="0.25">
      <c r="L131" s="44"/>
      <c r="O131" s="44"/>
    </row>
    <row r="132" spans="12:15" x14ac:dyDescent="0.25">
      <c r="L132" s="44"/>
      <c r="O132" s="44"/>
    </row>
    <row r="133" spans="12:15" x14ac:dyDescent="0.25">
      <c r="L133" s="44"/>
      <c r="O133" s="44"/>
    </row>
    <row r="134" spans="12:15" x14ac:dyDescent="0.25">
      <c r="L134" s="44"/>
      <c r="O134" s="44"/>
    </row>
    <row r="135" spans="12:15" x14ac:dyDescent="0.25">
      <c r="L135" s="44"/>
      <c r="O135" s="44"/>
    </row>
    <row r="136" spans="12:15" x14ac:dyDescent="0.25">
      <c r="L136" s="44"/>
      <c r="O136" s="44"/>
    </row>
    <row r="137" spans="12:15" x14ac:dyDescent="0.25">
      <c r="L137" s="44"/>
      <c r="O137" s="44"/>
    </row>
    <row r="138" spans="12:15" x14ac:dyDescent="0.25">
      <c r="L138" s="44"/>
      <c r="O138" s="44"/>
    </row>
    <row r="139" spans="12:15" x14ac:dyDescent="0.25">
      <c r="L139" s="44"/>
      <c r="O139" s="44"/>
    </row>
    <row r="140" spans="12:15" x14ac:dyDescent="0.25">
      <c r="L140" s="44"/>
      <c r="O140" s="44"/>
    </row>
    <row r="141" spans="12:15" x14ac:dyDescent="0.25">
      <c r="L141" s="44"/>
      <c r="O141" s="44"/>
    </row>
    <row r="142" spans="12:15" x14ac:dyDescent="0.25">
      <c r="L142" s="44"/>
      <c r="O142" s="44"/>
    </row>
    <row r="143" spans="12:15" x14ac:dyDescent="0.25">
      <c r="L143" s="44"/>
      <c r="O143" s="44"/>
    </row>
    <row r="144" spans="12:15" x14ac:dyDescent="0.25">
      <c r="L144" s="44"/>
      <c r="O144" s="44"/>
    </row>
    <row r="145" spans="12:15" x14ac:dyDescent="0.25">
      <c r="L145" s="44"/>
      <c r="O145" s="44"/>
    </row>
    <row r="146" spans="12:15" x14ac:dyDescent="0.25">
      <c r="L146" s="44"/>
      <c r="O146" s="44"/>
    </row>
    <row r="147" spans="12:15" x14ac:dyDescent="0.25">
      <c r="L147" s="44"/>
      <c r="O147" s="44"/>
    </row>
    <row r="148" spans="12:15" x14ac:dyDescent="0.25">
      <c r="L148" s="44"/>
      <c r="O148" s="44"/>
    </row>
    <row r="149" spans="12:15" x14ac:dyDescent="0.25">
      <c r="L149" s="44"/>
      <c r="O149" s="44"/>
    </row>
    <row r="150" spans="12:15" x14ac:dyDescent="0.25">
      <c r="L150" s="44"/>
      <c r="O150" s="44"/>
    </row>
    <row r="151" spans="12:15" x14ac:dyDescent="0.25">
      <c r="L151" s="44"/>
      <c r="O151" s="44"/>
    </row>
    <row r="152" spans="12:15" x14ac:dyDescent="0.25">
      <c r="L152" s="44"/>
      <c r="O152" s="44"/>
    </row>
    <row r="153" spans="12:15" x14ac:dyDescent="0.25">
      <c r="L153" s="44"/>
      <c r="O153" s="44"/>
    </row>
    <row r="154" spans="12:15" x14ac:dyDescent="0.25">
      <c r="L154" s="44"/>
      <c r="O154" s="44"/>
    </row>
    <row r="155" spans="12:15" x14ac:dyDescent="0.25">
      <c r="L155" s="44"/>
      <c r="O155" s="44"/>
    </row>
    <row r="156" spans="12:15" x14ac:dyDescent="0.25">
      <c r="L156" s="44"/>
      <c r="O156" s="44"/>
    </row>
    <row r="157" spans="12:15" x14ac:dyDescent="0.25">
      <c r="L157" s="44"/>
      <c r="O157" s="44"/>
    </row>
    <row r="158" spans="12:15" x14ac:dyDescent="0.25">
      <c r="L158" s="44"/>
      <c r="O158" s="44"/>
    </row>
  </sheetData>
  <autoFilter ref="A3:Q9" xr:uid="{00000000-0001-0000-0100-000000000000}"/>
  <mergeCells count="13">
    <mergeCell ref="M2:O2"/>
    <mergeCell ref="A9:O9"/>
    <mergeCell ref="J2:L2"/>
    <mergeCell ref="B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6" type="noConversion"/>
  <conditionalFormatting sqref="B7">
    <cfRule type="duplicateValues" dxfId="31" priority="1"/>
  </conditionalFormatting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C0BB0-1171-4799-9127-6721466ED29E}">
  <dimension ref="A1:O158"/>
  <sheetViews>
    <sheetView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K12" sqref="K12"/>
    </sheetView>
  </sheetViews>
  <sheetFormatPr defaultColWidth="9" defaultRowHeight="14.4" x14ac:dyDescent="0.25"/>
  <cols>
    <col min="1" max="1" width="22.77734375" style="44" customWidth="1"/>
    <col min="2" max="2" width="11.109375" style="131" customWidth="1"/>
    <col min="3" max="3" width="14.6640625" style="131" customWidth="1"/>
    <col min="4" max="4" width="12.109375" style="66" customWidth="1"/>
    <col min="5" max="5" width="3.6640625" style="71" customWidth="1"/>
    <col min="6" max="6" width="11.88671875" style="71" customWidth="1"/>
    <col min="7" max="8" width="13.44140625" style="71" hidden="1" customWidth="1"/>
    <col min="9" max="9" width="16.109375" style="71" customWidth="1"/>
    <col min="10" max="10" width="6.33203125" style="44" customWidth="1"/>
    <col min="11" max="11" width="7.44140625" style="44" customWidth="1"/>
    <col min="12" max="12" width="9.88671875" style="129" customWidth="1"/>
    <col min="13" max="13" width="6.33203125" style="44" customWidth="1"/>
    <col min="14" max="14" width="7.44140625" style="44" customWidth="1"/>
    <col min="15" max="15" width="9.88671875" style="129" customWidth="1"/>
    <col min="16" max="16384" width="9" style="44"/>
  </cols>
  <sheetData>
    <row r="1" spans="1:15" ht="20.399999999999999" x14ac:dyDescent="0.25">
      <c r="B1" s="194" t="s">
        <v>198</v>
      </c>
      <c r="C1" s="194"/>
      <c r="D1" s="194"/>
      <c r="E1" s="194"/>
      <c r="F1" s="194"/>
      <c r="G1" s="194"/>
      <c r="H1" s="194"/>
      <c r="I1" s="194"/>
      <c r="J1" s="111"/>
      <c r="K1" s="111"/>
      <c r="L1" s="111"/>
      <c r="M1" s="111"/>
      <c r="N1" s="111"/>
      <c r="O1" s="111"/>
    </row>
    <row r="2" spans="1:15" x14ac:dyDescent="0.25">
      <c r="A2" s="195" t="s">
        <v>92</v>
      </c>
      <c r="B2" s="196" t="s">
        <v>0</v>
      </c>
      <c r="C2" s="196" t="s">
        <v>1</v>
      </c>
      <c r="D2" s="197" t="s">
        <v>2</v>
      </c>
      <c r="E2" s="197" t="s">
        <v>4</v>
      </c>
      <c r="F2" s="196" t="s">
        <v>7</v>
      </c>
      <c r="G2" s="197" t="s">
        <v>189</v>
      </c>
      <c r="H2" s="197" t="s">
        <v>188</v>
      </c>
      <c r="I2" s="198" t="s">
        <v>191</v>
      </c>
      <c r="J2" s="193" t="s">
        <v>199</v>
      </c>
      <c r="K2" s="193"/>
      <c r="L2" s="193"/>
      <c r="M2" s="193" t="s">
        <v>200</v>
      </c>
      <c r="N2" s="193"/>
      <c r="O2" s="193"/>
    </row>
    <row r="3" spans="1:15" ht="27.75" customHeight="1" x14ac:dyDescent="0.25">
      <c r="A3" s="195"/>
      <c r="B3" s="196"/>
      <c r="C3" s="196"/>
      <c r="D3" s="197"/>
      <c r="E3" s="197"/>
      <c r="F3" s="196"/>
      <c r="G3" s="197"/>
      <c r="H3" s="197"/>
      <c r="I3" s="198"/>
      <c r="J3" s="112" t="s">
        <v>8</v>
      </c>
      <c r="K3" s="112" t="s">
        <v>9</v>
      </c>
      <c r="L3" s="112" t="s">
        <v>10</v>
      </c>
      <c r="M3" s="112" t="s">
        <v>8</v>
      </c>
      <c r="N3" s="112" t="s">
        <v>9</v>
      </c>
      <c r="O3" s="112" t="s">
        <v>10</v>
      </c>
    </row>
    <row r="4" spans="1:15" ht="62.25" customHeight="1" x14ac:dyDescent="0.25">
      <c r="A4" s="113" t="s">
        <v>93</v>
      </c>
      <c r="B4" s="121" t="s">
        <v>20</v>
      </c>
      <c r="C4" s="114" t="s">
        <v>21</v>
      </c>
      <c r="D4" s="116"/>
      <c r="E4" s="115">
        <v>1</v>
      </c>
      <c r="F4" s="97" t="s">
        <v>206</v>
      </c>
      <c r="G4" s="117">
        <v>7</v>
      </c>
      <c r="H4" s="117">
        <f>VLOOKUP(B4,[2]冲压件核价!E5:AB265,24,0)</f>
        <v>4.950262452591657</v>
      </c>
      <c r="I4" s="118">
        <f t="shared" ref="I4:I7" si="0">IF(G4&lt;=H4,G4,H4)</f>
        <v>4.950262452591657</v>
      </c>
      <c r="J4" s="115">
        <v>8.2799999999999994</v>
      </c>
      <c r="K4" s="115">
        <v>0.31</v>
      </c>
      <c r="L4" s="119">
        <f>J4+K4</f>
        <v>8.59</v>
      </c>
      <c r="M4" s="115"/>
      <c r="N4" s="115">
        <v>0.31</v>
      </c>
      <c r="O4" s="119">
        <f>M4+N4</f>
        <v>0.31</v>
      </c>
    </row>
    <row r="5" spans="1:15" ht="62.25" customHeight="1" x14ac:dyDescent="0.25">
      <c r="A5" s="113" t="s">
        <v>94</v>
      </c>
      <c r="B5" s="122" t="s">
        <v>22</v>
      </c>
      <c r="C5" s="114" t="s">
        <v>23</v>
      </c>
      <c r="D5" s="116"/>
      <c r="E5" s="115">
        <v>1</v>
      </c>
      <c r="F5" s="97" t="s">
        <v>206</v>
      </c>
      <c r="G5" s="117">
        <v>8</v>
      </c>
      <c r="H5" s="117">
        <f>VLOOKUP(B5,[2]冲压件核价!E6:AB266,24,0)</f>
        <v>5.9285400758533493</v>
      </c>
      <c r="I5" s="118">
        <f t="shared" si="0"/>
        <v>5.9285400758533493</v>
      </c>
      <c r="J5" s="115">
        <v>14.04</v>
      </c>
      <c r="K5" s="115">
        <f>[2]模具费!N32</f>
        <v>0.36299999999999999</v>
      </c>
      <c r="L5" s="119">
        <f>J5+K5</f>
        <v>14.402999999999999</v>
      </c>
      <c r="M5" s="115"/>
      <c r="N5" s="115">
        <v>0.36299999999999999</v>
      </c>
      <c r="O5" s="119">
        <f t="shared" ref="O5:O7" si="1">M5+N5</f>
        <v>0.36299999999999999</v>
      </c>
    </row>
    <row r="6" spans="1:15" ht="62.25" customHeight="1" x14ac:dyDescent="0.25">
      <c r="A6" s="113" t="s">
        <v>94</v>
      </c>
      <c r="B6" s="123" t="s">
        <v>51</v>
      </c>
      <c r="C6" s="125" t="s">
        <v>52</v>
      </c>
      <c r="D6" s="124"/>
      <c r="E6" s="115">
        <v>1</v>
      </c>
      <c r="F6" s="97" t="s">
        <v>207</v>
      </c>
      <c r="G6" s="117">
        <v>13.661</v>
      </c>
      <c r="H6" s="117">
        <f>VLOOKUP(B6,[2]冲压件核价!E19:AB279,24,0)</f>
        <v>9.8647994943109989</v>
      </c>
      <c r="I6" s="118">
        <f t="shared" si="0"/>
        <v>9.8647994943109989</v>
      </c>
      <c r="J6" s="115">
        <v>15.3</v>
      </c>
      <c r="K6" s="115">
        <f>[2]模具费!N140</f>
        <v>0.41099999999999998</v>
      </c>
      <c r="L6" s="119">
        <f>J6+K6</f>
        <v>15.711</v>
      </c>
      <c r="M6" s="115"/>
      <c r="N6" s="115">
        <v>0.41099999999999998</v>
      </c>
      <c r="O6" s="119">
        <f t="shared" si="1"/>
        <v>0.41099999999999998</v>
      </c>
    </row>
    <row r="7" spans="1:15" ht="62.25" customHeight="1" x14ac:dyDescent="0.25">
      <c r="A7" s="113" t="s">
        <v>87</v>
      </c>
      <c r="B7" s="35" t="s">
        <v>83</v>
      </c>
      <c r="C7" s="35" t="s">
        <v>84</v>
      </c>
      <c r="D7" s="35"/>
      <c r="E7" s="115">
        <v>1</v>
      </c>
      <c r="F7" s="35" t="s">
        <v>86</v>
      </c>
      <c r="G7" s="117">
        <v>8.1656131479140335</v>
      </c>
      <c r="H7" s="117">
        <f>VLOOKUP(B7,[2]冲压件核价!E30:AB288,24,0)</f>
        <v>8.1656131479140335</v>
      </c>
      <c r="I7" s="118">
        <f t="shared" si="0"/>
        <v>8.1656131479140335</v>
      </c>
      <c r="J7" s="115">
        <v>15.48</v>
      </c>
      <c r="K7" s="115">
        <f>[2]模具费!N229</f>
        <v>0.44</v>
      </c>
      <c r="L7" s="178">
        <f t="shared" ref="L7" si="2">J7+K7</f>
        <v>15.92</v>
      </c>
      <c r="M7" s="115"/>
      <c r="N7" s="115">
        <v>0.44</v>
      </c>
      <c r="O7" s="119">
        <f t="shared" si="1"/>
        <v>0.44</v>
      </c>
    </row>
    <row r="8" spans="1:15" ht="19.8" customHeight="1" x14ac:dyDescent="0.25">
      <c r="A8" s="132"/>
      <c r="B8" s="133"/>
      <c r="C8" s="133"/>
      <c r="D8" s="133"/>
      <c r="E8" s="134"/>
      <c r="F8" s="133"/>
      <c r="G8" s="135"/>
      <c r="H8" s="135"/>
      <c r="I8" s="136">
        <f>SUM(I4:I7)</f>
        <v>28.909215170670041</v>
      </c>
      <c r="J8" s="134">
        <f>SUM(J4:J7)</f>
        <v>53.100000000000009</v>
      </c>
      <c r="K8" s="134"/>
      <c r="L8" s="141"/>
      <c r="M8" s="134"/>
      <c r="N8" s="134"/>
      <c r="O8" s="137"/>
    </row>
    <row r="9" spans="1:15" ht="17.25" customHeight="1" x14ac:dyDescent="0.25">
      <c r="A9" s="199" t="s">
        <v>11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</row>
    <row r="10" spans="1:15" x14ac:dyDescent="0.25">
      <c r="B10" s="44"/>
      <c r="C10" s="44"/>
      <c r="D10" s="44"/>
      <c r="E10" s="44"/>
      <c r="F10" s="44"/>
      <c r="G10" s="44"/>
      <c r="H10" s="44"/>
      <c r="I10" s="44"/>
      <c r="L10" s="130"/>
      <c r="O10" s="130"/>
    </row>
    <row r="11" spans="1:15" x14ac:dyDescent="0.25">
      <c r="B11" s="44"/>
      <c r="C11" s="44"/>
      <c r="D11" s="44"/>
      <c r="E11" s="44"/>
      <c r="F11" s="44"/>
      <c r="G11" s="44"/>
      <c r="H11" s="44"/>
      <c r="I11" s="44"/>
      <c r="L11" s="44"/>
      <c r="O11" s="44"/>
    </row>
    <row r="12" spans="1:15" x14ac:dyDescent="0.25">
      <c r="B12" s="44"/>
      <c r="C12" s="44"/>
      <c r="D12" s="44"/>
      <c r="E12" s="44"/>
      <c r="F12" s="44"/>
      <c r="G12" s="44"/>
      <c r="H12" s="44"/>
      <c r="I12" s="44"/>
      <c r="L12" s="44"/>
      <c r="O12" s="44"/>
    </row>
    <row r="13" spans="1:15" x14ac:dyDescent="0.25">
      <c r="B13" s="44"/>
      <c r="C13" s="44"/>
      <c r="D13" s="44"/>
      <c r="E13" s="44"/>
      <c r="F13" s="44"/>
      <c r="G13" s="44"/>
      <c r="H13" s="44"/>
      <c r="I13" s="44"/>
      <c r="L13" s="44"/>
      <c r="O13" s="44"/>
    </row>
    <row r="14" spans="1:15" ht="13.5" customHeight="1" x14ac:dyDescent="0.25">
      <c r="B14" s="44"/>
      <c r="C14" s="44"/>
      <c r="D14" s="44"/>
      <c r="E14" s="44"/>
      <c r="F14" s="44"/>
      <c r="G14" s="44"/>
      <c r="H14" s="44"/>
      <c r="I14" s="44"/>
      <c r="L14" s="44"/>
      <c r="O14" s="44"/>
    </row>
    <row r="15" spans="1:15" ht="13.5" customHeight="1" x14ac:dyDescent="0.25">
      <c r="B15" s="44"/>
      <c r="C15" s="44"/>
      <c r="D15" s="44"/>
      <c r="E15" s="44"/>
      <c r="F15" s="44"/>
      <c r="G15" s="44"/>
      <c r="H15" s="44"/>
      <c r="I15" s="44"/>
      <c r="L15" s="44"/>
      <c r="O15" s="44"/>
    </row>
    <row r="16" spans="1:15" x14ac:dyDescent="0.25">
      <c r="B16" s="44"/>
      <c r="C16" s="44"/>
      <c r="D16" s="44"/>
      <c r="E16" s="44"/>
      <c r="F16" s="44"/>
      <c r="G16" s="44"/>
      <c r="H16" s="44"/>
      <c r="I16" s="44"/>
      <c r="L16" s="44"/>
      <c r="O16" s="44"/>
    </row>
    <row r="17" s="44" customFormat="1" ht="13.5" customHeight="1" x14ac:dyDescent="0.25"/>
    <row r="18" s="44" customFormat="1" x14ac:dyDescent="0.25"/>
    <row r="19" s="44" customFormat="1" x14ac:dyDescent="0.25"/>
    <row r="20" s="44" customFormat="1" x14ac:dyDescent="0.25"/>
    <row r="21" s="44" customFormat="1" x14ac:dyDescent="0.25"/>
    <row r="22" s="44" customFormat="1" x14ac:dyDescent="0.25"/>
    <row r="23" s="44" customFormat="1" x14ac:dyDescent="0.25"/>
    <row r="24" s="44" customFormat="1" ht="13.5" customHeight="1" x14ac:dyDescent="0.25"/>
    <row r="25" s="44" customFormat="1" x14ac:dyDescent="0.25"/>
    <row r="26" s="44" customFormat="1" x14ac:dyDescent="0.25"/>
    <row r="27" s="44" customFormat="1" x14ac:dyDescent="0.25"/>
    <row r="28" s="44" customFormat="1" x14ac:dyDescent="0.25"/>
    <row r="29" s="44" customFormat="1" x14ac:dyDescent="0.25"/>
    <row r="30" s="44" customFormat="1" x14ac:dyDescent="0.25"/>
    <row r="31" s="44" customFormat="1" x14ac:dyDescent="0.25"/>
    <row r="32" s="44" customFormat="1" x14ac:dyDescent="0.25"/>
    <row r="33" s="44" customFormat="1" x14ac:dyDescent="0.25"/>
    <row r="34" s="44" customFormat="1" x14ac:dyDescent="0.25"/>
    <row r="35" s="44" customFormat="1" x14ac:dyDescent="0.25"/>
    <row r="36" s="44" customFormat="1" x14ac:dyDescent="0.25"/>
    <row r="37" s="44" customFormat="1" x14ac:dyDescent="0.25"/>
    <row r="38" s="44" customFormat="1" x14ac:dyDescent="0.25"/>
    <row r="39" s="44" customFormat="1" x14ac:dyDescent="0.25"/>
    <row r="40" s="44" customFormat="1" x14ac:dyDescent="0.25"/>
    <row r="41" s="44" customFormat="1" x14ac:dyDescent="0.25"/>
    <row r="42" s="44" customFormat="1" x14ac:dyDescent="0.25"/>
    <row r="43" s="44" customFormat="1" x14ac:dyDescent="0.25"/>
    <row r="44" s="44" customFormat="1" x14ac:dyDescent="0.25"/>
    <row r="45" s="44" customFormat="1" x14ac:dyDescent="0.25"/>
    <row r="46" s="44" customFormat="1" x14ac:dyDescent="0.25"/>
    <row r="47" s="44" customFormat="1" x14ac:dyDescent="0.25"/>
    <row r="48" s="44" customFormat="1" x14ac:dyDescent="0.25"/>
    <row r="49" s="44" customFormat="1" x14ac:dyDescent="0.25"/>
    <row r="50" s="44" customFormat="1" x14ac:dyDescent="0.25"/>
    <row r="51" s="44" customFormat="1" x14ac:dyDescent="0.25"/>
    <row r="52" s="44" customFormat="1" x14ac:dyDescent="0.25"/>
    <row r="53" s="44" customFormat="1" x14ac:dyDescent="0.25"/>
    <row r="54" s="44" customFormat="1" x14ac:dyDescent="0.25"/>
    <row r="55" s="44" customFormat="1" x14ac:dyDescent="0.25"/>
    <row r="56" s="44" customFormat="1" x14ac:dyDescent="0.25"/>
    <row r="57" s="44" customFormat="1" x14ac:dyDescent="0.25"/>
    <row r="58" s="44" customFormat="1" x14ac:dyDescent="0.25"/>
    <row r="59" s="44" customFormat="1" x14ac:dyDescent="0.25"/>
    <row r="60" s="44" customFormat="1" x14ac:dyDescent="0.25"/>
    <row r="61" s="44" customFormat="1" x14ac:dyDescent="0.25"/>
    <row r="62" s="44" customFormat="1" x14ac:dyDescent="0.25"/>
    <row r="63" s="44" customFormat="1" x14ac:dyDescent="0.25"/>
    <row r="64" s="44" customFormat="1" x14ac:dyDescent="0.25"/>
    <row r="65" s="44" customFormat="1" x14ac:dyDescent="0.25"/>
    <row r="66" s="44" customFormat="1" x14ac:dyDescent="0.25"/>
    <row r="67" s="44" customFormat="1" x14ac:dyDescent="0.25"/>
    <row r="68" s="44" customFormat="1" x14ac:dyDescent="0.25"/>
    <row r="69" s="44" customFormat="1" x14ac:dyDescent="0.25"/>
    <row r="70" s="44" customFormat="1" x14ac:dyDescent="0.25"/>
    <row r="71" s="44" customFormat="1" x14ac:dyDescent="0.25"/>
    <row r="72" s="44" customFormat="1" x14ac:dyDescent="0.25"/>
    <row r="73" s="44" customFormat="1" x14ac:dyDescent="0.25"/>
    <row r="74" s="44" customFormat="1" x14ac:dyDescent="0.25"/>
    <row r="75" s="44" customFormat="1" x14ac:dyDescent="0.25"/>
    <row r="76" s="44" customFormat="1" x14ac:dyDescent="0.25"/>
    <row r="77" s="44" customFormat="1" x14ac:dyDescent="0.25"/>
    <row r="78" s="44" customFormat="1" x14ac:dyDescent="0.25"/>
    <row r="79" s="44" customFormat="1" x14ac:dyDescent="0.25"/>
    <row r="80" s="44" customFormat="1" x14ac:dyDescent="0.25"/>
    <row r="81" spans="2:15" x14ac:dyDescent="0.25">
      <c r="B81" s="44"/>
      <c r="C81" s="44"/>
      <c r="D81" s="44"/>
      <c r="E81" s="44"/>
      <c r="F81" s="44"/>
      <c r="G81" s="44"/>
      <c r="H81" s="44"/>
      <c r="I81" s="44"/>
      <c r="L81" s="44"/>
      <c r="O81" s="44"/>
    </row>
    <row r="82" spans="2:15" x14ac:dyDescent="0.25">
      <c r="B82" s="44"/>
      <c r="C82" s="44"/>
      <c r="D82" s="44"/>
      <c r="E82" s="44"/>
      <c r="F82" s="44"/>
      <c r="G82" s="44"/>
      <c r="H82" s="44"/>
      <c r="I82" s="44"/>
      <c r="L82" s="44"/>
      <c r="O82" s="44"/>
    </row>
    <row r="83" spans="2:15" x14ac:dyDescent="0.25">
      <c r="B83" s="44"/>
      <c r="C83" s="44"/>
      <c r="D83" s="44"/>
      <c r="E83" s="44"/>
      <c r="F83" s="44"/>
      <c r="G83" s="44"/>
      <c r="H83" s="44"/>
      <c r="I83" s="44"/>
      <c r="L83" s="44"/>
      <c r="O83" s="44"/>
    </row>
    <row r="84" spans="2:15" x14ac:dyDescent="0.25">
      <c r="B84" s="44"/>
      <c r="C84" s="44"/>
      <c r="D84" s="44"/>
      <c r="E84" s="44"/>
      <c r="F84" s="44"/>
      <c r="G84" s="44"/>
      <c r="H84" s="44"/>
      <c r="I84" s="44"/>
      <c r="L84" s="44"/>
      <c r="O84" s="44"/>
    </row>
    <row r="85" spans="2:15" x14ac:dyDescent="0.25">
      <c r="B85" s="44"/>
      <c r="C85" s="44"/>
      <c r="D85" s="44"/>
      <c r="E85" s="44"/>
      <c r="F85" s="44"/>
      <c r="G85" s="44"/>
      <c r="H85" s="44"/>
      <c r="I85" s="44"/>
      <c r="L85" s="44"/>
      <c r="O85" s="44"/>
    </row>
    <row r="86" spans="2:15" x14ac:dyDescent="0.25">
      <c r="B86" s="44"/>
      <c r="C86" s="44"/>
      <c r="D86" s="44"/>
      <c r="E86" s="44"/>
      <c r="F86" s="44"/>
      <c r="G86" s="44"/>
      <c r="H86" s="44"/>
      <c r="I86" s="44"/>
      <c r="L86" s="44"/>
      <c r="O86" s="44"/>
    </row>
    <row r="87" spans="2:15" x14ac:dyDescent="0.25">
      <c r="B87" s="44"/>
      <c r="C87" s="44"/>
      <c r="D87" s="44"/>
      <c r="E87" s="44"/>
      <c r="F87" s="44"/>
      <c r="G87" s="44"/>
      <c r="H87" s="44"/>
      <c r="I87" s="44"/>
      <c r="L87" s="44"/>
      <c r="O87" s="44"/>
    </row>
    <row r="88" spans="2:15" x14ac:dyDescent="0.25">
      <c r="B88" s="44"/>
      <c r="C88" s="44"/>
      <c r="D88" s="44"/>
      <c r="E88" s="44"/>
      <c r="F88" s="44"/>
      <c r="G88" s="44"/>
      <c r="H88" s="44"/>
      <c r="I88" s="44"/>
      <c r="L88" s="44"/>
      <c r="O88" s="44"/>
    </row>
    <row r="89" spans="2:15" x14ac:dyDescent="0.25">
      <c r="B89" s="44"/>
      <c r="C89" s="44"/>
      <c r="D89" s="44"/>
      <c r="E89" s="44"/>
      <c r="F89" s="44"/>
      <c r="G89" s="44"/>
      <c r="H89" s="44"/>
      <c r="I89" s="44"/>
      <c r="L89" s="44"/>
      <c r="O89" s="44"/>
    </row>
    <row r="90" spans="2:15" x14ac:dyDescent="0.25">
      <c r="B90" s="44"/>
      <c r="C90" s="44"/>
      <c r="D90" s="44"/>
      <c r="E90" s="44"/>
      <c r="F90" s="44"/>
      <c r="G90" s="44"/>
      <c r="H90" s="44"/>
      <c r="I90" s="44"/>
      <c r="L90" s="44"/>
      <c r="O90" s="44"/>
    </row>
    <row r="91" spans="2:15" x14ac:dyDescent="0.25">
      <c r="B91" s="44"/>
      <c r="C91" s="44"/>
      <c r="D91" s="44"/>
      <c r="E91" s="44"/>
      <c r="F91" s="44"/>
      <c r="G91" s="44"/>
      <c r="H91" s="44"/>
      <c r="I91" s="44"/>
      <c r="L91" s="44"/>
      <c r="O91" s="44"/>
    </row>
    <row r="92" spans="2:15" x14ac:dyDescent="0.25">
      <c r="B92" s="44"/>
      <c r="C92" s="44"/>
      <c r="D92" s="44"/>
      <c r="E92" s="44"/>
      <c r="F92" s="44"/>
      <c r="G92" s="44"/>
      <c r="H92" s="44"/>
      <c r="I92" s="44"/>
      <c r="L92" s="44"/>
      <c r="O92" s="44"/>
    </row>
    <row r="93" spans="2:15" x14ac:dyDescent="0.25">
      <c r="L93" s="44"/>
      <c r="O93" s="44"/>
    </row>
    <row r="94" spans="2:15" x14ac:dyDescent="0.25">
      <c r="L94" s="44"/>
      <c r="O94" s="44"/>
    </row>
    <row r="95" spans="2:15" x14ac:dyDescent="0.25">
      <c r="L95" s="44"/>
      <c r="O95" s="44"/>
    </row>
    <row r="96" spans="2:15" x14ac:dyDescent="0.25">
      <c r="L96" s="44"/>
      <c r="O96" s="44"/>
    </row>
    <row r="97" spans="12:15" x14ac:dyDescent="0.25">
      <c r="L97" s="44"/>
      <c r="O97" s="44"/>
    </row>
    <row r="98" spans="12:15" x14ac:dyDescent="0.25">
      <c r="L98" s="44"/>
      <c r="O98" s="44"/>
    </row>
    <row r="99" spans="12:15" x14ac:dyDescent="0.25">
      <c r="L99" s="44"/>
      <c r="O99" s="44"/>
    </row>
    <row r="100" spans="12:15" x14ac:dyDescent="0.25">
      <c r="L100" s="44"/>
      <c r="O100" s="44"/>
    </row>
    <row r="101" spans="12:15" x14ac:dyDescent="0.25">
      <c r="L101" s="44"/>
      <c r="O101" s="44"/>
    </row>
    <row r="102" spans="12:15" x14ac:dyDescent="0.25">
      <c r="L102" s="44"/>
      <c r="O102" s="44"/>
    </row>
    <row r="103" spans="12:15" x14ac:dyDescent="0.25">
      <c r="L103" s="44"/>
      <c r="O103" s="44"/>
    </row>
    <row r="104" spans="12:15" x14ac:dyDescent="0.25">
      <c r="L104" s="44"/>
      <c r="O104" s="44"/>
    </row>
    <row r="105" spans="12:15" x14ac:dyDescent="0.25">
      <c r="L105" s="44"/>
      <c r="O105" s="44"/>
    </row>
    <row r="106" spans="12:15" x14ac:dyDescent="0.25">
      <c r="L106" s="44"/>
      <c r="O106" s="44"/>
    </row>
    <row r="107" spans="12:15" x14ac:dyDescent="0.25">
      <c r="L107" s="44"/>
      <c r="O107" s="44"/>
    </row>
    <row r="108" spans="12:15" x14ac:dyDescent="0.25">
      <c r="L108" s="44"/>
      <c r="O108" s="44"/>
    </row>
    <row r="109" spans="12:15" x14ac:dyDescent="0.25">
      <c r="L109" s="44"/>
      <c r="O109" s="44"/>
    </row>
    <row r="110" spans="12:15" x14ac:dyDescent="0.25">
      <c r="L110" s="44"/>
      <c r="O110" s="44"/>
    </row>
    <row r="111" spans="12:15" x14ac:dyDescent="0.25">
      <c r="L111" s="44"/>
      <c r="O111" s="44"/>
    </row>
    <row r="112" spans="12:15" x14ac:dyDescent="0.25">
      <c r="L112" s="44"/>
      <c r="O112" s="44"/>
    </row>
    <row r="113" spans="12:15" x14ac:dyDescent="0.25">
      <c r="L113" s="44"/>
      <c r="O113" s="44"/>
    </row>
    <row r="114" spans="12:15" x14ac:dyDescent="0.25">
      <c r="L114" s="44"/>
      <c r="O114" s="44"/>
    </row>
    <row r="115" spans="12:15" x14ac:dyDescent="0.25">
      <c r="L115" s="44"/>
      <c r="O115" s="44"/>
    </row>
    <row r="116" spans="12:15" x14ac:dyDescent="0.25">
      <c r="L116" s="44"/>
      <c r="O116" s="44"/>
    </row>
    <row r="117" spans="12:15" x14ac:dyDescent="0.25">
      <c r="L117" s="44"/>
      <c r="O117" s="44"/>
    </row>
    <row r="118" spans="12:15" x14ac:dyDescent="0.25">
      <c r="L118" s="44"/>
      <c r="O118" s="44"/>
    </row>
    <row r="119" spans="12:15" x14ac:dyDescent="0.25">
      <c r="L119" s="44"/>
      <c r="O119" s="44"/>
    </row>
    <row r="120" spans="12:15" x14ac:dyDescent="0.25">
      <c r="L120" s="44"/>
      <c r="O120" s="44"/>
    </row>
    <row r="121" spans="12:15" x14ac:dyDescent="0.25">
      <c r="L121" s="44"/>
      <c r="O121" s="44"/>
    </row>
    <row r="122" spans="12:15" x14ac:dyDescent="0.25">
      <c r="L122" s="44"/>
      <c r="O122" s="44"/>
    </row>
    <row r="123" spans="12:15" x14ac:dyDescent="0.25">
      <c r="L123" s="44"/>
      <c r="O123" s="44"/>
    </row>
    <row r="124" spans="12:15" x14ac:dyDescent="0.25">
      <c r="L124" s="44"/>
      <c r="O124" s="44"/>
    </row>
    <row r="125" spans="12:15" x14ac:dyDescent="0.25">
      <c r="L125" s="44"/>
      <c r="O125" s="44"/>
    </row>
    <row r="126" spans="12:15" x14ac:dyDescent="0.25">
      <c r="L126" s="44"/>
      <c r="O126" s="44"/>
    </row>
    <row r="127" spans="12:15" x14ac:dyDescent="0.25">
      <c r="L127" s="44"/>
      <c r="O127" s="44"/>
    </row>
    <row r="128" spans="12:15" x14ac:dyDescent="0.25">
      <c r="L128" s="44"/>
      <c r="O128" s="44"/>
    </row>
    <row r="129" spans="12:15" x14ac:dyDescent="0.25">
      <c r="L129" s="44"/>
      <c r="O129" s="44"/>
    </row>
    <row r="130" spans="12:15" x14ac:dyDescent="0.25">
      <c r="L130" s="44"/>
      <c r="O130" s="44"/>
    </row>
    <row r="131" spans="12:15" x14ac:dyDescent="0.25">
      <c r="L131" s="44"/>
      <c r="O131" s="44"/>
    </row>
    <row r="132" spans="12:15" x14ac:dyDescent="0.25">
      <c r="L132" s="44"/>
      <c r="O132" s="44"/>
    </row>
    <row r="133" spans="12:15" x14ac:dyDescent="0.25">
      <c r="L133" s="44"/>
      <c r="O133" s="44"/>
    </row>
    <row r="134" spans="12:15" x14ac:dyDescent="0.25">
      <c r="L134" s="44"/>
      <c r="O134" s="44"/>
    </row>
    <row r="135" spans="12:15" x14ac:dyDescent="0.25">
      <c r="L135" s="44"/>
      <c r="O135" s="44"/>
    </row>
    <row r="136" spans="12:15" x14ac:dyDescent="0.25">
      <c r="L136" s="44"/>
      <c r="O136" s="44"/>
    </row>
    <row r="137" spans="12:15" x14ac:dyDescent="0.25">
      <c r="L137" s="44"/>
      <c r="O137" s="44"/>
    </row>
    <row r="138" spans="12:15" x14ac:dyDescent="0.25">
      <c r="L138" s="44"/>
      <c r="O138" s="44"/>
    </row>
    <row r="139" spans="12:15" x14ac:dyDescent="0.25">
      <c r="L139" s="44"/>
      <c r="O139" s="44"/>
    </row>
    <row r="140" spans="12:15" x14ac:dyDescent="0.25">
      <c r="L140" s="44"/>
      <c r="O140" s="44"/>
    </row>
    <row r="141" spans="12:15" x14ac:dyDescent="0.25">
      <c r="L141" s="44"/>
      <c r="O141" s="44"/>
    </row>
    <row r="142" spans="12:15" x14ac:dyDescent="0.25">
      <c r="L142" s="44"/>
      <c r="O142" s="44"/>
    </row>
    <row r="143" spans="12:15" x14ac:dyDescent="0.25">
      <c r="L143" s="44"/>
      <c r="O143" s="44"/>
    </row>
    <row r="144" spans="12:15" x14ac:dyDescent="0.25">
      <c r="L144" s="44"/>
      <c r="O144" s="44"/>
    </row>
    <row r="145" spans="12:15" x14ac:dyDescent="0.25">
      <c r="L145" s="44"/>
      <c r="O145" s="44"/>
    </row>
    <row r="146" spans="12:15" x14ac:dyDescent="0.25">
      <c r="L146" s="44"/>
      <c r="O146" s="44"/>
    </row>
    <row r="147" spans="12:15" x14ac:dyDescent="0.25">
      <c r="L147" s="44"/>
      <c r="O147" s="44"/>
    </row>
    <row r="148" spans="12:15" x14ac:dyDescent="0.25">
      <c r="L148" s="44"/>
      <c r="O148" s="44"/>
    </row>
    <row r="149" spans="12:15" x14ac:dyDescent="0.25">
      <c r="L149" s="44"/>
      <c r="O149" s="44"/>
    </row>
    <row r="150" spans="12:15" x14ac:dyDescent="0.25">
      <c r="L150" s="44"/>
      <c r="O150" s="44"/>
    </row>
    <row r="151" spans="12:15" x14ac:dyDescent="0.25">
      <c r="L151" s="44"/>
      <c r="O151" s="44"/>
    </row>
    <row r="152" spans="12:15" x14ac:dyDescent="0.25">
      <c r="L152" s="44"/>
      <c r="O152" s="44"/>
    </row>
    <row r="153" spans="12:15" x14ac:dyDescent="0.25">
      <c r="L153" s="44"/>
      <c r="O153" s="44"/>
    </row>
    <row r="154" spans="12:15" x14ac:dyDescent="0.25">
      <c r="L154" s="44"/>
      <c r="O154" s="44"/>
    </row>
    <row r="155" spans="12:15" x14ac:dyDescent="0.25">
      <c r="L155" s="44"/>
      <c r="O155" s="44"/>
    </row>
    <row r="156" spans="12:15" x14ac:dyDescent="0.25">
      <c r="L156" s="44"/>
      <c r="O156" s="44"/>
    </row>
    <row r="157" spans="12:15" x14ac:dyDescent="0.25">
      <c r="L157" s="44"/>
      <c r="O157" s="44"/>
    </row>
    <row r="158" spans="12:15" x14ac:dyDescent="0.25">
      <c r="L158" s="44"/>
      <c r="O158" s="44"/>
    </row>
  </sheetData>
  <autoFilter ref="A3:O9" xr:uid="{00000000-0001-0000-0100-000000000000}"/>
  <mergeCells count="13">
    <mergeCell ref="J2:L2"/>
    <mergeCell ref="M2:O2"/>
    <mergeCell ref="A9:O9"/>
    <mergeCell ref="B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81D2-A5AA-42A8-AF04-DF7E254E739E}">
  <dimension ref="A1:AE191"/>
  <sheetViews>
    <sheetView view="pageBreakPreview" zoomScale="90" zoomScaleNormal="87" zoomScaleSheetLayoutView="90" workbookViewId="0">
      <pane xSplit="11" ySplit="3" topLeftCell="L70" activePane="bottomRight" state="frozen"/>
      <selection pane="topRight" activeCell="I1" sqref="I1"/>
      <selection pane="bottomLeft" activeCell="A4" sqref="A4"/>
      <selection pane="bottomRight" activeCell="I183" sqref="I183"/>
    </sheetView>
  </sheetViews>
  <sheetFormatPr defaultColWidth="9" defaultRowHeight="14.4" x14ac:dyDescent="0.25"/>
  <cols>
    <col min="1" max="1" width="3.44140625" style="44" customWidth="1"/>
    <col min="2" max="2" width="4.33203125" style="44" customWidth="1"/>
    <col min="3" max="3" width="12.21875" style="44" customWidth="1"/>
    <col min="4" max="4" width="6.6640625" style="44" customWidth="1"/>
    <col min="5" max="5" width="11.109375" style="66" customWidth="1"/>
    <col min="6" max="6" width="9.21875" style="66" customWidth="1"/>
    <col min="7" max="7" width="11.33203125" style="66" customWidth="1"/>
    <col min="8" max="9" width="14.44140625" style="44" customWidth="1"/>
    <col min="10" max="10" width="12.109375" style="44" customWidth="1"/>
    <col min="11" max="11" width="4.21875" style="44" customWidth="1"/>
    <col min="12" max="14" width="8" style="67" customWidth="1"/>
    <col min="15" max="16" width="9.109375" style="68" customWidth="1"/>
    <col min="17" max="17" width="9.5546875" style="69" customWidth="1"/>
    <col min="18" max="18" width="7.6640625" style="69" customWidth="1"/>
    <col min="19" max="19" width="10.109375" style="69" customWidth="1"/>
    <col min="20" max="20" width="12.44140625" style="68" customWidth="1"/>
    <col min="21" max="21" width="8" style="70" customWidth="1"/>
    <col min="22" max="22" width="13.109375" style="71" customWidth="1"/>
    <col min="23" max="23" width="7.44140625" style="72" customWidth="1"/>
    <col min="24" max="24" width="6.44140625" style="71" customWidth="1"/>
    <col min="25" max="25" width="7.109375" style="72" customWidth="1"/>
    <col min="26" max="26" width="6.77734375" style="72" customWidth="1"/>
    <col min="27" max="27" width="8.109375" style="72" customWidth="1"/>
    <col min="28" max="28" width="9.33203125" style="73" customWidth="1"/>
    <col min="29" max="29" width="12.109375" style="44" customWidth="1"/>
    <col min="30" max="30" width="9.6640625" style="44" customWidth="1"/>
    <col min="31" max="31" width="15" style="44" customWidth="1"/>
    <col min="32" max="32" width="73.44140625" style="44" customWidth="1"/>
    <col min="33" max="16384" width="9" style="44"/>
  </cols>
  <sheetData>
    <row r="1" spans="1:31" ht="17.399999999999999" x14ac:dyDescent="0.25">
      <c r="A1" s="201" t="s">
        <v>101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</row>
    <row r="2" spans="1:31" ht="13.5" customHeight="1" x14ac:dyDescent="0.25">
      <c r="A2" s="45" t="s">
        <v>102</v>
      </c>
      <c r="B2" s="202" t="s">
        <v>103</v>
      </c>
      <c r="C2" s="202" t="s">
        <v>104</v>
      </c>
      <c r="D2" s="202" t="s">
        <v>105</v>
      </c>
      <c r="E2" s="204" t="s">
        <v>106</v>
      </c>
      <c r="F2" s="206" t="s">
        <v>107</v>
      </c>
      <c r="G2" s="208" t="s">
        <v>145</v>
      </c>
      <c r="H2" s="208" t="s">
        <v>108</v>
      </c>
      <c r="I2" s="208" t="s">
        <v>147</v>
      </c>
      <c r="J2" s="208" t="s">
        <v>7</v>
      </c>
      <c r="K2" s="208" t="s">
        <v>109</v>
      </c>
      <c r="L2" s="211" t="s">
        <v>110</v>
      </c>
      <c r="M2" s="211"/>
      <c r="N2" s="211"/>
      <c r="O2" s="220" t="s">
        <v>111</v>
      </c>
      <c r="P2" s="221"/>
      <c r="Q2" s="222" t="s">
        <v>112</v>
      </c>
      <c r="R2" s="223"/>
      <c r="S2" s="224"/>
      <c r="T2" s="225" t="s">
        <v>113</v>
      </c>
      <c r="U2" s="220" t="s">
        <v>114</v>
      </c>
      <c r="V2" s="227"/>
      <c r="W2" s="227"/>
      <c r="X2" s="227"/>
      <c r="Y2" s="221"/>
      <c r="Z2" s="225" t="s">
        <v>115</v>
      </c>
      <c r="AA2" s="243" t="s">
        <v>116</v>
      </c>
      <c r="AB2" s="240" t="s">
        <v>117</v>
      </c>
      <c r="AC2" s="206" t="s">
        <v>118</v>
      </c>
      <c r="AD2" s="242" t="s">
        <v>119</v>
      </c>
      <c r="AE2" s="206" t="s">
        <v>120</v>
      </c>
    </row>
    <row r="3" spans="1:31" ht="25.5" customHeight="1" x14ac:dyDescent="0.25">
      <c r="A3" s="46" t="s">
        <v>121</v>
      </c>
      <c r="B3" s="203"/>
      <c r="C3" s="203"/>
      <c r="D3" s="203"/>
      <c r="E3" s="205"/>
      <c r="F3" s="207"/>
      <c r="G3" s="210"/>
      <c r="H3" s="209"/>
      <c r="I3" s="210"/>
      <c r="J3" s="209"/>
      <c r="K3" s="210"/>
      <c r="L3" s="47" t="s">
        <v>122</v>
      </c>
      <c r="M3" s="47" t="s">
        <v>123</v>
      </c>
      <c r="N3" s="47" t="s">
        <v>124</v>
      </c>
      <c r="O3" s="48" t="s">
        <v>125</v>
      </c>
      <c r="P3" s="48" t="s">
        <v>126</v>
      </c>
      <c r="Q3" s="49" t="s">
        <v>127</v>
      </c>
      <c r="R3" s="49" t="s">
        <v>128</v>
      </c>
      <c r="S3" s="49" t="s">
        <v>126</v>
      </c>
      <c r="T3" s="226"/>
      <c r="U3" s="48" t="s">
        <v>3</v>
      </c>
      <c r="V3" s="48" t="s">
        <v>129</v>
      </c>
      <c r="W3" s="48" t="s">
        <v>130</v>
      </c>
      <c r="X3" s="50" t="s">
        <v>131</v>
      </c>
      <c r="Y3" s="51" t="s">
        <v>5</v>
      </c>
      <c r="Z3" s="230"/>
      <c r="AA3" s="244"/>
      <c r="AB3" s="241"/>
      <c r="AC3" s="207"/>
      <c r="AD3" s="206"/>
      <c r="AE3" s="207"/>
    </row>
    <row r="4" spans="1:31" ht="18.600000000000001" customHeight="1" x14ac:dyDescent="0.25">
      <c r="A4" s="202"/>
      <c r="B4" s="202"/>
      <c r="C4" s="213">
        <v>44456</v>
      </c>
      <c r="D4" s="216"/>
      <c r="E4" s="219" t="s">
        <v>12</v>
      </c>
      <c r="F4" s="219" t="s">
        <v>13</v>
      </c>
      <c r="G4" s="219"/>
      <c r="H4" s="74" t="s">
        <v>13</v>
      </c>
      <c r="I4" s="74"/>
      <c r="J4" s="74" t="s">
        <v>61</v>
      </c>
      <c r="K4" s="76">
        <v>1</v>
      </c>
      <c r="L4" s="65"/>
      <c r="M4" s="65"/>
      <c r="N4" s="58">
        <v>3</v>
      </c>
      <c r="O4" s="75">
        <v>6.7</v>
      </c>
      <c r="P4" s="75">
        <v>3.4</v>
      </c>
      <c r="Q4" s="75">
        <f>R4/0.7</f>
        <v>5.6285714285714286E-2</v>
      </c>
      <c r="R4" s="59">
        <v>3.9399999999999998E-2</v>
      </c>
      <c r="S4" s="60">
        <f>Q4-R4</f>
        <v>1.6885714285714289E-2</v>
      </c>
      <c r="T4" s="61">
        <f>K4*(Q4*O4-P4*S4)</f>
        <v>0.31970285714285718</v>
      </c>
      <c r="U4" s="10" t="s">
        <v>16</v>
      </c>
      <c r="V4" s="53" t="s">
        <v>138</v>
      </c>
      <c r="W4" s="54">
        <v>0.05</v>
      </c>
      <c r="X4" s="55">
        <v>1</v>
      </c>
      <c r="Y4" s="54">
        <f>W4/X4</f>
        <v>0.05</v>
      </c>
      <c r="Z4" s="229">
        <v>1.2</v>
      </c>
      <c r="AA4" s="225">
        <f>(T10+Y10)*Z4</f>
        <v>0.62364342857142863</v>
      </c>
      <c r="AB4" s="231">
        <f>AA4/1.13</f>
        <v>0.55189683944374224</v>
      </c>
      <c r="AC4" s="234">
        <v>5752.2123893805319</v>
      </c>
      <c r="AD4" s="234">
        <v>100000</v>
      </c>
      <c r="AE4" s="237">
        <f>AB4+AC4/AD4</f>
        <v>0.60941896333754753</v>
      </c>
    </row>
    <row r="5" spans="1:31" x14ac:dyDescent="0.25">
      <c r="A5" s="212"/>
      <c r="B5" s="212"/>
      <c r="C5" s="214"/>
      <c r="D5" s="217"/>
      <c r="E5" s="214"/>
      <c r="F5" s="214"/>
      <c r="G5" s="214"/>
      <c r="H5" s="74"/>
      <c r="I5" s="74"/>
      <c r="J5" s="74"/>
      <c r="K5" s="76"/>
      <c r="L5" s="65"/>
      <c r="M5" s="65"/>
      <c r="N5" s="58"/>
      <c r="O5" s="75"/>
      <c r="P5" s="75"/>
      <c r="Q5" s="75"/>
      <c r="R5" s="59"/>
      <c r="S5" s="60"/>
      <c r="T5" s="61"/>
      <c r="U5" s="10" t="s">
        <v>17</v>
      </c>
      <c r="V5" s="53" t="s">
        <v>138</v>
      </c>
      <c r="W5" s="54">
        <v>0.05</v>
      </c>
      <c r="X5" s="55">
        <v>1</v>
      </c>
      <c r="Y5" s="54">
        <f t="shared" ref="Y5:Y7" si="0">W5/X5</f>
        <v>0.05</v>
      </c>
      <c r="Z5" s="229"/>
      <c r="AA5" s="226"/>
      <c r="AB5" s="232"/>
      <c r="AC5" s="235"/>
      <c r="AD5" s="235"/>
      <c r="AE5" s="238"/>
    </row>
    <row r="6" spans="1:31" x14ac:dyDescent="0.25">
      <c r="A6" s="212"/>
      <c r="B6" s="212"/>
      <c r="C6" s="214"/>
      <c r="D6" s="217"/>
      <c r="E6" s="214"/>
      <c r="F6" s="214"/>
      <c r="G6" s="214"/>
      <c r="H6" s="74"/>
      <c r="I6" s="74"/>
      <c r="J6" s="74"/>
      <c r="K6" s="76"/>
      <c r="L6" s="65"/>
      <c r="M6" s="65"/>
      <c r="N6" s="58"/>
      <c r="O6" s="75"/>
      <c r="P6" s="75"/>
      <c r="Q6" s="75"/>
      <c r="R6" s="59"/>
      <c r="S6" s="60"/>
      <c r="T6" s="61"/>
      <c r="U6" s="10" t="s">
        <v>18</v>
      </c>
      <c r="V6" s="53" t="s">
        <v>138</v>
      </c>
      <c r="W6" s="54">
        <v>0.05</v>
      </c>
      <c r="X6" s="55">
        <v>1</v>
      </c>
      <c r="Y6" s="54">
        <f t="shared" si="0"/>
        <v>0.05</v>
      </c>
      <c r="Z6" s="229"/>
      <c r="AA6" s="226"/>
      <c r="AB6" s="232"/>
      <c r="AC6" s="235"/>
      <c r="AD6" s="235"/>
      <c r="AE6" s="238"/>
    </row>
    <row r="7" spans="1:31" x14ac:dyDescent="0.25">
      <c r="A7" s="212"/>
      <c r="B7" s="212"/>
      <c r="C7" s="214"/>
      <c r="D7" s="217"/>
      <c r="E7" s="214"/>
      <c r="F7" s="214"/>
      <c r="G7" s="214"/>
      <c r="H7" s="74"/>
      <c r="I7" s="74"/>
      <c r="J7" s="74"/>
      <c r="K7" s="76"/>
      <c r="L7" s="65"/>
      <c r="M7" s="65"/>
      <c r="N7" s="58"/>
      <c r="O7" s="75"/>
      <c r="P7" s="75"/>
      <c r="Q7" s="75"/>
      <c r="R7" s="59"/>
      <c r="S7" s="60"/>
      <c r="T7" s="61"/>
      <c r="U7" s="10" t="s">
        <v>19</v>
      </c>
      <c r="V7" s="53" t="s">
        <v>138</v>
      </c>
      <c r="W7" s="54">
        <v>0.05</v>
      </c>
      <c r="X7" s="55">
        <v>1</v>
      </c>
      <c r="Y7" s="54">
        <f t="shared" si="0"/>
        <v>0.05</v>
      </c>
      <c r="Z7" s="229"/>
      <c r="AA7" s="226"/>
      <c r="AB7" s="232"/>
      <c r="AC7" s="235"/>
      <c r="AD7" s="235"/>
      <c r="AE7" s="238"/>
    </row>
    <row r="8" spans="1:31" x14ac:dyDescent="0.25">
      <c r="A8" s="212"/>
      <c r="B8" s="212"/>
      <c r="C8" s="214"/>
      <c r="D8" s="217"/>
      <c r="E8" s="214"/>
      <c r="F8" s="214"/>
      <c r="G8" s="214"/>
      <c r="H8" s="74"/>
      <c r="I8" s="74"/>
      <c r="J8" s="74"/>
      <c r="K8" s="76"/>
      <c r="L8" s="65"/>
      <c r="M8" s="65"/>
      <c r="N8" s="58"/>
      <c r="O8" s="75"/>
      <c r="P8" s="75"/>
      <c r="Q8" s="75"/>
      <c r="R8" s="59"/>
      <c r="S8" s="60"/>
      <c r="T8" s="61"/>
      <c r="U8" s="10"/>
      <c r="V8" s="56"/>
      <c r="W8" s="57"/>
      <c r="X8" s="55"/>
      <c r="Y8" s="54"/>
      <c r="Z8" s="229"/>
      <c r="AA8" s="226"/>
      <c r="AB8" s="232"/>
      <c r="AC8" s="235"/>
      <c r="AD8" s="235"/>
      <c r="AE8" s="238"/>
    </row>
    <row r="9" spans="1:31" x14ac:dyDescent="0.25">
      <c r="A9" s="212"/>
      <c r="B9" s="212"/>
      <c r="C9" s="214"/>
      <c r="D9" s="217"/>
      <c r="E9" s="214"/>
      <c r="F9" s="214"/>
      <c r="G9" s="214"/>
      <c r="H9" s="74"/>
      <c r="I9" s="74"/>
      <c r="J9" s="74"/>
      <c r="K9" s="76"/>
      <c r="L9" s="65"/>
      <c r="M9" s="65"/>
      <c r="N9" s="58"/>
      <c r="O9" s="75"/>
      <c r="P9" s="75"/>
      <c r="Q9" s="75"/>
      <c r="R9" s="59"/>
      <c r="S9" s="60"/>
      <c r="T9" s="61"/>
      <c r="U9" s="52"/>
      <c r="V9" s="56"/>
      <c r="W9" s="57"/>
      <c r="X9" s="55"/>
      <c r="Y9" s="54"/>
      <c r="Z9" s="229"/>
      <c r="AA9" s="226"/>
      <c r="AB9" s="232"/>
      <c r="AC9" s="235"/>
      <c r="AD9" s="235"/>
      <c r="AE9" s="238"/>
    </row>
    <row r="10" spans="1:31" x14ac:dyDescent="0.25">
      <c r="A10" s="203"/>
      <c r="B10" s="203"/>
      <c r="C10" s="215"/>
      <c r="D10" s="218"/>
      <c r="E10" s="215"/>
      <c r="F10" s="215"/>
      <c r="G10" s="215"/>
      <c r="H10" s="245" t="s">
        <v>133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63">
        <f>SUM(T4:T9)</f>
        <v>0.31970285714285718</v>
      </c>
      <c r="U10" s="228" t="s">
        <v>134</v>
      </c>
      <c r="V10" s="228"/>
      <c r="W10" s="228"/>
      <c r="X10" s="228"/>
      <c r="Y10" s="64">
        <f>SUM(Y4:Y9)</f>
        <v>0.2</v>
      </c>
      <c r="Z10" s="229"/>
      <c r="AA10" s="230"/>
      <c r="AB10" s="233"/>
      <c r="AC10" s="236"/>
      <c r="AD10" s="236"/>
      <c r="AE10" s="239"/>
    </row>
    <row r="11" spans="1:31" ht="30" customHeight="1" x14ac:dyDescent="0.25">
      <c r="A11" s="202"/>
      <c r="B11" s="202"/>
      <c r="C11" s="213">
        <v>44456</v>
      </c>
      <c r="D11" s="216"/>
      <c r="E11" s="219" t="s">
        <v>20</v>
      </c>
      <c r="F11" s="219" t="s">
        <v>21</v>
      </c>
      <c r="G11" s="219"/>
      <c r="H11" s="74" t="s">
        <v>21</v>
      </c>
      <c r="I11" s="74" t="s">
        <v>150</v>
      </c>
      <c r="J11" s="74" t="s">
        <v>143</v>
      </c>
      <c r="K11" s="76">
        <v>1</v>
      </c>
      <c r="L11" s="65"/>
      <c r="M11" s="65"/>
      <c r="N11" s="58">
        <v>2.5</v>
      </c>
      <c r="O11" s="75">
        <v>7</v>
      </c>
      <c r="P11" s="75">
        <v>3.4</v>
      </c>
      <c r="Q11" s="75">
        <f>R11/0.7</f>
        <v>0.55028571428571427</v>
      </c>
      <c r="R11" s="59">
        <v>0.38519999999999999</v>
      </c>
      <c r="S11" s="60">
        <f>Q11-R11</f>
        <v>0.16508571428571428</v>
      </c>
      <c r="T11" s="61">
        <f>K11*(Q11*O11-P11*S11)</f>
        <v>3.2907085714285715</v>
      </c>
      <c r="U11" s="10" t="s">
        <v>16</v>
      </c>
      <c r="V11" s="53" t="s">
        <v>136</v>
      </c>
      <c r="W11" s="54">
        <v>0.1</v>
      </c>
      <c r="X11" s="55">
        <v>1</v>
      </c>
      <c r="Y11" s="54">
        <f t="shared" ref="Y11:Y17" si="1">W11/X11</f>
        <v>0.1</v>
      </c>
      <c r="Z11" s="229">
        <v>1.2</v>
      </c>
      <c r="AA11" s="225">
        <f>(T20+Y20)*Z11</f>
        <v>5.5937965714285722</v>
      </c>
      <c r="AB11" s="231">
        <f>AA11/1.13</f>
        <v>4.950262452591657</v>
      </c>
      <c r="AC11" s="234">
        <f>8000/1.13</f>
        <v>7079.6460176991159</v>
      </c>
      <c r="AD11" s="234">
        <v>100000</v>
      </c>
      <c r="AE11" s="237">
        <f>AB11+AC11/AD11/2</f>
        <v>4.9856606826801526</v>
      </c>
    </row>
    <row r="12" spans="1:31" ht="24" x14ac:dyDescent="0.25">
      <c r="A12" s="212"/>
      <c r="B12" s="212"/>
      <c r="C12" s="214"/>
      <c r="D12" s="217"/>
      <c r="E12" s="214"/>
      <c r="F12" s="214"/>
      <c r="G12" s="214"/>
      <c r="H12" s="74" t="s">
        <v>149</v>
      </c>
      <c r="I12" s="74" t="s">
        <v>148</v>
      </c>
      <c r="J12" s="74" t="s">
        <v>144</v>
      </c>
      <c r="K12" s="76">
        <v>1</v>
      </c>
      <c r="L12" s="65"/>
      <c r="M12" s="65"/>
      <c r="N12" s="58">
        <v>4</v>
      </c>
      <c r="O12" s="75">
        <v>6.3</v>
      </c>
      <c r="P12" s="75">
        <v>3.4</v>
      </c>
      <c r="Q12" s="75">
        <f>R12/0.7</f>
        <v>5.1285714285714289E-2</v>
      </c>
      <c r="R12" s="59">
        <v>3.5900000000000001E-2</v>
      </c>
      <c r="S12" s="60">
        <f>Q12-R12</f>
        <v>1.5385714285714287E-2</v>
      </c>
      <c r="T12" s="61">
        <f>K12*(Q12*O12-P12*S12)</f>
        <v>0.27078857142857143</v>
      </c>
      <c r="U12" s="10" t="s">
        <v>25</v>
      </c>
      <c r="V12" s="53" t="s">
        <v>136</v>
      </c>
      <c r="W12" s="54">
        <v>0.1</v>
      </c>
      <c r="X12" s="55">
        <v>1</v>
      </c>
      <c r="Y12" s="54">
        <f t="shared" si="1"/>
        <v>0.1</v>
      </c>
      <c r="Z12" s="229"/>
      <c r="AA12" s="226"/>
      <c r="AB12" s="232"/>
      <c r="AC12" s="235"/>
      <c r="AD12" s="235"/>
      <c r="AE12" s="238"/>
    </row>
    <row r="13" spans="1:31" x14ac:dyDescent="0.25">
      <c r="A13" s="212"/>
      <c r="B13" s="212"/>
      <c r="C13" s="214"/>
      <c r="D13" s="217"/>
      <c r="E13" s="214"/>
      <c r="F13" s="214"/>
      <c r="G13" s="214"/>
      <c r="H13" s="74"/>
      <c r="I13" s="74"/>
      <c r="J13" s="74"/>
      <c r="K13" s="76"/>
      <c r="L13" s="65"/>
      <c r="M13" s="65"/>
      <c r="N13" s="58"/>
      <c r="O13" s="75"/>
      <c r="P13" s="75"/>
      <c r="Q13" s="75"/>
      <c r="R13" s="59"/>
      <c r="S13" s="60"/>
      <c r="T13" s="61"/>
      <c r="U13" s="10" t="s">
        <v>70</v>
      </c>
      <c r="V13" s="53" t="s">
        <v>136</v>
      </c>
      <c r="W13" s="54">
        <v>0.1</v>
      </c>
      <c r="X13" s="55">
        <v>1</v>
      </c>
      <c r="Y13" s="54">
        <f t="shared" si="1"/>
        <v>0.1</v>
      </c>
      <c r="Z13" s="229"/>
      <c r="AA13" s="226"/>
      <c r="AB13" s="232"/>
      <c r="AC13" s="235"/>
      <c r="AD13" s="235"/>
      <c r="AE13" s="238"/>
    </row>
    <row r="14" spans="1:31" x14ac:dyDescent="0.25">
      <c r="A14" s="212"/>
      <c r="B14" s="212"/>
      <c r="C14" s="214"/>
      <c r="D14" s="217"/>
      <c r="E14" s="214"/>
      <c r="F14" s="214"/>
      <c r="G14" s="214"/>
      <c r="H14" s="74"/>
      <c r="I14" s="74"/>
      <c r="J14" s="74"/>
      <c r="K14" s="76"/>
      <c r="L14" s="65"/>
      <c r="M14" s="65"/>
      <c r="N14" s="58"/>
      <c r="O14" s="75"/>
      <c r="P14" s="75"/>
      <c r="Q14" s="75"/>
      <c r="R14" s="59"/>
      <c r="S14" s="60"/>
      <c r="T14" s="61"/>
      <c r="U14" s="10" t="s">
        <v>19</v>
      </c>
      <c r="V14" s="53" t="s">
        <v>136</v>
      </c>
      <c r="W14" s="54">
        <v>0.1</v>
      </c>
      <c r="X14" s="55">
        <v>1</v>
      </c>
      <c r="Y14" s="54">
        <f t="shared" si="1"/>
        <v>0.1</v>
      </c>
      <c r="Z14" s="229"/>
      <c r="AA14" s="226"/>
      <c r="AB14" s="232"/>
      <c r="AC14" s="235"/>
      <c r="AD14" s="235"/>
      <c r="AE14" s="238"/>
    </row>
    <row r="15" spans="1:31" x14ac:dyDescent="0.25">
      <c r="A15" s="212"/>
      <c r="B15" s="212"/>
      <c r="C15" s="214"/>
      <c r="D15" s="217"/>
      <c r="E15" s="214"/>
      <c r="F15" s="214"/>
      <c r="G15" s="214"/>
      <c r="H15" s="74"/>
      <c r="I15" s="74"/>
      <c r="J15" s="74"/>
      <c r="K15" s="76"/>
      <c r="L15" s="65"/>
      <c r="M15" s="65"/>
      <c r="N15" s="58"/>
      <c r="O15" s="75"/>
      <c r="P15" s="75"/>
      <c r="Q15" s="75"/>
      <c r="R15" s="59"/>
      <c r="S15" s="60"/>
      <c r="T15" s="61"/>
      <c r="U15" s="10" t="s">
        <v>16</v>
      </c>
      <c r="V15" s="53" t="s">
        <v>138</v>
      </c>
      <c r="W15" s="54">
        <v>0.05</v>
      </c>
      <c r="X15" s="55">
        <v>1</v>
      </c>
      <c r="Y15" s="54">
        <f t="shared" si="1"/>
        <v>0.05</v>
      </c>
      <c r="Z15" s="229"/>
      <c r="AA15" s="226"/>
      <c r="AB15" s="232"/>
      <c r="AC15" s="235"/>
      <c r="AD15" s="235"/>
      <c r="AE15" s="238"/>
    </row>
    <row r="16" spans="1:31" x14ac:dyDescent="0.25">
      <c r="A16" s="212"/>
      <c r="B16" s="212"/>
      <c r="C16" s="214"/>
      <c r="D16" s="217"/>
      <c r="E16" s="214"/>
      <c r="F16" s="214"/>
      <c r="G16" s="214"/>
      <c r="H16" s="74"/>
      <c r="I16" s="74"/>
      <c r="J16" s="74"/>
      <c r="K16" s="76"/>
      <c r="L16" s="65"/>
      <c r="M16" s="65"/>
      <c r="N16" s="58"/>
      <c r="O16" s="75"/>
      <c r="P16" s="75"/>
      <c r="Q16" s="75"/>
      <c r="R16" s="59"/>
      <c r="S16" s="60"/>
      <c r="T16" s="61"/>
      <c r="U16" s="10" t="s">
        <v>25</v>
      </c>
      <c r="V16" s="53" t="s">
        <v>138</v>
      </c>
      <c r="W16" s="54">
        <v>0.05</v>
      </c>
      <c r="X16" s="55">
        <v>1</v>
      </c>
      <c r="Y16" s="54">
        <f t="shared" si="1"/>
        <v>0.05</v>
      </c>
      <c r="Z16" s="229"/>
      <c r="AA16" s="226"/>
      <c r="AB16" s="232"/>
      <c r="AC16" s="235"/>
      <c r="AD16" s="235"/>
      <c r="AE16" s="238"/>
    </row>
    <row r="17" spans="1:31" x14ac:dyDescent="0.25">
      <c r="A17" s="212"/>
      <c r="B17" s="212"/>
      <c r="C17" s="214"/>
      <c r="D17" s="217"/>
      <c r="E17" s="214"/>
      <c r="F17" s="214"/>
      <c r="G17" s="214"/>
      <c r="H17" s="74"/>
      <c r="I17" s="74"/>
      <c r="J17" s="74"/>
      <c r="K17" s="76"/>
      <c r="L17" s="65"/>
      <c r="M17" s="65"/>
      <c r="N17" s="58"/>
      <c r="O17" s="75"/>
      <c r="P17" s="75"/>
      <c r="Q17" s="75"/>
      <c r="R17" s="59"/>
      <c r="S17" s="60"/>
      <c r="T17" s="61"/>
      <c r="U17" s="10" t="s">
        <v>142</v>
      </c>
      <c r="V17" s="56">
        <v>12</v>
      </c>
      <c r="W17" s="57">
        <f>0.05*V17</f>
        <v>0.60000000000000009</v>
      </c>
      <c r="X17" s="55">
        <v>1</v>
      </c>
      <c r="Y17" s="54">
        <f t="shared" si="1"/>
        <v>0.60000000000000009</v>
      </c>
      <c r="Z17" s="229"/>
      <c r="AA17" s="226"/>
      <c r="AB17" s="232"/>
      <c r="AC17" s="235"/>
      <c r="AD17" s="235"/>
      <c r="AE17" s="238"/>
    </row>
    <row r="18" spans="1:31" x14ac:dyDescent="0.25">
      <c r="A18" s="212"/>
      <c r="B18" s="212"/>
      <c r="C18" s="214"/>
      <c r="D18" s="217"/>
      <c r="E18" s="214"/>
      <c r="F18" s="214"/>
      <c r="G18" s="214"/>
      <c r="H18" s="74"/>
      <c r="I18" s="74"/>
      <c r="J18" s="74"/>
      <c r="K18" s="76"/>
      <c r="L18" s="65"/>
      <c r="M18" s="65"/>
      <c r="N18" s="58"/>
      <c r="O18" s="75"/>
      <c r="P18" s="75"/>
      <c r="Q18" s="75"/>
      <c r="R18" s="59"/>
      <c r="S18" s="60"/>
      <c r="T18" s="61"/>
      <c r="U18" s="10"/>
      <c r="V18" s="56"/>
      <c r="W18" s="57"/>
      <c r="X18" s="55"/>
      <c r="Y18" s="54"/>
      <c r="Z18" s="229"/>
      <c r="AA18" s="226"/>
      <c r="AB18" s="232"/>
      <c r="AC18" s="235"/>
      <c r="AD18" s="235"/>
      <c r="AE18" s="238"/>
    </row>
    <row r="19" spans="1:31" x14ac:dyDescent="0.25">
      <c r="A19" s="212"/>
      <c r="B19" s="212"/>
      <c r="C19" s="214"/>
      <c r="D19" s="217"/>
      <c r="E19" s="214"/>
      <c r="F19" s="214"/>
      <c r="G19" s="214"/>
      <c r="H19" s="74"/>
      <c r="I19" s="74"/>
      <c r="J19" s="74"/>
      <c r="K19" s="76"/>
      <c r="L19" s="65"/>
      <c r="M19" s="65"/>
      <c r="N19" s="58"/>
      <c r="O19" s="75"/>
      <c r="P19" s="75"/>
      <c r="Q19" s="75"/>
      <c r="R19" s="59"/>
      <c r="S19" s="60"/>
      <c r="T19" s="61"/>
      <c r="U19" s="10"/>
      <c r="V19" s="56"/>
      <c r="W19" s="57"/>
      <c r="X19" s="55"/>
      <c r="Y19" s="54"/>
      <c r="Z19" s="229"/>
      <c r="AA19" s="226"/>
      <c r="AB19" s="232"/>
      <c r="AC19" s="235"/>
      <c r="AD19" s="235"/>
      <c r="AE19" s="238"/>
    </row>
    <row r="20" spans="1:31" x14ac:dyDescent="0.25">
      <c r="A20" s="203"/>
      <c r="B20" s="203"/>
      <c r="C20" s="215"/>
      <c r="D20" s="218"/>
      <c r="E20" s="215"/>
      <c r="F20" s="215"/>
      <c r="G20" s="215"/>
      <c r="H20" s="245" t="s">
        <v>133</v>
      </c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63">
        <f>SUM(T11:T19)</f>
        <v>3.5614971428571431</v>
      </c>
      <c r="U20" s="228" t="s">
        <v>134</v>
      </c>
      <c r="V20" s="228"/>
      <c r="W20" s="228"/>
      <c r="X20" s="228"/>
      <c r="Y20" s="64">
        <f>SUM(Y11:Y19)</f>
        <v>1.1000000000000001</v>
      </c>
      <c r="Z20" s="229"/>
      <c r="AA20" s="230"/>
      <c r="AB20" s="233"/>
      <c r="AC20" s="235"/>
      <c r="AD20" s="236"/>
      <c r="AE20" s="239"/>
    </row>
    <row r="21" spans="1:31" ht="27" customHeight="1" x14ac:dyDescent="0.25">
      <c r="A21" s="202"/>
      <c r="B21" s="202"/>
      <c r="C21" s="213">
        <v>44456</v>
      </c>
      <c r="D21" s="216"/>
      <c r="E21" s="219" t="s">
        <v>22</v>
      </c>
      <c r="F21" s="219" t="s">
        <v>23</v>
      </c>
      <c r="G21" s="219"/>
      <c r="H21" s="74" t="s">
        <v>146</v>
      </c>
      <c r="I21" s="74" t="s">
        <v>151</v>
      </c>
      <c r="J21" s="74" t="s">
        <v>143</v>
      </c>
      <c r="K21" s="76">
        <v>1</v>
      </c>
      <c r="L21" s="65"/>
      <c r="M21" s="65"/>
      <c r="N21" s="65">
        <v>2.5</v>
      </c>
      <c r="O21" s="75">
        <v>7</v>
      </c>
      <c r="P21" s="75">
        <v>3.4</v>
      </c>
      <c r="Q21" s="75">
        <f>R21/0.7</f>
        <v>0.55028571428571427</v>
      </c>
      <c r="R21" s="59">
        <v>0.38519999999999999</v>
      </c>
      <c r="S21" s="60">
        <f>Q21-R21</f>
        <v>0.16508571428571428</v>
      </c>
      <c r="T21" s="61">
        <f>K21*(Q21*O21-P21*S21)</f>
        <v>3.2907085714285715</v>
      </c>
      <c r="U21" s="10" t="s">
        <v>16</v>
      </c>
      <c r="V21" s="53" t="s">
        <v>135</v>
      </c>
      <c r="W21" s="54">
        <v>0.15</v>
      </c>
      <c r="X21" s="55">
        <v>1</v>
      </c>
      <c r="Y21" s="54">
        <f t="shared" ref="Y21:Y27" si="2">W21/X21</f>
        <v>0.15</v>
      </c>
      <c r="Z21" s="229">
        <v>1.2</v>
      </c>
      <c r="AA21" s="225">
        <f>(T29+Y29)*Z21</f>
        <v>6.6992502857142844</v>
      </c>
      <c r="AB21" s="231">
        <f>AA21/1.13</f>
        <v>5.9285400758533493</v>
      </c>
      <c r="AC21" s="234">
        <f>12000/1.13</f>
        <v>10619.469026548673</v>
      </c>
      <c r="AD21" s="234">
        <v>100000</v>
      </c>
      <c r="AE21" s="237">
        <f>AB21+AC21/AD21/2</f>
        <v>5.9816374209860923</v>
      </c>
    </row>
    <row r="22" spans="1:31" x14ac:dyDescent="0.25">
      <c r="A22" s="212"/>
      <c r="B22" s="212"/>
      <c r="C22" s="214"/>
      <c r="D22" s="217"/>
      <c r="E22" s="214"/>
      <c r="F22" s="214"/>
      <c r="G22" s="214"/>
      <c r="H22" s="74" t="s">
        <v>137</v>
      </c>
      <c r="I22" s="74" t="s">
        <v>185</v>
      </c>
      <c r="J22" s="74"/>
      <c r="K22" s="76">
        <v>1</v>
      </c>
      <c r="L22" s="65"/>
      <c r="M22" s="65"/>
      <c r="N22" s="58"/>
      <c r="O22" s="61">
        <v>0.32</v>
      </c>
      <c r="P22" s="75"/>
      <c r="Q22" s="75"/>
      <c r="R22" s="59"/>
      <c r="S22" s="60"/>
      <c r="T22" s="61">
        <f>K22*O22</f>
        <v>0.32</v>
      </c>
      <c r="U22" s="10" t="s">
        <v>24</v>
      </c>
      <c r="V22" s="53" t="s">
        <v>135</v>
      </c>
      <c r="W22" s="54">
        <v>0.15</v>
      </c>
      <c r="X22" s="55">
        <v>1</v>
      </c>
      <c r="Y22" s="54">
        <f t="shared" si="2"/>
        <v>0.15</v>
      </c>
      <c r="Z22" s="229"/>
      <c r="AA22" s="226"/>
      <c r="AB22" s="232"/>
      <c r="AC22" s="235"/>
      <c r="AD22" s="235"/>
      <c r="AE22" s="238"/>
    </row>
    <row r="23" spans="1:31" ht="24" x14ac:dyDescent="0.25">
      <c r="A23" s="212"/>
      <c r="B23" s="212"/>
      <c r="C23" s="214"/>
      <c r="D23" s="217"/>
      <c r="E23" s="214"/>
      <c r="F23" s="214"/>
      <c r="G23" s="214"/>
      <c r="H23" s="74" t="s">
        <v>153</v>
      </c>
      <c r="I23" s="77" t="s">
        <v>154</v>
      </c>
      <c r="J23" s="74"/>
      <c r="K23" s="76">
        <v>1</v>
      </c>
      <c r="L23" s="65"/>
      <c r="M23" s="65"/>
      <c r="N23" s="58"/>
      <c r="O23" s="61">
        <v>1</v>
      </c>
      <c r="P23" s="75"/>
      <c r="Q23" s="75"/>
      <c r="R23" s="59"/>
      <c r="S23" s="60"/>
      <c r="T23" s="61">
        <f>K23*O23</f>
        <v>1</v>
      </c>
      <c r="U23" s="10" t="s">
        <v>19</v>
      </c>
      <c r="V23" s="53" t="s">
        <v>136</v>
      </c>
      <c r="W23" s="54">
        <v>0.1</v>
      </c>
      <c r="X23" s="55">
        <v>1</v>
      </c>
      <c r="Y23" s="54">
        <f t="shared" si="2"/>
        <v>0.1</v>
      </c>
      <c r="Z23" s="229"/>
      <c r="AA23" s="226"/>
      <c r="AB23" s="232"/>
      <c r="AC23" s="235"/>
      <c r="AD23" s="235"/>
      <c r="AE23" s="238"/>
    </row>
    <row r="24" spans="1:31" x14ac:dyDescent="0.25">
      <c r="A24" s="212"/>
      <c r="B24" s="212"/>
      <c r="C24" s="214"/>
      <c r="D24" s="217"/>
      <c r="E24" s="214"/>
      <c r="F24" s="214"/>
      <c r="G24" s="214"/>
      <c r="H24" s="74" t="s">
        <v>158</v>
      </c>
      <c r="I24" s="74" t="s">
        <v>152</v>
      </c>
      <c r="J24" s="74"/>
      <c r="K24" s="76">
        <v>1</v>
      </c>
      <c r="L24" s="65"/>
      <c r="M24" s="65"/>
      <c r="N24" s="58"/>
      <c r="O24" s="80">
        <v>4.2000000000000003E-2</v>
      </c>
      <c r="P24" s="75"/>
      <c r="Q24" s="75"/>
      <c r="R24" s="59"/>
      <c r="S24" s="60"/>
      <c r="T24" s="80">
        <f>K24*O24</f>
        <v>4.2000000000000003E-2</v>
      </c>
      <c r="U24" s="10" t="s">
        <v>19</v>
      </c>
      <c r="V24" s="53" t="s">
        <v>136</v>
      </c>
      <c r="W24" s="54">
        <v>0.1</v>
      </c>
      <c r="X24" s="55">
        <v>1</v>
      </c>
      <c r="Y24" s="54">
        <f t="shared" si="2"/>
        <v>0.1</v>
      </c>
      <c r="Z24" s="229"/>
      <c r="AA24" s="226"/>
      <c r="AB24" s="232"/>
      <c r="AC24" s="235"/>
      <c r="AD24" s="235"/>
      <c r="AE24" s="238"/>
    </row>
    <row r="25" spans="1:31" x14ac:dyDescent="0.25">
      <c r="A25" s="212"/>
      <c r="B25" s="212"/>
      <c r="C25" s="214"/>
      <c r="D25" s="217"/>
      <c r="E25" s="214"/>
      <c r="F25" s="214"/>
      <c r="G25" s="214"/>
      <c r="H25" s="74"/>
      <c r="I25" s="74"/>
      <c r="J25" s="74"/>
      <c r="K25" s="76"/>
      <c r="L25" s="65"/>
      <c r="M25" s="65"/>
      <c r="N25" s="58"/>
      <c r="O25" s="75"/>
      <c r="P25" s="75"/>
      <c r="Q25" s="75"/>
      <c r="R25" s="59"/>
      <c r="S25" s="60"/>
      <c r="T25" s="61"/>
      <c r="U25" s="10" t="s">
        <v>25</v>
      </c>
      <c r="V25" s="53" t="s">
        <v>135</v>
      </c>
      <c r="W25" s="54">
        <v>0.15</v>
      </c>
      <c r="X25" s="55">
        <v>1</v>
      </c>
      <c r="Y25" s="54">
        <f t="shared" si="2"/>
        <v>0.15</v>
      </c>
      <c r="Z25" s="229"/>
      <c r="AA25" s="226"/>
      <c r="AB25" s="232"/>
      <c r="AC25" s="235"/>
      <c r="AD25" s="235"/>
      <c r="AE25" s="238"/>
    </row>
    <row r="26" spans="1:31" x14ac:dyDescent="0.25">
      <c r="A26" s="212"/>
      <c r="B26" s="212"/>
      <c r="C26" s="214"/>
      <c r="D26" s="217"/>
      <c r="E26" s="214"/>
      <c r="F26" s="214"/>
      <c r="G26" s="214"/>
      <c r="H26" s="74"/>
      <c r="I26" s="74"/>
      <c r="J26" s="74"/>
      <c r="K26" s="76"/>
      <c r="L26" s="65"/>
      <c r="M26" s="65"/>
      <c r="N26" s="58"/>
      <c r="O26" s="75"/>
      <c r="P26" s="75"/>
      <c r="Q26" s="75"/>
      <c r="R26" s="59"/>
      <c r="S26" s="60"/>
      <c r="T26" s="61"/>
      <c r="U26" s="10" t="s">
        <v>190</v>
      </c>
      <c r="V26" s="53" t="s">
        <v>139</v>
      </c>
      <c r="W26" s="54">
        <v>0.04</v>
      </c>
      <c r="X26" s="55">
        <v>1</v>
      </c>
      <c r="Y26" s="54">
        <f t="shared" si="2"/>
        <v>0.04</v>
      </c>
      <c r="Z26" s="229"/>
      <c r="AA26" s="226"/>
      <c r="AB26" s="232"/>
      <c r="AC26" s="235"/>
      <c r="AD26" s="235"/>
      <c r="AE26" s="238"/>
    </row>
    <row r="27" spans="1:31" x14ac:dyDescent="0.25">
      <c r="A27" s="212"/>
      <c r="B27" s="212"/>
      <c r="C27" s="214"/>
      <c r="D27" s="217"/>
      <c r="E27" s="214"/>
      <c r="F27" s="214"/>
      <c r="G27" s="214"/>
      <c r="H27" s="74"/>
      <c r="I27" s="74"/>
      <c r="J27" s="74"/>
      <c r="K27" s="76"/>
      <c r="L27" s="65"/>
      <c r="M27" s="65"/>
      <c r="N27" s="58"/>
      <c r="O27" s="75"/>
      <c r="P27" s="75"/>
      <c r="Q27" s="75"/>
      <c r="R27" s="59"/>
      <c r="S27" s="60"/>
      <c r="T27" s="61"/>
      <c r="U27" s="10" t="s">
        <v>190</v>
      </c>
      <c r="V27" s="53" t="s">
        <v>139</v>
      </c>
      <c r="W27" s="54">
        <v>0.04</v>
      </c>
      <c r="X27" s="55">
        <v>1</v>
      </c>
      <c r="Y27" s="54">
        <f t="shared" si="2"/>
        <v>0.04</v>
      </c>
      <c r="Z27" s="229"/>
      <c r="AA27" s="226"/>
      <c r="AB27" s="232"/>
      <c r="AC27" s="235"/>
      <c r="AD27" s="235"/>
      <c r="AE27" s="238"/>
    </row>
    <row r="28" spans="1:31" x14ac:dyDescent="0.25">
      <c r="A28" s="212"/>
      <c r="B28" s="212"/>
      <c r="C28" s="214"/>
      <c r="D28" s="217"/>
      <c r="E28" s="214"/>
      <c r="F28" s="214"/>
      <c r="G28" s="214"/>
      <c r="H28" s="74"/>
      <c r="I28" s="74"/>
      <c r="J28" s="74"/>
      <c r="K28" s="76"/>
      <c r="L28" s="65"/>
      <c r="M28" s="65"/>
      <c r="N28" s="58"/>
      <c r="O28" s="75"/>
      <c r="P28" s="75"/>
      <c r="Q28" s="75"/>
      <c r="R28" s="59"/>
      <c r="S28" s="60"/>
      <c r="T28" s="61"/>
      <c r="U28" s="52" t="s">
        <v>142</v>
      </c>
      <c r="V28" s="56">
        <v>4</v>
      </c>
      <c r="W28" s="62">
        <v>0.05</v>
      </c>
      <c r="X28" s="55">
        <v>1</v>
      </c>
      <c r="Y28" s="54">
        <f>V28*W28/X28</f>
        <v>0.2</v>
      </c>
      <c r="Z28" s="229"/>
      <c r="AA28" s="226"/>
      <c r="AB28" s="232"/>
      <c r="AC28" s="235"/>
      <c r="AD28" s="235"/>
      <c r="AE28" s="238"/>
    </row>
    <row r="29" spans="1:31" x14ac:dyDescent="0.25">
      <c r="A29" s="203"/>
      <c r="B29" s="203"/>
      <c r="C29" s="215"/>
      <c r="D29" s="218"/>
      <c r="E29" s="215"/>
      <c r="F29" s="215"/>
      <c r="G29" s="215"/>
      <c r="H29" s="245" t="s">
        <v>133</v>
      </c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63">
        <f>SUM(T21:T28)</f>
        <v>4.6527085714285707</v>
      </c>
      <c r="U29" s="228" t="s">
        <v>134</v>
      </c>
      <c r="V29" s="228"/>
      <c r="W29" s="228"/>
      <c r="X29" s="228"/>
      <c r="Y29" s="64">
        <f>SUM(Y21:Y28)</f>
        <v>0.93000000000000016</v>
      </c>
      <c r="Z29" s="229"/>
      <c r="AA29" s="230"/>
      <c r="AB29" s="233"/>
      <c r="AC29" s="235"/>
      <c r="AD29" s="236"/>
      <c r="AE29" s="239"/>
    </row>
    <row r="30" spans="1:31" ht="27" customHeight="1" x14ac:dyDescent="0.25">
      <c r="A30" s="202"/>
      <c r="B30" s="202"/>
      <c r="C30" s="213">
        <v>44456</v>
      </c>
      <c r="D30" s="216"/>
      <c r="E30" s="219" t="s">
        <v>26</v>
      </c>
      <c r="F30" s="219" t="s">
        <v>27</v>
      </c>
      <c r="G30" s="219"/>
      <c r="H30" s="74" t="s">
        <v>27</v>
      </c>
      <c r="I30" s="74" t="s">
        <v>26</v>
      </c>
      <c r="J30" s="74" t="s">
        <v>155</v>
      </c>
      <c r="K30" s="76">
        <v>1</v>
      </c>
      <c r="L30" s="78">
        <v>514</v>
      </c>
      <c r="M30" s="78">
        <v>93</v>
      </c>
      <c r="N30" s="78">
        <v>3</v>
      </c>
      <c r="O30" s="75">
        <v>6.7</v>
      </c>
      <c r="P30" s="75">
        <v>3.4</v>
      </c>
      <c r="Q30" s="75">
        <f>L30*M30*N30*7.85/1000000</f>
        <v>1.1257370999999998</v>
      </c>
      <c r="R30" s="59">
        <v>0.36099999999999999</v>
      </c>
      <c r="S30" s="60">
        <f>Q30-R30</f>
        <v>0.76473709999999984</v>
      </c>
      <c r="T30" s="61">
        <f>K30*(Q30*O30-P30*S30)</f>
        <v>4.9423324299999996</v>
      </c>
      <c r="U30" s="10" t="s">
        <v>28</v>
      </c>
      <c r="V30" s="53" t="s">
        <v>135</v>
      </c>
      <c r="W30" s="54">
        <v>0.15</v>
      </c>
      <c r="X30" s="55">
        <v>1</v>
      </c>
      <c r="Y30" s="54">
        <f t="shared" ref="Y30:Y32" si="3">W30/X30</f>
        <v>0.15</v>
      </c>
      <c r="Z30" s="229">
        <v>1.2</v>
      </c>
      <c r="AA30" s="225">
        <f>(T36+Y36)*Z30</f>
        <v>6.4707989159999997</v>
      </c>
      <c r="AB30" s="231">
        <f>AA30/1.13</f>
        <v>5.7263707221238942</v>
      </c>
      <c r="AC30" s="234">
        <f>6500/1.13</f>
        <v>5752.2123893805319</v>
      </c>
      <c r="AD30" s="234">
        <v>100000</v>
      </c>
      <c r="AE30" s="237">
        <f>AB30+AC30/AD30/2</f>
        <v>5.7551317840707972</v>
      </c>
    </row>
    <row r="31" spans="1:31" x14ac:dyDescent="0.25">
      <c r="A31" s="212"/>
      <c r="B31" s="212"/>
      <c r="C31" s="214"/>
      <c r="D31" s="217"/>
      <c r="E31" s="214"/>
      <c r="F31" s="214"/>
      <c r="G31" s="214"/>
      <c r="H31" s="74"/>
      <c r="I31" s="74"/>
      <c r="J31" s="74"/>
      <c r="K31" s="76"/>
      <c r="L31" s="65"/>
      <c r="M31" s="65"/>
      <c r="N31" s="58"/>
      <c r="O31" s="75"/>
      <c r="P31" s="75"/>
      <c r="Q31" s="75"/>
      <c r="R31" s="59"/>
      <c r="S31" s="60"/>
      <c r="T31" s="61"/>
      <c r="U31" s="10" t="s">
        <v>24</v>
      </c>
      <c r="V31" s="53" t="s">
        <v>135</v>
      </c>
      <c r="W31" s="54">
        <v>0.15</v>
      </c>
      <c r="X31" s="55">
        <v>1</v>
      </c>
      <c r="Y31" s="54">
        <f t="shared" si="3"/>
        <v>0.15</v>
      </c>
      <c r="Z31" s="229"/>
      <c r="AA31" s="226"/>
      <c r="AB31" s="232"/>
      <c r="AC31" s="235"/>
      <c r="AD31" s="235"/>
      <c r="AE31" s="238"/>
    </row>
    <row r="32" spans="1:31" x14ac:dyDescent="0.25">
      <c r="A32" s="212"/>
      <c r="B32" s="212"/>
      <c r="C32" s="214"/>
      <c r="D32" s="217"/>
      <c r="E32" s="214"/>
      <c r="F32" s="214"/>
      <c r="G32" s="214"/>
      <c r="H32" s="74"/>
      <c r="I32" s="77"/>
      <c r="J32" s="74"/>
      <c r="K32" s="76"/>
      <c r="L32" s="65"/>
      <c r="M32" s="65"/>
      <c r="N32" s="58"/>
      <c r="O32" s="75"/>
      <c r="P32" s="75"/>
      <c r="Q32" s="75"/>
      <c r="R32" s="59"/>
      <c r="S32" s="60"/>
      <c r="T32" s="61"/>
      <c r="U32" s="10" t="s">
        <v>19</v>
      </c>
      <c r="V32" s="53" t="s">
        <v>135</v>
      </c>
      <c r="W32" s="54">
        <v>0.15</v>
      </c>
      <c r="X32" s="55">
        <v>1</v>
      </c>
      <c r="Y32" s="54">
        <f t="shared" si="3"/>
        <v>0.15</v>
      </c>
      <c r="Z32" s="229"/>
      <c r="AA32" s="226"/>
      <c r="AB32" s="232"/>
      <c r="AC32" s="235"/>
      <c r="AD32" s="235"/>
      <c r="AE32" s="238"/>
    </row>
    <row r="33" spans="1:31" x14ac:dyDescent="0.25">
      <c r="A33" s="212"/>
      <c r="B33" s="212"/>
      <c r="C33" s="214"/>
      <c r="D33" s="217"/>
      <c r="E33" s="214"/>
      <c r="F33" s="214"/>
      <c r="G33" s="214"/>
      <c r="H33" s="74"/>
      <c r="I33" s="74"/>
      <c r="J33" s="74"/>
      <c r="K33" s="76"/>
      <c r="L33" s="65"/>
      <c r="M33" s="65"/>
      <c r="N33" s="58"/>
      <c r="O33" s="75"/>
      <c r="P33" s="75"/>
      <c r="Q33" s="75"/>
      <c r="R33" s="59"/>
      <c r="S33" s="60"/>
      <c r="T33" s="61"/>
      <c r="U33" s="10"/>
      <c r="V33" s="53"/>
      <c r="W33" s="54"/>
      <c r="X33" s="55"/>
      <c r="Y33" s="54"/>
      <c r="Z33" s="229"/>
      <c r="AA33" s="226"/>
      <c r="AB33" s="232"/>
      <c r="AC33" s="235"/>
      <c r="AD33" s="235"/>
      <c r="AE33" s="238"/>
    </row>
    <row r="34" spans="1:31" x14ac:dyDescent="0.25">
      <c r="A34" s="212"/>
      <c r="B34" s="212"/>
      <c r="C34" s="214"/>
      <c r="D34" s="217"/>
      <c r="E34" s="214"/>
      <c r="F34" s="214"/>
      <c r="G34" s="214"/>
      <c r="H34" s="74"/>
      <c r="I34" s="74"/>
      <c r="J34" s="74"/>
      <c r="K34" s="76"/>
      <c r="L34" s="65"/>
      <c r="M34" s="65"/>
      <c r="N34" s="58"/>
      <c r="O34" s="75"/>
      <c r="P34" s="75"/>
      <c r="Q34" s="75"/>
      <c r="R34" s="59"/>
      <c r="S34" s="60"/>
      <c r="T34" s="61"/>
      <c r="U34" s="10"/>
      <c r="V34" s="53"/>
      <c r="W34" s="54"/>
      <c r="X34" s="55"/>
      <c r="Y34" s="54"/>
      <c r="Z34" s="229"/>
      <c r="AA34" s="226"/>
      <c r="AB34" s="232"/>
      <c r="AC34" s="235"/>
      <c r="AD34" s="235"/>
      <c r="AE34" s="238"/>
    </row>
    <row r="35" spans="1:31" x14ac:dyDescent="0.25">
      <c r="A35" s="212"/>
      <c r="B35" s="212"/>
      <c r="C35" s="214"/>
      <c r="D35" s="217"/>
      <c r="E35" s="214"/>
      <c r="F35" s="214"/>
      <c r="G35" s="214"/>
      <c r="H35" s="74"/>
      <c r="I35" s="74"/>
      <c r="J35" s="74"/>
      <c r="K35" s="76"/>
      <c r="L35" s="65"/>
      <c r="M35" s="65"/>
      <c r="N35" s="58"/>
      <c r="O35" s="75"/>
      <c r="P35" s="75"/>
      <c r="Q35" s="75"/>
      <c r="R35" s="59"/>
      <c r="S35" s="60"/>
      <c r="T35" s="61"/>
      <c r="U35" s="52"/>
      <c r="V35" s="56"/>
      <c r="W35" s="57"/>
      <c r="X35" s="55"/>
      <c r="Y35" s="54"/>
      <c r="Z35" s="229"/>
      <c r="AA35" s="226"/>
      <c r="AB35" s="232"/>
      <c r="AC35" s="235"/>
      <c r="AD35" s="235"/>
      <c r="AE35" s="238"/>
    </row>
    <row r="36" spans="1:31" x14ac:dyDescent="0.25">
      <c r="A36" s="203"/>
      <c r="B36" s="203"/>
      <c r="C36" s="215"/>
      <c r="D36" s="218"/>
      <c r="E36" s="215"/>
      <c r="F36" s="215"/>
      <c r="G36" s="215"/>
      <c r="H36" s="245" t="s">
        <v>133</v>
      </c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63">
        <f>SUM(T30:T35)</f>
        <v>4.9423324299999996</v>
      </c>
      <c r="U36" s="228" t="s">
        <v>134</v>
      </c>
      <c r="V36" s="228"/>
      <c r="W36" s="228"/>
      <c r="X36" s="228"/>
      <c r="Y36" s="64">
        <f>SUM(Y30:Y35)</f>
        <v>0.44999999999999996</v>
      </c>
      <c r="Z36" s="229"/>
      <c r="AA36" s="230"/>
      <c r="AB36" s="233"/>
      <c r="AC36" s="235"/>
      <c r="AD36" s="236"/>
      <c r="AE36" s="239"/>
    </row>
    <row r="37" spans="1:31" ht="27" customHeight="1" x14ac:dyDescent="0.25">
      <c r="A37" s="202"/>
      <c r="B37" s="202"/>
      <c r="C37" s="213">
        <v>44456</v>
      </c>
      <c r="D37" s="216"/>
      <c r="E37" s="219" t="s">
        <v>29</v>
      </c>
      <c r="F37" s="219" t="s">
        <v>30</v>
      </c>
      <c r="G37" s="219"/>
      <c r="H37" s="74" t="s">
        <v>30</v>
      </c>
      <c r="I37" s="74" t="s">
        <v>29</v>
      </c>
      <c r="J37" s="74" t="s">
        <v>155</v>
      </c>
      <c r="K37" s="76">
        <v>1</v>
      </c>
      <c r="L37" s="78"/>
      <c r="M37" s="78"/>
      <c r="N37" s="78">
        <v>3</v>
      </c>
      <c r="O37" s="75">
        <v>6.7</v>
      </c>
      <c r="P37" s="75">
        <v>3.4</v>
      </c>
      <c r="Q37" s="75">
        <f>R37/0.7</f>
        <v>0.26</v>
      </c>
      <c r="R37" s="59">
        <v>0.182</v>
      </c>
      <c r="S37" s="60">
        <f>Q37-R37</f>
        <v>7.8000000000000014E-2</v>
      </c>
      <c r="T37" s="61">
        <f>K37*(Q37*O37-P37*S37)</f>
        <v>1.4768000000000001</v>
      </c>
      <c r="U37" s="10" t="s">
        <v>28</v>
      </c>
      <c r="V37" s="53" t="s">
        <v>135</v>
      </c>
      <c r="W37" s="54">
        <v>0.15</v>
      </c>
      <c r="X37" s="55">
        <v>1</v>
      </c>
      <c r="Y37" s="54">
        <f t="shared" ref="Y37:Y39" si="4">W37/X37</f>
        <v>0.15</v>
      </c>
      <c r="Z37" s="229">
        <v>1.2</v>
      </c>
      <c r="AA37" s="225">
        <f>(T43+Y43)*Z37</f>
        <v>2.31216</v>
      </c>
      <c r="AB37" s="231">
        <f>AA37/1.13</f>
        <v>2.0461592920353984</v>
      </c>
      <c r="AC37" s="234">
        <f>6500/1.13</f>
        <v>5752.2123893805319</v>
      </c>
      <c r="AD37" s="234">
        <v>100000</v>
      </c>
      <c r="AE37" s="237">
        <f>AB37+AC37/AD37/2</f>
        <v>2.0749203539823009</v>
      </c>
    </row>
    <row r="38" spans="1:31" x14ac:dyDescent="0.25">
      <c r="A38" s="212"/>
      <c r="B38" s="212"/>
      <c r="C38" s="214"/>
      <c r="D38" s="217"/>
      <c r="E38" s="214"/>
      <c r="F38" s="214"/>
      <c r="G38" s="214"/>
      <c r="H38" s="74"/>
      <c r="I38" s="74"/>
      <c r="J38" s="74"/>
      <c r="K38" s="76"/>
      <c r="L38" s="65"/>
      <c r="M38" s="65"/>
      <c r="N38" s="58"/>
      <c r="O38" s="75"/>
      <c r="P38" s="75"/>
      <c r="Q38" s="75"/>
      <c r="R38" s="59"/>
      <c r="S38" s="60"/>
      <c r="T38" s="61"/>
      <c r="U38" s="10" t="s">
        <v>24</v>
      </c>
      <c r="V38" s="53" t="s">
        <v>135</v>
      </c>
      <c r="W38" s="54">
        <v>0.15</v>
      </c>
      <c r="X38" s="55">
        <v>1</v>
      </c>
      <c r="Y38" s="54">
        <f t="shared" si="4"/>
        <v>0.15</v>
      </c>
      <c r="Z38" s="229"/>
      <c r="AA38" s="226"/>
      <c r="AB38" s="232"/>
      <c r="AC38" s="235"/>
      <c r="AD38" s="235"/>
      <c r="AE38" s="238"/>
    </row>
    <row r="39" spans="1:31" x14ac:dyDescent="0.25">
      <c r="A39" s="212"/>
      <c r="B39" s="212"/>
      <c r="C39" s="214"/>
      <c r="D39" s="217"/>
      <c r="E39" s="214"/>
      <c r="F39" s="214"/>
      <c r="G39" s="214"/>
      <c r="H39" s="74"/>
      <c r="I39" s="77"/>
      <c r="J39" s="74"/>
      <c r="K39" s="76"/>
      <c r="L39" s="65"/>
      <c r="M39" s="65"/>
      <c r="N39" s="58"/>
      <c r="O39" s="75"/>
      <c r="P39" s="75"/>
      <c r="Q39" s="75"/>
      <c r="R39" s="59"/>
      <c r="S39" s="60"/>
      <c r="T39" s="61"/>
      <c r="U39" s="10" t="s">
        <v>19</v>
      </c>
      <c r="V39" s="53" t="s">
        <v>135</v>
      </c>
      <c r="W39" s="54">
        <v>0.15</v>
      </c>
      <c r="X39" s="55">
        <v>1</v>
      </c>
      <c r="Y39" s="54">
        <f t="shared" si="4"/>
        <v>0.15</v>
      </c>
      <c r="Z39" s="229"/>
      <c r="AA39" s="226"/>
      <c r="AB39" s="232"/>
      <c r="AC39" s="235"/>
      <c r="AD39" s="235"/>
      <c r="AE39" s="238"/>
    </row>
    <row r="40" spans="1:31" x14ac:dyDescent="0.25">
      <c r="A40" s="212"/>
      <c r="B40" s="212"/>
      <c r="C40" s="214"/>
      <c r="D40" s="217"/>
      <c r="E40" s="214"/>
      <c r="F40" s="214"/>
      <c r="G40" s="214"/>
      <c r="H40" s="74"/>
      <c r="I40" s="74"/>
      <c r="J40" s="74"/>
      <c r="K40" s="76"/>
      <c r="L40" s="65"/>
      <c r="M40" s="65"/>
      <c r="N40" s="58"/>
      <c r="O40" s="75"/>
      <c r="P40" s="75"/>
      <c r="Q40" s="75"/>
      <c r="R40" s="59"/>
      <c r="S40" s="60"/>
      <c r="T40" s="61"/>
      <c r="U40" s="10"/>
      <c r="V40" s="53"/>
      <c r="W40" s="54"/>
      <c r="X40" s="55"/>
      <c r="Y40" s="54"/>
      <c r="Z40" s="229"/>
      <c r="AA40" s="226"/>
      <c r="AB40" s="232"/>
      <c r="AC40" s="235"/>
      <c r="AD40" s="235"/>
      <c r="AE40" s="238"/>
    </row>
    <row r="41" spans="1:31" x14ac:dyDescent="0.25">
      <c r="A41" s="212"/>
      <c r="B41" s="212"/>
      <c r="C41" s="214"/>
      <c r="D41" s="217"/>
      <c r="E41" s="214"/>
      <c r="F41" s="214"/>
      <c r="G41" s="214"/>
      <c r="H41" s="74"/>
      <c r="I41" s="74"/>
      <c r="J41" s="74"/>
      <c r="K41" s="76"/>
      <c r="L41" s="65"/>
      <c r="M41" s="65"/>
      <c r="N41" s="58"/>
      <c r="O41" s="75"/>
      <c r="P41" s="75"/>
      <c r="Q41" s="75"/>
      <c r="R41" s="59"/>
      <c r="S41" s="60"/>
      <c r="T41" s="61"/>
      <c r="U41" s="10"/>
      <c r="V41" s="53"/>
      <c r="W41" s="54"/>
      <c r="X41" s="55"/>
      <c r="Y41" s="54"/>
      <c r="Z41" s="229"/>
      <c r="AA41" s="226"/>
      <c r="AB41" s="232"/>
      <c r="AC41" s="235"/>
      <c r="AD41" s="235"/>
      <c r="AE41" s="238"/>
    </row>
    <row r="42" spans="1:31" x14ac:dyDescent="0.25">
      <c r="A42" s="212"/>
      <c r="B42" s="212"/>
      <c r="C42" s="214"/>
      <c r="D42" s="217"/>
      <c r="E42" s="214"/>
      <c r="F42" s="214"/>
      <c r="G42" s="214"/>
      <c r="H42" s="74"/>
      <c r="I42" s="74"/>
      <c r="J42" s="74"/>
      <c r="K42" s="76"/>
      <c r="L42" s="65"/>
      <c r="M42" s="65"/>
      <c r="N42" s="58"/>
      <c r="O42" s="75"/>
      <c r="P42" s="75"/>
      <c r="Q42" s="75"/>
      <c r="R42" s="59"/>
      <c r="S42" s="60"/>
      <c r="T42" s="61"/>
      <c r="U42" s="52"/>
      <c r="V42" s="56"/>
      <c r="W42" s="57"/>
      <c r="X42" s="55"/>
      <c r="Y42" s="54"/>
      <c r="Z42" s="229"/>
      <c r="AA42" s="226"/>
      <c r="AB42" s="232"/>
      <c r="AC42" s="235"/>
      <c r="AD42" s="235"/>
      <c r="AE42" s="238"/>
    </row>
    <row r="43" spans="1:31" x14ac:dyDescent="0.25">
      <c r="A43" s="203"/>
      <c r="B43" s="203"/>
      <c r="C43" s="215"/>
      <c r="D43" s="218"/>
      <c r="E43" s="215"/>
      <c r="F43" s="215"/>
      <c r="G43" s="215"/>
      <c r="H43" s="245" t="s">
        <v>133</v>
      </c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63">
        <f>SUM(T37:T42)</f>
        <v>1.4768000000000001</v>
      </c>
      <c r="U43" s="228" t="s">
        <v>134</v>
      </c>
      <c r="V43" s="228"/>
      <c r="W43" s="228"/>
      <c r="X43" s="228"/>
      <c r="Y43" s="64">
        <f>SUM(Y37:Y42)</f>
        <v>0.44999999999999996</v>
      </c>
      <c r="Z43" s="229"/>
      <c r="AA43" s="230"/>
      <c r="AB43" s="233"/>
      <c r="AC43" s="235"/>
      <c r="AD43" s="236"/>
      <c r="AE43" s="239"/>
    </row>
    <row r="44" spans="1:31" ht="27" customHeight="1" x14ac:dyDescent="0.25">
      <c r="A44" s="202"/>
      <c r="B44" s="202"/>
      <c r="C44" s="213">
        <v>44456</v>
      </c>
      <c r="D44" s="216"/>
      <c r="E44" s="219" t="s">
        <v>31</v>
      </c>
      <c r="F44" s="219" t="s">
        <v>32</v>
      </c>
      <c r="G44" s="219"/>
      <c r="H44" s="74" t="s">
        <v>32</v>
      </c>
      <c r="I44" s="74" t="s">
        <v>31</v>
      </c>
      <c r="J44" s="74" t="s">
        <v>155</v>
      </c>
      <c r="K44" s="76">
        <v>1</v>
      </c>
      <c r="L44" s="78"/>
      <c r="M44" s="78"/>
      <c r="N44" s="78">
        <v>3</v>
      </c>
      <c r="O44" s="75">
        <v>6.7</v>
      </c>
      <c r="P44" s="75">
        <v>3.4</v>
      </c>
      <c r="Q44" s="75">
        <f>R44/0.7</f>
        <v>0.96285714285714297</v>
      </c>
      <c r="R44" s="59">
        <v>0.67400000000000004</v>
      </c>
      <c r="S44" s="60">
        <f>Q44-R44</f>
        <v>0.28885714285714292</v>
      </c>
      <c r="T44" s="61">
        <f>K44*(Q44*O44-P44*S44)</f>
        <v>5.4690285714285718</v>
      </c>
      <c r="U44" s="28" t="s">
        <v>71</v>
      </c>
      <c r="V44" s="79" t="s">
        <v>136</v>
      </c>
      <c r="W44" s="54">
        <v>0.1</v>
      </c>
      <c r="X44" s="55">
        <v>1</v>
      </c>
      <c r="Y44" s="54">
        <f t="shared" ref="Y44:Y46" si="5">W44/X44</f>
        <v>0.1</v>
      </c>
      <c r="Z44" s="229">
        <v>1.2</v>
      </c>
      <c r="AA44" s="225">
        <f>(T50+Y50)*Z44</f>
        <v>7.1628342857142862</v>
      </c>
      <c r="AB44" s="231">
        <f>AA44/1.13</f>
        <v>6.3387914032869794</v>
      </c>
      <c r="AC44" s="234">
        <v>44000</v>
      </c>
      <c r="AD44" s="234">
        <v>100000</v>
      </c>
      <c r="AE44" s="237">
        <f>AB44+AC44/AD44/2</f>
        <v>6.5587914032869792</v>
      </c>
    </row>
    <row r="45" spans="1:31" x14ac:dyDescent="0.25">
      <c r="A45" s="212"/>
      <c r="B45" s="212"/>
      <c r="C45" s="214"/>
      <c r="D45" s="217"/>
      <c r="E45" s="214"/>
      <c r="F45" s="214"/>
      <c r="G45" s="214"/>
      <c r="H45" s="74"/>
      <c r="I45" s="74"/>
      <c r="J45" s="74"/>
      <c r="K45" s="76"/>
      <c r="L45" s="65"/>
      <c r="M45" s="65"/>
      <c r="N45" s="58"/>
      <c r="O45" s="75"/>
      <c r="P45" s="75"/>
      <c r="Q45" s="75"/>
      <c r="R45" s="59"/>
      <c r="S45" s="60"/>
      <c r="T45" s="61"/>
      <c r="U45" s="28" t="s">
        <v>72</v>
      </c>
      <c r="V45" s="79" t="s">
        <v>136</v>
      </c>
      <c r="W45" s="54">
        <v>0.1</v>
      </c>
      <c r="X45" s="55">
        <v>1</v>
      </c>
      <c r="Y45" s="54">
        <f t="shared" si="5"/>
        <v>0.1</v>
      </c>
      <c r="Z45" s="229"/>
      <c r="AA45" s="226"/>
      <c r="AB45" s="232"/>
      <c r="AC45" s="235"/>
      <c r="AD45" s="235"/>
      <c r="AE45" s="238"/>
    </row>
    <row r="46" spans="1:31" x14ac:dyDescent="0.25">
      <c r="A46" s="212"/>
      <c r="B46" s="212"/>
      <c r="C46" s="214"/>
      <c r="D46" s="217"/>
      <c r="E46" s="214"/>
      <c r="F46" s="214"/>
      <c r="G46" s="214"/>
      <c r="H46" s="74"/>
      <c r="I46" s="77"/>
      <c r="J46" s="74"/>
      <c r="K46" s="76"/>
      <c r="L46" s="65"/>
      <c r="M46" s="65"/>
      <c r="N46" s="58"/>
      <c r="O46" s="75"/>
      <c r="P46" s="75"/>
      <c r="Q46" s="75"/>
      <c r="R46" s="59"/>
      <c r="S46" s="60"/>
      <c r="T46" s="61"/>
      <c r="U46" s="28" t="s">
        <v>73</v>
      </c>
      <c r="V46" s="79" t="s">
        <v>136</v>
      </c>
      <c r="W46" s="54">
        <v>0.1</v>
      </c>
      <c r="X46" s="55">
        <v>1</v>
      </c>
      <c r="Y46" s="54">
        <f t="shared" si="5"/>
        <v>0.1</v>
      </c>
      <c r="Z46" s="229"/>
      <c r="AA46" s="226"/>
      <c r="AB46" s="232"/>
      <c r="AC46" s="235"/>
      <c r="AD46" s="235"/>
      <c r="AE46" s="238"/>
    </row>
    <row r="47" spans="1:31" x14ac:dyDescent="0.25">
      <c r="A47" s="212"/>
      <c r="B47" s="212"/>
      <c r="C47" s="214"/>
      <c r="D47" s="217"/>
      <c r="E47" s="214"/>
      <c r="F47" s="214"/>
      <c r="G47" s="214"/>
      <c r="H47" s="74"/>
      <c r="I47" s="74"/>
      <c r="J47" s="74"/>
      <c r="K47" s="76"/>
      <c r="L47" s="65"/>
      <c r="M47" s="65"/>
      <c r="N47" s="58"/>
      <c r="O47" s="75"/>
      <c r="P47" s="75"/>
      <c r="Q47" s="75"/>
      <c r="R47" s="59"/>
      <c r="S47" s="60"/>
      <c r="T47" s="61"/>
      <c r="U47" s="28" t="s">
        <v>74</v>
      </c>
      <c r="V47" s="79" t="s">
        <v>136</v>
      </c>
      <c r="W47" s="54">
        <v>0.1</v>
      </c>
      <c r="X47" s="55">
        <v>1</v>
      </c>
      <c r="Y47" s="54">
        <f t="shared" ref="Y47:Y48" si="6">W47/X47</f>
        <v>0.1</v>
      </c>
      <c r="Z47" s="229"/>
      <c r="AA47" s="226"/>
      <c r="AB47" s="232"/>
      <c r="AC47" s="235"/>
      <c r="AD47" s="235"/>
      <c r="AE47" s="238"/>
    </row>
    <row r="48" spans="1:31" x14ac:dyDescent="0.25">
      <c r="A48" s="212"/>
      <c r="B48" s="212"/>
      <c r="C48" s="214"/>
      <c r="D48" s="217"/>
      <c r="E48" s="214"/>
      <c r="F48" s="214"/>
      <c r="G48" s="214"/>
      <c r="H48" s="74"/>
      <c r="I48" s="74"/>
      <c r="J48" s="74"/>
      <c r="K48" s="76"/>
      <c r="L48" s="65"/>
      <c r="M48" s="65"/>
      <c r="N48" s="58"/>
      <c r="O48" s="75"/>
      <c r="P48" s="75"/>
      <c r="Q48" s="75"/>
      <c r="R48" s="59"/>
      <c r="S48" s="60"/>
      <c r="T48" s="61"/>
      <c r="U48" s="28" t="s">
        <v>74</v>
      </c>
      <c r="V48" s="79" t="s">
        <v>136</v>
      </c>
      <c r="W48" s="54">
        <v>0.1</v>
      </c>
      <c r="X48" s="55">
        <v>1</v>
      </c>
      <c r="Y48" s="54">
        <f t="shared" si="6"/>
        <v>0.1</v>
      </c>
      <c r="Z48" s="229"/>
      <c r="AA48" s="226"/>
      <c r="AB48" s="232"/>
      <c r="AC48" s="235"/>
      <c r="AD48" s="235"/>
      <c r="AE48" s="238"/>
    </row>
    <row r="49" spans="1:31" x14ac:dyDescent="0.25">
      <c r="A49" s="212"/>
      <c r="B49" s="212"/>
      <c r="C49" s="214"/>
      <c r="D49" s="217"/>
      <c r="E49" s="214"/>
      <c r="F49" s="214"/>
      <c r="G49" s="214"/>
      <c r="H49" s="74"/>
      <c r="I49" s="74"/>
      <c r="J49" s="74"/>
      <c r="K49" s="76"/>
      <c r="L49" s="65"/>
      <c r="M49" s="65"/>
      <c r="N49" s="58"/>
      <c r="O49" s="75"/>
      <c r="P49" s="75"/>
      <c r="Q49" s="75"/>
      <c r="R49" s="59"/>
      <c r="S49" s="60"/>
      <c r="T49" s="61"/>
      <c r="U49" s="52"/>
      <c r="V49" s="56"/>
      <c r="W49" s="57"/>
      <c r="X49" s="55"/>
      <c r="Y49" s="54"/>
      <c r="Z49" s="229"/>
      <c r="AA49" s="226"/>
      <c r="AB49" s="232"/>
      <c r="AC49" s="235"/>
      <c r="AD49" s="235"/>
      <c r="AE49" s="238"/>
    </row>
    <row r="50" spans="1:31" x14ac:dyDescent="0.25">
      <c r="A50" s="203"/>
      <c r="B50" s="203"/>
      <c r="C50" s="215"/>
      <c r="D50" s="218"/>
      <c r="E50" s="215"/>
      <c r="F50" s="215"/>
      <c r="G50" s="215"/>
      <c r="H50" s="245" t="s">
        <v>133</v>
      </c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63">
        <f>SUM(T44:T49)</f>
        <v>5.4690285714285718</v>
      </c>
      <c r="U50" s="228" t="s">
        <v>134</v>
      </c>
      <c r="V50" s="228"/>
      <c r="W50" s="228"/>
      <c r="X50" s="228"/>
      <c r="Y50" s="64">
        <f>SUM(Y44:Y49)</f>
        <v>0.5</v>
      </c>
      <c r="Z50" s="229"/>
      <c r="AA50" s="230"/>
      <c r="AB50" s="233"/>
      <c r="AC50" s="235"/>
      <c r="AD50" s="236"/>
      <c r="AE50" s="239"/>
    </row>
    <row r="51" spans="1:31" ht="27" customHeight="1" x14ac:dyDescent="0.25">
      <c r="A51" s="202"/>
      <c r="B51" s="202"/>
      <c r="C51" s="213">
        <v>44456</v>
      </c>
      <c r="D51" s="216"/>
      <c r="E51" s="219" t="s">
        <v>33</v>
      </c>
      <c r="F51" s="219" t="s">
        <v>34</v>
      </c>
      <c r="G51" s="219"/>
      <c r="H51" s="74" t="s">
        <v>34</v>
      </c>
      <c r="I51" s="74" t="s">
        <v>33</v>
      </c>
      <c r="J51" s="74" t="s">
        <v>155</v>
      </c>
      <c r="K51" s="76">
        <v>1</v>
      </c>
      <c r="L51" s="78"/>
      <c r="M51" s="78"/>
      <c r="N51" s="78">
        <v>3</v>
      </c>
      <c r="O51" s="75">
        <v>6.7</v>
      </c>
      <c r="P51" s="75">
        <v>3.4</v>
      </c>
      <c r="Q51" s="75">
        <f>R51/0.7</f>
        <v>0.55428571428571438</v>
      </c>
      <c r="R51" s="59">
        <v>0.38800000000000001</v>
      </c>
      <c r="S51" s="60">
        <f>Q51-R51</f>
        <v>0.16628571428571437</v>
      </c>
      <c r="T51" s="61">
        <f>K51*(Q51*O51-P51*S51)</f>
        <v>3.1483428571428576</v>
      </c>
      <c r="U51" s="10" t="s">
        <v>16</v>
      </c>
      <c r="V51" s="79" t="s">
        <v>141</v>
      </c>
      <c r="W51" s="54">
        <v>7.0000000000000007E-2</v>
      </c>
      <c r="X51" s="55">
        <v>1</v>
      </c>
      <c r="Y51" s="54">
        <f t="shared" ref="Y51:Y54" si="7">W51/X51</f>
        <v>7.0000000000000007E-2</v>
      </c>
      <c r="Z51" s="229">
        <v>1.2</v>
      </c>
      <c r="AA51" s="225">
        <f>(T57+Y57)*Z51</f>
        <v>4.1140114285714295</v>
      </c>
      <c r="AB51" s="231">
        <f>AA51/1.13</f>
        <v>3.6407180783817963</v>
      </c>
      <c r="AC51" s="234">
        <f>7000/1.13</f>
        <v>6194.6902654867263</v>
      </c>
      <c r="AD51" s="234">
        <v>100000</v>
      </c>
      <c r="AE51" s="237">
        <f>AB51+AC51/AD51/2</f>
        <v>3.6716915297092299</v>
      </c>
    </row>
    <row r="52" spans="1:31" x14ac:dyDescent="0.25">
      <c r="A52" s="212"/>
      <c r="B52" s="212"/>
      <c r="C52" s="214"/>
      <c r="D52" s="217"/>
      <c r="E52" s="214"/>
      <c r="F52" s="214"/>
      <c r="G52" s="214"/>
      <c r="H52" s="74"/>
      <c r="I52" s="74"/>
      <c r="J52" s="74"/>
      <c r="K52" s="76"/>
      <c r="L52" s="65"/>
      <c r="M52" s="65"/>
      <c r="N52" s="58"/>
      <c r="O52" s="75"/>
      <c r="P52" s="75"/>
      <c r="Q52" s="75"/>
      <c r="R52" s="59"/>
      <c r="S52" s="60"/>
      <c r="T52" s="61"/>
      <c r="U52" s="10" t="s">
        <v>25</v>
      </c>
      <c r="V52" s="79" t="s">
        <v>141</v>
      </c>
      <c r="W52" s="54">
        <v>7.0000000000000007E-2</v>
      </c>
      <c r="X52" s="55">
        <v>1</v>
      </c>
      <c r="Y52" s="54">
        <f t="shared" si="7"/>
        <v>7.0000000000000007E-2</v>
      </c>
      <c r="Z52" s="229"/>
      <c r="AA52" s="226"/>
      <c r="AB52" s="232"/>
      <c r="AC52" s="235"/>
      <c r="AD52" s="235"/>
      <c r="AE52" s="238"/>
    </row>
    <row r="53" spans="1:31" x14ac:dyDescent="0.25">
      <c r="A53" s="212"/>
      <c r="B53" s="212"/>
      <c r="C53" s="214"/>
      <c r="D53" s="217"/>
      <c r="E53" s="214"/>
      <c r="F53" s="214"/>
      <c r="G53" s="214"/>
      <c r="H53" s="74"/>
      <c r="I53" s="77"/>
      <c r="J53" s="74"/>
      <c r="K53" s="76"/>
      <c r="L53" s="65"/>
      <c r="M53" s="65"/>
      <c r="N53" s="58"/>
      <c r="O53" s="75"/>
      <c r="P53" s="75"/>
      <c r="Q53" s="75"/>
      <c r="R53" s="59"/>
      <c r="S53" s="60"/>
      <c r="T53" s="61"/>
      <c r="U53" s="10" t="s">
        <v>25</v>
      </c>
      <c r="V53" s="79" t="s">
        <v>141</v>
      </c>
      <c r="W53" s="54">
        <v>7.0000000000000007E-2</v>
      </c>
      <c r="X53" s="55">
        <v>1</v>
      </c>
      <c r="Y53" s="54">
        <f t="shared" si="7"/>
        <v>7.0000000000000007E-2</v>
      </c>
      <c r="Z53" s="229"/>
      <c r="AA53" s="226"/>
      <c r="AB53" s="232"/>
      <c r="AC53" s="235"/>
      <c r="AD53" s="235"/>
      <c r="AE53" s="238"/>
    </row>
    <row r="54" spans="1:31" x14ac:dyDescent="0.25">
      <c r="A54" s="212"/>
      <c r="B54" s="212"/>
      <c r="C54" s="214"/>
      <c r="D54" s="217"/>
      <c r="E54" s="214"/>
      <c r="F54" s="214"/>
      <c r="G54" s="214"/>
      <c r="H54" s="74"/>
      <c r="I54" s="74"/>
      <c r="J54" s="74"/>
      <c r="K54" s="76"/>
      <c r="L54" s="65"/>
      <c r="M54" s="65"/>
      <c r="N54" s="58"/>
      <c r="O54" s="75"/>
      <c r="P54" s="75"/>
      <c r="Q54" s="75"/>
      <c r="R54" s="59"/>
      <c r="S54" s="60"/>
      <c r="T54" s="61"/>
      <c r="U54" s="10" t="s">
        <v>19</v>
      </c>
      <c r="V54" s="79" t="s">
        <v>141</v>
      </c>
      <c r="W54" s="54">
        <v>7.0000000000000007E-2</v>
      </c>
      <c r="X54" s="55">
        <v>1</v>
      </c>
      <c r="Y54" s="54">
        <f t="shared" si="7"/>
        <v>7.0000000000000007E-2</v>
      </c>
      <c r="Z54" s="229"/>
      <c r="AA54" s="226"/>
      <c r="AB54" s="232"/>
      <c r="AC54" s="235"/>
      <c r="AD54" s="235"/>
      <c r="AE54" s="238"/>
    </row>
    <row r="55" spans="1:31" x14ac:dyDescent="0.25">
      <c r="A55" s="212"/>
      <c r="B55" s="212"/>
      <c r="C55" s="214"/>
      <c r="D55" s="217"/>
      <c r="E55" s="214"/>
      <c r="F55" s="214"/>
      <c r="G55" s="214"/>
      <c r="H55" s="74"/>
      <c r="I55" s="74"/>
      <c r="J55" s="74"/>
      <c r="K55" s="76"/>
      <c r="L55" s="65"/>
      <c r="M55" s="65"/>
      <c r="N55" s="58"/>
      <c r="O55" s="75"/>
      <c r="P55" s="75"/>
      <c r="Q55" s="75"/>
      <c r="R55" s="59"/>
      <c r="S55" s="60"/>
      <c r="T55" s="61"/>
      <c r="U55" s="6"/>
      <c r="V55" s="79"/>
      <c r="W55" s="54"/>
      <c r="X55" s="55"/>
      <c r="Y55" s="54"/>
      <c r="Z55" s="229"/>
      <c r="AA55" s="226"/>
      <c r="AB55" s="232"/>
      <c r="AC55" s="235"/>
      <c r="AD55" s="235"/>
      <c r="AE55" s="238"/>
    </row>
    <row r="56" spans="1:31" x14ac:dyDescent="0.25">
      <c r="A56" s="212"/>
      <c r="B56" s="212"/>
      <c r="C56" s="214"/>
      <c r="D56" s="217"/>
      <c r="E56" s="214"/>
      <c r="F56" s="214"/>
      <c r="G56" s="214"/>
      <c r="H56" s="74"/>
      <c r="I56" s="74"/>
      <c r="J56" s="74"/>
      <c r="K56" s="76"/>
      <c r="L56" s="65"/>
      <c r="M56" s="65"/>
      <c r="N56" s="58"/>
      <c r="O56" s="75"/>
      <c r="P56" s="75"/>
      <c r="Q56" s="75"/>
      <c r="R56" s="59"/>
      <c r="S56" s="60"/>
      <c r="T56" s="61"/>
      <c r="U56" s="52"/>
      <c r="V56" s="56"/>
      <c r="W56" s="57"/>
      <c r="X56" s="55"/>
      <c r="Y56" s="54"/>
      <c r="Z56" s="229"/>
      <c r="AA56" s="226"/>
      <c r="AB56" s="232"/>
      <c r="AC56" s="235"/>
      <c r="AD56" s="235"/>
      <c r="AE56" s="238"/>
    </row>
    <row r="57" spans="1:31" x14ac:dyDescent="0.25">
      <c r="A57" s="203"/>
      <c r="B57" s="203"/>
      <c r="C57" s="215"/>
      <c r="D57" s="218"/>
      <c r="E57" s="215"/>
      <c r="F57" s="215"/>
      <c r="G57" s="215"/>
      <c r="H57" s="245" t="s">
        <v>133</v>
      </c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63">
        <f>SUM(T51:T56)</f>
        <v>3.1483428571428576</v>
      </c>
      <c r="U57" s="228" t="s">
        <v>134</v>
      </c>
      <c r="V57" s="228"/>
      <c r="W57" s="228"/>
      <c r="X57" s="228"/>
      <c r="Y57" s="64">
        <f>SUM(Y51:Y56)</f>
        <v>0.28000000000000003</v>
      </c>
      <c r="Z57" s="229"/>
      <c r="AA57" s="230"/>
      <c r="AB57" s="233"/>
      <c r="AC57" s="235"/>
      <c r="AD57" s="236"/>
      <c r="AE57" s="239"/>
    </row>
    <row r="58" spans="1:31" ht="27" customHeight="1" x14ac:dyDescent="0.25">
      <c r="A58" s="202"/>
      <c r="B58" s="202"/>
      <c r="C58" s="213">
        <v>44456</v>
      </c>
      <c r="D58" s="216"/>
      <c r="E58" s="219" t="s">
        <v>35</v>
      </c>
      <c r="F58" s="219" t="s">
        <v>36</v>
      </c>
      <c r="G58" s="219"/>
      <c r="H58" s="74" t="s">
        <v>36</v>
      </c>
      <c r="I58" s="74" t="s">
        <v>35</v>
      </c>
      <c r="J58" s="74" t="s">
        <v>155</v>
      </c>
      <c r="K58" s="76">
        <v>1</v>
      </c>
      <c r="L58" s="78">
        <v>88</v>
      </c>
      <c r="M58" s="78">
        <v>33</v>
      </c>
      <c r="N58" s="78">
        <v>3</v>
      </c>
      <c r="O58" s="75">
        <v>6.7</v>
      </c>
      <c r="P58" s="75">
        <v>3.4</v>
      </c>
      <c r="Q58" s="75">
        <f>L58*M58*N58*7.85/1000000</f>
        <v>6.8389199999999997E-2</v>
      </c>
      <c r="R58" s="59">
        <v>3.5999999999999997E-2</v>
      </c>
      <c r="S58" s="60">
        <f>Q58-R58</f>
        <v>3.23892E-2</v>
      </c>
      <c r="T58" s="61">
        <f>K58*(Q58*O58-P58*S58)</f>
        <v>0.34808435999999998</v>
      </c>
      <c r="U58" s="10" t="s">
        <v>16</v>
      </c>
      <c r="V58" s="6" t="s">
        <v>138</v>
      </c>
      <c r="W58" s="54">
        <v>0.05</v>
      </c>
      <c r="X58" s="55">
        <v>1</v>
      </c>
      <c r="Y58" s="54">
        <f t="shared" ref="Y58:Y59" si="8">W58/X58</f>
        <v>0.05</v>
      </c>
      <c r="Z58" s="229">
        <v>1.2</v>
      </c>
      <c r="AA58" s="225">
        <f>(T64+Y64)*Z58</f>
        <v>0.53770123199999997</v>
      </c>
      <c r="AB58" s="231">
        <f>AA58/1.13</f>
        <v>0.47584179823008854</v>
      </c>
      <c r="AC58" s="234">
        <f>2000/1.13</f>
        <v>1769.911504424779</v>
      </c>
      <c r="AD58" s="234">
        <v>100000</v>
      </c>
      <c r="AE58" s="237">
        <f>AB58+AC58/AD58/2</f>
        <v>0.48469135575221245</v>
      </c>
    </row>
    <row r="59" spans="1:31" x14ac:dyDescent="0.25">
      <c r="A59" s="212"/>
      <c r="B59" s="212"/>
      <c r="C59" s="214"/>
      <c r="D59" s="217"/>
      <c r="E59" s="214"/>
      <c r="F59" s="214"/>
      <c r="G59" s="214"/>
      <c r="H59" s="74"/>
      <c r="I59" s="74"/>
      <c r="J59" s="74"/>
      <c r="K59" s="76"/>
      <c r="L59" s="65"/>
      <c r="M59" s="65"/>
      <c r="N59" s="58"/>
      <c r="O59" s="75"/>
      <c r="P59" s="75"/>
      <c r="Q59" s="75"/>
      <c r="R59" s="59"/>
      <c r="S59" s="60"/>
      <c r="T59" s="61"/>
      <c r="U59" s="10" t="s">
        <v>25</v>
      </c>
      <c r="V59" s="6" t="s">
        <v>138</v>
      </c>
      <c r="W59" s="54">
        <v>0.05</v>
      </c>
      <c r="X59" s="55">
        <v>1</v>
      </c>
      <c r="Y59" s="54">
        <f t="shared" si="8"/>
        <v>0.05</v>
      </c>
      <c r="Z59" s="229"/>
      <c r="AA59" s="226"/>
      <c r="AB59" s="232"/>
      <c r="AC59" s="235"/>
      <c r="AD59" s="235"/>
      <c r="AE59" s="238"/>
    </row>
    <row r="60" spans="1:31" x14ac:dyDescent="0.25">
      <c r="A60" s="212"/>
      <c r="B60" s="212"/>
      <c r="C60" s="214"/>
      <c r="D60" s="217"/>
      <c r="E60" s="214"/>
      <c r="F60" s="214"/>
      <c r="G60" s="214"/>
      <c r="H60" s="74"/>
      <c r="I60" s="77"/>
      <c r="J60" s="74"/>
      <c r="K60" s="76"/>
      <c r="L60" s="65"/>
      <c r="M60" s="65"/>
      <c r="N60" s="58"/>
      <c r="O60" s="75"/>
      <c r="P60" s="75"/>
      <c r="Q60" s="75"/>
      <c r="R60" s="59"/>
      <c r="S60" s="60"/>
      <c r="T60" s="61"/>
      <c r="U60" s="10"/>
      <c r="V60" s="79"/>
      <c r="W60" s="54"/>
      <c r="X60" s="55"/>
      <c r="Y60" s="54"/>
      <c r="Z60" s="229"/>
      <c r="AA60" s="226"/>
      <c r="AB60" s="232"/>
      <c r="AC60" s="235"/>
      <c r="AD60" s="235"/>
      <c r="AE60" s="238"/>
    </row>
    <row r="61" spans="1:31" x14ac:dyDescent="0.25">
      <c r="A61" s="212"/>
      <c r="B61" s="212"/>
      <c r="C61" s="214"/>
      <c r="D61" s="217"/>
      <c r="E61" s="214"/>
      <c r="F61" s="214"/>
      <c r="G61" s="214"/>
      <c r="H61" s="74"/>
      <c r="I61" s="74"/>
      <c r="J61" s="74"/>
      <c r="K61" s="76"/>
      <c r="L61" s="65"/>
      <c r="M61" s="65"/>
      <c r="N61" s="58"/>
      <c r="O61" s="75"/>
      <c r="P61" s="75"/>
      <c r="Q61" s="75"/>
      <c r="R61" s="59"/>
      <c r="S61" s="60"/>
      <c r="T61" s="61"/>
      <c r="U61" s="10"/>
      <c r="V61" s="79"/>
      <c r="W61" s="54"/>
      <c r="X61" s="55"/>
      <c r="Y61" s="54"/>
      <c r="Z61" s="229"/>
      <c r="AA61" s="226"/>
      <c r="AB61" s="232"/>
      <c r="AC61" s="235"/>
      <c r="AD61" s="235"/>
      <c r="AE61" s="238"/>
    </row>
    <row r="62" spans="1:31" x14ac:dyDescent="0.25">
      <c r="A62" s="212"/>
      <c r="B62" s="212"/>
      <c r="C62" s="214"/>
      <c r="D62" s="217"/>
      <c r="E62" s="214"/>
      <c r="F62" s="214"/>
      <c r="G62" s="214"/>
      <c r="H62" s="74"/>
      <c r="I62" s="74"/>
      <c r="J62" s="74"/>
      <c r="K62" s="76"/>
      <c r="L62" s="65"/>
      <c r="M62" s="65"/>
      <c r="N62" s="58"/>
      <c r="O62" s="75"/>
      <c r="P62" s="75"/>
      <c r="Q62" s="75"/>
      <c r="R62" s="59"/>
      <c r="S62" s="60"/>
      <c r="T62" s="61"/>
      <c r="U62" s="6"/>
      <c r="V62" s="79"/>
      <c r="W62" s="54"/>
      <c r="X62" s="55"/>
      <c r="Y62" s="54"/>
      <c r="Z62" s="229"/>
      <c r="AA62" s="226"/>
      <c r="AB62" s="232"/>
      <c r="AC62" s="235"/>
      <c r="AD62" s="235"/>
      <c r="AE62" s="238"/>
    </row>
    <row r="63" spans="1:31" x14ac:dyDescent="0.25">
      <c r="A63" s="212"/>
      <c r="B63" s="212"/>
      <c r="C63" s="214"/>
      <c r="D63" s="217"/>
      <c r="E63" s="214"/>
      <c r="F63" s="214"/>
      <c r="G63" s="214"/>
      <c r="H63" s="74"/>
      <c r="I63" s="74"/>
      <c r="J63" s="74"/>
      <c r="K63" s="76"/>
      <c r="L63" s="65"/>
      <c r="M63" s="65"/>
      <c r="N63" s="58"/>
      <c r="O63" s="75"/>
      <c r="P63" s="75"/>
      <c r="Q63" s="75"/>
      <c r="R63" s="59"/>
      <c r="S63" s="60"/>
      <c r="T63" s="61"/>
      <c r="U63" s="52"/>
      <c r="V63" s="56"/>
      <c r="W63" s="57"/>
      <c r="X63" s="55"/>
      <c r="Y63" s="54"/>
      <c r="Z63" s="229"/>
      <c r="AA63" s="226"/>
      <c r="AB63" s="232"/>
      <c r="AC63" s="235"/>
      <c r="AD63" s="235"/>
      <c r="AE63" s="238"/>
    </row>
    <row r="64" spans="1:31" x14ac:dyDescent="0.25">
      <c r="A64" s="203"/>
      <c r="B64" s="203"/>
      <c r="C64" s="215"/>
      <c r="D64" s="218"/>
      <c r="E64" s="215"/>
      <c r="F64" s="215"/>
      <c r="G64" s="215"/>
      <c r="H64" s="245" t="s">
        <v>133</v>
      </c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63">
        <f>SUM(T58:T63)</f>
        <v>0.34808435999999998</v>
      </c>
      <c r="U64" s="228" t="s">
        <v>134</v>
      </c>
      <c r="V64" s="228"/>
      <c r="W64" s="228"/>
      <c r="X64" s="228"/>
      <c r="Y64" s="64">
        <f>SUM(Y58:Y63)</f>
        <v>0.1</v>
      </c>
      <c r="Z64" s="229"/>
      <c r="AA64" s="230"/>
      <c r="AB64" s="233"/>
      <c r="AC64" s="235"/>
      <c r="AD64" s="236"/>
      <c r="AE64" s="239"/>
    </row>
    <row r="65" spans="1:31" ht="27" customHeight="1" x14ac:dyDescent="0.25">
      <c r="A65" s="202"/>
      <c r="B65" s="202"/>
      <c r="C65" s="213">
        <v>44456</v>
      </c>
      <c r="D65" s="216"/>
      <c r="E65" s="219" t="s">
        <v>37</v>
      </c>
      <c r="F65" s="219" t="s">
        <v>38</v>
      </c>
      <c r="G65" s="219"/>
      <c r="H65" s="74" t="s">
        <v>38</v>
      </c>
      <c r="I65" s="74" t="s">
        <v>37</v>
      </c>
      <c r="J65" s="74" t="s">
        <v>144</v>
      </c>
      <c r="K65" s="76">
        <v>1</v>
      </c>
      <c r="L65" s="78">
        <v>61</v>
      </c>
      <c r="M65" s="78">
        <v>19</v>
      </c>
      <c r="N65" s="78">
        <v>2</v>
      </c>
      <c r="O65" s="75">
        <v>6.45</v>
      </c>
      <c r="P65" s="75">
        <v>3.4</v>
      </c>
      <c r="Q65" s="75">
        <f>L65*M65*N65*7.85/1000000</f>
        <v>1.8196299999999999E-2</v>
      </c>
      <c r="R65" s="59">
        <v>6.0000000000000001E-3</v>
      </c>
      <c r="S65" s="60">
        <f>Q65-R65</f>
        <v>1.2196299999999998E-2</v>
      </c>
      <c r="T65" s="61">
        <f>K65*(Q65*O65-P65*S65)</f>
        <v>7.5898715000000005E-2</v>
      </c>
      <c r="U65" s="10" t="s">
        <v>16</v>
      </c>
      <c r="V65" s="6" t="s">
        <v>138</v>
      </c>
      <c r="W65" s="54">
        <v>0.05</v>
      </c>
      <c r="X65" s="55">
        <v>1</v>
      </c>
      <c r="Y65" s="54">
        <f t="shared" ref="Y65:Y66" si="9">W65/X65</f>
        <v>0.05</v>
      </c>
      <c r="Z65" s="229">
        <v>1.2</v>
      </c>
      <c r="AA65" s="225">
        <f>(T71+Y71)*Z65</f>
        <v>0.211078458</v>
      </c>
      <c r="AB65" s="231">
        <f>AA65/1.13</f>
        <v>0.18679509557522125</v>
      </c>
      <c r="AC65" s="234">
        <f>1500/1.13</f>
        <v>1327.4336283185842</v>
      </c>
      <c r="AD65" s="234">
        <v>100000</v>
      </c>
      <c r="AE65" s="237">
        <f>AB65+AC65/AD65/2</f>
        <v>0.19343226371681418</v>
      </c>
    </row>
    <row r="66" spans="1:31" x14ac:dyDescent="0.25">
      <c r="A66" s="212"/>
      <c r="B66" s="212"/>
      <c r="C66" s="214"/>
      <c r="D66" s="217"/>
      <c r="E66" s="214"/>
      <c r="F66" s="214"/>
      <c r="G66" s="214"/>
      <c r="H66" s="74"/>
      <c r="I66" s="74"/>
      <c r="J66" s="74"/>
      <c r="K66" s="76"/>
      <c r="L66" s="65"/>
      <c r="M66" s="65"/>
      <c r="N66" s="58"/>
      <c r="O66" s="75"/>
      <c r="P66" s="75"/>
      <c r="Q66" s="75"/>
      <c r="R66" s="59"/>
      <c r="S66" s="60"/>
      <c r="T66" s="61"/>
      <c r="U66" s="10" t="s">
        <v>25</v>
      </c>
      <c r="V66" s="6" t="s">
        <v>138</v>
      </c>
      <c r="W66" s="54">
        <v>0.05</v>
      </c>
      <c r="X66" s="55">
        <v>1</v>
      </c>
      <c r="Y66" s="54">
        <f t="shared" si="9"/>
        <v>0.05</v>
      </c>
      <c r="Z66" s="229"/>
      <c r="AA66" s="226"/>
      <c r="AB66" s="232"/>
      <c r="AC66" s="235"/>
      <c r="AD66" s="235"/>
      <c r="AE66" s="238"/>
    </row>
    <row r="67" spans="1:31" x14ac:dyDescent="0.25">
      <c r="A67" s="212"/>
      <c r="B67" s="212"/>
      <c r="C67" s="214"/>
      <c r="D67" s="217"/>
      <c r="E67" s="214"/>
      <c r="F67" s="214"/>
      <c r="G67" s="214"/>
      <c r="H67" s="74"/>
      <c r="I67" s="77"/>
      <c r="J67" s="74"/>
      <c r="K67" s="76"/>
      <c r="L67" s="65"/>
      <c r="M67" s="65"/>
      <c r="N67" s="58"/>
      <c r="O67" s="75"/>
      <c r="P67" s="75"/>
      <c r="Q67" s="75"/>
      <c r="R67" s="59"/>
      <c r="S67" s="60"/>
      <c r="T67" s="61"/>
      <c r="U67" s="10"/>
      <c r="V67" s="79"/>
      <c r="W67" s="54"/>
      <c r="X67" s="55"/>
      <c r="Y67" s="54"/>
      <c r="Z67" s="229"/>
      <c r="AA67" s="226"/>
      <c r="AB67" s="232"/>
      <c r="AC67" s="235"/>
      <c r="AD67" s="235"/>
      <c r="AE67" s="238"/>
    </row>
    <row r="68" spans="1:31" x14ac:dyDescent="0.25">
      <c r="A68" s="212"/>
      <c r="B68" s="212"/>
      <c r="C68" s="214"/>
      <c r="D68" s="217"/>
      <c r="E68" s="214"/>
      <c r="F68" s="214"/>
      <c r="G68" s="214"/>
      <c r="H68" s="74"/>
      <c r="I68" s="74"/>
      <c r="J68" s="74"/>
      <c r="K68" s="76"/>
      <c r="L68" s="65"/>
      <c r="M68" s="65"/>
      <c r="N68" s="58"/>
      <c r="O68" s="75"/>
      <c r="P68" s="75"/>
      <c r="Q68" s="75"/>
      <c r="R68" s="59"/>
      <c r="S68" s="60"/>
      <c r="T68" s="61"/>
      <c r="U68" s="10"/>
      <c r="V68" s="79"/>
      <c r="W68" s="54"/>
      <c r="X68" s="55"/>
      <c r="Y68" s="54"/>
      <c r="Z68" s="229"/>
      <c r="AA68" s="226"/>
      <c r="AB68" s="232"/>
      <c r="AC68" s="235"/>
      <c r="AD68" s="235"/>
      <c r="AE68" s="238"/>
    </row>
    <row r="69" spans="1:31" x14ac:dyDescent="0.25">
      <c r="A69" s="212"/>
      <c r="B69" s="212"/>
      <c r="C69" s="214"/>
      <c r="D69" s="217"/>
      <c r="E69" s="214"/>
      <c r="F69" s="214"/>
      <c r="G69" s="214"/>
      <c r="H69" s="74"/>
      <c r="I69" s="74"/>
      <c r="J69" s="74"/>
      <c r="K69" s="76"/>
      <c r="L69" s="65"/>
      <c r="M69" s="65"/>
      <c r="N69" s="58"/>
      <c r="O69" s="75"/>
      <c r="P69" s="75"/>
      <c r="Q69" s="75"/>
      <c r="R69" s="59"/>
      <c r="S69" s="60"/>
      <c r="T69" s="61"/>
      <c r="U69" s="6"/>
      <c r="V69" s="79"/>
      <c r="W69" s="54"/>
      <c r="X69" s="55"/>
      <c r="Y69" s="54"/>
      <c r="Z69" s="229"/>
      <c r="AA69" s="226"/>
      <c r="AB69" s="232"/>
      <c r="AC69" s="235"/>
      <c r="AD69" s="235"/>
      <c r="AE69" s="238"/>
    </row>
    <row r="70" spans="1:31" x14ac:dyDescent="0.25">
      <c r="A70" s="212"/>
      <c r="B70" s="212"/>
      <c r="C70" s="214"/>
      <c r="D70" s="217"/>
      <c r="E70" s="214"/>
      <c r="F70" s="214"/>
      <c r="G70" s="214"/>
      <c r="H70" s="74"/>
      <c r="I70" s="74"/>
      <c r="J70" s="74"/>
      <c r="K70" s="76"/>
      <c r="L70" s="65"/>
      <c r="M70" s="65"/>
      <c r="N70" s="58"/>
      <c r="O70" s="75"/>
      <c r="P70" s="75"/>
      <c r="Q70" s="75"/>
      <c r="R70" s="59"/>
      <c r="S70" s="60"/>
      <c r="T70" s="61"/>
      <c r="U70" s="52"/>
      <c r="V70" s="56"/>
      <c r="W70" s="57"/>
      <c r="X70" s="55"/>
      <c r="Y70" s="54"/>
      <c r="Z70" s="229"/>
      <c r="AA70" s="226"/>
      <c r="AB70" s="232"/>
      <c r="AC70" s="235"/>
      <c r="AD70" s="235"/>
      <c r="AE70" s="238"/>
    </row>
    <row r="71" spans="1:31" x14ac:dyDescent="0.25">
      <c r="A71" s="203"/>
      <c r="B71" s="203"/>
      <c r="C71" s="215"/>
      <c r="D71" s="218"/>
      <c r="E71" s="215"/>
      <c r="F71" s="215"/>
      <c r="G71" s="215"/>
      <c r="H71" s="245" t="s">
        <v>133</v>
      </c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63">
        <f>SUM(T65:T70)</f>
        <v>7.5898715000000005E-2</v>
      </c>
      <c r="U71" s="228" t="s">
        <v>134</v>
      </c>
      <c r="V71" s="228"/>
      <c r="W71" s="228"/>
      <c r="X71" s="228"/>
      <c r="Y71" s="64">
        <f>SUM(Y65:Y70)</f>
        <v>0.1</v>
      </c>
      <c r="Z71" s="229"/>
      <c r="AA71" s="230"/>
      <c r="AB71" s="233"/>
      <c r="AC71" s="235"/>
      <c r="AD71" s="236"/>
      <c r="AE71" s="239"/>
    </row>
    <row r="72" spans="1:31" ht="27" customHeight="1" x14ac:dyDescent="0.25">
      <c r="A72" s="202"/>
      <c r="B72" s="202"/>
      <c r="C72" s="213">
        <v>44456</v>
      </c>
      <c r="D72" s="216"/>
      <c r="E72" s="219" t="s">
        <v>39</v>
      </c>
      <c r="F72" s="219" t="s">
        <v>40</v>
      </c>
      <c r="G72" s="219"/>
      <c r="H72" s="74" t="s">
        <v>161</v>
      </c>
      <c r="I72" s="74" t="s">
        <v>156</v>
      </c>
      <c r="J72" s="74" t="s">
        <v>157</v>
      </c>
      <c r="K72" s="76">
        <v>1</v>
      </c>
      <c r="L72" s="78">
        <v>185</v>
      </c>
      <c r="M72" s="78">
        <v>104</v>
      </c>
      <c r="N72" s="78">
        <v>3</v>
      </c>
      <c r="O72" s="75">
        <v>6.7</v>
      </c>
      <c r="P72" s="75">
        <v>3.4</v>
      </c>
      <c r="Q72" s="75">
        <f>L72*M72*N72*7.85/1000000</f>
        <v>0.453102</v>
      </c>
      <c r="R72" s="59">
        <v>0.3503</v>
      </c>
      <c r="S72" s="60">
        <f>Q72-R72</f>
        <v>0.102802</v>
      </c>
      <c r="T72" s="61">
        <f>K72*(Q72*O72-P72*S72)</f>
        <v>2.6862566000000001</v>
      </c>
      <c r="U72" s="10" t="s">
        <v>16</v>
      </c>
      <c r="V72" s="6" t="s">
        <v>136</v>
      </c>
      <c r="W72" s="54">
        <v>0.1</v>
      </c>
      <c r="X72" s="55">
        <v>1</v>
      </c>
      <c r="Y72" s="54">
        <f t="shared" ref="Y72:Y73" si="10">W72/X72</f>
        <v>0.1</v>
      </c>
      <c r="Z72" s="229">
        <v>1.2</v>
      </c>
      <c r="AA72" s="225">
        <f>(T78+Y78)*Z72</f>
        <v>3.9243079199999999</v>
      </c>
      <c r="AB72" s="231">
        <f>AA72/1.13</f>
        <v>3.4728388672566375</v>
      </c>
      <c r="AC72" s="234">
        <f>5500/1.13</f>
        <v>4867.2566371681423</v>
      </c>
      <c r="AD72" s="234">
        <v>100000</v>
      </c>
      <c r="AE72" s="237">
        <f>AB72+AC72/AD72/2</f>
        <v>3.4971751504424784</v>
      </c>
    </row>
    <row r="73" spans="1:31" x14ac:dyDescent="0.25">
      <c r="A73" s="212"/>
      <c r="B73" s="212"/>
      <c r="C73" s="214"/>
      <c r="D73" s="217"/>
      <c r="E73" s="214"/>
      <c r="F73" s="214"/>
      <c r="G73" s="214"/>
      <c r="H73" s="74" t="s">
        <v>158</v>
      </c>
      <c r="I73" s="74" t="s">
        <v>152</v>
      </c>
      <c r="J73" s="74"/>
      <c r="K73" s="76">
        <v>2</v>
      </c>
      <c r="L73" s="65"/>
      <c r="M73" s="65"/>
      <c r="N73" s="58"/>
      <c r="O73" s="80">
        <v>4.2000000000000003E-2</v>
      </c>
      <c r="P73" s="75"/>
      <c r="Q73" s="75"/>
      <c r="R73" s="59"/>
      <c r="S73" s="60"/>
      <c r="T73" s="80">
        <f>K73*O73</f>
        <v>8.4000000000000005E-2</v>
      </c>
      <c r="U73" s="10" t="s">
        <v>24</v>
      </c>
      <c r="V73" s="6" t="s">
        <v>136</v>
      </c>
      <c r="W73" s="54">
        <v>0.1</v>
      </c>
      <c r="X73" s="55">
        <v>1</v>
      </c>
      <c r="Y73" s="54">
        <f t="shared" si="10"/>
        <v>0.1</v>
      </c>
      <c r="Z73" s="229"/>
      <c r="AA73" s="226"/>
      <c r="AB73" s="232"/>
      <c r="AC73" s="235"/>
      <c r="AD73" s="235"/>
      <c r="AE73" s="238"/>
    </row>
    <row r="74" spans="1:31" x14ac:dyDescent="0.25">
      <c r="A74" s="212"/>
      <c r="B74" s="212"/>
      <c r="C74" s="214"/>
      <c r="D74" s="217"/>
      <c r="E74" s="214"/>
      <c r="F74" s="214"/>
      <c r="G74" s="214"/>
      <c r="H74" s="74"/>
      <c r="I74" s="77"/>
      <c r="J74" s="74"/>
      <c r="K74" s="76"/>
      <c r="L74" s="65"/>
      <c r="M74" s="65"/>
      <c r="N74" s="58"/>
      <c r="O74" s="75"/>
      <c r="P74" s="75"/>
      <c r="Q74" s="75"/>
      <c r="R74" s="59"/>
      <c r="S74" s="60"/>
      <c r="T74" s="61"/>
      <c r="U74" s="10" t="s">
        <v>19</v>
      </c>
      <c r="V74" s="6" t="s">
        <v>136</v>
      </c>
      <c r="W74" s="54">
        <v>0.1</v>
      </c>
      <c r="X74" s="55">
        <v>1</v>
      </c>
      <c r="Y74" s="54">
        <f t="shared" ref="Y74" si="11">W74/X74</f>
        <v>0.1</v>
      </c>
      <c r="Z74" s="229"/>
      <c r="AA74" s="226"/>
      <c r="AB74" s="232"/>
      <c r="AC74" s="235"/>
      <c r="AD74" s="235"/>
      <c r="AE74" s="238"/>
    </row>
    <row r="75" spans="1:31" x14ac:dyDescent="0.25">
      <c r="A75" s="212"/>
      <c r="B75" s="212"/>
      <c r="C75" s="214"/>
      <c r="D75" s="217"/>
      <c r="E75" s="214"/>
      <c r="F75" s="214"/>
      <c r="G75" s="214"/>
      <c r="H75" s="74"/>
      <c r="I75" s="74"/>
      <c r="J75" s="74"/>
      <c r="K75" s="76"/>
      <c r="L75" s="65"/>
      <c r="M75" s="65"/>
      <c r="N75" s="58"/>
      <c r="O75" s="75"/>
      <c r="P75" s="75"/>
      <c r="Q75" s="75"/>
      <c r="R75" s="59"/>
      <c r="S75" s="60"/>
      <c r="T75" s="61"/>
      <c r="U75" s="10" t="s">
        <v>142</v>
      </c>
      <c r="V75" s="79">
        <v>4</v>
      </c>
      <c r="W75" s="54">
        <v>0.05</v>
      </c>
      <c r="X75" s="55">
        <v>1</v>
      </c>
      <c r="Y75" s="54">
        <f>V75*W75/X75</f>
        <v>0.2</v>
      </c>
      <c r="Z75" s="229"/>
      <c r="AA75" s="226"/>
      <c r="AB75" s="232"/>
      <c r="AC75" s="235"/>
      <c r="AD75" s="235"/>
      <c r="AE75" s="238"/>
    </row>
    <row r="76" spans="1:31" x14ac:dyDescent="0.25">
      <c r="A76" s="212"/>
      <c r="B76" s="212"/>
      <c r="C76" s="214"/>
      <c r="D76" s="217"/>
      <c r="E76" s="214"/>
      <c r="F76" s="214"/>
      <c r="G76" s="214"/>
      <c r="H76" s="74"/>
      <c r="I76" s="74"/>
      <c r="J76" s="74"/>
      <c r="K76" s="76"/>
      <c r="L76" s="65"/>
      <c r="M76" s="65"/>
      <c r="N76" s="58"/>
      <c r="O76" s="75"/>
      <c r="P76" s="75"/>
      <c r="Q76" s="75"/>
      <c r="R76" s="59"/>
      <c r="S76" s="60"/>
      <c r="T76" s="61"/>
      <c r="U76" s="6"/>
      <c r="V76" s="79"/>
      <c r="W76" s="54"/>
      <c r="X76" s="55"/>
      <c r="Y76" s="54"/>
      <c r="Z76" s="229"/>
      <c r="AA76" s="226"/>
      <c r="AB76" s="232"/>
      <c r="AC76" s="235"/>
      <c r="AD76" s="235"/>
      <c r="AE76" s="238"/>
    </row>
    <row r="77" spans="1:31" x14ac:dyDescent="0.25">
      <c r="A77" s="212"/>
      <c r="B77" s="212"/>
      <c r="C77" s="214"/>
      <c r="D77" s="217"/>
      <c r="E77" s="214"/>
      <c r="F77" s="214"/>
      <c r="G77" s="214"/>
      <c r="H77" s="74"/>
      <c r="I77" s="74"/>
      <c r="J77" s="74"/>
      <c r="K77" s="76"/>
      <c r="L77" s="65"/>
      <c r="M77" s="65"/>
      <c r="N77" s="58"/>
      <c r="O77" s="75"/>
      <c r="P77" s="75"/>
      <c r="Q77" s="75"/>
      <c r="R77" s="59"/>
      <c r="S77" s="60"/>
      <c r="T77" s="61"/>
      <c r="U77" s="52"/>
      <c r="V77" s="56"/>
      <c r="W77" s="57"/>
      <c r="X77" s="55"/>
      <c r="Y77" s="54"/>
      <c r="Z77" s="229"/>
      <c r="AA77" s="226"/>
      <c r="AB77" s="232"/>
      <c r="AC77" s="235"/>
      <c r="AD77" s="235"/>
      <c r="AE77" s="238"/>
    </row>
    <row r="78" spans="1:31" x14ac:dyDescent="0.25">
      <c r="A78" s="203"/>
      <c r="B78" s="203"/>
      <c r="C78" s="215"/>
      <c r="D78" s="218"/>
      <c r="E78" s="215"/>
      <c r="F78" s="215"/>
      <c r="G78" s="215"/>
      <c r="H78" s="245" t="s">
        <v>133</v>
      </c>
      <c r="I78" s="245"/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63">
        <f>SUM(T72:T77)</f>
        <v>2.7702566000000002</v>
      </c>
      <c r="U78" s="228" t="s">
        <v>134</v>
      </c>
      <c r="V78" s="228"/>
      <c r="W78" s="228"/>
      <c r="X78" s="228"/>
      <c r="Y78" s="64">
        <f>SUM(Y72:Y77)</f>
        <v>0.5</v>
      </c>
      <c r="Z78" s="229"/>
      <c r="AA78" s="230"/>
      <c r="AB78" s="233"/>
      <c r="AC78" s="235"/>
      <c r="AD78" s="236"/>
      <c r="AE78" s="239"/>
    </row>
    <row r="79" spans="1:31" ht="27" customHeight="1" x14ac:dyDescent="0.25">
      <c r="A79" s="202"/>
      <c r="B79" s="202"/>
      <c r="C79" s="213">
        <v>44456</v>
      </c>
      <c r="D79" s="216"/>
      <c r="E79" s="219" t="s">
        <v>41</v>
      </c>
      <c r="F79" s="219" t="s">
        <v>42</v>
      </c>
      <c r="G79" s="219"/>
      <c r="H79" s="74" t="s">
        <v>160</v>
      </c>
      <c r="I79" s="74" t="s">
        <v>159</v>
      </c>
      <c r="J79" s="74" t="s">
        <v>157</v>
      </c>
      <c r="K79" s="76">
        <v>1</v>
      </c>
      <c r="L79" s="78">
        <v>207</v>
      </c>
      <c r="M79" s="78">
        <v>194</v>
      </c>
      <c r="N79" s="78">
        <v>3</v>
      </c>
      <c r="O79" s="75">
        <v>6.7</v>
      </c>
      <c r="P79" s="75">
        <v>3.4</v>
      </c>
      <c r="Q79" s="75">
        <f>L79*M79*N79*7.85/1000000</f>
        <v>0.94572089999999986</v>
      </c>
      <c r="R79" s="59">
        <v>0.8115</v>
      </c>
      <c r="S79" s="60">
        <f>Q79-R79</f>
        <v>0.13422089999999987</v>
      </c>
      <c r="T79" s="61">
        <f>K79*(Q79*O79-P79*S79)</f>
        <v>5.8799789699999998</v>
      </c>
      <c r="U79" s="28" t="s">
        <v>71</v>
      </c>
      <c r="V79" s="6" t="s">
        <v>136</v>
      </c>
      <c r="W79" s="54">
        <v>0.1</v>
      </c>
      <c r="X79" s="55">
        <v>1</v>
      </c>
      <c r="Y79" s="54">
        <f t="shared" ref="Y79:Y81" si="12">W79/X79</f>
        <v>0.1</v>
      </c>
      <c r="Z79" s="229">
        <v>1.2</v>
      </c>
      <c r="AA79" s="225">
        <f>(T85+Y85)*Z79</f>
        <v>7.8767747639999985</v>
      </c>
      <c r="AB79" s="231">
        <f>AA79/1.13</f>
        <v>6.9705971362831853</v>
      </c>
      <c r="AC79" s="234">
        <v>36000</v>
      </c>
      <c r="AD79" s="234">
        <v>100000</v>
      </c>
      <c r="AE79" s="237">
        <f>AB79+AC79/AD79/2</f>
        <v>7.1505971362831851</v>
      </c>
    </row>
    <row r="80" spans="1:31" x14ac:dyDescent="0.25">
      <c r="A80" s="212"/>
      <c r="B80" s="212"/>
      <c r="C80" s="214"/>
      <c r="D80" s="217"/>
      <c r="E80" s="214"/>
      <c r="F80" s="214"/>
      <c r="G80" s="214"/>
      <c r="H80" s="74" t="s">
        <v>158</v>
      </c>
      <c r="I80" s="74"/>
      <c r="J80" s="74"/>
      <c r="K80" s="76">
        <v>2</v>
      </c>
      <c r="L80" s="65"/>
      <c r="M80" s="65"/>
      <c r="N80" s="58"/>
      <c r="O80" s="80">
        <v>4.2000000000000003E-2</v>
      </c>
      <c r="P80" s="75"/>
      <c r="Q80" s="75"/>
      <c r="R80" s="59"/>
      <c r="S80" s="60"/>
      <c r="T80" s="80">
        <f>K80*O80</f>
        <v>8.4000000000000005E-2</v>
      </c>
      <c r="U80" s="28" t="s">
        <v>72</v>
      </c>
      <c r="V80" s="6" t="s">
        <v>136</v>
      </c>
      <c r="W80" s="54">
        <v>0.1</v>
      </c>
      <c r="X80" s="55">
        <v>1</v>
      </c>
      <c r="Y80" s="54">
        <f t="shared" si="12"/>
        <v>0.1</v>
      </c>
      <c r="Z80" s="229"/>
      <c r="AA80" s="226"/>
      <c r="AB80" s="232"/>
      <c r="AC80" s="235"/>
      <c r="AD80" s="235"/>
      <c r="AE80" s="238"/>
    </row>
    <row r="81" spans="1:31" x14ac:dyDescent="0.25">
      <c r="A81" s="212"/>
      <c r="B81" s="212"/>
      <c r="C81" s="214"/>
      <c r="D81" s="217"/>
      <c r="E81" s="214"/>
      <c r="F81" s="214"/>
      <c r="G81" s="214"/>
      <c r="H81" s="74"/>
      <c r="I81" s="77"/>
      <c r="J81" s="74"/>
      <c r="K81" s="76"/>
      <c r="L81" s="65"/>
      <c r="M81" s="65"/>
      <c r="N81" s="58"/>
      <c r="O81" s="75"/>
      <c r="P81" s="75"/>
      <c r="Q81" s="75"/>
      <c r="R81" s="59"/>
      <c r="S81" s="60"/>
      <c r="T81" s="61"/>
      <c r="U81" s="28" t="s">
        <v>73</v>
      </c>
      <c r="V81" s="6" t="s">
        <v>136</v>
      </c>
      <c r="W81" s="54">
        <v>0.1</v>
      </c>
      <c r="X81" s="55">
        <v>1</v>
      </c>
      <c r="Y81" s="54">
        <f t="shared" si="12"/>
        <v>0.1</v>
      </c>
      <c r="Z81" s="229"/>
      <c r="AA81" s="226"/>
      <c r="AB81" s="232"/>
      <c r="AC81" s="235"/>
      <c r="AD81" s="235"/>
      <c r="AE81" s="238"/>
    </row>
    <row r="82" spans="1:31" x14ac:dyDescent="0.25">
      <c r="A82" s="212"/>
      <c r="B82" s="212"/>
      <c r="C82" s="214"/>
      <c r="D82" s="217"/>
      <c r="E82" s="214"/>
      <c r="F82" s="214"/>
      <c r="G82" s="214"/>
      <c r="H82" s="74"/>
      <c r="I82" s="74"/>
      <c r="J82" s="74"/>
      <c r="K82" s="76"/>
      <c r="L82" s="65"/>
      <c r="M82" s="65"/>
      <c r="N82" s="58"/>
      <c r="O82" s="75"/>
      <c r="P82" s="75"/>
      <c r="Q82" s="75"/>
      <c r="R82" s="59"/>
      <c r="S82" s="60"/>
      <c r="T82" s="61"/>
      <c r="U82" s="28" t="s">
        <v>74</v>
      </c>
      <c r="V82" s="6" t="s">
        <v>136</v>
      </c>
      <c r="W82" s="54">
        <v>0.1</v>
      </c>
      <c r="X82" s="55">
        <v>1</v>
      </c>
      <c r="Y82" s="54">
        <f t="shared" ref="Y82" si="13">W82/X82</f>
        <v>0.1</v>
      </c>
      <c r="Z82" s="229"/>
      <c r="AA82" s="226"/>
      <c r="AB82" s="232"/>
      <c r="AC82" s="235"/>
      <c r="AD82" s="235"/>
      <c r="AE82" s="238"/>
    </row>
    <row r="83" spans="1:31" x14ac:dyDescent="0.25">
      <c r="A83" s="212"/>
      <c r="B83" s="212"/>
      <c r="C83" s="214"/>
      <c r="D83" s="217"/>
      <c r="E83" s="214"/>
      <c r="F83" s="214"/>
      <c r="G83" s="214"/>
      <c r="H83" s="74"/>
      <c r="I83" s="74"/>
      <c r="J83" s="74"/>
      <c r="K83" s="76"/>
      <c r="L83" s="65"/>
      <c r="M83" s="65"/>
      <c r="N83" s="58"/>
      <c r="O83" s="75"/>
      <c r="P83" s="75"/>
      <c r="Q83" s="75"/>
      <c r="R83" s="59"/>
      <c r="S83" s="60"/>
      <c r="T83" s="61"/>
      <c r="U83" s="10" t="s">
        <v>142</v>
      </c>
      <c r="V83" s="79">
        <v>4</v>
      </c>
      <c r="W83" s="54">
        <v>0.05</v>
      </c>
      <c r="X83" s="55">
        <v>1</v>
      </c>
      <c r="Y83" s="54">
        <f>V83*W83/X83</f>
        <v>0.2</v>
      </c>
      <c r="Z83" s="229"/>
      <c r="AA83" s="226"/>
      <c r="AB83" s="232"/>
      <c r="AC83" s="235"/>
      <c r="AD83" s="235"/>
      <c r="AE83" s="238"/>
    </row>
    <row r="84" spans="1:31" x14ac:dyDescent="0.25">
      <c r="A84" s="212"/>
      <c r="B84" s="212"/>
      <c r="C84" s="214"/>
      <c r="D84" s="217"/>
      <c r="E84" s="214"/>
      <c r="F84" s="214"/>
      <c r="G84" s="214"/>
      <c r="H84" s="74"/>
      <c r="I84" s="74"/>
      <c r="J84" s="74"/>
      <c r="K84" s="76"/>
      <c r="L84" s="65"/>
      <c r="M84" s="65"/>
      <c r="N84" s="58"/>
      <c r="O84" s="75"/>
      <c r="P84" s="75"/>
      <c r="Q84" s="75"/>
      <c r="R84" s="59"/>
      <c r="S84" s="60"/>
      <c r="T84" s="61"/>
      <c r="U84" s="52"/>
      <c r="V84" s="56"/>
      <c r="W84" s="57"/>
      <c r="X84" s="55"/>
      <c r="Y84" s="54"/>
      <c r="Z84" s="229"/>
      <c r="AA84" s="226"/>
      <c r="AB84" s="232"/>
      <c r="AC84" s="235"/>
      <c r="AD84" s="235"/>
      <c r="AE84" s="238"/>
    </row>
    <row r="85" spans="1:31" x14ac:dyDescent="0.25">
      <c r="A85" s="203"/>
      <c r="B85" s="203"/>
      <c r="C85" s="215"/>
      <c r="D85" s="218"/>
      <c r="E85" s="215"/>
      <c r="F85" s="215"/>
      <c r="G85" s="215"/>
      <c r="H85" s="245" t="s">
        <v>133</v>
      </c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63">
        <f>SUM(T79:T84)</f>
        <v>5.9639789699999994</v>
      </c>
      <c r="U85" s="228" t="s">
        <v>134</v>
      </c>
      <c r="V85" s="228"/>
      <c r="W85" s="228"/>
      <c r="X85" s="228"/>
      <c r="Y85" s="64">
        <f>SUM(Y79:Y84)</f>
        <v>0.60000000000000009</v>
      </c>
      <c r="Z85" s="229"/>
      <c r="AA85" s="230"/>
      <c r="AB85" s="233"/>
      <c r="AC85" s="235"/>
      <c r="AD85" s="236"/>
      <c r="AE85" s="239"/>
    </row>
    <row r="86" spans="1:31" ht="27" customHeight="1" x14ac:dyDescent="0.25">
      <c r="A86" s="202"/>
      <c r="B86" s="202"/>
      <c r="C86" s="213">
        <v>44456</v>
      </c>
      <c r="D86" s="216"/>
      <c r="E86" s="219" t="s">
        <v>43</v>
      </c>
      <c r="F86" s="219" t="s">
        <v>44</v>
      </c>
      <c r="G86" s="219"/>
      <c r="H86" s="74" t="s">
        <v>44</v>
      </c>
      <c r="I86" s="74" t="s">
        <v>43</v>
      </c>
      <c r="J86" s="74" t="s">
        <v>162</v>
      </c>
      <c r="K86" s="76">
        <v>1</v>
      </c>
      <c r="L86" s="78">
        <v>170</v>
      </c>
      <c r="M86" s="78">
        <v>25</v>
      </c>
      <c r="N86" s="78">
        <v>6</v>
      </c>
      <c r="O86" s="75">
        <v>5.85</v>
      </c>
      <c r="P86" s="75">
        <v>3.4</v>
      </c>
      <c r="Q86" s="75">
        <f>L86*M86*N86*7.85/1000000</f>
        <v>0.20017499999999999</v>
      </c>
      <c r="R86" s="59">
        <v>0.191</v>
      </c>
      <c r="S86" s="60">
        <f>Q86-R86</f>
        <v>9.1749999999999887E-3</v>
      </c>
      <c r="T86" s="61">
        <f>K86*(Q86*O86-P86*S86)</f>
        <v>1.1398287499999999</v>
      </c>
      <c r="U86" s="10" t="s">
        <v>28</v>
      </c>
      <c r="V86" s="6" t="s">
        <v>140</v>
      </c>
      <c r="W86" s="54">
        <v>0.08</v>
      </c>
      <c r="X86" s="55">
        <v>1</v>
      </c>
      <c r="Y86" s="54">
        <f t="shared" ref="Y86" si="14">W86/X86</f>
        <v>0.08</v>
      </c>
      <c r="Z86" s="229">
        <v>1.2</v>
      </c>
      <c r="AA86" s="225">
        <f>(T92+Y92)*Z86</f>
        <v>1.4637944999999999</v>
      </c>
      <c r="AB86" s="231">
        <f>AA86/1.13</f>
        <v>1.2953933628318584</v>
      </c>
      <c r="AC86" s="234">
        <f>1200/1.13</f>
        <v>1061.9469026548672</v>
      </c>
      <c r="AD86" s="234">
        <v>100000</v>
      </c>
      <c r="AE86" s="237">
        <f>AB86+AC86/AD86/2</f>
        <v>1.3007030973451328</v>
      </c>
    </row>
    <row r="87" spans="1:31" x14ac:dyDescent="0.25">
      <c r="A87" s="212"/>
      <c r="B87" s="212"/>
      <c r="C87" s="214"/>
      <c r="D87" s="217"/>
      <c r="E87" s="214"/>
      <c r="F87" s="214"/>
      <c r="G87" s="214"/>
      <c r="H87" s="74"/>
      <c r="I87" s="74"/>
      <c r="J87" s="74"/>
      <c r="K87" s="76"/>
      <c r="L87" s="65"/>
      <c r="M87" s="65"/>
      <c r="N87" s="58"/>
      <c r="O87" s="80"/>
      <c r="P87" s="75"/>
      <c r="Q87" s="75"/>
      <c r="R87" s="59"/>
      <c r="S87" s="60"/>
      <c r="T87" s="80"/>
      <c r="U87" s="28"/>
      <c r="V87" s="6"/>
      <c r="W87" s="54"/>
      <c r="X87" s="55"/>
      <c r="Y87" s="54"/>
      <c r="Z87" s="229"/>
      <c r="AA87" s="226"/>
      <c r="AB87" s="232"/>
      <c r="AC87" s="235"/>
      <c r="AD87" s="235"/>
      <c r="AE87" s="238"/>
    </row>
    <row r="88" spans="1:31" x14ac:dyDescent="0.25">
      <c r="A88" s="212"/>
      <c r="B88" s="212"/>
      <c r="C88" s="214"/>
      <c r="D88" s="217"/>
      <c r="E88" s="214"/>
      <c r="F88" s="214"/>
      <c r="G88" s="214"/>
      <c r="H88" s="74"/>
      <c r="I88" s="77"/>
      <c r="J88" s="74"/>
      <c r="K88" s="76"/>
      <c r="L88" s="65"/>
      <c r="M88" s="65"/>
      <c r="N88" s="58"/>
      <c r="O88" s="75"/>
      <c r="P88" s="75"/>
      <c r="Q88" s="75"/>
      <c r="R88" s="59"/>
      <c r="S88" s="60"/>
      <c r="T88" s="61"/>
      <c r="U88" s="28"/>
      <c r="V88" s="6"/>
      <c r="W88" s="54"/>
      <c r="X88" s="55"/>
      <c r="Y88" s="54"/>
      <c r="Z88" s="229"/>
      <c r="AA88" s="226"/>
      <c r="AB88" s="232"/>
      <c r="AC88" s="235"/>
      <c r="AD88" s="235"/>
      <c r="AE88" s="238"/>
    </row>
    <row r="89" spans="1:31" x14ac:dyDescent="0.25">
      <c r="A89" s="212"/>
      <c r="B89" s="212"/>
      <c r="C89" s="214"/>
      <c r="D89" s="217"/>
      <c r="E89" s="214"/>
      <c r="F89" s="214"/>
      <c r="G89" s="214"/>
      <c r="H89" s="74"/>
      <c r="I89" s="74"/>
      <c r="J89" s="74"/>
      <c r="K89" s="76"/>
      <c r="L89" s="65"/>
      <c r="M89" s="65"/>
      <c r="N89" s="58"/>
      <c r="O89" s="75"/>
      <c r="P89" s="75"/>
      <c r="Q89" s="75"/>
      <c r="R89" s="59"/>
      <c r="S89" s="60"/>
      <c r="T89" s="61"/>
      <c r="U89" s="28"/>
      <c r="V89" s="6"/>
      <c r="W89" s="54"/>
      <c r="X89" s="55"/>
      <c r="Y89" s="54"/>
      <c r="Z89" s="229"/>
      <c r="AA89" s="226"/>
      <c r="AB89" s="232"/>
      <c r="AC89" s="235"/>
      <c r="AD89" s="235"/>
      <c r="AE89" s="238"/>
    </row>
    <row r="90" spans="1:31" x14ac:dyDescent="0.25">
      <c r="A90" s="212"/>
      <c r="B90" s="212"/>
      <c r="C90" s="214"/>
      <c r="D90" s="217"/>
      <c r="E90" s="214"/>
      <c r="F90" s="214"/>
      <c r="G90" s="214"/>
      <c r="H90" s="74"/>
      <c r="I90" s="74"/>
      <c r="J90" s="74"/>
      <c r="K90" s="76"/>
      <c r="L90" s="65"/>
      <c r="M90" s="65"/>
      <c r="N90" s="58"/>
      <c r="O90" s="75"/>
      <c r="P90" s="75"/>
      <c r="Q90" s="75"/>
      <c r="R90" s="59"/>
      <c r="S90" s="60"/>
      <c r="T90" s="61"/>
      <c r="U90" s="10"/>
      <c r="V90" s="79"/>
      <c r="W90" s="54"/>
      <c r="X90" s="55"/>
      <c r="Y90" s="54"/>
      <c r="Z90" s="229"/>
      <c r="AA90" s="226"/>
      <c r="AB90" s="232"/>
      <c r="AC90" s="235"/>
      <c r="AD90" s="235"/>
      <c r="AE90" s="238"/>
    </row>
    <row r="91" spans="1:31" x14ac:dyDescent="0.25">
      <c r="A91" s="212"/>
      <c r="B91" s="212"/>
      <c r="C91" s="214"/>
      <c r="D91" s="217"/>
      <c r="E91" s="214"/>
      <c r="F91" s="214"/>
      <c r="G91" s="214"/>
      <c r="H91" s="74"/>
      <c r="I91" s="74"/>
      <c r="J91" s="74"/>
      <c r="K91" s="76"/>
      <c r="L91" s="65"/>
      <c r="M91" s="65"/>
      <c r="N91" s="58"/>
      <c r="O91" s="75"/>
      <c r="P91" s="75"/>
      <c r="Q91" s="75"/>
      <c r="R91" s="59"/>
      <c r="S91" s="60"/>
      <c r="T91" s="61"/>
      <c r="U91" s="52"/>
      <c r="V91" s="56"/>
      <c r="W91" s="57"/>
      <c r="X91" s="55"/>
      <c r="Y91" s="54"/>
      <c r="Z91" s="229"/>
      <c r="AA91" s="226"/>
      <c r="AB91" s="232"/>
      <c r="AC91" s="235"/>
      <c r="AD91" s="235"/>
      <c r="AE91" s="238"/>
    </row>
    <row r="92" spans="1:31" x14ac:dyDescent="0.25">
      <c r="A92" s="203"/>
      <c r="B92" s="203"/>
      <c r="C92" s="215"/>
      <c r="D92" s="218"/>
      <c r="E92" s="215"/>
      <c r="F92" s="215"/>
      <c r="G92" s="215"/>
      <c r="H92" s="245" t="s">
        <v>133</v>
      </c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63">
        <f>SUM(T86:T91)</f>
        <v>1.1398287499999999</v>
      </c>
      <c r="U92" s="228" t="s">
        <v>134</v>
      </c>
      <c r="V92" s="228"/>
      <c r="W92" s="228"/>
      <c r="X92" s="228"/>
      <c r="Y92" s="64">
        <f>SUM(Y86:Y91)</f>
        <v>0.08</v>
      </c>
      <c r="Z92" s="229"/>
      <c r="AA92" s="230"/>
      <c r="AB92" s="233"/>
      <c r="AC92" s="235"/>
      <c r="AD92" s="236"/>
      <c r="AE92" s="239"/>
    </row>
    <row r="93" spans="1:31" ht="27" customHeight="1" x14ac:dyDescent="0.25">
      <c r="A93" s="202"/>
      <c r="B93" s="202"/>
      <c r="C93" s="213">
        <v>44456</v>
      </c>
      <c r="D93" s="216"/>
      <c r="E93" s="219" t="s">
        <v>45</v>
      </c>
      <c r="F93" s="219" t="s">
        <v>46</v>
      </c>
      <c r="G93" s="219"/>
      <c r="H93" s="74" t="s">
        <v>46</v>
      </c>
      <c r="I93" s="74" t="s">
        <v>45</v>
      </c>
      <c r="J93" s="74" t="s">
        <v>155</v>
      </c>
      <c r="K93" s="76">
        <v>1</v>
      </c>
      <c r="L93" s="78">
        <v>31</v>
      </c>
      <c r="M93" s="78">
        <v>14</v>
      </c>
      <c r="N93" s="78">
        <v>3</v>
      </c>
      <c r="O93" s="75">
        <v>6.7</v>
      </c>
      <c r="P93" s="75">
        <v>3.4</v>
      </c>
      <c r="Q93" s="75">
        <f>L93*M93*N93*7.85/1000000</f>
        <v>1.0220699999999999E-2</v>
      </c>
      <c r="R93" s="59">
        <v>7.0000000000000001E-3</v>
      </c>
      <c r="S93" s="60">
        <f>Q93-R93</f>
        <v>3.2206999999999991E-3</v>
      </c>
      <c r="T93" s="61">
        <f>K93*(Q93*O93-P93*S93)</f>
        <v>5.7528309999999999E-2</v>
      </c>
      <c r="U93" s="10" t="s">
        <v>16</v>
      </c>
      <c r="V93" s="6" t="s">
        <v>138</v>
      </c>
      <c r="W93" s="54">
        <v>0.05</v>
      </c>
      <c r="X93" s="55">
        <v>1</v>
      </c>
      <c r="Y93" s="54">
        <f t="shared" ref="Y93" si="15">W93/X93</f>
        <v>0.05</v>
      </c>
      <c r="Z93" s="229">
        <v>1.2</v>
      </c>
      <c r="AA93" s="225">
        <f>(T99+Y99)*Z93</f>
        <v>0.129033972</v>
      </c>
      <c r="AB93" s="231">
        <f>AA93/1.13</f>
        <v>0.1141893557522124</v>
      </c>
      <c r="AC93" s="234">
        <f>600/1.13</f>
        <v>530.97345132743362</v>
      </c>
      <c r="AD93" s="234">
        <v>100000</v>
      </c>
      <c r="AE93" s="237">
        <f>AB93+AC93/AD93/2</f>
        <v>0.11684422300884956</v>
      </c>
    </row>
    <row r="94" spans="1:31" x14ac:dyDescent="0.25">
      <c r="A94" s="212"/>
      <c r="B94" s="212"/>
      <c r="C94" s="214"/>
      <c r="D94" s="217"/>
      <c r="E94" s="214"/>
      <c r="F94" s="214"/>
      <c r="G94" s="214"/>
      <c r="H94" s="74"/>
      <c r="I94" s="74"/>
      <c r="J94" s="74"/>
      <c r="K94" s="76"/>
      <c r="L94" s="65"/>
      <c r="M94" s="65"/>
      <c r="N94" s="58"/>
      <c r="O94" s="80"/>
      <c r="P94" s="75"/>
      <c r="Q94" s="75"/>
      <c r="R94" s="59"/>
      <c r="S94" s="60"/>
      <c r="T94" s="80"/>
      <c r="U94" s="28"/>
      <c r="V94" s="6"/>
      <c r="W94" s="54"/>
      <c r="X94" s="55"/>
      <c r="Y94" s="54"/>
      <c r="Z94" s="229"/>
      <c r="AA94" s="226"/>
      <c r="AB94" s="232"/>
      <c r="AC94" s="235"/>
      <c r="AD94" s="235"/>
      <c r="AE94" s="238"/>
    </row>
    <row r="95" spans="1:31" x14ac:dyDescent="0.25">
      <c r="A95" s="212"/>
      <c r="B95" s="212"/>
      <c r="C95" s="214"/>
      <c r="D95" s="217"/>
      <c r="E95" s="214"/>
      <c r="F95" s="214"/>
      <c r="G95" s="214"/>
      <c r="H95" s="74"/>
      <c r="I95" s="77"/>
      <c r="J95" s="74"/>
      <c r="K95" s="76"/>
      <c r="L95" s="65"/>
      <c r="M95" s="65"/>
      <c r="N95" s="58"/>
      <c r="O95" s="75"/>
      <c r="P95" s="75"/>
      <c r="Q95" s="75"/>
      <c r="R95" s="59"/>
      <c r="S95" s="60"/>
      <c r="T95" s="61"/>
      <c r="U95" s="28"/>
      <c r="V95" s="6"/>
      <c r="W95" s="54"/>
      <c r="X95" s="55"/>
      <c r="Y95" s="54"/>
      <c r="Z95" s="229"/>
      <c r="AA95" s="226"/>
      <c r="AB95" s="232"/>
      <c r="AC95" s="235"/>
      <c r="AD95" s="235"/>
      <c r="AE95" s="238"/>
    </row>
    <row r="96" spans="1:31" x14ac:dyDescent="0.25">
      <c r="A96" s="212"/>
      <c r="B96" s="212"/>
      <c r="C96" s="214"/>
      <c r="D96" s="217"/>
      <c r="E96" s="214"/>
      <c r="F96" s="214"/>
      <c r="G96" s="214"/>
      <c r="H96" s="74"/>
      <c r="I96" s="74"/>
      <c r="J96" s="74"/>
      <c r="K96" s="76"/>
      <c r="L96" s="65"/>
      <c r="M96" s="65"/>
      <c r="N96" s="58"/>
      <c r="O96" s="75"/>
      <c r="P96" s="75"/>
      <c r="Q96" s="75"/>
      <c r="R96" s="59"/>
      <c r="S96" s="60"/>
      <c r="T96" s="61"/>
      <c r="U96" s="28"/>
      <c r="V96" s="6"/>
      <c r="W96" s="54"/>
      <c r="X96" s="55"/>
      <c r="Y96" s="54"/>
      <c r="Z96" s="229"/>
      <c r="AA96" s="226"/>
      <c r="AB96" s="232"/>
      <c r="AC96" s="235"/>
      <c r="AD96" s="235"/>
      <c r="AE96" s="238"/>
    </row>
    <row r="97" spans="1:31" x14ac:dyDescent="0.25">
      <c r="A97" s="212"/>
      <c r="B97" s="212"/>
      <c r="C97" s="214"/>
      <c r="D97" s="217"/>
      <c r="E97" s="214"/>
      <c r="F97" s="214"/>
      <c r="G97" s="214"/>
      <c r="H97" s="74"/>
      <c r="I97" s="74"/>
      <c r="J97" s="74"/>
      <c r="K97" s="76"/>
      <c r="L97" s="65"/>
      <c r="M97" s="65"/>
      <c r="N97" s="58"/>
      <c r="O97" s="75"/>
      <c r="P97" s="75"/>
      <c r="Q97" s="75"/>
      <c r="R97" s="59"/>
      <c r="S97" s="60"/>
      <c r="T97" s="61"/>
      <c r="U97" s="10"/>
      <c r="V97" s="79"/>
      <c r="W97" s="54"/>
      <c r="X97" s="55"/>
      <c r="Y97" s="54"/>
      <c r="Z97" s="229"/>
      <c r="AA97" s="226"/>
      <c r="AB97" s="232"/>
      <c r="AC97" s="235"/>
      <c r="AD97" s="235"/>
      <c r="AE97" s="238"/>
    </row>
    <row r="98" spans="1:31" x14ac:dyDescent="0.25">
      <c r="A98" s="212"/>
      <c r="B98" s="212"/>
      <c r="C98" s="214"/>
      <c r="D98" s="217"/>
      <c r="E98" s="214"/>
      <c r="F98" s="214"/>
      <c r="G98" s="214"/>
      <c r="H98" s="74"/>
      <c r="I98" s="74"/>
      <c r="J98" s="74"/>
      <c r="K98" s="76"/>
      <c r="L98" s="65"/>
      <c r="M98" s="65"/>
      <c r="N98" s="58"/>
      <c r="O98" s="75"/>
      <c r="P98" s="75"/>
      <c r="Q98" s="75"/>
      <c r="R98" s="59"/>
      <c r="S98" s="60"/>
      <c r="T98" s="61"/>
      <c r="U98" s="52"/>
      <c r="V98" s="56"/>
      <c r="W98" s="57"/>
      <c r="X98" s="55"/>
      <c r="Y98" s="54"/>
      <c r="Z98" s="229"/>
      <c r="AA98" s="226"/>
      <c r="AB98" s="232"/>
      <c r="AC98" s="235"/>
      <c r="AD98" s="235"/>
      <c r="AE98" s="238"/>
    </row>
    <row r="99" spans="1:31" x14ac:dyDescent="0.25">
      <c r="A99" s="203"/>
      <c r="B99" s="203"/>
      <c r="C99" s="215"/>
      <c r="D99" s="218"/>
      <c r="E99" s="215"/>
      <c r="F99" s="215"/>
      <c r="G99" s="215"/>
      <c r="H99" s="245" t="s">
        <v>133</v>
      </c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63">
        <f>SUM(T93:T98)</f>
        <v>5.7528309999999999E-2</v>
      </c>
      <c r="U99" s="228" t="s">
        <v>134</v>
      </c>
      <c r="V99" s="228"/>
      <c r="W99" s="228"/>
      <c r="X99" s="228"/>
      <c r="Y99" s="64">
        <f>SUM(Y93:Y98)</f>
        <v>0.05</v>
      </c>
      <c r="Z99" s="229"/>
      <c r="AA99" s="230"/>
      <c r="AB99" s="233"/>
      <c r="AC99" s="235"/>
      <c r="AD99" s="236"/>
      <c r="AE99" s="239"/>
    </row>
    <row r="100" spans="1:31" ht="27" customHeight="1" x14ac:dyDescent="0.25">
      <c r="A100" s="202"/>
      <c r="B100" s="202"/>
      <c r="C100" s="213">
        <v>44456</v>
      </c>
      <c r="D100" s="216"/>
      <c r="E100" s="219" t="s">
        <v>47</v>
      </c>
      <c r="F100" s="219" t="s">
        <v>48</v>
      </c>
      <c r="G100" s="219"/>
      <c r="H100" s="74" t="s">
        <v>48</v>
      </c>
      <c r="I100" s="74" t="s">
        <v>47</v>
      </c>
      <c r="J100" s="74" t="s">
        <v>155</v>
      </c>
      <c r="K100" s="76">
        <v>1</v>
      </c>
      <c r="L100" s="78">
        <v>31</v>
      </c>
      <c r="M100" s="78">
        <v>14</v>
      </c>
      <c r="N100" s="78">
        <v>3</v>
      </c>
      <c r="O100" s="75">
        <v>6.7</v>
      </c>
      <c r="P100" s="75">
        <v>3.4</v>
      </c>
      <c r="Q100" s="75">
        <f>L100*M100*N100*7.85/1000000</f>
        <v>1.0220699999999999E-2</v>
      </c>
      <c r="R100" s="59">
        <v>3.0000000000000001E-3</v>
      </c>
      <c r="S100" s="60">
        <f>Q100-R100</f>
        <v>7.2206999999999992E-3</v>
      </c>
      <c r="T100" s="61">
        <f>K100*(Q100*O100-P100*S100)</f>
        <v>4.3928309999999998E-2</v>
      </c>
      <c r="U100" s="10" t="s">
        <v>16</v>
      </c>
      <c r="V100" s="6" t="s">
        <v>138</v>
      </c>
      <c r="W100" s="54">
        <v>0.05</v>
      </c>
      <c r="X100" s="55">
        <v>1</v>
      </c>
      <c r="Y100" s="54">
        <f t="shared" ref="Y100" si="16">W100/X100</f>
        <v>0.05</v>
      </c>
      <c r="Z100" s="229">
        <v>1.2</v>
      </c>
      <c r="AA100" s="225">
        <f>(T106+Y106)*Z100</f>
        <v>0.112713972</v>
      </c>
      <c r="AB100" s="231">
        <f>AA100/1.13</f>
        <v>9.9746877876106199E-2</v>
      </c>
      <c r="AC100" s="234">
        <f>600/1.13</f>
        <v>530.97345132743362</v>
      </c>
      <c r="AD100" s="234">
        <v>100000</v>
      </c>
      <c r="AE100" s="237">
        <f>AB100+AC100/AD100/2</f>
        <v>0.10240174513274336</v>
      </c>
    </row>
    <row r="101" spans="1:31" x14ac:dyDescent="0.25">
      <c r="A101" s="212"/>
      <c r="B101" s="212"/>
      <c r="C101" s="214"/>
      <c r="D101" s="217"/>
      <c r="E101" s="214"/>
      <c r="F101" s="214"/>
      <c r="G101" s="214"/>
      <c r="H101" s="74"/>
      <c r="I101" s="74"/>
      <c r="J101" s="74"/>
      <c r="K101" s="76"/>
      <c r="L101" s="65"/>
      <c r="M101" s="65"/>
      <c r="N101" s="58"/>
      <c r="O101" s="80"/>
      <c r="P101" s="75"/>
      <c r="Q101" s="75"/>
      <c r="R101" s="59"/>
      <c r="S101" s="60"/>
      <c r="T101" s="80"/>
      <c r="U101" s="28"/>
      <c r="V101" s="6"/>
      <c r="W101" s="54"/>
      <c r="X101" s="55"/>
      <c r="Y101" s="54"/>
      <c r="Z101" s="229"/>
      <c r="AA101" s="226"/>
      <c r="AB101" s="232"/>
      <c r="AC101" s="235"/>
      <c r="AD101" s="235"/>
      <c r="AE101" s="238"/>
    </row>
    <row r="102" spans="1:31" x14ac:dyDescent="0.25">
      <c r="A102" s="212"/>
      <c r="B102" s="212"/>
      <c r="C102" s="214"/>
      <c r="D102" s="217"/>
      <c r="E102" s="214"/>
      <c r="F102" s="214"/>
      <c r="G102" s="214"/>
      <c r="H102" s="74"/>
      <c r="I102" s="77"/>
      <c r="J102" s="74"/>
      <c r="K102" s="76"/>
      <c r="L102" s="65"/>
      <c r="M102" s="65"/>
      <c r="N102" s="58"/>
      <c r="O102" s="75"/>
      <c r="P102" s="75"/>
      <c r="Q102" s="75"/>
      <c r="R102" s="59"/>
      <c r="S102" s="60"/>
      <c r="T102" s="61"/>
      <c r="U102" s="28"/>
      <c r="V102" s="6"/>
      <c r="W102" s="54"/>
      <c r="X102" s="55"/>
      <c r="Y102" s="54"/>
      <c r="Z102" s="229"/>
      <c r="AA102" s="226"/>
      <c r="AB102" s="232"/>
      <c r="AC102" s="235"/>
      <c r="AD102" s="235"/>
      <c r="AE102" s="238"/>
    </row>
    <row r="103" spans="1:31" x14ac:dyDescent="0.25">
      <c r="A103" s="212"/>
      <c r="B103" s="212"/>
      <c r="C103" s="214"/>
      <c r="D103" s="217"/>
      <c r="E103" s="214"/>
      <c r="F103" s="214"/>
      <c r="G103" s="214"/>
      <c r="H103" s="74"/>
      <c r="I103" s="74"/>
      <c r="J103" s="74"/>
      <c r="K103" s="76"/>
      <c r="L103" s="65"/>
      <c r="M103" s="65"/>
      <c r="N103" s="58"/>
      <c r="O103" s="75"/>
      <c r="P103" s="75"/>
      <c r="Q103" s="75"/>
      <c r="R103" s="59"/>
      <c r="S103" s="60"/>
      <c r="T103" s="61"/>
      <c r="U103" s="28"/>
      <c r="V103" s="6"/>
      <c r="W103" s="54"/>
      <c r="X103" s="55"/>
      <c r="Y103" s="54"/>
      <c r="Z103" s="229"/>
      <c r="AA103" s="226"/>
      <c r="AB103" s="232"/>
      <c r="AC103" s="235"/>
      <c r="AD103" s="235"/>
      <c r="AE103" s="238"/>
    </row>
    <row r="104" spans="1:31" x14ac:dyDescent="0.25">
      <c r="A104" s="212"/>
      <c r="B104" s="212"/>
      <c r="C104" s="214"/>
      <c r="D104" s="217"/>
      <c r="E104" s="214"/>
      <c r="F104" s="214"/>
      <c r="G104" s="214"/>
      <c r="H104" s="74"/>
      <c r="I104" s="74"/>
      <c r="J104" s="74"/>
      <c r="K104" s="76"/>
      <c r="L104" s="65"/>
      <c r="M104" s="65"/>
      <c r="N104" s="58"/>
      <c r="O104" s="75"/>
      <c r="P104" s="75"/>
      <c r="Q104" s="75"/>
      <c r="R104" s="59"/>
      <c r="S104" s="60"/>
      <c r="T104" s="61"/>
      <c r="U104" s="10"/>
      <c r="V104" s="79"/>
      <c r="W104" s="54"/>
      <c r="X104" s="55"/>
      <c r="Y104" s="54"/>
      <c r="Z104" s="229"/>
      <c r="AA104" s="226"/>
      <c r="AB104" s="232"/>
      <c r="AC104" s="235"/>
      <c r="AD104" s="235"/>
      <c r="AE104" s="238"/>
    </row>
    <row r="105" spans="1:31" x14ac:dyDescent="0.25">
      <c r="A105" s="212"/>
      <c r="B105" s="212"/>
      <c r="C105" s="214"/>
      <c r="D105" s="217"/>
      <c r="E105" s="214"/>
      <c r="F105" s="214"/>
      <c r="G105" s="214"/>
      <c r="H105" s="74"/>
      <c r="I105" s="74"/>
      <c r="J105" s="74"/>
      <c r="K105" s="76"/>
      <c r="L105" s="65"/>
      <c r="M105" s="65"/>
      <c r="N105" s="58"/>
      <c r="O105" s="75"/>
      <c r="P105" s="75"/>
      <c r="Q105" s="75"/>
      <c r="R105" s="59"/>
      <c r="S105" s="60"/>
      <c r="T105" s="61"/>
      <c r="U105" s="52"/>
      <c r="V105" s="56"/>
      <c r="W105" s="57"/>
      <c r="X105" s="55"/>
      <c r="Y105" s="54"/>
      <c r="Z105" s="229"/>
      <c r="AA105" s="226"/>
      <c r="AB105" s="232"/>
      <c r="AC105" s="235"/>
      <c r="AD105" s="235"/>
      <c r="AE105" s="238"/>
    </row>
    <row r="106" spans="1:31" x14ac:dyDescent="0.25">
      <c r="A106" s="203"/>
      <c r="B106" s="203"/>
      <c r="C106" s="215"/>
      <c r="D106" s="218"/>
      <c r="E106" s="215"/>
      <c r="F106" s="215"/>
      <c r="G106" s="215"/>
      <c r="H106" s="245" t="s">
        <v>133</v>
      </c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63">
        <f>SUM(T100:T105)</f>
        <v>4.3928309999999998E-2</v>
      </c>
      <c r="U106" s="228" t="s">
        <v>134</v>
      </c>
      <c r="V106" s="228"/>
      <c r="W106" s="228"/>
      <c r="X106" s="228"/>
      <c r="Y106" s="64">
        <f>SUM(Y100:Y105)</f>
        <v>0.05</v>
      </c>
      <c r="Z106" s="229"/>
      <c r="AA106" s="230"/>
      <c r="AB106" s="233"/>
      <c r="AC106" s="235"/>
      <c r="AD106" s="236"/>
      <c r="AE106" s="239"/>
    </row>
    <row r="107" spans="1:31" ht="27" customHeight="1" x14ac:dyDescent="0.25">
      <c r="A107" s="202"/>
      <c r="B107" s="202"/>
      <c r="C107" s="213">
        <v>44456</v>
      </c>
      <c r="D107" s="216"/>
      <c r="E107" s="219" t="s">
        <v>49</v>
      </c>
      <c r="F107" s="219" t="s">
        <v>50</v>
      </c>
      <c r="G107" s="219"/>
      <c r="H107" s="74" t="s">
        <v>50</v>
      </c>
      <c r="I107" s="74" t="s">
        <v>49</v>
      </c>
      <c r="J107" s="74" t="s">
        <v>163</v>
      </c>
      <c r="K107" s="76">
        <v>1</v>
      </c>
      <c r="L107" s="78"/>
      <c r="M107" s="78"/>
      <c r="N107" s="78">
        <v>2</v>
      </c>
      <c r="O107" s="75">
        <v>5.9</v>
      </c>
      <c r="P107" s="75">
        <v>3.4</v>
      </c>
      <c r="Q107" s="75">
        <f>R107/0.7</f>
        <v>9.5714285714285724E-2</v>
      </c>
      <c r="R107" s="59">
        <v>6.7000000000000004E-2</v>
      </c>
      <c r="S107" s="60">
        <f>Q107-R107</f>
        <v>2.871428571428572E-2</v>
      </c>
      <c r="T107" s="61">
        <f>K107*(Q107*O107-P107*S107)</f>
        <v>0.46708571428571438</v>
      </c>
      <c r="U107" s="10" t="s">
        <v>16</v>
      </c>
      <c r="V107" s="54" t="s">
        <v>140</v>
      </c>
      <c r="W107" s="54">
        <v>0.08</v>
      </c>
      <c r="X107" s="55">
        <v>1</v>
      </c>
      <c r="Y107" s="54">
        <f t="shared" ref="Y107:Y108" si="17">W107/X107</f>
        <v>0.08</v>
      </c>
      <c r="Z107" s="229">
        <v>1.2</v>
      </c>
      <c r="AA107" s="225">
        <f>(T113+Y113)*Z107</f>
        <v>0.75250285714285725</v>
      </c>
      <c r="AB107" s="231">
        <f>AA107/1.13</f>
        <v>0.66593173198482947</v>
      </c>
      <c r="AC107" s="234">
        <f>2000/1.13</f>
        <v>1769.911504424779</v>
      </c>
      <c r="AD107" s="234">
        <v>100000</v>
      </c>
      <c r="AE107" s="237">
        <f>AB107+AC107/AD107/2</f>
        <v>0.67478128950695337</v>
      </c>
    </row>
    <row r="108" spans="1:31" x14ac:dyDescent="0.25">
      <c r="A108" s="212"/>
      <c r="B108" s="212"/>
      <c r="C108" s="214"/>
      <c r="D108" s="217"/>
      <c r="E108" s="214"/>
      <c r="F108" s="214"/>
      <c r="G108" s="214"/>
      <c r="H108" s="74"/>
      <c r="I108" s="74"/>
      <c r="J108" s="74"/>
      <c r="K108" s="76"/>
      <c r="L108" s="65"/>
      <c r="M108" s="65"/>
      <c r="N108" s="58"/>
      <c r="O108" s="80"/>
      <c r="P108" s="75"/>
      <c r="Q108" s="75"/>
      <c r="R108" s="59"/>
      <c r="S108" s="60"/>
      <c r="T108" s="80"/>
      <c r="U108" s="10" t="s">
        <v>25</v>
      </c>
      <c r="V108" s="54" t="s">
        <v>140</v>
      </c>
      <c r="W108" s="54">
        <v>0.08</v>
      </c>
      <c r="X108" s="55">
        <v>1</v>
      </c>
      <c r="Y108" s="54">
        <f t="shared" si="17"/>
        <v>0.08</v>
      </c>
      <c r="Z108" s="229"/>
      <c r="AA108" s="226"/>
      <c r="AB108" s="232"/>
      <c r="AC108" s="235"/>
      <c r="AD108" s="235"/>
      <c r="AE108" s="238"/>
    </row>
    <row r="109" spans="1:31" x14ac:dyDescent="0.25">
      <c r="A109" s="212"/>
      <c r="B109" s="212"/>
      <c r="C109" s="214"/>
      <c r="D109" s="217"/>
      <c r="E109" s="214"/>
      <c r="F109" s="214"/>
      <c r="G109" s="214"/>
      <c r="H109" s="74"/>
      <c r="I109" s="77"/>
      <c r="J109" s="74"/>
      <c r="K109" s="76"/>
      <c r="L109" s="65"/>
      <c r="M109" s="65"/>
      <c r="N109" s="58"/>
      <c r="O109" s="75"/>
      <c r="P109" s="75"/>
      <c r="Q109" s="75"/>
      <c r="R109" s="59"/>
      <c r="S109" s="60"/>
      <c r="T109" s="61"/>
      <c r="U109" s="28"/>
      <c r="V109" s="6"/>
      <c r="W109" s="54"/>
      <c r="X109" s="55"/>
      <c r="Y109" s="54"/>
      <c r="Z109" s="229"/>
      <c r="AA109" s="226"/>
      <c r="AB109" s="232"/>
      <c r="AC109" s="235"/>
      <c r="AD109" s="235"/>
      <c r="AE109" s="238"/>
    </row>
    <row r="110" spans="1:31" x14ac:dyDescent="0.25">
      <c r="A110" s="212"/>
      <c r="B110" s="212"/>
      <c r="C110" s="214"/>
      <c r="D110" s="217"/>
      <c r="E110" s="214"/>
      <c r="F110" s="214"/>
      <c r="G110" s="214"/>
      <c r="H110" s="74"/>
      <c r="I110" s="74"/>
      <c r="J110" s="74"/>
      <c r="K110" s="76"/>
      <c r="L110" s="65"/>
      <c r="M110" s="65"/>
      <c r="N110" s="58"/>
      <c r="O110" s="75"/>
      <c r="P110" s="75"/>
      <c r="Q110" s="75"/>
      <c r="R110" s="59"/>
      <c r="S110" s="60"/>
      <c r="T110" s="61"/>
      <c r="U110" s="28"/>
      <c r="V110" s="6"/>
      <c r="W110" s="54"/>
      <c r="X110" s="55"/>
      <c r="Y110" s="54"/>
      <c r="Z110" s="229"/>
      <c r="AA110" s="226"/>
      <c r="AB110" s="232"/>
      <c r="AC110" s="235"/>
      <c r="AD110" s="235"/>
      <c r="AE110" s="238"/>
    </row>
    <row r="111" spans="1:31" x14ac:dyDescent="0.25">
      <c r="A111" s="212"/>
      <c r="B111" s="212"/>
      <c r="C111" s="214"/>
      <c r="D111" s="217"/>
      <c r="E111" s="214"/>
      <c r="F111" s="214"/>
      <c r="G111" s="214"/>
      <c r="H111" s="74"/>
      <c r="I111" s="74"/>
      <c r="J111" s="74"/>
      <c r="K111" s="76"/>
      <c r="L111" s="65"/>
      <c r="M111" s="65"/>
      <c r="N111" s="58"/>
      <c r="O111" s="75"/>
      <c r="P111" s="75"/>
      <c r="Q111" s="75"/>
      <c r="R111" s="59"/>
      <c r="S111" s="60"/>
      <c r="T111" s="61"/>
      <c r="U111" s="10"/>
      <c r="V111" s="79"/>
      <c r="W111" s="54"/>
      <c r="X111" s="55"/>
      <c r="Y111" s="54"/>
      <c r="Z111" s="229"/>
      <c r="AA111" s="226"/>
      <c r="AB111" s="232"/>
      <c r="AC111" s="235"/>
      <c r="AD111" s="235"/>
      <c r="AE111" s="238"/>
    </row>
    <row r="112" spans="1:31" x14ac:dyDescent="0.25">
      <c r="A112" s="212"/>
      <c r="B112" s="212"/>
      <c r="C112" s="214"/>
      <c r="D112" s="217"/>
      <c r="E112" s="214"/>
      <c r="F112" s="214"/>
      <c r="G112" s="214"/>
      <c r="H112" s="74"/>
      <c r="I112" s="74"/>
      <c r="J112" s="74"/>
      <c r="K112" s="76"/>
      <c r="L112" s="65"/>
      <c r="M112" s="65"/>
      <c r="N112" s="58"/>
      <c r="O112" s="75"/>
      <c r="P112" s="75"/>
      <c r="Q112" s="75"/>
      <c r="R112" s="59"/>
      <c r="S112" s="60"/>
      <c r="T112" s="61"/>
      <c r="U112" s="52"/>
      <c r="V112" s="56"/>
      <c r="W112" s="57"/>
      <c r="X112" s="55"/>
      <c r="Y112" s="54"/>
      <c r="Z112" s="229"/>
      <c r="AA112" s="226"/>
      <c r="AB112" s="232"/>
      <c r="AC112" s="235"/>
      <c r="AD112" s="235"/>
      <c r="AE112" s="238"/>
    </row>
    <row r="113" spans="1:31" x14ac:dyDescent="0.25">
      <c r="A113" s="203"/>
      <c r="B113" s="203"/>
      <c r="C113" s="215"/>
      <c r="D113" s="218"/>
      <c r="E113" s="215"/>
      <c r="F113" s="215"/>
      <c r="G113" s="215"/>
      <c r="H113" s="245" t="s">
        <v>133</v>
      </c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63">
        <f>SUM(T107:T112)</f>
        <v>0.46708571428571438</v>
      </c>
      <c r="U113" s="228" t="s">
        <v>134</v>
      </c>
      <c r="V113" s="228"/>
      <c r="W113" s="228"/>
      <c r="X113" s="228"/>
      <c r="Y113" s="64">
        <f>SUM(Y107:Y112)</f>
        <v>0.16</v>
      </c>
      <c r="Z113" s="229"/>
      <c r="AA113" s="230"/>
      <c r="AB113" s="233"/>
      <c r="AC113" s="235"/>
      <c r="AD113" s="236"/>
      <c r="AE113" s="239"/>
    </row>
    <row r="114" spans="1:31" ht="27" customHeight="1" x14ac:dyDescent="0.25">
      <c r="A114" s="202"/>
      <c r="B114" s="202"/>
      <c r="C114" s="213">
        <v>44456</v>
      </c>
      <c r="D114" s="216"/>
      <c r="E114" s="219" t="s">
        <v>51</v>
      </c>
      <c r="F114" s="219" t="s">
        <v>52</v>
      </c>
      <c r="G114" s="219"/>
      <c r="H114" s="74" t="s">
        <v>164</v>
      </c>
      <c r="I114" s="74" t="s">
        <v>165</v>
      </c>
      <c r="J114" s="74" t="s">
        <v>143</v>
      </c>
      <c r="K114" s="76">
        <v>1</v>
      </c>
      <c r="L114" s="78"/>
      <c r="M114" s="78"/>
      <c r="N114" s="78">
        <v>3.5</v>
      </c>
      <c r="O114" s="75">
        <v>7</v>
      </c>
      <c r="P114" s="75">
        <v>3.4</v>
      </c>
      <c r="Q114" s="75">
        <f>R114/0.7</f>
        <v>1.0900000000000001</v>
      </c>
      <c r="R114" s="59">
        <v>0.76300000000000001</v>
      </c>
      <c r="S114" s="60">
        <f>Q114-R114</f>
        <v>0.32700000000000007</v>
      </c>
      <c r="T114" s="61">
        <f>K114*(Q114*O114-P114*S114)</f>
        <v>6.5182000000000002</v>
      </c>
      <c r="U114" s="6" t="s">
        <v>71</v>
      </c>
      <c r="V114" s="53" t="s">
        <v>135</v>
      </c>
      <c r="W114" s="54">
        <v>0.15</v>
      </c>
      <c r="X114" s="55">
        <v>1</v>
      </c>
      <c r="Y114" s="54">
        <f t="shared" ref="Y114:Y123" si="18">W114/X114</f>
        <v>0.15</v>
      </c>
      <c r="Z114" s="229">
        <v>1.2</v>
      </c>
      <c r="AA114" s="225">
        <f>(T125+Y125)*Z114</f>
        <v>11.147223428571428</v>
      </c>
      <c r="AB114" s="231">
        <f>AA114/1.13</f>
        <v>9.8647994943109989</v>
      </c>
      <c r="AC114" s="234">
        <f>25000/1.13</f>
        <v>22123.893805309737</v>
      </c>
      <c r="AD114" s="234">
        <v>100000</v>
      </c>
      <c r="AE114" s="237">
        <f>AB114+AC114/AD114/2</f>
        <v>9.9754189633375479</v>
      </c>
    </row>
    <row r="115" spans="1:31" ht="24" x14ac:dyDescent="0.25">
      <c r="A115" s="212"/>
      <c r="B115" s="212"/>
      <c r="C115" s="214"/>
      <c r="D115" s="217"/>
      <c r="E115" s="214"/>
      <c r="F115" s="214"/>
      <c r="G115" s="214"/>
      <c r="H115" s="74" t="s">
        <v>149</v>
      </c>
      <c r="I115" s="74" t="s">
        <v>148</v>
      </c>
      <c r="J115" s="74" t="s">
        <v>144</v>
      </c>
      <c r="K115" s="76">
        <v>1</v>
      </c>
      <c r="L115" s="65"/>
      <c r="M115" s="65"/>
      <c r="N115" s="58">
        <v>4</v>
      </c>
      <c r="O115" s="75">
        <v>6.3</v>
      </c>
      <c r="P115" s="75">
        <v>3.4</v>
      </c>
      <c r="Q115" s="75">
        <f>R115/0.7</f>
        <v>5.1285714285714289E-2</v>
      </c>
      <c r="R115" s="59">
        <v>3.5900000000000001E-2</v>
      </c>
      <c r="S115" s="60">
        <f>Q115-R115</f>
        <v>1.5385714285714287E-2</v>
      </c>
      <c r="T115" s="61">
        <f>K115*(Q115*O115-P115*S115)</f>
        <v>0.27078857142857143</v>
      </c>
      <c r="U115" s="6" t="s">
        <v>168</v>
      </c>
      <c r="V115" s="53" t="s">
        <v>135</v>
      </c>
      <c r="W115" s="54">
        <v>0.15</v>
      </c>
      <c r="X115" s="55">
        <v>1</v>
      </c>
      <c r="Y115" s="54">
        <f t="shared" si="18"/>
        <v>0.15</v>
      </c>
      <c r="Z115" s="229"/>
      <c r="AA115" s="226"/>
      <c r="AB115" s="232"/>
      <c r="AC115" s="235"/>
      <c r="AD115" s="235"/>
      <c r="AE115" s="238"/>
    </row>
    <row r="116" spans="1:31" ht="24" x14ac:dyDescent="0.25">
      <c r="A116" s="212"/>
      <c r="B116" s="212"/>
      <c r="C116" s="214"/>
      <c r="D116" s="217"/>
      <c r="E116" s="214"/>
      <c r="F116" s="214"/>
      <c r="G116" s="214"/>
      <c r="H116" s="74" t="s">
        <v>167</v>
      </c>
      <c r="I116" s="74" t="s">
        <v>166</v>
      </c>
      <c r="J116" s="74" t="s">
        <v>143</v>
      </c>
      <c r="K116" s="76">
        <v>1</v>
      </c>
      <c r="L116" s="65"/>
      <c r="M116" s="65"/>
      <c r="N116" s="58">
        <v>2.5</v>
      </c>
      <c r="O116" s="75">
        <v>7.05</v>
      </c>
      <c r="P116" s="75">
        <v>3.4</v>
      </c>
      <c r="Q116" s="75">
        <f>R116/0.7</f>
        <v>0.10928571428571429</v>
      </c>
      <c r="R116" s="59">
        <v>7.6499999999999999E-2</v>
      </c>
      <c r="S116" s="60">
        <v>7.6499999999999999E-2</v>
      </c>
      <c r="T116" s="61">
        <f>K116*(Q116*O116-P116*S116)</f>
        <v>0.51036428571428571</v>
      </c>
      <c r="U116" s="6" t="s">
        <v>90</v>
      </c>
      <c r="V116" s="53" t="s">
        <v>135</v>
      </c>
      <c r="W116" s="54">
        <v>0.15</v>
      </c>
      <c r="X116" s="55">
        <v>1</v>
      </c>
      <c r="Y116" s="54">
        <f t="shared" si="18"/>
        <v>0.15</v>
      </c>
      <c r="Z116" s="229"/>
      <c r="AA116" s="226"/>
      <c r="AB116" s="232"/>
      <c r="AC116" s="235"/>
      <c r="AD116" s="235"/>
      <c r="AE116" s="238"/>
    </row>
    <row r="117" spans="1:31" x14ac:dyDescent="0.25">
      <c r="A117" s="212"/>
      <c r="B117" s="212"/>
      <c r="C117" s="214"/>
      <c r="D117" s="217"/>
      <c r="E117" s="214"/>
      <c r="F117" s="214"/>
      <c r="G117" s="214"/>
      <c r="H117" s="74"/>
      <c r="I117" s="74"/>
      <c r="J117" s="74"/>
      <c r="K117" s="76"/>
      <c r="L117" s="65"/>
      <c r="M117" s="65"/>
      <c r="N117" s="58"/>
      <c r="O117" s="75"/>
      <c r="P117" s="75"/>
      <c r="Q117" s="75"/>
      <c r="R117" s="59"/>
      <c r="S117" s="60"/>
      <c r="T117" s="61"/>
      <c r="U117" s="6" t="s">
        <v>74</v>
      </c>
      <c r="V117" s="53" t="s">
        <v>136</v>
      </c>
      <c r="W117" s="54">
        <v>0.1</v>
      </c>
      <c r="X117" s="55">
        <v>1</v>
      </c>
      <c r="Y117" s="54">
        <f t="shared" si="18"/>
        <v>0.1</v>
      </c>
      <c r="Z117" s="229"/>
      <c r="AA117" s="226"/>
      <c r="AB117" s="232"/>
      <c r="AC117" s="235"/>
      <c r="AD117" s="235"/>
      <c r="AE117" s="238"/>
    </row>
    <row r="118" spans="1:31" x14ac:dyDescent="0.25">
      <c r="A118" s="212"/>
      <c r="B118" s="212"/>
      <c r="C118" s="214"/>
      <c r="D118" s="217"/>
      <c r="E118" s="214"/>
      <c r="F118" s="214"/>
      <c r="G118" s="214"/>
      <c r="H118" s="74"/>
      <c r="I118" s="74"/>
      <c r="J118" s="74"/>
      <c r="K118" s="76"/>
      <c r="L118" s="65"/>
      <c r="M118" s="65"/>
      <c r="N118" s="58"/>
      <c r="O118" s="75"/>
      <c r="P118" s="75"/>
      <c r="Q118" s="75"/>
      <c r="R118" s="59"/>
      <c r="S118" s="60"/>
      <c r="T118" s="61"/>
      <c r="U118" s="6" t="s">
        <v>74</v>
      </c>
      <c r="V118" s="53" t="s">
        <v>136</v>
      </c>
      <c r="W118" s="54">
        <v>0.1</v>
      </c>
      <c r="X118" s="55">
        <v>1</v>
      </c>
      <c r="Y118" s="54">
        <f t="shared" si="18"/>
        <v>0.1</v>
      </c>
      <c r="Z118" s="229"/>
      <c r="AA118" s="226"/>
      <c r="AB118" s="232"/>
      <c r="AC118" s="235"/>
      <c r="AD118" s="235"/>
      <c r="AE118" s="238"/>
    </row>
    <row r="119" spans="1:31" x14ac:dyDescent="0.25">
      <c r="A119" s="212"/>
      <c r="B119" s="212"/>
      <c r="C119" s="214"/>
      <c r="D119" s="217"/>
      <c r="E119" s="214"/>
      <c r="F119" s="214"/>
      <c r="G119" s="214"/>
      <c r="H119" s="74"/>
      <c r="I119" s="74"/>
      <c r="J119" s="74"/>
      <c r="K119" s="76"/>
      <c r="L119" s="65"/>
      <c r="M119" s="65"/>
      <c r="N119" s="58"/>
      <c r="O119" s="75"/>
      <c r="P119" s="75"/>
      <c r="Q119" s="75"/>
      <c r="R119" s="59"/>
      <c r="S119" s="60"/>
      <c r="T119" s="61"/>
      <c r="U119" s="6" t="s">
        <v>71</v>
      </c>
      <c r="V119" s="6" t="s">
        <v>138</v>
      </c>
      <c r="W119" s="54">
        <v>0.05</v>
      </c>
      <c r="X119" s="55">
        <v>1</v>
      </c>
      <c r="Y119" s="54">
        <f t="shared" si="18"/>
        <v>0.05</v>
      </c>
      <c r="Z119" s="229"/>
      <c r="AA119" s="226"/>
      <c r="AB119" s="232"/>
      <c r="AC119" s="235"/>
      <c r="AD119" s="235"/>
      <c r="AE119" s="238"/>
    </row>
    <row r="120" spans="1:31" x14ac:dyDescent="0.25">
      <c r="A120" s="212"/>
      <c r="B120" s="212"/>
      <c r="C120" s="214"/>
      <c r="D120" s="217"/>
      <c r="E120" s="214"/>
      <c r="F120" s="214"/>
      <c r="G120" s="214"/>
      <c r="H120" s="74"/>
      <c r="I120" s="74"/>
      <c r="J120" s="74"/>
      <c r="K120" s="76"/>
      <c r="L120" s="65"/>
      <c r="M120" s="65"/>
      <c r="N120" s="58"/>
      <c r="O120" s="75"/>
      <c r="P120" s="75"/>
      <c r="Q120" s="75"/>
      <c r="R120" s="59"/>
      <c r="S120" s="60"/>
      <c r="T120" s="61"/>
      <c r="U120" s="6" t="s">
        <v>168</v>
      </c>
      <c r="V120" s="6" t="s">
        <v>138</v>
      </c>
      <c r="W120" s="54">
        <v>0.05</v>
      </c>
      <c r="X120" s="55">
        <v>1</v>
      </c>
      <c r="Y120" s="54">
        <f t="shared" si="18"/>
        <v>0.05</v>
      </c>
      <c r="Z120" s="229"/>
      <c r="AA120" s="226"/>
      <c r="AB120" s="232"/>
      <c r="AC120" s="235"/>
      <c r="AD120" s="235"/>
      <c r="AE120" s="238"/>
    </row>
    <row r="121" spans="1:31" x14ac:dyDescent="0.25">
      <c r="A121" s="212"/>
      <c r="B121" s="212"/>
      <c r="C121" s="214"/>
      <c r="D121" s="217"/>
      <c r="E121" s="214"/>
      <c r="F121" s="214"/>
      <c r="G121" s="214"/>
      <c r="H121" s="74"/>
      <c r="I121" s="74"/>
      <c r="J121" s="74"/>
      <c r="K121" s="76"/>
      <c r="L121" s="65"/>
      <c r="M121" s="65"/>
      <c r="N121" s="58"/>
      <c r="O121" s="75"/>
      <c r="P121" s="75"/>
      <c r="Q121" s="75"/>
      <c r="R121" s="59"/>
      <c r="S121" s="60"/>
      <c r="T121" s="61"/>
      <c r="U121" s="6" t="s">
        <v>71</v>
      </c>
      <c r="V121" s="6" t="s">
        <v>140</v>
      </c>
      <c r="W121" s="54">
        <v>0.08</v>
      </c>
      <c r="X121" s="55">
        <v>1</v>
      </c>
      <c r="Y121" s="54">
        <f t="shared" si="18"/>
        <v>0.08</v>
      </c>
      <c r="Z121" s="229"/>
      <c r="AA121" s="226"/>
      <c r="AB121" s="232"/>
      <c r="AC121" s="235"/>
      <c r="AD121" s="235"/>
      <c r="AE121" s="238"/>
    </row>
    <row r="122" spans="1:31" x14ac:dyDescent="0.25">
      <c r="A122" s="212"/>
      <c r="B122" s="212"/>
      <c r="C122" s="214"/>
      <c r="D122" s="217"/>
      <c r="E122" s="214"/>
      <c r="F122" s="214"/>
      <c r="G122" s="214"/>
      <c r="H122" s="74"/>
      <c r="I122" s="74"/>
      <c r="J122" s="74"/>
      <c r="K122" s="76"/>
      <c r="L122" s="65"/>
      <c r="M122" s="65"/>
      <c r="N122" s="58"/>
      <c r="O122" s="75"/>
      <c r="P122" s="75"/>
      <c r="Q122" s="75"/>
      <c r="R122" s="59"/>
      <c r="S122" s="60"/>
      <c r="T122" s="61"/>
      <c r="U122" s="6" t="s">
        <v>168</v>
      </c>
      <c r="V122" s="6" t="s">
        <v>140</v>
      </c>
      <c r="W122" s="54">
        <v>0.08</v>
      </c>
      <c r="X122" s="55">
        <v>1</v>
      </c>
      <c r="Y122" s="54">
        <f t="shared" si="18"/>
        <v>0.08</v>
      </c>
      <c r="Z122" s="229"/>
      <c r="AA122" s="226"/>
      <c r="AB122" s="232"/>
      <c r="AC122" s="235"/>
      <c r="AD122" s="235"/>
      <c r="AE122" s="238"/>
    </row>
    <row r="123" spans="1:31" x14ac:dyDescent="0.25">
      <c r="A123" s="212"/>
      <c r="B123" s="212"/>
      <c r="C123" s="214"/>
      <c r="D123" s="217"/>
      <c r="E123" s="214"/>
      <c r="F123" s="214"/>
      <c r="G123" s="214"/>
      <c r="H123" s="74"/>
      <c r="I123" s="74"/>
      <c r="J123" s="74"/>
      <c r="K123" s="76"/>
      <c r="L123" s="65"/>
      <c r="M123" s="65"/>
      <c r="N123" s="58"/>
      <c r="O123" s="75"/>
      <c r="P123" s="75"/>
      <c r="Q123" s="75"/>
      <c r="R123" s="59"/>
      <c r="S123" s="60"/>
      <c r="T123" s="61"/>
      <c r="U123" s="28" t="s">
        <v>74</v>
      </c>
      <c r="V123" s="6" t="s">
        <v>140</v>
      </c>
      <c r="W123" s="54">
        <v>0.08</v>
      </c>
      <c r="X123" s="55">
        <v>1</v>
      </c>
      <c r="Y123" s="54">
        <f t="shared" si="18"/>
        <v>0.08</v>
      </c>
      <c r="Z123" s="229"/>
      <c r="AA123" s="226"/>
      <c r="AB123" s="232"/>
      <c r="AC123" s="235"/>
      <c r="AD123" s="235"/>
      <c r="AE123" s="238"/>
    </row>
    <row r="124" spans="1:31" x14ac:dyDescent="0.25">
      <c r="A124" s="212"/>
      <c r="B124" s="212"/>
      <c r="C124" s="214"/>
      <c r="D124" s="217"/>
      <c r="E124" s="214"/>
      <c r="F124" s="214"/>
      <c r="G124" s="214"/>
      <c r="H124" s="74"/>
      <c r="I124" s="74"/>
      <c r="J124" s="74"/>
      <c r="K124" s="76"/>
      <c r="L124" s="65"/>
      <c r="M124" s="65"/>
      <c r="N124" s="58"/>
      <c r="O124" s="75"/>
      <c r="P124" s="75"/>
      <c r="Q124" s="75"/>
      <c r="R124" s="59"/>
      <c r="S124" s="60"/>
      <c r="T124" s="61"/>
      <c r="U124" s="28" t="s">
        <v>142</v>
      </c>
      <c r="V124" s="6">
        <f>4+16</f>
        <v>20</v>
      </c>
      <c r="W124" s="54">
        <v>0.05</v>
      </c>
      <c r="X124" s="55">
        <v>1</v>
      </c>
      <c r="Y124" s="54">
        <f>V124*W124/X124</f>
        <v>1</v>
      </c>
      <c r="Z124" s="229"/>
      <c r="AA124" s="226"/>
      <c r="AB124" s="232"/>
      <c r="AC124" s="235"/>
      <c r="AD124" s="235"/>
      <c r="AE124" s="238"/>
    </row>
    <row r="125" spans="1:31" x14ac:dyDescent="0.25">
      <c r="A125" s="203"/>
      <c r="B125" s="203"/>
      <c r="C125" s="215"/>
      <c r="D125" s="218"/>
      <c r="E125" s="215"/>
      <c r="F125" s="215"/>
      <c r="G125" s="215"/>
      <c r="H125" s="245" t="s">
        <v>133</v>
      </c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63">
        <f>SUM(T114:T124)</f>
        <v>7.2993528571428579</v>
      </c>
      <c r="U125" s="228" t="s">
        <v>134</v>
      </c>
      <c r="V125" s="228"/>
      <c r="W125" s="228"/>
      <c r="X125" s="228"/>
      <c r="Y125" s="64">
        <f>SUM(Y114:Y124)</f>
        <v>1.9899999999999998</v>
      </c>
      <c r="Z125" s="229"/>
      <c r="AA125" s="230"/>
      <c r="AB125" s="233"/>
      <c r="AC125" s="235"/>
      <c r="AD125" s="236"/>
      <c r="AE125" s="239"/>
    </row>
    <row r="126" spans="1:31" ht="27" customHeight="1" x14ac:dyDescent="0.25">
      <c r="A126" s="202"/>
      <c r="B126" s="202"/>
      <c r="C126" s="213">
        <v>44456</v>
      </c>
      <c r="D126" s="216"/>
      <c r="E126" s="219" t="s">
        <v>53</v>
      </c>
      <c r="F126" s="219" t="s">
        <v>54</v>
      </c>
      <c r="G126" s="219"/>
      <c r="H126" s="74" t="s">
        <v>169</v>
      </c>
      <c r="I126" s="74" t="s">
        <v>170</v>
      </c>
      <c r="J126" s="74" t="s">
        <v>157</v>
      </c>
      <c r="K126" s="76">
        <v>1</v>
      </c>
      <c r="L126" s="78"/>
      <c r="M126" s="78"/>
      <c r="N126" s="78">
        <v>3</v>
      </c>
      <c r="O126" s="75">
        <v>6.7</v>
      </c>
      <c r="P126" s="75">
        <v>3.4</v>
      </c>
      <c r="Q126" s="75">
        <f>R126/0.7</f>
        <v>0.21285714285714286</v>
      </c>
      <c r="R126" s="59">
        <v>0.14899999999999999</v>
      </c>
      <c r="S126" s="60">
        <f>Q126-R126</f>
        <v>6.3857142857142862E-2</v>
      </c>
      <c r="T126" s="61">
        <f>K126*(Q126*O126-P126*S126)</f>
        <v>1.2090285714285713</v>
      </c>
      <c r="U126" s="10" t="s">
        <v>16</v>
      </c>
      <c r="V126" s="6" t="s">
        <v>138</v>
      </c>
      <c r="W126" s="54">
        <v>0.05</v>
      </c>
      <c r="X126" s="55">
        <v>1</v>
      </c>
      <c r="Y126" s="54">
        <f t="shared" ref="Y126:Y128" si="19">W126/X126</f>
        <v>0.05</v>
      </c>
      <c r="Z126" s="229">
        <v>1.2</v>
      </c>
      <c r="AA126" s="225">
        <f>(T132+Y132)*Z126</f>
        <v>7.3061142857142842</v>
      </c>
      <c r="AB126" s="231">
        <f>AA126/1.13</f>
        <v>6.465587863463969</v>
      </c>
      <c r="AC126" s="234">
        <f>8000/1.13</f>
        <v>7079.6460176991159</v>
      </c>
      <c r="AD126" s="234">
        <v>100000</v>
      </c>
      <c r="AE126" s="237">
        <f>AB126+AC126/AD126/2</f>
        <v>6.5009860935524646</v>
      </c>
    </row>
    <row r="127" spans="1:31" x14ac:dyDescent="0.25">
      <c r="A127" s="212"/>
      <c r="B127" s="212"/>
      <c r="C127" s="214"/>
      <c r="D127" s="217"/>
      <c r="E127" s="214"/>
      <c r="F127" s="214"/>
      <c r="G127" s="214"/>
      <c r="H127" s="74" t="s">
        <v>173</v>
      </c>
      <c r="I127" s="74" t="s">
        <v>171</v>
      </c>
      <c r="J127" s="74" t="s">
        <v>172</v>
      </c>
      <c r="K127" s="76">
        <v>1</v>
      </c>
      <c r="L127" s="65"/>
      <c r="M127" s="65"/>
      <c r="N127" s="58"/>
      <c r="O127" s="80"/>
      <c r="P127" s="75"/>
      <c r="Q127" s="75"/>
      <c r="R127" s="59"/>
      <c r="S127" s="60"/>
      <c r="T127" s="80">
        <v>2.2999999999999998</v>
      </c>
      <c r="U127" s="10" t="s">
        <v>24</v>
      </c>
      <c r="V127" s="6" t="s">
        <v>138</v>
      </c>
      <c r="W127" s="54">
        <v>0.05</v>
      </c>
      <c r="X127" s="55">
        <v>1</v>
      </c>
      <c r="Y127" s="54">
        <f t="shared" si="19"/>
        <v>0.05</v>
      </c>
      <c r="Z127" s="229"/>
      <c r="AA127" s="226"/>
      <c r="AB127" s="232"/>
      <c r="AC127" s="235"/>
      <c r="AD127" s="235"/>
      <c r="AE127" s="238"/>
    </row>
    <row r="128" spans="1:31" x14ac:dyDescent="0.25">
      <c r="A128" s="212"/>
      <c r="B128" s="212"/>
      <c r="C128" s="214"/>
      <c r="D128" s="217"/>
      <c r="E128" s="214"/>
      <c r="F128" s="214"/>
      <c r="G128" s="214"/>
      <c r="H128" s="74" t="s">
        <v>132</v>
      </c>
      <c r="I128" s="77" t="s">
        <v>175</v>
      </c>
      <c r="J128" s="74" t="s">
        <v>174</v>
      </c>
      <c r="K128" s="76">
        <v>2</v>
      </c>
      <c r="L128" s="65"/>
      <c r="M128" s="65"/>
      <c r="N128" s="58"/>
      <c r="O128" s="75"/>
      <c r="P128" s="75"/>
      <c r="Q128" s="75"/>
      <c r="R128" s="59"/>
      <c r="S128" s="60"/>
      <c r="T128" s="61">
        <v>1.77</v>
      </c>
      <c r="U128" s="10" t="s">
        <v>19</v>
      </c>
      <c r="V128" s="6" t="s">
        <v>138</v>
      </c>
      <c r="W128" s="54">
        <v>0.05</v>
      </c>
      <c r="X128" s="55">
        <v>1</v>
      </c>
      <c r="Y128" s="54">
        <f t="shared" si="19"/>
        <v>0.05</v>
      </c>
      <c r="Z128" s="229"/>
      <c r="AA128" s="226"/>
      <c r="AB128" s="232"/>
      <c r="AC128" s="235"/>
      <c r="AD128" s="235"/>
      <c r="AE128" s="238"/>
    </row>
    <row r="129" spans="1:31" x14ac:dyDescent="0.25">
      <c r="A129" s="212"/>
      <c r="B129" s="212"/>
      <c r="C129" s="214"/>
      <c r="D129" s="217"/>
      <c r="E129" s="214"/>
      <c r="F129" s="214"/>
      <c r="G129" s="214"/>
      <c r="H129" s="74"/>
      <c r="I129" s="74"/>
      <c r="J129" s="74"/>
      <c r="K129" s="76"/>
      <c r="L129" s="65"/>
      <c r="M129" s="65"/>
      <c r="N129" s="58"/>
      <c r="O129" s="75"/>
      <c r="P129" s="75"/>
      <c r="Q129" s="75"/>
      <c r="R129" s="59"/>
      <c r="S129" s="60"/>
      <c r="T129" s="61"/>
      <c r="U129" s="81" t="s">
        <v>142</v>
      </c>
      <c r="V129" s="6">
        <f>0.9*3.14*3+1.5*3.14</f>
        <v>13.187999999999999</v>
      </c>
      <c r="W129" s="54">
        <v>0.05</v>
      </c>
      <c r="X129" s="55">
        <v>1</v>
      </c>
      <c r="Y129" s="54">
        <f>V129*W129/X129</f>
        <v>0.65939999999999999</v>
      </c>
      <c r="Z129" s="229"/>
      <c r="AA129" s="226"/>
      <c r="AB129" s="232"/>
      <c r="AC129" s="235"/>
      <c r="AD129" s="235"/>
      <c r="AE129" s="238"/>
    </row>
    <row r="130" spans="1:31" x14ac:dyDescent="0.25">
      <c r="A130" s="212"/>
      <c r="B130" s="212"/>
      <c r="C130" s="214"/>
      <c r="D130" s="217"/>
      <c r="E130" s="214"/>
      <c r="F130" s="214"/>
      <c r="G130" s="214"/>
      <c r="H130" s="74"/>
      <c r="I130" s="74"/>
      <c r="J130" s="74"/>
      <c r="K130" s="76"/>
      <c r="L130" s="65"/>
      <c r="M130" s="65"/>
      <c r="N130" s="58"/>
      <c r="O130" s="75"/>
      <c r="P130" s="75"/>
      <c r="Q130" s="75"/>
      <c r="R130" s="59"/>
      <c r="S130" s="60"/>
      <c r="T130" s="61"/>
      <c r="U130" s="10"/>
      <c r="V130" s="79"/>
      <c r="W130" s="54"/>
      <c r="X130" s="55"/>
      <c r="Y130" s="54"/>
      <c r="Z130" s="229"/>
      <c r="AA130" s="226"/>
      <c r="AB130" s="232"/>
      <c r="AC130" s="235"/>
      <c r="AD130" s="235"/>
      <c r="AE130" s="238"/>
    </row>
    <row r="131" spans="1:31" x14ac:dyDescent="0.25">
      <c r="A131" s="212"/>
      <c r="B131" s="212"/>
      <c r="C131" s="214"/>
      <c r="D131" s="217"/>
      <c r="E131" s="214"/>
      <c r="F131" s="214"/>
      <c r="G131" s="214"/>
      <c r="H131" s="74"/>
      <c r="I131" s="74"/>
      <c r="J131" s="74"/>
      <c r="K131" s="76"/>
      <c r="L131" s="65"/>
      <c r="M131" s="65"/>
      <c r="N131" s="58"/>
      <c r="O131" s="75"/>
      <c r="P131" s="75"/>
      <c r="Q131" s="75"/>
      <c r="R131" s="59"/>
      <c r="S131" s="60"/>
      <c r="T131" s="61"/>
      <c r="U131" s="52"/>
      <c r="V131" s="56"/>
      <c r="W131" s="57"/>
      <c r="X131" s="55"/>
      <c r="Y131" s="54"/>
      <c r="Z131" s="229"/>
      <c r="AA131" s="226"/>
      <c r="AB131" s="232"/>
      <c r="AC131" s="235"/>
      <c r="AD131" s="235"/>
      <c r="AE131" s="238"/>
    </row>
    <row r="132" spans="1:31" x14ac:dyDescent="0.25">
      <c r="A132" s="203"/>
      <c r="B132" s="203"/>
      <c r="C132" s="215"/>
      <c r="D132" s="218"/>
      <c r="E132" s="215"/>
      <c r="F132" s="215"/>
      <c r="G132" s="215"/>
      <c r="H132" s="245" t="s">
        <v>133</v>
      </c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63">
        <f>SUM(T126:T131)</f>
        <v>5.2790285714285705</v>
      </c>
      <c r="U132" s="228" t="s">
        <v>134</v>
      </c>
      <c r="V132" s="228"/>
      <c r="W132" s="228"/>
      <c r="X132" s="228"/>
      <c r="Y132" s="64">
        <f>SUM(Y126:Y131)</f>
        <v>0.80940000000000001</v>
      </c>
      <c r="Z132" s="229"/>
      <c r="AA132" s="230"/>
      <c r="AB132" s="233"/>
      <c r="AC132" s="235"/>
      <c r="AD132" s="236"/>
      <c r="AE132" s="239"/>
    </row>
    <row r="133" spans="1:31" ht="27" customHeight="1" x14ac:dyDescent="0.25">
      <c r="A133" s="202"/>
      <c r="B133" s="202"/>
      <c r="C133" s="213">
        <v>44456</v>
      </c>
      <c r="D133" s="216"/>
      <c r="E133" s="219" t="s">
        <v>55</v>
      </c>
      <c r="F133" s="219" t="s">
        <v>56</v>
      </c>
      <c r="G133" s="219"/>
      <c r="H133" s="74" t="s">
        <v>56</v>
      </c>
      <c r="I133" s="74" t="s">
        <v>55</v>
      </c>
      <c r="J133" s="74" t="s">
        <v>157</v>
      </c>
      <c r="K133" s="76">
        <v>1</v>
      </c>
      <c r="L133" s="78">
        <v>25</v>
      </c>
      <c r="M133" s="78">
        <v>10</v>
      </c>
      <c r="N133" s="78">
        <v>3</v>
      </c>
      <c r="O133" s="75">
        <v>6.7</v>
      </c>
      <c r="P133" s="75">
        <v>3.4</v>
      </c>
      <c r="Q133" s="75">
        <f>L133*M133*N133*7.85/1000000</f>
        <v>5.8875000000000004E-3</v>
      </c>
      <c r="R133" s="59">
        <v>5.0000000000000001E-3</v>
      </c>
      <c r="S133" s="60">
        <f>Q133-R133</f>
        <v>8.8750000000000027E-4</v>
      </c>
      <c r="T133" s="61">
        <f>K133*(Q133*O133-P133*S133)</f>
        <v>3.6428750000000003E-2</v>
      </c>
      <c r="U133" s="10" t="s">
        <v>16</v>
      </c>
      <c r="V133" s="6" t="s">
        <v>138</v>
      </c>
      <c r="W133" s="54">
        <v>0.05</v>
      </c>
      <c r="X133" s="55">
        <v>1</v>
      </c>
      <c r="Y133" s="54">
        <f t="shared" ref="Y133" si="20">W133/X133</f>
        <v>0.05</v>
      </c>
      <c r="Z133" s="229">
        <v>1.2</v>
      </c>
      <c r="AA133" s="225">
        <f>(T139+Y139)*Z133</f>
        <v>0.1037145</v>
      </c>
      <c r="AB133" s="231">
        <f>AA133/1.13</f>
        <v>9.1782743362831862E-2</v>
      </c>
      <c r="AC133" s="234">
        <f>600/1.13</f>
        <v>530.97345132743362</v>
      </c>
      <c r="AD133" s="234">
        <v>100000</v>
      </c>
      <c r="AE133" s="237">
        <f>AB133+AC133/AD133/2</f>
        <v>9.4437610619469037E-2</v>
      </c>
    </row>
    <row r="134" spans="1:31" x14ac:dyDescent="0.25">
      <c r="A134" s="212"/>
      <c r="B134" s="212"/>
      <c r="C134" s="214"/>
      <c r="D134" s="217"/>
      <c r="E134" s="214"/>
      <c r="F134" s="214"/>
      <c r="G134" s="214"/>
      <c r="H134" s="74"/>
      <c r="I134" s="74"/>
      <c r="J134" s="74"/>
      <c r="K134" s="76"/>
      <c r="L134" s="65"/>
      <c r="M134" s="65"/>
      <c r="N134" s="58"/>
      <c r="O134" s="80"/>
      <c r="P134" s="75"/>
      <c r="Q134" s="75"/>
      <c r="R134" s="59"/>
      <c r="S134" s="60"/>
      <c r="T134" s="80"/>
      <c r="U134" s="10"/>
      <c r="V134" s="6"/>
      <c r="W134" s="54"/>
      <c r="X134" s="55"/>
      <c r="Y134" s="54"/>
      <c r="Z134" s="229"/>
      <c r="AA134" s="226"/>
      <c r="AB134" s="232"/>
      <c r="AC134" s="235"/>
      <c r="AD134" s="235"/>
      <c r="AE134" s="238"/>
    </row>
    <row r="135" spans="1:31" x14ac:dyDescent="0.25">
      <c r="A135" s="212"/>
      <c r="B135" s="212"/>
      <c r="C135" s="214"/>
      <c r="D135" s="217"/>
      <c r="E135" s="214"/>
      <c r="F135" s="214"/>
      <c r="G135" s="214"/>
      <c r="H135" s="74"/>
      <c r="I135" s="77"/>
      <c r="J135" s="74"/>
      <c r="K135" s="76"/>
      <c r="L135" s="65"/>
      <c r="M135" s="65"/>
      <c r="N135" s="58"/>
      <c r="O135" s="75"/>
      <c r="P135" s="75"/>
      <c r="Q135" s="75"/>
      <c r="R135" s="59"/>
      <c r="S135" s="60"/>
      <c r="T135" s="61"/>
      <c r="U135" s="10"/>
      <c r="V135" s="6"/>
      <c r="W135" s="54"/>
      <c r="X135" s="55"/>
      <c r="Y135" s="54"/>
      <c r="Z135" s="229"/>
      <c r="AA135" s="226"/>
      <c r="AB135" s="232"/>
      <c r="AC135" s="235"/>
      <c r="AD135" s="235"/>
      <c r="AE135" s="238"/>
    </row>
    <row r="136" spans="1:31" x14ac:dyDescent="0.25">
      <c r="A136" s="212"/>
      <c r="B136" s="212"/>
      <c r="C136" s="214"/>
      <c r="D136" s="217"/>
      <c r="E136" s="214"/>
      <c r="F136" s="214"/>
      <c r="G136" s="214"/>
      <c r="H136" s="74"/>
      <c r="I136" s="74"/>
      <c r="J136" s="74"/>
      <c r="K136" s="76"/>
      <c r="L136" s="65"/>
      <c r="M136" s="65"/>
      <c r="N136" s="58"/>
      <c r="O136" s="75"/>
      <c r="P136" s="75"/>
      <c r="Q136" s="75"/>
      <c r="R136" s="59"/>
      <c r="S136" s="60"/>
      <c r="T136" s="61"/>
      <c r="U136" s="81"/>
      <c r="V136" s="6"/>
      <c r="W136" s="54"/>
      <c r="X136" s="55"/>
      <c r="Y136" s="54"/>
      <c r="Z136" s="229"/>
      <c r="AA136" s="226"/>
      <c r="AB136" s="232"/>
      <c r="AC136" s="235"/>
      <c r="AD136" s="235"/>
      <c r="AE136" s="238"/>
    </row>
    <row r="137" spans="1:31" x14ac:dyDescent="0.25">
      <c r="A137" s="212"/>
      <c r="B137" s="212"/>
      <c r="C137" s="214"/>
      <c r="D137" s="217"/>
      <c r="E137" s="214"/>
      <c r="F137" s="214"/>
      <c r="G137" s="214"/>
      <c r="H137" s="74"/>
      <c r="I137" s="74"/>
      <c r="J137" s="74"/>
      <c r="K137" s="76"/>
      <c r="L137" s="65"/>
      <c r="M137" s="65"/>
      <c r="N137" s="58"/>
      <c r="O137" s="75"/>
      <c r="P137" s="75"/>
      <c r="Q137" s="75"/>
      <c r="R137" s="59"/>
      <c r="S137" s="60"/>
      <c r="T137" s="61"/>
      <c r="U137" s="10"/>
      <c r="V137" s="79"/>
      <c r="W137" s="54"/>
      <c r="X137" s="55"/>
      <c r="Y137" s="54"/>
      <c r="Z137" s="229"/>
      <c r="AA137" s="226"/>
      <c r="AB137" s="232"/>
      <c r="AC137" s="235"/>
      <c r="AD137" s="235"/>
      <c r="AE137" s="238"/>
    </row>
    <row r="138" spans="1:31" x14ac:dyDescent="0.25">
      <c r="A138" s="212"/>
      <c r="B138" s="212"/>
      <c r="C138" s="214"/>
      <c r="D138" s="217"/>
      <c r="E138" s="214"/>
      <c r="F138" s="214"/>
      <c r="G138" s="214"/>
      <c r="H138" s="74"/>
      <c r="I138" s="74"/>
      <c r="J138" s="74"/>
      <c r="K138" s="76"/>
      <c r="L138" s="65"/>
      <c r="M138" s="65"/>
      <c r="N138" s="58"/>
      <c r="O138" s="75"/>
      <c r="P138" s="75"/>
      <c r="Q138" s="75"/>
      <c r="R138" s="59"/>
      <c r="S138" s="60"/>
      <c r="T138" s="61"/>
      <c r="U138" s="52"/>
      <c r="V138" s="56"/>
      <c r="W138" s="57"/>
      <c r="X138" s="55"/>
      <c r="Y138" s="54"/>
      <c r="Z138" s="229"/>
      <c r="AA138" s="226"/>
      <c r="AB138" s="232"/>
      <c r="AC138" s="235"/>
      <c r="AD138" s="235"/>
      <c r="AE138" s="238"/>
    </row>
    <row r="139" spans="1:31" x14ac:dyDescent="0.25">
      <c r="A139" s="203"/>
      <c r="B139" s="203"/>
      <c r="C139" s="215"/>
      <c r="D139" s="218"/>
      <c r="E139" s="215"/>
      <c r="F139" s="215"/>
      <c r="G139" s="215"/>
      <c r="H139" s="245" t="s">
        <v>133</v>
      </c>
      <c r="I139" s="245"/>
      <c r="J139" s="245"/>
      <c r="K139" s="245"/>
      <c r="L139" s="245"/>
      <c r="M139" s="245"/>
      <c r="N139" s="245"/>
      <c r="O139" s="245"/>
      <c r="P139" s="245"/>
      <c r="Q139" s="245"/>
      <c r="R139" s="245"/>
      <c r="S139" s="245"/>
      <c r="T139" s="63">
        <f>SUM(T133:T138)</f>
        <v>3.6428750000000003E-2</v>
      </c>
      <c r="U139" s="228" t="s">
        <v>134</v>
      </c>
      <c r="V139" s="228"/>
      <c r="W139" s="228"/>
      <c r="X139" s="228"/>
      <c r="Y139" s="64">
        <f>SUM(Y133:Y138)</f>
        <v>0.05</v>
      </c>
      <c r="Z139" s="229"/>
      <c r="AA139" s="230"/>
      <c r="AB139" s="233"/>
      <c r="AC139" s="235"/>
      <c r="AD139" s="236"/>
      <c r="AE139" s="239"/>
    </row>
    <row r="140" spans="1:31" ht="27" customHeight="1" x14ac:dyDescent="0.25">
      <c r="A140" s="202"/>
      <c r="B140" s="202"/>
      <c r="C140" s="213">
        <v>44456</v>
      </c>
      <c r="D140" s="216"/>
      <c r="E140" s="219" t="s">
        <v>57</v>
      </c>
      <c r="F140" s="219" t="s">
        <v>58</v>
      </c>
      <c r="G140" s="219"/>
      <c r="H140" s="74" t="s">
        <v>58</v>
      </c>
      <c r="I140" s="74" t="s">
        <v>57</v>
      </c>
      <c r="J140" s="74" t="s">
        <v>157</v>
      </c>
      <c r="K140" s="76">
        <v>1</v>
      </c>
      <c r="L140" s="78"/>
      <c r="M140" s="78"/>
      <c r="N140" s="78">
        <v>3</v>
      </c>
      <c r="O140" s="75">
        <v>6.7</v>
      </c>
      <c r="P140" s="75">
        <v>3.4</v>
      </c>
      <c r="Q140" s="75">
        <f>R140/0.7</f>
        <v>0.11857142857142859</v>
      </c>
      <c r="R140" s="59">
        <v>8.3000000000000004E-2</v>
      </c>
      <c r="S140" s="60">
        <f>Q140-R140</f>
        <v>3.5571428571428587E-2</v>
      </c>
      <c r="T140" s="61">
        <f>K140*(Q140*O140-P140*S140)</f>
        <v>0.67348571428571435</v>
      </c>
      <c r="U140" s="10" t="s">
        <v>16</v>
      </c>
      <c r="V140" s="6" t="s">
        <v>138</v>
      </c>
      <c r="W140" s="54">
        <v>0.05</v>
      </c>
      <c r="X140" s="55">
        <v>1</v>
      </c>
      <c r="Y140" s="54">
        <f t="shared" ref="Y140:Y142" si="21">W140/X140</f>
        <v>0.05</v>
      </c>
      <c r="Z140" s="229">
        <v>1.2</v>
      </c>
      <c r="AA140" s="225">
        <f>(T146+Y146)*Z140</f>
        <v>0.98818285714285725</v>
      </c>
      <c r="AB140" s="231">
        <f>AA140/1.13</f>
        <v>0.87449810366624547</v>
      </c>
      <c r="AC140" s="234">
        <f>3500/1.13</f>
        <v>3097.3451327433631</v>
      </c>
      <c r="AD140" s="234">
        <v>100000</v>
      </c>
      <c r="AE140" s="237">
        <f>AB140+AC140/AD140/2</f>
        <v>0.88998482932996226</v>
      </c>
    </row>
    <row r="141" spans="1:31" x14ac:dyDescent="0.25">
      <c r="A141" s="212"/>
      <c r="B141" s="212"/>
      <c r="C141" s="214"/>
      <c r="D141" s="217"/>
      <c r="E141" s="214"/>
      <c r="F141" s="214"/>
      <c r="G141" s="214"/>
      <c r="H141" s="74"/>
      <c r="I141" s="74"/>
      <c r="J141" s="74"/>
      <c r="K141" s="76"/>
      <c r="L141" s="65"/>
      <c r="M141" s="65"/>
      <c r="N141" s="58"/>
      <c r="O141" s="80"/>
      <c r="P141" s="75"/>
      <c r="Q141" s="75"/>
      <c r="R141" s="59"/>
      <c r="S141" s="60"/>
      <c r="T141" s="80"/>
      <c r="U141" s="10" t="s">
        <v>24</v>
      </c>
      <c r="V141" s="6" t="s">
        <v>138</v>
      </c>
      <c r="W141" s="54">
        <v>0.05</v>
      </c>
      <c r="X141" s="55">
        <v>1</v>
      </c>
      <c r="Y141" s="54">
        <f t="shared" si="21"/>
        <v>0.05</v>
      </c>
      <c r="Z141" s="229"/>
      <c r="AA141" s="226"/>
      <c r="AB141" s="232"/>
      <c r="AC141" s="235"/>
      <c r="AD141" s="235"/>
      <c r="AE141" s="238"/>
    </row>
    <row r="142" spans="1:31" x14ac:dyDescent="0.25">
      <c r="A142" s="212"/>
      <c r="B142" s="212"/>
      <c r="C142" s="214"/>
      <c r="D142" s="217"/>
      <c r="E142" s="214"/>
      <c r="F142" s="214"/>
      <c r="G142" s="214"/>
      <c r="H142" s="74"/>
      <c r="I142" s="77"/>
      <c r="J142" s="74"/>
      <c r="K142" s="76"/>
      <c r="L142" s="65"/>
      <c r="M142" s="65"/>
      <c r="N142" s="58"/>
      <c r="O142" s="75"/>
      <c r="P142" s="75"/>
      <c r="Q142" s="75"/>
      <c r="R142" s="59"/>
      <c r="S142" s="60"/>
      <c r="T142" s="61"/>
      <c r="U142" s="10" t="s">
        <v>19</v>
      </c>
      <c r="V142" s="6" t="s">
        <v>138</v>
      </c>
      <c r="W142" s="54">
        <v>0.05</v>
      </c>
      <c r="X142" s="55">
        <v>1</v>
      </c>
      <c r="Y142" s="54">
        <f t="shared" si="21"/>
        <v>0.05</v>
      </c>
      <c r="Z142" s="229"/>
      <c r="AA142" s="226"/>
      <c r="AB142" s="232"/>
      <c r="AC142" s="235"/>
      <c r="AD142" s="235"/>
      <c r="AE142" s="238"/>
    </row>
    <row r="143" spans="1:31" x14ac:dyDescent="0.25">
      <c r="A143" s="212"/>
      <c r="B143" s="212"/>
      <c r="C143" s="214"/>
      <c r="D143" s="217"/>
      <c r="E143" s="214"/>
      <c r="F143" s="214"/>
      <c r="G143" s="214"/>
      <c r="H143" s="74"/>
      <c r="I143" s="74"/>
      <c r="J143" s="74"/>
      <c r="K143" s="76"/>
      <c r="L143" s="65"/>
      <c r="M143" s="65"/>
      <c r="N143" s="58"/>
      <c r="O143" s="75"/>
      <c r="P143" s="75"/>
      <c r="Q143" s="75"/>
      <c r="R143" s="59"/>
      <c r="S143" s="60"/>
      <c r="T143" s="61"/>
      <c r="U143" s="81"/>
      <c r="V143" s="6"/>
      <c r="W143" s="54"/>
      <c r="X143" s="55"/>
      <c r="Y143" s="54"/>
      <c r="Z143" s="229"/>
      <c r="AA143" s="226"/>
      <c r="AB143" s="232"/>
      <c r="AC143" s="235"/>
      <c r="AD143" s="235"/>
      <c r="AE143" s="238"/>
    </row>
    <row r="144" spans="1:31" x14ac:dyDescent="0.25">
      <c r="A144" s="212"/>
      <c r="B144" s="212"/>
      <c r="C144" s="214"/>
      <c r="D144" s="217"/>
      <c r="E144" s="214"/>
      <c r="F144" s="214"/>
      <c r="G144" s="214"/>
      <c r="H144" s="74"/>
      <c r="I144" s="74"/>
      <c r="J144" s="74"/>
      <c r="K144" s="76"/>
      <c r="L144" s="65"/>
      <c r="M144" s="65"/>
      <c r="N144" s="58"/>
      <c r="O144" s="75"/>
      <c r="P144" s="75"/>
      <c r="Q144" s="75"/>
      <c r="R144" s="59"/>
      <c r="S144" s="60"/>
      <c r="T144" s="61"/>
      <c r="U144" s="10"/>
      <c r="V144" s="79"/>
      <c r="W144" s="54"/>
      <c r="X144" s="55"/>
      <c r="Y144" s="54"/>
      <c r="Z144" s="229"/>
      <c r="AA144" s="226"/>
      <c r="AB144" s="232"/>
      <c r="AC144" s="235"/>
      <c r="AD144" s="235"/>
      <c r="AE144" s="238"/>
    </row>
    <row r="145" spans="1:31" x14ac:dyDescent="0.25">
      <c r="A145" s="212"/>
      <c r="B145" s="212"/>
      <c r="C145" s="214"/>
      <c r="D145" s="217"/>
      <c r="E145" s="214"/>
      <c r="F145" s="214"/>
      <c r="G145" s="214"/>
      <c r="H145" s="74"/>
      <c r="I145" s="74"/>
      <c r="J145" s="74"/>
      <c r="K145" s="76"/>
      <c r="L145" s="65"/>
      <c r="M145" s="65"/>
      <c r="N145" s="58"/>
      <c r="O145" s="75"/>
      <c r="P145" s="75"/>
      <c r="Q145" s="75"/>
      <c r="R145" s="59"/>
      <c r="S145" s="60"/>
      <c r="T145" s="61"/>
      <c r="U145" s="52"/>
      <c r="V145" s="56"/>
      <c r="W145" s="57"/>
      <c r="X145" s="55"/>
      <c r="Y145" s="54"/>
      <c r="Z145" s="229"/>
      <c r="AA145" s="226"/>
      <c r="AB145" s="232"/>
      <c r="AC145" s="235"/>
      <c r="AD145" s="235"/>
      <c r="AE145" s="238"/>
    </row>
    <row r="146" spans="1:31" x14ac:dyDescent="0.25">
      <c r="A146" s="203"/>
      <c r="B146" s="203"/>
      <c r="C146" s="215"/>
      <c r="D146" s="218"/>
      <c r="E146" s="215"/>
      <c r="F146" s="215"/>
      <c r="G146" s="215"/>
      <c r="H146" s="245" t="s">
        <v>133</v>
      </c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  <c r="S146" s="245"/>
      <c r="T146" s="63">
        <f>SUM(T140:T145)</f>
        <v>0.67348571428571435</v>
      </c>
      <c r="U146" s="228" t="s">
        <v>134</v>
      </c>
      <c r="V146" s="228"/>
      <c r="W146" s="228"/>
      <c r="X146" s="228"/>
      <c r="Y146" s="64">
        <f>SUM(Y140:Y145)</f>
        <v>0.15000000000000002</v>
      </c>
      <c r="Z146" s="229"/>
      <c r="AA146" s="230"/>
      <c r="AB146" s="233"/>
      <c r="AC146" s="235"/>
      <c r="AD146" s="236"/>
      <c r="AE146" s="239"/>
    </row>
    <row r="147" spans="1:31" ht="27" customHeight="1" x14ac:dyDescent="0.25">
      <c r="A147" s="202"/>
      <c r="B147" s="202"/>
      <c r="C147" s="213">
        <v>44456</v>
      </c>
      <c r="D147" s="216"/>
      <c r="E147" s="219" t="s">
        <v>59</v>
      </c>
      <c r="F147" s="219" t="s">
        <v>60</v>
      </c>
      <c r="G147" s="219"/>
      <c r="H147" s="74" t="s">
        <v>60</v>
      </c>
      <c r="I147" s="74" t="s">
        <v>59</v>
      </c>
      <c r="J147" s="74" t="s">
        <v>157</v>
      </c>
      <c r="K147" s="76">
        <v>1</v>
      </c>
      <c r="L147" s="78"/>
      <c r="M147" s="78"/>
      <c r="N147" s="78">
        <v>3</v>
      </c>
      <c r="O147" s="75">
        <v>6.7</v>
      </c>
      <c r="P147" s="75">
        <v>3.4</v>
      </c>
      <c r="Q147" s="75">
        <f>R147/0.7</f>
        <v>6.5714285714285711E-2</v>
      </c>
      <c r="R147" s="59">
        <v>4.5999999999999999E-2</v>
      </c>
      <c r="S147" s="60">
        <f>Q147-R147</f>
        <v>1.9714285714285712E-2</v>
      </c>
      <c r="T147" s="61">
        <f>K147*(Q147*O147-P147*S147)</f>
        <v>0.37325714285714284</v>
      </c>
      <c r="U147" s="10" t="s">
        <v>28</v>
      </c>
      <c r="V147" s="6" t="s">
        <v>138</v>
      </c>
      <c r="W147" s="54">
        <v>0.05</v>
      </c>
      <c r="X147" s="55">
        <v>1</v>
      </c>
      <c r="Y147" s="54">
        <f t="shared" ref="Y147:Y148" si="22">W147/X147</f>
        <v>0.05</v>
      </c>
      <c r="Z147" s="229">
        <v>1.2</v>
      </c>
      <c r="AA147" s="225">
        <f>(T153+Y153)*Z147</f>
        <v>0.56790857142857132</v>
      </c>
      <c r="AB147" s="231">
        <f>AA147/1.13</f>
        <v>0.50257395701643481</v>
      </c>
      <c r="AC147" s="234">
        <f>3500/1.13</f>
        <v>3097.3451327433631</v>
      </c>
      <c r="AD147" s="234">
        <v>100000</v>
      </c>
      <c r="AE147" s="237">
        <f>AB147+AC147/AD147/2</f>
        <v>0.5180606826801516</v>
      </c>
    </row>
    <row r="148" spans="1:31" x14ac:dyDescent="0.25">
      <c r="A148" s="212"/>
      <c r="B148" s="212"/>
      <c r="C148" s="214"/>
      <c r="D148" s="217"/>
      <c r="E148" s="214"/>
      <c r="F148" s="214"/>
      <c r="G148" s="214"/>
      <c r="H148" s="74"/>
      <c r="I148" s="74"/>
      <c r="J148" s="74"/>
      <c r="K148" s="76"/>
      <c r="L148" s="65"/>
      <c r="M148" s="65"/>
      <c r="N148" s="58"/>
      <c r="O148" s="80"/>
      <c r="P148" s="75"/>
      <c r="Q148" s="75"/>
      <c r="R148" s="59"/>
      <c r="S148" s="60"/>
      <c r="T148" s="80"/>
      <c r="U148" s="10" t="s">
        <v>24</v>
      </c>
      <c r="V148" s="6" t="s">
        <v>138</v>
      </c>
      <c r="W148" s="54">
        <v>0.05</v>
      </c>
      <c r="X148" s="55">
        <v>1</v>
      </c>
      <c r="Y148" s="54">
        <f t="shared" si="22"/>
        <v>0.05</v>
      </c>
      <c r="Z148" s="229"/>
      <c r="AA148" s="226"/>
      <c r="AB148" s="232"/>
      <c r="AC148" s="235"/>
      <c r="AD148" s="235"/>
      <c r="AE148" s="238"/>
    </row>
    <row r="149" spans="1:31" x14ac:dyDescent="0.25">
      <c r="A149" s="212"/>
      <c r="B149" s="212"/>
      <c r="C149" s="214"/>
      <c r="D149" s="217"/>
      <c r="E149" s="214"/>
      <c r="F149" s="214"/>
      <c r="G149" s="214"/>
      <c r="H149" s="74"/>
      <c r="I149" s="77"/>
      <c r="J149" s="74"/>
      <c r="K149" s="76"/>
      <c r="L149" s="65"/>
      <c r="M149" s="65"/>
      <c r="N149" s="58"/>
      <c r="O149" s="75"/>
      <c r="P149" s="75"/>
      <c r="Q149" s="75"/>
      <c r="R149" s="59"/>
      <c r="S149" s="60"/>
      <c r="T149" s="61"/>
      <c r="U149" s="10"/>
      <c r="V149" s="6"/>
      <c r="W149" s="54"/>
      <c r="X149" s="55"/>
      <c r="Y149" s="54"/>
      <c r="Z149" s="229"/>
      <c r="AA149" s="226"/>
      <c r="AB149" s="232"/>
      <c r="AC149" s="235"/>
      <c r="AD149" s="235"/>
      <c r="AE149" s="238"/>
    </row>
    <row r="150" spans="1:31" x14ac:dyDescent="0.25">
      <c r="A150" s="212"/>
      <c r="B150" s="212"/>
      <c r="C150" s="214"/>
      <c r="D150" s="217"/>
      <c r="E150" s="214"/>
      <c r="F150" s="214"/>
      <c r="G150" s="214"/>
      <c r="H150" s="74"/>
      <c r="I150" s="74"/>
      <c r="J150" s="74"/>
      <c r="K150" s="76"/>
      <c r="L150" s="65"/>
      <c r="M150" s="65"/>
      <c r="N150" s="58"/>
      <c r="O150" s="75"/>
      <c r="P150" s="75"/>
      <c r="Q150" s="75"/>
      <c r="R150" s="59"/>
      <c r="S150" s="60"/>
      <c r="T150" s="61"/>
      <c r="U150" s="81"/>
      <c r="V150" s="6"/>
      <c r="W150" s="54"/>
      <c r="X150" s="55"/>
      <c r="Y150" s="54"/>
      <c r="Z150" s="229"/>
      <c r="AA150" s="226"/>
      <c r="AB150" s="232"/>
      <c r="AC150" s="235"/>
      <c r="AD150" s="235"/>
      <c r="AE150" s="238"/>
    </row>
    <row r="151" spans="1:31" x14ac:dyDescent="0.25">
      <c r="A151" s="212"/>
      <c r="B151" s="212"/>
      <c r="C151" s="214"/>
      <c r="D151" s="217"/>
      <c r="E151" s="214"/>
      <c r="F151" s="214"/>
      <c r="G151" s="214"/>
      <c r="H151" s="74"/>
      <c r="I151" s="74"/>
      <c r="J151" s="74"/>
      <c r="K151" s="76"/>
      <c r="L151" s="65"/>
      <c r="M151" s="65"/>
      <c r="N151" s="58"/>
      <c r="O151" s="75"/>
      <c r="P151" s="75"/>
      <c r="Q151" s="75"/>
      <c r="R151" s="59"/>
      <c r="S151" s="60"/>
      <c r="T151" s="61"/>
      <c r="U151" s="10"/>
      <c r="V151" s="79"/>
      <c r="W151" s="54"/>
      <c r="X151" s="55"/>
      <c r="Y151" s="54"/>
      <c r="Z151" s="229"/>
      <c r="AA151" s="226"/>
      <c r="AB151" s="232"/>
      <c r="AC151" s="235"/>
      <c r="AD151" s="235"/>
      <c r="AE151" s="238"/>
    </row>
    <row r="152" spans="1:31" x14ac:dyDescent="0.25">
      <c r="A152" s="212"/>
      <c r="B152" s="212"/>
      <c r="C152" s="214"/>
      <c r="D152" s="217"/>
      <c r="E152" s="214"/>
      <c r="F152" s="214"/>
      <c r="G152" s="214"/>
      <c r="H152" s="74"/>
      <c r="I152" s="74"/>
      <c r="J152" s="74"/>
      <c r="K152" s="76"/>
      <c r="L152" s="65"/>
      <c r="M152" s="65"/>
      <c r="N152" s="58"/>
      <c r="O152" s="75"/>
      <c r="P152" s="75"/>
      <c r="Q152" s="75"/>
      <c r="R152" s="59"/>
      <c r="S152" s="60"/>
      <c r="T152" s="61"/>
      <c r="U152" s="52"/>
      <c r="V152" s="56"/>
      <c r="W152" s="57"/>
      <c r="X152" s="55"/>
      <c r="Y152" s="54"/>
      <c r="Z152" s="229"/>
      <c r="AA152" s="226"/>
      <c r="AB152" s="232"/>
      <c r="AC152" s="235"/>
      <c r="AD152" s="235"/>
      <c r="AE152" s="238"/>
    </row>
    <row r="153" spans="1:31" x14ac:dyDescent="0.25">
      <c r="A153" s="203"/>
      <c r="B153" s="203"/>
      <c r="C153" s="215"/>
      <c r="D153" s="218"/>
      <c r="E153" s="215"/>
      <c r="F153" s="215"/>
      <c r="G153" s="215"/>
      <c r="H153" s="245" t="s">
        <v>133</v>
      </c>
      <c r="I153" s="245"/>
      <c r="J153" s="245"/>
      <c r="K153" s="245"/>
      <c r="L153" s="245"/>
      <c r="M153" s="245"/>
      <c r="N153" s="245"/>
      <c r="O153" s="245"/>
      <c r="P153" s="245"/>
      <c r="Q153" s="245"/>
      <c r="R153" s="245"/>
      <c r="S153" s="245"/>
      <c r="T153" s="63">
        <f>SUM(T147:T152)</f>
        <v>0.37325714285714284</v>
      </c>
      <c r="U153" s="228" t="s">
        <v>134</v>
      </c>
      <c r="V153" s="228"/>
      <c r="W153" s="228"/>
      <c r="X153" s="228"/>
      <c r="Y153" s="64">
        <f>SUM(Y147:Y152)</f>
        <v>0.1</v>
      </c>
      <c r="Z153" s="229"/>
      <c r="AA153" s="230"/>
      <c r="AB153" s="233"/>
      <c r="AC153" s="235"/>
      <c r="AD153" s="236"/>
      <c r="AE153" s="239"/>
    </row>
    <row r="154" spans="1:31" ht="27" customHeight="1" x14ac:dyDescent="0.25">
      <c r="A154" s="202"/>
      <c r="B154" s="202"/>
      <c r="C154" s="213">
        <v>44456</v>
      </c>
      <c r="D154" s="216"/>
      <c r="E154" s="219" t="s">
        <v>88</v>
      </c>
      <c r="F154" s="219" t="s">
        <v>89</v>
      </c>
      <c r="G154" s="219"/>
      <c r="H154" s="74" t="s">
        <v>89</v>
      </c>
      <c r="I154" s="74" t="s">
        <v>88</v>
      </c>
      <c r="J154" s="74" t="s">
        <v>144</v>
      </c>
      <c r="K154" s="76">
        <v>1</v>
      </c>
      <c r="L154" s="78">
        <v>86</v>
      </c>
      <c r="M154" s="78">
        <v>77</v>
      </c>
      <c r="N154" s="78">
        <v>3</v>
      </c>
      <c r="O154" s="75">
        <v>6.3</v>
      </c>
      <c r="P154" s="75">
        <v>3.4</v>
      </c>
      <c r="Q154" s="75">
        <f>L154*M154*N154*7.85/1000000</f>
        <v>0.15594810000000001</v>
      </c>
      <c r="R154" s="59">
        <v>9.8000000000000004E-2</v>
      </c>
      <c r="S154" s="60">
        <f>Q154-R154</f>
        <v>5.7948100000000002E-2</v>
      </c>
      <c r="T154" s="61">
        <f>K154*(Q154*O154-P154*S154)</f>
        <v>0.78544948999999997</v>
      </c>
      <c r="U154" s="10" t="s">
        <v>16</v>
      </c>
      <c r="V154" s="6" t="s">
        <v>138</v>
      </c>
      <c r="W154" s="54">
        <v>0.05</v>
      </c>
      <c r="X154" s="55">
        <v>1</v>
      </c>
      <c r="Y154" s="54">
        <f t="shared" ref="Y154:Y155" si="23">W154/X154</f>
        <v>0.05</v>
      </c>
      <c r="Z154" s="229">
        <v>1.2</v>
      </c>
      <c r="AA154" s="225">
        <f>(T160+Y160)*Z154</f>
        <v>1.0625393879999998</v>
      </c>
      <c r="AB154" s="231">
        <f>AA154/1.13</f>
        <v>0.94030034336283175</v>
      </c>
      <c r="AC154" s="234">
        <f>24000/1.13</f>
        <v>21238.938053097347</v>
      </c>
      <c r="AD154" s="234">
        <v>100000</v>
      </c>
      <c r="AE154" s="237">
        <f>AB154+AC154/AD154/2</f>
        <v>1.0464950336283185</v>
      </c>
    </row>
    <row r="155" spans="1:31" x14ac:dyDescent="0.25">
      <c r="A155" s="212"/>
      <c r="B155" s="212"/>
      <c r="C155" s="214"/>
      <c r="D155" s="217"/>
      <c r="E155" s="214"/>
      <c r="F155" s="214"/>
      <c r="G155" s="214"/>
      <c r="H155" s="74"/>
      <c r="I155" s="74"/>
      <c r="J155" s="74"/>
      <c r="K155" s="76"/>
      <c r="L155" s="65"/>
      <c r="M155" s="65"/>
      <c r="N155" s="58"/>
      <c r="O155" s="80"/>
      <c r="P155" s="75"/>
      <c r="Q155" s="75"/>
      <c r="R155" s="59"/>
      <c r="S155" s="60"/>
      <c r="T155" s="80"/>
      <c r="U155" s="10" t="s">
        <v>24</v>
      </c>
      <c r="V155" s="6" t="s">
        <v>138</v>
      </c>
      <c r="W155" s="54">
        <v>0.05</v>
      </c>
      <c r="X155" s="55">
        <v>1</v>
      </c>
      <c r="Y155" s="54">
        <f t="shared" si="23"/>
        <v>0.05</v>
      </c>
      <c r="Z155" s="229"/>
      <c r="AA155" s="226"/>
      <c r="AB155" s="232"/>
      <c r="AC155" s="235"/>
      <c r="AD155" s="235"/>
      <c r="AE155" s="238"/>
    </row>
    <row r="156" spans="1:31" x14ac:dyDescent="0.25">
      <c r="A156" s="212"/>
      <c r="B156" s="212"/>
      <c r="C156" s="214"/>
      <c r="D156" s="217"/>
      <c r="E156" s="214"/>
      <c r="F156" s="214"/>
      <c r="G156" s="214"/>
      <c r="H156" s="74"/>
      <c r="I156" s="77"/>
      <c r="J156" s="74"/>
      <c r="K156" s="76"/>
      <c r="L156" s="65"/>
      <c r="M156" s="65"/>
      <c r="N156" s="58"/>
      <c r="O156" s="75"/>
      <c r="P156" s="75"/>
      <c r="Q156" s="75"/>
      <c r="R156" s="59"/>
      <c r="S156" s="60"/>
      <c r="T156" s="61"/>
      <c r="U156" s="10"/>
      <c r="V156" s="6"/>
      <c r="W156" s="54"/>
      <c r="X156" s="55"/>
      <c r="Y156" s="54"/>
      <c r="Z156" s="229"/>
      <c r="AA156" s="226"/>
      <c r="AB156" s="232"/>
      <c r="AC156" s="235"/>
      <c r="AD156" s="235"/>
      <c r="AE156" s="238"/>
    </row>
    <row r="157" spans="1:31" x14ac:dyDescent="0.25">
      <c r="A157" s="212"/>
      <c r="B157" s="212"/>
      <c r="C157" s="214"/>
      <c r="D157" s="217"/>
      <c r="E157" s="214"/>
      <c r="F157" s="214"/>
      <c r="G157" s="214"/>
      <c r="H157" s="74"/>
      <c r="I157" s="74"/>
      <c r="J157" s="74"/>
      <c r="K157" s="76"/>
      <c r="L157" s="65"/>
      <c r="M157" s="65"/>
      <c r="N157" s="58"/>
      <c r="O157" s="75"/>
      <c r="P157" s="75"/>
      <c r="Q157" s="75"/>
      <c r="R157" s="59"/>
      <c r="S157" s="60"/>
      <c r="T157" s="61"/>
      <c r="U157" s="81"/>
      <c r="V157" s="6"/>
      <c r="W157" s="54"/>
      <c r="X157" s="55"/>
      <c r="Y157" s="54"/>
      <c r="Z157" s="229"/>
      <c r="AA157" s="226"/>
      <c r="AB157" s="232"/>
      <c r="AC157" s="235"/>
      <c r="AD157" s="235"/>
      <c r="AE157" s="238"/>
    </row>
    <row r="158" spans="1:31" x14ac:dyDescent="0.25">
      <c r="A158" s="212"/>
      <c r="B158" s="212"/>
      <c r="C158" s="214"/>
      <c r="D158" s="217"/>
      <c r="E158" s="214"/>
      <c r="F158" s="214"/>
      <c r="G158" s="214"/>
      <c r="H158" s="74"/>
      <c r="I158" s="74"/>
      <c r="J158" s="74"/>
      <c r="K158" s="76"/>
      <c r="L158" s="65"/>
      <c r="M158" s="65"/>
      <c r="N158" s="58"/>
      <c r="O158" s="75"/>
      <c r="P158" s="75"/>
      <c r="Q158" s="75"/>
      <c r="R158" s="59"/>
      <c r="S158" s="60"/>
      <c r="T158" s="61"/>
      <c r="U158" s="10"/>
      <c r="V158" s="79"/>
      <c r="W158" s="54"/>
      <c r="X158" s="55"/>
      <c r="Y158" s="54"/>
      <c r="Z158" s="229"/>
      <c r="AA158" s="226"/>
      <c r="AB158" s="232"/>
      <c r="AC158" s="235"/>
      <c r="AD158" s="235"/>
      <c r="AE158" s="238"/>
    </row>
    <row r="159" spans="1:31" x14ac:dyDescent="0.25">
      <c r="A159" s="212"/>
      <c r="B159" s="212"/>
      <c r="C159" s="214"/>
      <c r="D159" s="217"/>
      <c r="E159" s="214"/>
      <c r="F159" s="214"/>
      <c r="G159" s="214"/>
      <c r="H159" s="74"/>
      <c r="I159" s="74"/>
      <c r="J159" s="74"/>
      <c r="K159" s="76"/>
      <c r="L159" s="65"/>
      <c r="M159" s="65"/>
      <c r="N159" s="58"/>
      <c r="O159" s="75"/>
      <c r="P159" s="75"/>
      <c r="Q159" s="75"/>
      <c r="R159" s="59"/>
      <c r="S159" s="60"/>
      <c r="T159" s="61"/>
      <c r="U159" s="52"/>
      <c r="V159" s="56"/>
      <c r="W159" s="57"/>
      <c r="X159" s="55"/>
      <c r="Y159" s="54"/>
      <c r="Z159" s="229"/>
      <c r="AA159" s="226"/>
      <c r="AB159" s="232"/>
      <c r="AC159" s="235"/>
      <c r="AD159" s="235"/>
      <c r="AE159" s="238"/>
    </row>
    <row r="160" spans="1:31" x14ac:dyDescent="0.25">
      <c r="A160" s="203"/>
      <c r="B160" s="203"/>
      <c r="C160" s="215"/>
      <c r="D160" s="218"/>
      <c r="E160" s="215"/>
      <c r="F160" s="215"/>
      <c r="G160" s="215"/>
      <c r="H160" s="245" t="s">
        <v>133</v>
      </c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63">
        <f>SUM(T154:T159)</f>
        <v>0.78544948999999997</v>
      </c>
      <c r="U160" s="228" t="s">
        <v>134</v>
      </c>
      <c r="V160" s="228"/>
      <c r="W160" s="228"/>
      <c r="X160" s="228"/>
      <c r="Y160" s="64">
        <f>SUM(Y154:Y159)</f>
        <v>0.1</v>
      </c>
      <c r="Z160" s="229"/>
      <c r="AA160" s="230"/>
      <c r="AB160" s="233"/>
      <c r="AC160" s="235"/>
      <c r="AD160" s="236"/>
      <c r="AE160" s="239"/>
    </row>
    <row r="161" spans="1:31" ht="27" customHeight="1" x14ac:dyDescent="0.25">
      <c r="A161" s="202"/>
      <c r="B161" s="202"/>
      <c r="C161" s="213">
        <v>44456</v>
      </c>
      <c r="D161" s="216"/>
      <c r="E161" s="219" t="s">
        <v>96</v>
      </c>
      <c r="F161" s="219" t="s">
        <v>100</v>
      </c>
      <c r="G161" s="219"/>
      <c r="H161" s="74" t="s">
        <v>78</v>
      </c>
      <c r="I161" s="74" t="s">
        <v>77</v>
      </c>
      <c r="J161" s="74" t="s">
        <v>162</v>
      </c>
      <c r="K161" s="76">
        <v>1</v>
      </c>
      <c r="L161" s="78">
        <v>352</v>
      </c>
      <c r="M161" s="78">
        <v>47</v>
      </c>
      <c r="N161" s="82">
        <v>6</v>
      </c>
      <c r="O161" s="75">
        <v>5.85</v>
      </c>
      <c r="P161" s="75">
        <v>3.4</v>
      </c>
      <c r="Q161" s="75">
        <f>L161*M161*N161*7.85/1000000</f>
        <v>0.77922239999999987</v>
      </c>
      <c r="R161" s="59">
        <v>0.498</v>
      </c>
      <c r="S161" s="60">
        <f>Q161-R161</f>
        <v>0.28122239999999987</v>
      </c>
      <c r="T161" s="61">
        <f>K161*(Q161*O161-P161*S161)</f>
        <v>3.6022948799999992</v>
      </c>
      <c r="U161" s="10" t="s">
        <v>16</v>
      </c>
      <c r="V161" s="6" t="s">
        <v>138</v>
      </c>
      <c r="W161" s="54">
        <v>0.05</v>
      </c>
      <c r="X161" s="55">
        <v>1</v>
      </c>
      <c r="Y161" s="54">
        <f t="shared" ref="Y161:Y162" si="24">W161/X161</f>
        <v>0.05</v>
      </c>
      <c r="Z161" s="229">
        <v>1.2</v>
      </c>
      <c r="AA161" s="225">
        <f>(T167+Y167)*Z161</f>
        <v>7.3670677021538449</v>
      </c>
      <c r="AB161" s="231">
        <f>AA161/1.13</f>
        <v>6.5195289399591552</v>
      </c>
      <c r="AC161" s="234">
        <f>45000/1.13</f>
        <v>39823.008849557526</v>
      </c>
      <c r="AD161" s="234">
        <v>100000</v>
      </c>
      <c r="AE161" s="237">
        <f>AB161+AC161/AD161/2</f>
        <v>6.7186439842069428</v>
      </c>
    </row>
    <row r="162" spans="1:31" x14ac:dyDescent="0.25">
      <c r="A162" s="212"/>
      <c r="B162" s="212"/>
      <c r="C162" s="214"/>
      <c r="D162" s="217"/>
      <c r="E162" s="214"/>
      <c r="F162" s="214"/>
      <c r="G162" s="214"/>
      <c r="H162" s="84" t="s">
        <v>177</v>
      </c>
      <c r="I162" s="83" t="s">
        <v>176</v>
      </c>
      <c r="J162" s="84"/>
      <c r="K162" s="76">
        <v>1</v>
      </c>
      <c r="L162" s="65"/>
      <c r="M162" s="65"/>
      <c r="N162" s="58"/>
      <c r="O162" s="80">
        <v>0.6</v>
      </c>
      <c r="P162" s="75"/>
      <c r="Q162" s="75"/>
      <c r="R162" s="59"/>
      <c r="S162" s="60"/>
      <c r="T162" s="80">
        <f>K162*O162</f>
        <v>0.6</v>
      </c>
      <c r="U162" s="10" t="s">
        <v>24</v>
      </c>
      <c r="V162" s="6" t="s">
        <v>138</v>
      </c>
      <c r="W162" s="54">
        <v>0.05</v>
      </c>
      <c r="X162" s="55">
        <v>1</v>
      </c>
      <c r="Y162" s="54">
        <f t="shared" si="24"/>
        <v>0.05</v>
      </c>
      <c r="Z162" s="229"/>
      <c r="AA162" s="226"/>
      <c r="AB162" s="232"/>
      <c r="AC162" s="235"/>
      <c r="AD162" s="235"/>
      <c r="AE162" s="238"/>
    </row>
    <row r="163" spans="1:31" x14ac:dyDescent="0.25">
      <c r="A163" s="212"/>
      <c r="B163" s="212"/>
      <c r="C163" s="214"/>
      <c r="D163" s="217"/>
      <c r="E163" s="214"/>
      <c r="F163" s="214"/>
      <c r="G163" s="214"/>
      <c r="H163" s="85" t="s">
        <v>179</v>
      </c>
      <c r="I163" s="83" t="s">
        <v>178</v>
      </c>
      <c r="J163" s="85"/>
      <c r="K163" s="76">
        <v>1</v>
      </c>
      <c r="L163" s="65"/>
      <c r="M163" s="65"/>
      <c r="N163" s="58"/>
      <c r="O163" s="75">
        <v>1.33</v>
      </c>
      <c r="P163" s="75"/>
      <c r="Q163" s="75"/>
      <c r="R163" s="59"/>
      <c r="S163" s="60"/>
      <c r="T163" s="80">
        <f>K163*O163</f>
        <v>1.33</v>
      </c>
      <c r="U163" s="10" t="s">
        <v>19</v>
      </c>
      <c r="V163" s="6" t="s">
        <v>138</v>
      </c>
      <c r="W163" s="54">
        <v>0.05</v>
      </c>
      <c r="X163" s="55">
        <v>1</v>
      </c>
      <c r="Y163" s="54">
        <f t="shared" ref="Y163:Y164" si="25">W163/X163</f>
        <v>0.05</v>
      </c>
      <c r="Z163" s="229"/>
      <c r="AA163" s="226"/>
      <c r="AB163" s="232"/>
      <c r="AC163" s="235"/>
      <c r="AD163" s="235"/>
      <c r="AE163" s="238"/>
    </row>
    <row r="164" spans="1:31" x14ac:dyDescent="0.25">
      <c r="A164" s="212"/>
      <c r="B164" s="212"/>
      <c r="C164" s="214"/>
      <c r="D164" s="217"/>
      <c r="E164" s="214"/>
      <c r="F164" s="214"/>
      <c r="G164" s="214"/>
      <c r="H164" s="74"/>
      <c r="I164" s="74"/>
      <c r="J164" s="74"/>
      <c r="K164" s="76"/>
      <c r="L164" s="65"/>
      <c r="M164" s="65"/>
      <c r="N164" s="58"/>
      <c r="O164" s="75"/>
      <c r="P164" s="75"/>
      <c r="Q164" s="75"/>
      <c r="R164" s="59"/>
      <c r="S164" s="60"/>
      <c r="T164" s="61"/>
      <c r="U164" s="81" t="s">
        <v>180</v>
      </c>
      <c r="V164" s="6"/>
      <c r="W164" s="54">
        <f>6000/26/8/3600*10</f>
        <v>8.0128205128205121E-2</v>
      </c>
      <c r="X164" s="55">
        <v>1</v>
      </c>
      <c r="Y164" s="54">
        <f t="shared" si="25"/>
        <v>8.0128205128205121E-2</v>
      </c>
      <c r="Z164" s="229"/>
      <c r="AA164" s="226"/>
      <c r="AB164" s="232"/>
      <c r="AC164" s="235"/>
      <c r="AD164" s="235"/>
      <c r="AE164" s="238"/>
    </row>
    <row r="165" spans="1:31" x14ac:dyDescent="0.25">
      <c r="A165" s="212"/>
      <c r="B165" s="212"/>
      <c r="C165" s="214"/>
      <c r="D165" s="217"/>
      <c r="E165" s="214"/>
      <c r="F165" s="214"/>
      <c r="G165" s="214"/>
      <c r="H165" s="74"/>
      <c r="I165" s="74"/>
      <c r="J165" s="74"/>
      <c r="K165" s="76"/>
      <c r="L165" s="65"/>
      <c r="M165" s="65"/>
      <c r="N165" s="58"/>
      <c r="O165" s="75"/>
      <c r="P165" s="75"/>
      <c r="Q165" s="75"/>
      <c r="R165" s="59"/>
      <c r="S165" s="60"/>
      <c r="T165" s="61"/>
      <c r="U165" s="10" t="s">
        <v>142</v>
      </c>
      <c r="V165" s="79">
        <f>2.4*3.14</f>
        <v>7.5359999999999996</v>
      </c>
      <c r="W165" s="54">
        <v>0.05</v>
      </c>
      <c r="X165" s="55">
        <v>1</v>
      </c>
      <c r="Y165" s="54">
        <f>V165*W165/X165</f>
        <v>0.37680000000000002</v>
      </c>
      <c r="Z165" s="229"/>
      <c r="AA165" s="226"/>
      <c r="AB165" s="232"/>
      <c r="AC165" s="235"/>
      <c r="AD165" s="235"/>
      <c r="AE165" s="238"/>
    </row>
    <row r="166" spans="1:31" x14ac:dyDescent="0.25">
      <c r="A166" s="212"/>
      <c r="B166" s="212"/>
      <c r="C166" s="214"/>
      <c r="D166" s="217"/>
      <c r="E166" s="214"/>
      <c r="F166" s="214"/>
      <c r="G166" s="214"/>
      <c r="H166" s="74"/>
      <c r="I166" s="74"/>
      <c r="J166" s="74"/>
      <c r="K166" s="76"/>
      <c r="L166" s="65"/>
      <c r="M166" s="65"/>
      <c r="N166" s="58"/>
      <c r="O166" s="75"/>
      <c r="P166" s="75"/>
      <c r="Q166" s="75"/>
      <c r="R166" s="59"/>
      <c r="S166" s="60"/>
      <c r="T166" s="61"/>
      <c r="U166" s="52"/>
      <c r="V166" s="56"/>
      <c r="W166" s="57"/>
      <c r="X166" s="55"/>
      <c r="Y166" s="54"/>
      <c r="Z166" s="229"/>
      <c r="AA166" s="226"/>
      <c r="AB166" s="232"/>
      <c r="AC166" s="235"/>
      <c r="AD166" s="235"/>
      <c r="AE166" s="238"/>
    </row>
    <row r="167" spans="1:31" x14ac:dyDescent="0.25">
      <c r="A167" s="203"/>
      <c r="B167" s="203"/>
      <c r="C167" s="215"/>
      <c r="D167" s="218"/>
      <c r="E167" s="215"/>
      <c r="F167" s="215"/>
      <c r="G167" s="215"/>
      <c r="H167" s="245" t="s">
        <v>133</v>
      </c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  <c r="S167" s="245"/>
      <c r="T167" s="63">
        <f>SUM(T161:T166)</f>
        <v>5.5322948799999994</v>
      </c>
      <c r="U167" s="228" t="s">
        <v>134</v>
      </c>
      <c r="V167" s="228"/>
      <c r="W167" s="228"/>
      <c r="X167" s="228"/>
      <c r="Y167" s="64">
        <f>SUM(Y161:Y166)</f>
        <v>0.60692820512820522</v>
      </c>
      <c r="Z167" s="229"/>
      <c r="AA167" s="230"/>
      <c r="AB167" s="233"/>
      <c r="AC167" s="235"/>
      <c r="AD167" s="236"/>
      <c r="AE167" s="239"/>
    </row>
    <row r="168" spans="1:31" ht="27" customHeight="1" x14ac:dyDescent="0.25">
      <c r="A168" s="202"/>
      <c r="B168" s="202"/>
      <c r="C168" s="213">
        <v>44456</v>
      </c>
      <c r="D168" s="216"/>
      <c r="E168" s="219" t="s">
        <v>98</v>
      </c>
      <c r="F168" s="219" t="s">
        <v>99</v>
      </c>
      <c r="G168" s="219"/>
      <c r="H168" s="74" t="s">
        <v>80</v>
      </c>
      <c r="I168" s="74" t="s">
        <v>79</v>
      </c>
      <c r="J168" s="74" t="s">
        <v>162</v>
      </c>
      <c r="K168" s="76">
        <v>1</v>
      </c>
      <c r="L168" s="78">
        <v>334</v>
      </c>
      <c r="M168" s="78">
        <v>45</v>
      </c>
      <c r="N168" s="82">
        <v>6</v>
      </c>
      <c r="O168" s="75">
        <v>5.85</v>
      </c>
      <c r="P168" s="75">
        <v>3.4</v>
      </c>
      <c r="Q168" s="75">
        <f>L168*M168*N168*7.85/1000000</f>
        <v>0.70791300000000001</v>
      </c>
      <c r="R168" s="59">
        <v>0.498</v>
      </c>
      <c r="S168" s="60">
        <f>Q168-R168</f>
        <v>0.20991300000000002</v>
      </c>
      <c r="T168" s="61">
        <f>K168*(Q168*O168-P168*S168)</f>
        <v>3.4275868499999995</v>
      </c>
      <c r="U168" s="10" t="s">
        <v>16</v>
      </c>
      <c r="V168" s="6" t="s">
        <v>138</v>
      </c>
      <c r="W168" s="54">
        <v>0.05</v>
      </c>
      <c r="X168" s="55">
        <v>1</v>
      </c>
      <c r="Y168" s="54">
        <f t="shared" ref="Y168:Y170" si="26">W168/X168</f>
        <v>0.05</v>
      </c>
      <c r="Z168" s="229">
        <v>1.2</v>
      </c>
      <c r="AA168" s="225">
        <f>(T174+Y174)*Z168</f>
        <v>6.9424705916814116</v>
      </c>
      <c r="AB168" s="231">
        <f>AA168/1.13</f>
        <v>6.1437792846738164</v>
      </c>
      <c r="AC168" s="234">
        <f>24000/1.13</f>
        <v>21238.938053097347</v>
      </c>
      <c r="AD168" s="234">
        <v>100000</v>
      </c>
      <c r="AE168" s="237">
        <f>AB168+AC168/AD168/2</f>
        <v>6.2499739749393033</v>
      </c>
    </row>
    <row r="169" spans="1:31" x14ac:dyDescent="0.25">
      <c r="A169" s="212"/>
      <c r="B169" s="212"/>
      <c r="C169" s="214"/>
      <c r="D169" s="217"/>
      <c r="E169" s="214"/>
      <c r="F169" s="214"/>
      <c r="G169" s="214"/>
      <c r="H169" s="84" t="s">
        <v>182</v>
      </c>
      <c r="I169" s="83" t="s">
        <v>181</v>
      </c>
      <c r="J169" s="84"/>
      <c r="K169" s="76">
        <v>1</v>
      </c>
      <c r="L169" s="65"/>
      <c r="M169" s="65"/>
      <c r="N169" s="58"/>
      <c r="O169" s="80">
        <v>1.89380530973451</v>
      </c>
      <c r="P169" s="75"/>
      <c r="Q169" s="75"/>
      <c r="R169" s="59"/>
      <c r="S169" s="60"/>
      <c r="T169" s="80">
        <f>K169*O169</f>
        <v>1.89380530973451</v>
      </c>
      <c r="U169" s="10" t="s">
        <v>24</v>
      </c>
      <c r="V169" s="6" t="s">
        <v>138</v>
      </c>
      <c r="W169" s="54">
        <v>0.05</v>
      </c>
      <c r="X169" s="55">
        <v>1</v>
      </c>
      <c r="Y169" s="54">
        <f t="shared" si="26"/>
        <v>0.05</v>
      </c>
      <c r="Z169" s="229"/>
      <c r="AA169" s="226"/>
      <c r="AB169" s="232"/>
      <c r="AC169" s="235"/>
      <c r="AD169" s="235"/>
      <c r="AE169" s="238"/>
    </row>
    <row r="170" spans="1:31" x14ac:dyDescent="0.25">
      <c r="A170" s="212"/>
      <c r="B170" s="212"/>
      <c r="C170" s="214"/>
      <c r="D170" s="217"/>
      <c r="E170" s="214"/>
      <c r="F170" s="214"/>
      <c r="G170" s="214"/>
      <c r="H170" s="85"/>
      <c r="I170" s="83"/>
      <c r="J170" s="85"/>
      <c r="K170" s="76"/>
      <c r="L170" s="65"/>
      <c r="M170" s="65"/>
      <c r="N170" s="58"/>
      <c r="O170" s="75"/>
      <c r="P170" s="75"/>
      <c r="Q170" s="75"/>
      <c r="R170" s="59"/>
      <c r="S170" s="60"/>
      <c r="T170" s="80"/>
      <c r="U170" s="10" t="s">
        <v>19</v>
      </c>
      <c r="V170" s="6" t="s">
        <v>138</v>
      </c>
      <c r="W170" s="54">
        <v>0.05</v>
      </c>
      <c r="X170" s="55">
        <v>1</v>
      </c>
      <c r="Y170" s="54">
        <f t="shared" si="26"/>
        <v>0.05</v>
      </c>
      <c r="Z170" s="229"/>
      <c r="AA170" s="226"/>
      <c r="AB170" s="232"/>
      <c r="AC170" s="235"/>
      <c r="AD170" s="235"/>
      <c r="AE170" s="238"/>
    </row>
    <row r="171" spans="1:31" x14ac:dyDescent="0.25">
      <c r="A171" s="212"/>
      <c r="B171" s="212"/>
      <c r="C171" s="214"/>
      <c r="D171" s="217"/>
      <c r="E171" s="214"/>
      <c r="F171" s="214"/>
      <c r="G171" s="214"/>
      <c r="H171" s="74"/>
      <c r="I171" s="74"/>
      <c r="J171" s="74"/>
      <c r="K171" s="76"/>
      <c r="L171" s="65"/>
      <c r="M171" s="65"/>
      <c r="N171" s="58"/>
      <c r="O171" s="75"/>
      <c r="P171" s="75"/>
      <c r="Q171" s="75"/>
      <c r="R171" s="59"/>
      <c r="S171" s="60"/>
      <c r="T171" s="61"/>
      <c r="U171" s="81" t="s">
        <v>142</v>
      </c>
      <c r="V171" s="79">
        <f>2*3.14</f>
        <v>6.28</v>
      </c>
      <c r="W171" s="54">
        <v>0.05</v>
      </c>
      <c r="X171" s="55">
        <v>1</v>
      </c>
      <c r="Y171" s="54">
        <f>V171*W171/X171</f>
        <v>0.31400000000000006</v>
      </c>
      <c r="Z171" s="229"/>
      <c r="AA171" s="226"/>
      <c r="AB171" s="232"/>
      <c r="AC171" s="235"/>
      <c r="AD171" s="235"/>
      <c r="AE171" s="238"/>
    </row>
    <row r="172" spans="1:31" x14ac:dyDescent="0.25">
      <c r="A172" s="212"/>
      <c r="B172" s="212"/>
      <c r="C172" s="214"/>
      <c r="D172" s="217"/>
      <c r="E172" s="214"/>
      <c r="F172" s="214"/>
      <c r="G172" s="214"/>
      <c r="H172" s="74"/>
      <c r="I172" s="74"/>
      <c r="J172" s="74"/>
      <c r="K172" s="76"/>
      <c r="L172" s="65"/>
      <c r="M172" s="65"/>
      <c r="N172" s="58"/>
      <c r="O172" s="75"/>
      <c r="P172" s="75"/>
      <c r="Q172" s="75"/>
      <c r="R172" s="59"/>
      <c r="S172" s="60"/>
      <c r="T172" s="61"/>
      <c r="U172" s="10"/>
      <c r="V172" s="79"/>
      <c r="W172" s="54"/>
      <c r="X172" s="55"/>
      <c r="Y172" s="54"/>
      <c r="Z172" s="229"/>
      <c r="AA172" s="226"/>
      <c r="AB172" s="232"/>
      <c r="AC172" s="235"/>
      <c r="AD172" s="235"/>
      <c r="AE172" s="238"/>
    </row>
    <row r="173" spans="1:31" x14ac:dyDescent="0.25">
      <c r="A173" s="212"/>
      <c r="B173" s="212"/>
      <c r="C173" s="214"/>
      <c r="D173" s="217"/>
      <c r="E173" s="214"/>
      <c r="F173" s="214"/>
      <c r="G173" s="214"/>
      <c r="H173" s="74"/>
      <c r="I173" s="74"/>
      <c r="J173" s="74"/>
      <c r="K173" s="76"/>
      <c r="L173" s="65"/>
      <c r="M173" s="65"/>
      <c r="N173" s="58"/>
      <c r="O173" s="75"/>
      <c r="P173" s="75"/>
      <c r="Q173" s="75"/>
      <c r="R173" s="59"/>
      <c r="S173" s="60"/>
      <c r="T173" s="61"/>
      <c r="U173" s="52"/>
      <c r="V173" s="56"/>
      <c r="W173" s="57"/>
      <c r="X173" s="55"/>
      <c r="Y173" s="54"/>
      <c r="Z173" s="229"/>
      <c r="AA173" s="226"/>
      <c r="AB173" s="232"/>
      <c r="AC173" s="235"/>
      <c r="AD173" s="235"/>
      <c r="AE173" s="238"/>
    </row>
    <row r="174" spans="1:31" x14ac:dyDescent="0.25">
      <c r="A174" s="203"/>
      <c r="B174" s="203"/>
      <c r="C174" s="215"/>
      <c r="D174" s="218"/>
      <c r="E174" s="215"/>
      <c r="F174" s="215"/>
      <c r="G174" s="215"/>
      <c r="H174" s="245" t="s">
        <v>133</v>
      </c>
      <c r="I174" s="245"/>
      <c r="J174" s="245"/>
      <c r="K174" s="245"/>
      <c r="L174" s="245"/>
      <c r="M174" s="245"/>
      <c r="N174" s="245"/>
      <c r="O174" s="245"/>
      <c r="P174" s="245"/>
      <c r="Q174" s="245"/>
      <c r="R174" s="245"/>
      <c r="S174" s="245"/>
      <c r="T174" s="63">
        <f>SUM(T168:T173)</f>
        <v>5.3213921597345095</v>
      </c>
      <c r="U174" s="228" t="s">
        <v>134</v>
      </c>
      <c r="V174" s="228"/>
      <c r="W174" s="228"/>
      <c r="X174" s="228"/>
      <c r="Y174" s="64">
        <f>SUM(Y168:Y173)</f>
        <v>0.46400000000000008</v>
      </c>
      <c r="Z174" s="229"/>
      <c r="AA174" s="230"/>
      <c r="AB174" s="233"/>
      <c r="AC174" s="235"/>
      <c r="AD174" s="236"/>
      <c r="AE174" s="239"/>
    </row>
    <row r="175" spans="1:31" ht="27" customHeight="1" x14ac:dyDescent="0.25">
      <c r="A175" s="202"/>
      <c r="B175" s="202"/>
      <c r="C175" s="213">
        <v>44456</v>
      </c>
      <c r="D175" s="216"/>
      <c r="E175" s="219" t="s">
        <v>81</v>
      </c>
      <c r="F175" s="219" t="s">
        <v>82</v>
      </c>
      <c r="G175" s="219"/>
      <c r="H175" s="74" t="s">
        <v>82</v>
      </c>
      <c r="I175" s="74" t="s">
        <v>79</v>
      </c>
      <c r="J175" s="74" t="s">
        <v>144</v>
      </c>
      <c r="K175" s="76">
        <v>1</v>
      </c>
      <c r="L175" s="78">
        <v>81</v>
      </c>
      <c r="M175" s="78">
        <v>77</v>
      </c>
      <c r="N175" s="82">
        <v>3</v>
      </c>
      <c r="O175" s="75">
        <v>6.3</v>
      </c>
      <c r="P175" s="75">
        <v>3.4</v>
      </c>
      <c r="Q175" s="75">
        <f>L175*M175*N175*7.85/1000000</f>
        <v>0.14688134999999999</v>
      </c>
      <c r="R175" s="59">
        <v>9.6000000000000002E-2</v>
      </c>
      <c r="S175" s="60">
        <f>Q175-R175</f>
        <v>5.0881349999999992E-2</v>
      </c>
      <c r="T175" s="61">
        <f>K175*(Q175*O175-P175*S175)</f>
        <v>0.75235591499999988</v>
      </c>
      <c r="U175" s="10" t="s">
        <v>16</v>
      </c>
      <c r="V175" s="6" t="s">
        <v>138</v>
      </c>
      <c r="W175" s="54">
        <v>0.05</v>
      </c>
      <c r="X175" s="55">
        <v>1</v>
      </c>
      <c r="Y175" s="54">
        <f t="shared" ref="Y175:Y176" si="27">W175/X175</f>
        <v>0.05</v>
      </c>
      <c r="Z175" s="229">
        <v>1.2</v>
      </c>
      <c r="AA175" s="225">
        <f>(T181+Y181)*Z175</f>
        <v>1.0228270979999998</v>
      </c>
      <c r="AB175" s="231">
        <f>AA175/1.13</f>
        <v>0.90515672389380519</v>
      </c>
      <c r="AC175" s="234">
        <f>24000/1.13</f>
        <v>21238.938053097347</v>
      </c>
      <c r="AD175" s="234">
        <v>100000</v>
      </c>
      <c r="AE175" s="237">
        <f>AB175+AC175/AD175/2</f>
        <v>1.0113514141592919</v>
      </c>
    </row>
    <row r="176" spans="1:31" x14ac:dyDescent="0.25">
      <c r="A176" s="212"/>
      <c r="B176" s="212"/>
      <c r="C176" s="214"/>
      <c r="D176" s="217"/>
      <c r="E176" s="214"/>
      <c r="F176" s="214"/>
      <c r="G176" s="214"/>
      <c r="H176" s="86"/>
      <c r="I176" s="87"/>
      <c r="J176" s="86"/>
      <c r="K176" s="88"/>
      <c r="L176" s="89"/>
      <c r="M176" s="89"/>
      <c r="N176" s="90"/>
      <c r="O176" s="91"/>
      <c r="P176" s="92"/>
      <c r="Q176" s="92"/>
      <c r="R176" s="93"/>
      <c r="S176" s="60"/>
      <c r="T176" s="91"/>
      <c r="U176" s="10" t="s">
        <v>24</v>
      </c>
      <c r="V176" s="6" t="s">
        <v>138</v>
      </c>
      <c r="W176" s="54">
        <v>0.05</v>
      </c>
      <c r="X176" s="55">
        <v>1</v>
      </c>
      <c r="Y176" s="54">
        <f t="shared" si="27"/>
        <v>0.05</v>
      </c>
      <c r="Z176" s="229"/>
      <c r="AA176" s="226"/>
      <c r="AB176" s="232"/>
      <c r="AC176" s="235"/>
      <c r="AD176" s="235"/>
      <c r="AE176" s="238"/>
    </row>
    <row r="177" spans="1:31" x14ac:dyDescent="0.25">
      <c r="A177" s="212"/>
      <c r="B177" s="212"/>
      <c r="C177" s="214"/>
      <c r="D177" s="217"/>
      <c r="E177" s="214"/>
      <c r="F177" s="214"/>
      <c r="G177" s="214"/>
      <c r="H177" s="94"/>
      <c r="I177" s="87"/>
      <c r="J177" s="94"/>
      <c r="K177" s="88"/>
      <c r="L177" s="89"/>
      <c r="M177" s="89"/>
      <c r="N177" s="90"/>
      <c r="O177" s="92"/>
      <c r="P177" s="92"/>
      <c r="Q177" s="92"/>
      <c r="R177" s="93"/>
      <c r="S177" s="60"/>
      <c r="T177" s="91"/>
      <c r="U177" s="10"/>
      <c r="V177" s="6"/>
      <c r="W177" s="54"/>
      <c r="X177" s="55"/>
      <c r="Y177" s="54"/>
      <c r="Z177" s="229"/>
      <c r="AA177" s="226"/>
      <c r="AB177" s="232"/>
      <c r="AC177" s="235"/>
      <c r="AD177" s="235"/>
      <c r="AE177" s="238"/>
    </row>
    <row r="178" spans="1:31" x14ac:dyDescent="0.25">
      <c r="A178" s="212"/>
      <c r="B178" s="212"/>
      <c r="C178" s="214"/>
      <c r="D178" s="217"/>
      <c r="E178" s="214"/>
      <c r="F178" s="214"/>
      <c r="G178" s="214"/>
      <c r="H178" s="74"/>
      <c r="I178" s="74"/>
      <c r="J178" s="74"/>
      <c r="K178" s="76"/>
      <c r="L178" s="65"/>
      <c r="M178" s="65"/>
      <c r="N178" s="58"/>
      <c r="O178" s="75"/>
      <c r="P178" s="75"/>
      <c r="Q178" s="75"/>
      <c r="R178" s="59"/>
      <c r="S178" s="60"/>
      <c r="T178" s="61"/>
      <c r="U178" s="81"/>
      <c r="V178" s="79"/>
      <c r="W178" s="54"/>
      <c r="X178" s="55"/>
      <c r="Y178" s="54"/>
      <c r="Z178" s="229"/>
      <c r="AA178" s="226"/>
      <c r="AB178" s="232"/>
      <c r="AC178" s="235"/>
      <c r="AD178" s="235"/>
      <c r="AE178" s="238"/>
    </row>
    <row r="179" spans="1:31" x14ac:dyDescent="0.25">
      <c r="A179" s="212"/>
      <c r="B179" s="212"/>
      <c r="C179" s="214"/>
      <c r="D179" s="217"/>
      <c r="E179" s="214"/>
      <c r="F179" s="214"/>
      <c r="G179" s="214"/>
      <c r="H179" s="74"/>
      <c r="I179" s="74"/>
      <c r="J179" s="74"/>
      <c r="K179" s="76"/>
      <c r="L179" s="65"/>
      <c r="M179" s="65"/>
      <c r="N179" s="58"/>
      <c r="O179" s="75"/>
      <c r="P179" s="75"/>
      <c r="Q179" s="75"/>
      <c r="R179" s="59"/>
      <c r="S179" s="60"/>
      <c r="T179" s="61"/>
      <c r="U179" s="10"/>
      <c r="V179" s="79"/>
      <c r="W179" s="54"/>
      <c r="X179" s="55"/>
      <c r="Y179" s="54"/>
      <c r="Z179" s="229"/>
      <c r="AA179" s="226"/>
      <c r="AB179" s="232"/>
      <c r="AC179" s="235"/>
      <c r="AD179" s="235"/>
      <c r="AE179" s="238"/>
    </row>
    <row r="180" spans="1:31" x14ac:dyDescent="0.25">
      <c r="A180" s="212"/>
      <c r="B180" s="212"/>
      <c r="C180" s="214"/>
      <c r="D180" s="217"/>
      <c r="E180" s="214"/>
      <c r="F180" s="214"/>
      <c r="G180" s="214"/>
      <c r="H180" s="74"/>
      <c r="I180" s="74"/>
      <c r="J180" s="74"/>
      <c r="K180" s="76"/>
      <c r="L180" s="65"/>
      <c r="M180" s="65"/>
      <c r="N180" s="58"/>
      <c r="O180" s="75"/>
      <c r="P180" s="75"/>
      <c r="Q180" s="75"/>
      <c r="R180" s="59"/>
      <c r="S180" s="60"/>
      <c r="T180" s="61"/>
      <c r="U180" s="52"/>
      <c r="V180" s="56"/>
      <c r="W180" s="57"/>
      <c r="X180" s="55"/>
      <c r="Y180" s="54"/>
      <c r="Z180" s="229"/>
      <c r="AA180" s="226"/>
      <c r="AB180" s="232"/>
      <c r="AC180" s="235"/>
      <c r="AD180" s="235"/>
      <c r="AE180" s="238"/>
    </row>
    <row r="181" spans="1:31" x14ac:dyDescent="0.25">
      <c r="A181" s="203"/>
      <c r="B181" s="203"/>
      <c r="C181" s="215"/>
      <c r="D181" s="218"/>
      <c r="E181" s="215"/>
      <c r="F181" s="215"/>
      <c r="G181" s="215"/>
      <c r="H181" s="245" t="s">
        <v>133</v>
      </c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  <c r="S181" s="245"/>
      <c r="T181" s="63">
        <f>SUM(T175:T180)</f>
        <v>0.75235591499999988</v>
      </c>
      <c r="U181" s="228" t="s">
        <v>134</v>
      </c>
      <c r="V181" s="228"/>
      <c r="W181" s="228"/>
      <c r="X181" s="228"/>
      <c r="Y181" s="64">
        <f>SUM(Y175:Y180)</f>
        <v>0.1</v>
      </c>
      <c r="Z181" s="229"/>
      <c r="AA181" s="230"/>
      <c r="AB181" s="233"/>
      <c r="AC181" s="235"/>
      <c r="AD181" s="236"/>
      <c r="AE181" s="239"/>
    </row>
    <row r="182" spans="1:31" ht="27" customHeight="1" x14ac:dyDescent="0.25">
      <c r="A182" s="202"/>
      <c r="B182" s="202"/>
      <c r="C182" s="213">
        <v>44456</v>
      </c>
      <c r="D182" s="216"/>
      <c r="E182" s="219" t="s">
        <v>83</v>
      </c>
      <c r="F182" s="219" t="s">
        <v>23</v>
      </c>
      <c r="G182" s="219"/>
      <c r="H182" s="74" t="s">
        <v>84</v>
      </c>
      <c r="I182" s="74" t="s">
        <v>183</v>
      </c>
      <c r="J182" s="74" t="s">
        <v>143</v>
      </c>
      <c r="K182" s="76">
        <v>1</v>
      </c>
      <c r="L182" s="78"/>
      <c r="M182" s="78"/>
      <c r="N182" s="82">
        <v>2.5</v>
      </c>
      <c r="O182" s="75">
        <v>7</v>
      </c>
      <c r="P182" s="75">
        <v>3.4</v>
      </c>
      <c r="Q182" s="75">
        <f>R182/0.7</f>
        <v>0.8928571428571429</v>
      </c>
      <c r="R182" s="59">
        <v>0.625</v>
      </c>
      <c r="S182" s="60">
        <f>Q182-R182</f>
        <v>0.2678571428571429</v>
      </c>
      <c r="T182" s="61">
        <f>K182*(Q182*O182-P182*S182)</f>
        <v>5.3392857142857144</v>
      </c>
      <c r="U182" s="28" t="s">
        <v>71</v>
      </c>
      <c r="V182" s="79" t="s">
        <v>186</v>
      </c>
      <c r="W182" s="54">
        <v>0.2</v>
      </c>
      <c r="X182" s="55">
        <v>1</v>
      </c>
      <c r="Y182" s="54">
        <f t="shared" ref="Y182:Y183" si="28">W182/X182</f>
        <v>0.2</v>
      </c>
      <c r="Z182" s="229">
        <v>1.2</v>
      </c>
      <c r="AA182" s="225">
        <f>(T191+Y191)*Z182</f>
        <v>9.2271428571428569</v>
      </c>
      <c r="AB182" s="231">
        <f>AA182/1.13</f>
        <v>8.1656131479140335</v>
      </c>
      <c r="AC182" s="234">
        <f>25000/1.13</f>
        <v>22123.893805309737</v>
      </c>
      <c r="AD182" s="234">
        <v>100000</v>
      </c>
      <c r="AE182" s="237">
        <f>AB182+AC182/AD182/2</f>
        <v>8.2762326169405824</v>
      </c>
    </row>
    <row r="183" spans="1:31" x14ac:dyDescent="0.25">
      <c r="A183" s="212"/>
      <c r="B183" s="212"/>
      <c r="C183" s="214"/>
      <c r="D183" s="217"/>
      <c r="E183" s="214"/>
      <c r="F183" s="214"/>
      <c r="G183" s="214"/>
      <c r="H183" s="86" t="s">
        <v>184</v>
      </c>
      <c r="I183" s="74" t="s">
        <v>185</v>
      </c>
      <c r="J183" s="86"/>
      <c r="K183" s="88">
        <v>1</v>
      </c>
      <c r="L183" s="89"/>
      <c r="M183" s="89"/>
      <c r="N183" s="90"/>
      <c r="O183" s="61">
        <v>0.32</v>
      </c>
      <c r="P183" s="75"/>
      <c r="Q183" s="75"/>
      <c r="R183" s="59"/>
      <c r="S183" s="60"/>
      <c r="T183" s="61">
        <f>K183*O183</f>
        <v>0.32</v>
      </c>
      <c r="U183" s="28" t="s">
        <v>72</v>
      </c>
      <c r="V183" s="79" t="s">
        <v>186</v>
      </c>
      <c r="W183" s="54">
        <v>0.2</v>
      </c>
      <c r="X183" s="55">
        <v>1</v>
      </c>
      <c r="Y183" s="54">
        <f t="shared" si="28"/>
        <v>0.2</v>
      </c>
      <c r="Z183" s="229"/>
      <c r="AA183" s="226"/>
      <c r="AB183" s="232"/>
      <c r="AC183" s="235"/>
      <c r="AD183" s="235"/>
      <c r="AE183" s="238"/>
    </row>
    <row r="184" spans="1:31" ht="24" x14ac:dyDescent="0.25">
      <c r="A184" s="212"/>
      <c r="B184" s="212"/>
      <c r="C184" s="214"/>
      <c r="D184" s="217"/>
      <c r="E184" s="214"/>
      <c r="F184" s="214"/>
      <c r="G184" s="214"/>
      <c r="H184" s="94" t="s">
        <v>153</v>
      </c>
      <c r="I184" s="77" t="s">
        <v>154</v>
      </c>
      <c r="J184" s="94"/>
      <c r="K184" s="88">
        <v>1</v>
      </c>
      <c r="L184" s="89"/>
      <c r="M184" s="89"/>
      <c r="N184" s="90"/>
      <c r="O184" s="61">
        <v>1</v>
      </c>
      <c r="P184" s="75"/>
      <c r="Q184" s="75"/>
      <c r="R184" s="59"/>
      <c r="S184" s="60"/>
      <c r="T184" s="61">
        <f>K184*O184</f>
        <v>1</v>
      </c>
      <c r="U184" s="28" t="s">
        <v>73</v>
      </c>
      <c r="V184" s="79" t="s">
        <v>186</v>
      </c>
      <c r="W184" s="54">
        <v>0.2</v>
      </c>
      <c r="X184" s="55">
        <v>1</v>
      </c>
      <c r="Y184" s="54">
        <f t="shared" ref="Y184:Y190" si="29">W184/X184</f>
        <v>0.2</v>
      </c>
      <c r="Z184" s="229"/>
      <c r="AA184" s="226"/>
      <c r="AB184" s="232"/>
      <c r="AC184" s="235"/>
      <c r="AD184" s="235"/>
      <c r="AE184" s="238"/>
    </row>
    <row r="185" spans="1:31" x14ac:dyDescent="0.25">
      <c r="A185" s="212"/>
      <c r="B185" s="212"/>
      <c r="C185" s="214"/>
      <c r="D185" s="217"/>
      <c r="E185" s="214"/>
      <c r="F185" s="214"/>
      <c r="G185" s="214"/>
      <c r="H185" s="74"/>
      <c r="I185" s="74"/>
      <c r="J185" s="74"/>
      <c r="K185" s="76"/>
      <c r="L185" s="65"/>
      <c r="M185" s="65"/>
      <c r="N185" s="58"/>
      <c r="O185" s="75"/>
      <c r="P185" s="75"/>
      <c r="Q185" s="75"/>
      <c r="R185" s="59"/>
      <c r="S185" s="60"/>
      <c r="T185" s="61"/>
      <c r="U185" s="28" t="s">
        <v>74</v>
      </c>
      <c r="V185" s="79" t="s">
        <v>136</v>
      </c>
      <c r="W185" s="54">
        <v>0.1</v>
      </c>
      <c r="X185" s="55">
        <v>1</v>
      </c>
      <c r="Y185" s="54">
        <f t="shared" si="29"/>
        <v>0.1</v>
      </c>
      <c r="Z185" s="229"/>
      <c r="AA185" s="226"/>
      <c r="AB185" s="232"/>
      <c r="AC185" s="235"/>
      <c r="AD185" s="235"/>
      <c r="AE185" s="238"/>
    </row>
    <row r="186" spans="1:31" x14ac:dyDescent="0.25">
      <c r="A186" s="212"/>
      <c r="B186" s="212"/>
      <c r="C186" s="214"/>
      <c r="D186" s="217"/>
      <c r="E186" s="214"/>
      <c r="F186" s="214"/>
      <c r="G186" s="214"/>
      <c r="H186" s="74"/>
      <c r="I186" s="74"/>
      <c r="J186" s="74"/>
      <c r="K186" s="76"/>
      <c r="L186" s="65"/>
      <c r="M186" s="65"/>
      <c r="N186" s="58"/>
      <c r="O186" s="75"/>
      <c r="P186" s="75"/>
      <c r="Q186" s="75"/>
      <c r="R186" s="59"/>
      <c r="S186" s="60"/>
      <c r="T186" s="61"/>
      <c r="U186" s="28" t="s">
        <v>74</v>
      </c>
      <c r="V186" s="79" t="s">
        <v>136</v>
      </c>
      <c r="W186" s="54">
        <v>0.1</v>
      </c>
      <c r="X186" s="55">
        <v>1</v>
      </c>
      <c r="Y186" s="54">
        <f t="shared" si="29"/>
        <v>0.1</v>
      </c>
      <c r="Z186" s="229"/>
      <c r="AA186" s="226"/>
      <c r="AB186" s="232"/>
      <c r="AC186" s="235"/>
      <c r="AD186" s="235"/>
      <c r="AE186" s="238"/>
    </row>
    <row r="187" spans="1:31" x14ac:dyDescent="0.25">
      <c r="A187" s="212"/>
      <c r="B187" s="212"/>
      <c r="C187" s="214"/>
      <c r="D187" s="217"/>
      <c r="E187" s="214"/>
      <c r="F187" s="214"/>
      <c r="G187" s="214"/>
      <c r="H187" s="74"/>
      <c r="I187" s="74"/>
      <c r="J187" s="74"/>
      <c r="K187" s="76"/>
      <c r="L187" s="65"/>
      <c r="M187" s="65"/>
      <c r="N187" s="58"/>
      <c r="O187" s="75"/>
      <c r="P187" s="75"/>
      <c r="Q187" s="75"/>
      <c r="R187" s="59"/>
      <c r="S187" s="60"/>
      <c r="T187" s="61"/>
      <c r="U187" s="28" t="s">
        <v>74</v>
      </c>
      <c r="V187" s="79" t="s">
        <v>136</v>
      </c>
      <c r="W187" s="54">
        <v>0.1</v>
      </c>
      <c r="X187" s="55">
        <v>1</v>
      </c>
      <c r="Y187" s="54">
        <f t="shared" si="29"/>
        <v>0.1</v>
      </c>
      <c r="Z187" s="229"/>
      <c r="AA187" s="226"/>
      <c r="AB187" s="232"/>
      <c r="AC187" s="235"/>
      <c r="AD187" s="235"/>
      <c r="AE187" s="238"/>
    </row>
    <row r="188" spans="1:31" x14ac:dyDescent="0.25">
      <c r="A188" s="212"/>
      <c r="B188" s="212"/>
      <c r="C188" s="214"/>
      <c r="D188" s="217"/>
      <c r="E188" s="214"/>
      <c r="F188" s="214"/>
      <c r="G188" s="214"/>
      <c r="H188" s="74"/>
      <c r="I188" s="74"/>
      <c r="J188" s="74"/>
      <c r="K188" s="76"/>
      <c r="L188" s="65"/>
      <c r="M188" s="65"/>
      <c r="N188" s="58"/>
      <c r="O188" s="75"/>
      <c r="P188" s="75"/>
      <c r="Q188" s="75"/>
      <c r="R188" s="59"/>
      <c r="S188" s="60"/>
      <c r="T188" s="61"/>
      <c r="U188" s="28" t="s">
        <v>75</v>
      </c>
      <c r="V188" s="79" t="s">
        <v>139</v>
      </c>
      <c r="W188" s="54">
        <v>0.04</v>
      </c>
      <c r="X188" s="55">
        <v>1</v>
      </c>
      <c r="Y188" s="54">
        <f t="shared" si="29"/>
        <v>0.04</v>
      </c>
      <c r="Z188" s="229"/>
      <c r="AA188" s="226"/>
      <c r="AB188" s="232"/>
      <c r="AC188" s="235"/>
      <c r="AD188" s="235"/>
      <c r="AE188" s="238"/>
    </row>
    <row r="189" spans="1:31" x14ac:dyDescent="0.25">
      <c r="A189" s="212"/>
      <c r="B189" s="212"/>
      <c r="C189" s="214"/>
      <c r="D189" s="217"/>
      <c r="E189" s="214"/>
      <c r="F189" s="214"/>
      <c r="G189" s="214"/>
      <c r="H189" s="74"/>
      <c r="I189" s="74"/>
      <c r="J189" s="74"/>
      <c r="K189" s="76"/>
      <c r="L189" s="65"/>
      <c r="M189" s="65"/>
      <c r="N189" s="58"/>
      <c r="O189" s="75"/>
      <c r="P189" s="75"/>
      <c r="Q189" s="75"/>
      <c r="R189" s="59"/>
      <c r="S189" s="60"/>
      <c r="T189" s="61"/>
      <c r="U189" s="28" t="s">
        <v>75</v>
      </c>
      <c r="V189" s="79" t="s">
        <v>139</v>
      </c>
      <c r="W189" s="54">
        <v>0.04</v>
      </c>
      <c r="X189" s="55">
        <v>1</v>
      </c>
      <c r="Y189" s="54">
        <f t="shared" si="29"/>
        <v>0.04</v>
      </c>
      <c r="Z189" s="229"/>
      <c r="AA189" s="226"/>
      <c r="AB189" s="232"/>
      <c r="AC189" s="235"/>
      <c r="AD189" s="235"/>
      <c r="AE189" s="238"/>
    </row>
    <row r="190" spans="1:31" x14ac:dyDescent="0.25">
      <c r="A190" s="212"/>
      <c r="B190" s="212"/>
      <c r="C190" s="214"/>
      <c r="D190" s="217"/>
      <c r="E190" s="214"/>
      <c r="F190" s="214"/>
      <c r="G190" s="214"/>
      <c r="H190" s="74"/>
      <c r="I190" s="74"/>
      <c r="J190" s="74"/>
      <c r="K190" s="76"/>
      <c r="L190" s="65"/>
      <c r="M190" s="65"/>
      <c r="N190" s="58"/>
      <c r="O190" s="75"/>
      <c r="P190" s="75"/>
      <c r="Q190" s="75"/>
      <c r="R190" s="59"/>
      <c r="S190" s="60"/>
      <c r="T190" s="61"/>
      <c r="U190" s="28" t="s">
        <v>142</v>
      </c>
      <c r="V190" s="79">
        <v>2</v>
      </c>
      <c r="W190" s="57">
        <v>0.05</v>
      </c>
      <c r="X190" s="55">
        <v>1</v>
      </c>
      <c r="Y190" s="54">
        <f t="shared" si="29"/>
        <v>0.05</v>
      </c>
      <c r="Z190" s="229"/>
      <c r="AA190" s="226"/>
      <c r="AB190" s="232"/>
      <c r="AC190" s="235"/>
      <c r="AD190" s="235"/>
      <c r="AE190" s="238"/>
    </row>
    <row r="191" spans="1:31" x14ac:dyDescent="0.25">
      <c r="A191" s="203"/>
      <c r="B191" s="203"/>
      <c r="C191" s="215"/>
      <c r="D191" s="218"/>
      <c r="E191" s="215"/>
      <c r="F191" s="215"/>
      <c r="G191" s="215"/>
      <c r="H191" s="245" t="s">
        <v>133</v>
      </c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  <c r="S191" s="245"/>
      <c r="T191" s="63">
        <f>SUM(T182:T190)</f>
        <v>6.6592857142857147</v>
      </c>
      <c r="U191" s="228" t="s">
        <v>134</v>
      </c>
      <c r="V191" s="228"/>
      <c r="W191" s="228"/>
      <c r="X191" s="228"/>
      <c r="Y191" s="64">
        <f>SUM(Y182:Y190)</f>
        <v>1.03</v>
      </c>
      <c r="Z191" s="229"/>
      <c r="AA191" s="230"/>
      <c r="AB191" s="233"/>
      <c r="AC191" s="235"/>
      <c r="AD191" s="236"/>
      <c r="AE191" s="239"/>
    </row>
  </sheetData>
  <autoFilter ref="A3:AG10" xr:uid="{00000000-0009-0000-0000-000001000000}"/>
  <mergeCells count="397">
    <mergeCell ref="AE182:AE191"/>
    <mergeCell ref="H191:S191"/>
    <mergeCell ref="U191:X191"/>
    <mergeCell ref="G182:G191"/>
    <mergeCell ref="Z182:Z191"/>
    <mergeCell ref="AA182:AA191"/>
    <mergeCell ref="AB182:AB191"/>
    <mergeCell ref="AC182:AC191"/>
    <mergeCell ref="AD182:AD191"/>
    <mergeCell ref="A182:A191"/>
    <mergeCell ref="B182:B191"/>
    <mergeCell ref="C182:C191"/>
    <mergeCell ref="D182:D191"/>
    <mergeCell ref="E182:E191"/>
    <mergeCell ref="F182:F191"/>
    <mergeCell ref="Z175:Z181"/>
    <mergeCell ref="AA175:AA181"/>
    <mergeCell ref="AB175:AB181"/>
    <mergeCell ref="AC175:AC181"/>
    <mergeCell ref="AD175:AD181"/>
    <mergeCell ref="AE175:AE181"/>
    <mergeCell ref="AE168:AE174"/>
    <mergeCell ref="H174:S174"/>
    <mergeCell ref="U174:X174"/>
    <mergeCell ref="A175:A181"/>
    <mergeCell ref="B175:B181"/>
    <mergeCell ref="C175:C181"/>
    <mergeCell ref="D175:D181"/>
    <mergeCell ref="E175:E181"/>
    <mergeCell ref="F175:F181"/>
    <mergeCell ref="G175:G181"/>
    <mergeCell ref="G168:G174"/>
    <mergeCell ref="Z168:Z174"/>
    <mergeCell ref="AA168:AA174"/>
    <mergeCell ref="AB168:AB174"/>
    <mergeCell ref="AC168:AC174"/>
    <mergeCell ref="AD168:AD174"/>
    <mergeCell ref="H181:S181"/>
    <mergeCell ref="U181:X181"/>
    <mergeCell ref="AA161:AA167"/>
    <mergeCell ref="AB161:AB167"/>
    <mergeCell ref="AC161:AC167"/>
    <mergeCell ref="AD161:AD167"/>
    <mergeCell ref="AE161:AE167"/>
    <mergeCell ref="H167:S167"/>
    <mergeCell ref="U167:X167"/>
    <mergeCell ref="A168:A174"/>
    <mergeCell ref="B168:B174"/>
    <mergeCell ref="C168:C174"/>
    <mergeCell ref="D168:D174"/>
    <mergeCell ref="E168:E174"/>
    <mergeCell ref="F168:F174"/>
    <mergeCell ref="A161:A167"/>
    <mergeCell ref="B161:B167"/>
    <mergeCell ref="C161:C167"/>
    <mergeCell ref="D161:D167"/>
    <mergeCell ref="E161:E167"/>
    <mergeCell ref="F161:F167"/>
    <mergeCell ref="G161:G167"/>
    <mergeCell ref="G154:G160"/>
    <mergeCell ref="Z154:Z160"/>
    <mergeCell ref="Z161:Z167"/>
    <mergeCell ref="AD147:AD153"/>
    <mergeCell ref="AE147:AE153"/>
    <mergeCell ref="H153:S153"/>
    <mergeCell ref="U153:X153"/>
    <mergeCell ref="A154:A160"/>
    <mergeCell ref="B154:B160"/>
    <mergeCell ref="C154:C160"/>
    <mergeCell ref="D154:D160"/>
    <mergeCell ref="E154:E160"/>
    <mergeCell ref="F154:F160"/>
    <mergeCell ref="Z147:Z153"/>
    <mergeCell ref="AA147:AA153"/>
    <mergeCell ref="AB147:AB153"/>
    <mergeCell ref="AC147:AC153"/>
    <mergeCell ref="AE154:AE160"/>
    <mergeCell ref="H160:S160"/>
    <mergeCell ref="U160:X160"/>
    <mergeCell ref="AA154:AA160"/>
    <mergeCell ref="AB154:AB160"/>
    <mergeCell ref="AC154:AC160"/>
    <mergeCell ref="AD154:AD160"/>
    <mergeCell ref="A147:A153"/>
    <mergeCell ref="B147:B153"/>
    <mergeCell ref="C147:C153"/>
    <mergeCell ref="D147:D153"/>
    <mergeCell ref="E147:E153"/>
    <mergeCell ref="F147:F153"/>
    <mergeCell ref="G147:G153"/>
    <mergeCell ref="A140:A146"/>
    <mergeCell ref="B140:B146"/>
    <mergeCell ref="C140:C146"/>
    <mergeCell ref="D140:D146"/>
    <mergeCell ref="E140:E146"/>
    <mergeCell ref="F140:F146"/>
    <mergeCell ref="G140:G146"/>
    <mergeCell ref="Z140:Z146"/>
    <mergeCell ref="AA140:AA146"/>
    <mergeCell ref="AB140:AB146"/>
    <mergeCell ref="AC140:AC146"/>
    <mergeCell ref="AD140:AD146"/>
    <mergeCell ref="AE140:AE146"/>
    <mergeCell ref="AE133:AE139"/>
    <mergeCell ref="H139:S139"/>
    <mergeCell ref="U139:X139"/>
    <mergeCell ref="H146:S146"/>
    <mergeCell ref="U146:X146"/>
    <mergeCell ref="G133:G139"/>
    <mergeCell ref="Z133:Z139"/>
    <mergeCell ref="AA133:AA139"/>
    <mergeCell ref="AB133:AB139"/>
    <mergeCell ref="AC133:AC139"/>
    <mergeCell ref="AD133:AD139"/>
    <mergeCell ref="A133:A139"/>
    <mergeCell ref="B133:B139"/>
    <mergeCell ref="C133:C139"/>
    <mergeCell ref="D133:D139"/>
    <mergeCell ref="E133:E139"/>
    <mergeCell ref="F133:F139"/>
    <mergeCell ref="AA126:AA132"/>
    <mergeCell ref="AB126:AB132"/>
    <mergeCell ref="AC126:AC132"/>
    <mergeCell ref="AD126:AD132"/>
    <mergeCell ref="AE126:AE132"/>
    <mergeCell ref="H132:S132"/>
    <mergeCell ref="U132:X132"/>
    <mergeCell ref="C126:C132"/>
    <mergeCell ref="D126:D132"/>
    <mergeCell ref="E126:E132"/>
    <mergeCell ref="F126:F132"/>
    <mergeCell ref="G126:G132"/>
    <mergeCell ref="Z126:Z132"/>
    <mergeCell ref="AD114:AD125"/>
    <mergeCell ref="AE114:AE125"/>
    <mergeCell ref="H125:S125"/>
    <mergeCell ref="U125:X125"/>
    <mergeCell ref="AE107:AE113"/>
    <mergeCell ref="H113:S113"/>
    <mergeCell ref="U113:X113"/>
    <mergeCell ref="AA107:AA113"/>
    <mergeCell ref="AB107:AB113"/>
    <mergeCell ref="AC107:AC113"/>
    <mergeCell ref="AD107:AD113"/>
    <mergeCell ref="AB100:AB106"/>
    <mergeCell ref="AC100:AC106"/>
    <mergeCell ref="A114:A125"/>
    <mergeCell ref="B114:B125"/>
    <mergeCell ref="C114:C125"/>
    <mergeCell ref="D114:D125"/>
    <mergeCell ref="E114:E125"/>
    <mergeCell ref="F114:F125"/>
    <mergeCell ref="G114:G125"/>
    <mergeCell ref="G107:G113"/>
    <mergeCell ref="Z107:Z113"/>
    <mergeCell ref="AA114:AA125"/>
    <mergeCell ref="AB114:AB125"/>
    <mergeCell ref="AC114:AC125"/>
    <mergeCell ref="AC93:AC99"/>
    <mergeCell ref="AD93:AD99"/>
    <mergeCell ref="AE93:AE99"/>
    <mergeCell ref="H99:S99"/>
    <mergeCell ref="U99:X99"/>
    <mergeCell ref="A100:A106"/>
    <mergeCell ref="B100:B106"/>
    <mergeCell ref="C100:C106"/>
    <mergeCell ref="D100:D106"/>
    <mergeCell ref="E100:E106"/>
    <mergeCell ref="E93:E99"/>
    <mergeCell ref="F93:F99"/>
    <mergeCell ref="G93:G99"/>
    <mergeCell ref="Z93:Z99"/>
    <mergeCell ref="AA93:AA99"/>
    <mergeCell ref="AB93:AB99"/>
    <mergeCell ref="AD100:AD106"/>
    <mergeCell ref="AE100:AE106"/>
    <mergeCell ref="H106:S106"/>
    <mergeCell ref="U106:X106"/>
    <mergeCell ref="F100:F106"/>
    <mergeCell ref="G100:G106"/>
    <mergeCell ref="Z100:Z106"/>
    <mergeCell ref="AA100:AA106"/>
    <mergeCell ref="AA86:AA92"/>
    <mergeCell ref="AB86:AB92"/>
    <mergeCell ref="AC86:AC92"/>
    <mergeCell ref="AD86:AD92"/>
    <mergeCell ref="AE86:AE92"/>
    <mergeCell ref="AD79:AD85"/>
    <mergeCell ref="AE79:AE85"/>
    <mergeCell ref="H85:S85"/>
    <mergeCell ref="U85:X85"/>
    <mergeCell ref="AD72:AD78"/>
    <mergeCell ref="AE72:AE78"/>
    <mergeCell ref="H78:S78"/>
    <mergeCell ref="U78:X78"/>
    <mergeCell ref="A79:A85"/>
    <mergeCell ref="B79:B85"/>
    <mergeCell ref="C79:C85"/>
    <mergeCell ref="D79:D85"/>
    <mergeCell ref="E79:E85"/>
    <mergeCell ref="F79:F85"/>
    <mergeCell ref="Z79:Z85"/>
    <mergeCell ref="AA79:AA85"/>
    <mergeCell ref="AB79:AB85"/>
    <mergeCell ref="AC79:AC85"/>
    <mergeCell ref="G79:G85"/>
    <mergeCell ref="AD65:AD71"/>
    <mergeCell ref="AE65:AE71"/>
    <mergeCell ref="H71:S71"/>
    <mergeCell ref="U71:X71"/>
    <mergeCell ref="A72:A78"/>
    <mergeCell ref="B72:B78"/>
    <mergeCell ref="C72:C78"/>
    <mergeCell ref="D72:D78"/>
    <mergeCell ref="E72:E78"/>
    <mergeCell ref="F72:F78"/>
    <mergeCell ref="E65:E71"/>
    <mergeCell ref="F65:F71"/>
    <mergeCell ref="G65:G71"/>
    <mergeCell ref="Z65:Z71"/>
    <mergeCell ref="AA65:AA71"/>
    <mergeCell ref="AB65:AB71"/>
    <mergeCell ref="G72:G78"/>
    <mergeCell ref="Z72:Z78"/>
    <mergeCell ref="AA72:AA78"/>
    <mergeCell ref="AB72:AB78"/>
    <mergeCell ref="AC65:AC71"/>
    <mergeCell ref="AC72:AC78"/>
    <mergeCell ref="A65:A71"/>
    <mergeCell ref="B65:B71"/>
    <mergeCell ref="AB58:AB64"/>
    <mergeCell ref="AC58:AC64"/>
    <mergeCell ref="AD58:AD64"/>
    <mergeCell ref="AE58:AE64"/>
    <mergeCell ref="H64:S64"/>
    <mergeCell ref="U64:X64"/>
    <mergeCell ref="D58:D64"/>
    <mergeCell ref="E58:E64"/>
    <mergeCell ref="F58:F64"/>
    <mergeCell ref="G58:G64"/>
    <mergeCell ref="Z58:Z64"/>
    <mergeCell ref="AA58:AA64"/>
    <mergeCell ref="AE51:AE57"/>
    <mergeCell ref="H57:S57"/>
    <mergeCell ref="U57:X57"/>
    <mergeCell ref="AC44:AC50"/>
    <mergeCell ref="AD44:AD50"/>
    <mergeCell ref="AE44:AE50"/>
    <mergeCell ref="H50:S50"/>
    <mergeCell ref="U50:X50"/>
    <mergeCell ref="AA44:AA50"/>
    <mergeCell ref="AB44:AB50"/>
    <mergeCell ref="E51:E57"/>
    <mergeCell ref="E44:E50"/>
    <mergeCell ref="F44:F50"/>
    <mergeCell ref="G44:G50"/>
    <mergeCell ref="Z44:Z50"/>
    <mergeCell ref="AA51:AA57"/>
    <mergeCell ref="AB51:AB57"/>
    <mergeCell ref="AC51:AC57"/>
    <mergeCell ref="AD51:AD57"/>
    <mergeCell ref="Z30:Z36"/>
    <mergeCell ref="AA37:AA43"/>
    <mergeCell ref="AB37:AB43"/>
    <mergeCell ref="AC37:AC43"/>
    <mergeCell ref="AD37:AD43"/>
    <mergeCell ref="AE37:AE43"/>
    <mergeCell ref="H43:S43"/>
    <mergeCell ref="U43:X43"/>
    <mergeCell ref="AD30:AD36"/>
    <mergeCell ref="AE30:AE36"/>
    <mergeCell ref="H36:S36"/>
    <mergeCell ref="U36:X36"/>
    <mergeCell ref="AA30:AA36"/>
    <mergeCell ref="AB30:AB36"/>
    <mergeCell ref="AC30:AC36"/>
    <mergeCell ref="G11:G20"/>
    <mergeCell ref="G21:G29"/>
    <mergeCell ref="I2:I3"/>
    <mergeCell ref="A30:A36"/>
    <mergeCell ref="B30:B36"/>
    <mergeCell ref="C30:C36"/>
    <mergeCell ref="D30:D36"/>
    <mergeCell ref="E30:E36"/>
    <mergeCell ref="A21:A29"/>
    <mergeCell ref="B21:B29"/>
    <mergeCell ref="C21:C29"/>
    <mergeCell ref="D21:D29"/>
    <mergeCell ref="E21:E29"/>
    <mergeCell ref="F21:F29"/>
    <mergeCell ref="A11:A20"/>
    <mergeCell ref="B11:B20"/>
    <mergeCell ref="C11:C20"/>
    <mergeCell ref="D11:D20"/>
    <mergeCell ref="E11:E20"/>
    <mergeCell ref="F11:F20"/>
    <mergeCell ref="H10:S10"/>
    <mergeCell ref="A4:A10"/>
    <mergeCell ref="F30:F36"/>
    <mergeCell ref="G30:G36"/>
    <mergeCell ref="AE21:AE29"/>
    <mergeCell ref="H29:S29"/>
    <mergeCell ref="U29:X29"/>
    <mergeCell ref="Z21:Z29"/>
    <mergeCell ref="AA21:AA29"/>
    <mergeCell ref="AB21:AB29"/>
    <mergeCell ref="AC21:AC29"/>
    <mergeCell ref="H20:S20"/>
    <mergeCell ref="U20:X20"/>
    <mergeCell ref="Z11:Z20"/>
    <mergeCell ref="AA11:AA20"/>
    <mergeCell ref="AB11:AB20"/>
    <mergeCell ref="AC11:AC20"/>
    <mergeCell ref="AD11:AD20"/>
    <mergeCell ref="AE11:AE20"/>
    <mergeCell ref="AD21:AD29"/>
    <mergeCell ref="A126:A132"/>
    <mergeCell ref="B126:B132"/>
    <mergeCell ref="Z114:Z125"/>
    <mergeCell ref="A93:A99"/>
    <mergeCell ref="B93:B99"/>
    <mergeCell ref="C93:C99"/>
    <mergeCell ref="D93:D99"/>
    <mergeCell ref="H92:S92"/>
    <mergeCell ref="U92:X92"/>
    <mergeCell ref="G86:G92"/>
    <mergeCell ref="A86:A92"/>
    <mergeCell ref="B86:B92"/>
    <mergeCell ref="C86:C92"/>
    <mergeCell ref="D86:D92"/>
    <mergeCell ref="E86:E92"/>
    <mergeCell ref="F86:F92"/>
    <mergeCell ref="Z86:Z92"/>
    <mergeCell ref="A107:A113"/>
    <mergeCell ref="B107:B113"/>
    <mergeCell ref="C107:C113"/>
    <mergeCell ref="D107:D113"/>
    <mergeCell ref="E107:E113"/>
    <mergeCell ref="F107:F113"/>
    <mergeCell ref="C65:C71"/>
    <mergeCell ref="D65:D71"/>
    <mergeCell ref="Z51:Z57"/>
    <mergeCell ref="G51:G57"/>
    <mergeCell ref="F51:F57"/>
    <mergeCell ref="A58:A64"/>
    <mergeCell ref="B58:B64"/>
    <mergeCell ref="C58:C64"/>
    <mergeCell ref="Z37:Z43"/>
    <mergeCell ref="G37:G43"/>
    <mergeCell ref="A44:A50"/>
    <mergeCell ref="B44:B50"/>
    <mergeCell ref="C44:C50"/>
    <mergeCell ref="D44:D50"/>
    <mergeCell ref="A37:A43"/>
    <mergeCell ref="B37:B43"/>
    <mergeCell ref="C37:C43"/>
    <mergeCell ref="D37:D43"/>
    <mergeCell ref="E37:E43"/>
    <mergeCell ref="F37:F43"/>
    <mergeCell ref="A51:A57"/>
    <mergeCell ref="B51:B57"/>
    <mergeCell ref="C51:C57"/>
    <mergeCell ref="D51:D57"/>
    <mergeCell ref="Z4:Z10"/>
    <mergeCell ref="AA4:AA10"/>
    <mergeCell ref="AB4:AB10"/>
    <mergeCell ref="AC4:AC10"/>
    <mergeCell ref="AD4:AD10"/>
    <mergeCell ref="AE4:AE10"/>
    <mergeCell ref="AB2:AB3"/>
    <mergeCell ref="AC2:AC3"/>
    <mergeCell ref="AD2:AD3"/>
    <mergeCell ref="AE2:AE3"/>
    <mergeCell ref="Z2:Z3"/>
    <mergeCell ref="AA2:AA3"/>
    <mergeCell ref="B4:B10"/>
    <mergeCell ref="C4:C10"/>
    <mergeCell ref="D4:D10"/>
    <mergeCell ref="E4:E10"/>
    <mergeCell ref="F4:F10"/>
    <mergeCell ref="O2:P2"/>
    <mergeCell ref="Q2:S2"/>
    <mergeCell ref="T2:T3"/>
    <mergeCell ref="U2:Y2"/>
    <mergeCell ref="U10:X10"/>
    <mergeCell ref="G2:G3"/>
    <mergeCell ref="G4:G10"/>
    <mergeCell ref="A1:AB1"/>
    <mergeCell ref="B2:B3"/>
    <mergeCell ref="C2:C3"/>
    <mergeCell ref="D2:D3"/>
    <mergeCell ref="E2:E3"/>
    <mergeCell ref="F2:F3"/>
    <mergeCell ref="H2:H3"/>
    <mergeCell ref="J2:J3"/>
    <mergeCell ref="K2:K3"/>
    <mergeCell ref="L2:N2"/>
  </mergeCells>
  <phoneticPr fontId="6" type="noConversion"/>
  <conditionalFormatting sqref="E192:E1048576 E1:E10">
    <cfRule type="duplicateValues" dxfId="30" priority="33"/>
  </conditionalFormatting>
  <conditionalFormatting sqref="E11:E20">
    <cfRule type="duplicateValues" dxfId="29" priority="32"/>
  </conditionalFormatting>
  <conditionalFormatting sqref="E21:E29">
    <cfRule type="duplicateValues" dxfId="28" priority="31"/>
  </conditionalFormatting>
  <conditionalFormatting sqref="E30:E36">
    <cfRule type="duplicateValues" dxfId="27" priority="30"/>
  </conditionalFormatting>
  <conditionalFormatting sqref="E37:E43">
    <cfRule type="duplicateValues" dxfId="26" priority="29"/>
  </conditionalFormatting>
  <conditionalFormatting sqref="E44:E50">
    <cfRule type="duplicateValues" dxfId="25" priority="28"/>
  </conditionalFormatting>
  <conditionalFormatting sqref="E51:E57">
    <cfRule type="duplicateValues" dxfId="24" priority="27"/>
  </conditionalFormatting>
  <conditionalFormatting sqref="E58:E64">
    <cfRule type="duplicateValues" dxfId="23" priority="26"/>
  </conditionalFormatting>
  <conditionalFormatting sqref="E65:E71">
    <cfRule type="duplicateValues" dxfId="22" priority="25"/>
  </conditionalFormatting>
  <conditionalFormatting sqref="E72:E78">
    <cfRule type="duplicateValues" dxfId="21" priority="24"/>
  </conditionalFormatting>
  <conditionalFormatting sqref="E79:E85">
    <cfRule type="duplicateValues" dxfId="20" priority="23"/>
  </conditionalFormatting>
  <conditionalFormatting sqref="E86:E92">
    <cfRule type="duplicateValues" dxfId="19" priority="22"/>
  </conditionalFormatting>
  <conditionalFormatting sqref="E93:E99">
    <cfRule type="duplicateValues" dxfId="18" priority="21"/>
  </conditionalFormatting>
  <conditionalFormatting sqref="E100:E106">
    <cfRule type="duplicateValues" dxfId="17" priority="20"/>
  </conditionalFormatting>
  <conditionalFormatting sqref="E107:E113">
    <cfRule type="duplicateValues" dxfId="16" priority="19"/>
  </conditionalFormatting>
  <conditionalFormatting sqref="E126:E132">
    <cfRule type="duplicateValues" dxfId="15" priority="17"/>
  </conditionalFormatting>
  <conditionalFormatting sqref="E114:E125">
    <cfRule type="duplicateValues" dxfId="14" priority="35"/>
  </conditionalFormatting>
  <conditionalFormatting sqref="E133:E139">
    <cfRule type="duplicateValues" dxfId="13" priority="16"/>
  </conditionalFormatting>
  <conditionalFormatting sqref="E140:E146">
    <cfRule type="duplicateValues" dxfId="12" priority="15"/>
  </conditionalFormatting>
  <conditionalFormatting sqref="E147:E153">
    <cfRule type="duplicateValues" dxfId="11" priority="14"/>
  </conditionalFormatting>
  <conditionalFormatting sqref="E154:E160">
    <cfRule type="duplicateValues" dxfId="10" priority="13"/>
  </conditionalFormatting>
  <conditionalFormatting sqref="E161:E167">
    <cfRule type="duplicateValues" dxfId="9" priority="12"/>
  </conditionalFormatting>
  <conditionalFormatting sqref="I162">
    <cfRule type="duplicateValues" dxfId="8" priority="11"/>
  </conditionalFormatting>
  <conditionalFormatting sqref="I163">
    <cfRule type="duplicateValues" dxfId="7" priority="10"/>
  </conditionalFormatting>
  <conditionalFormatting sqref="E168:E174">
    <cfRule type="duplicateValues" dxfId="6" priority="9"/>
  </conditionalFormatting>
  <conditionalFormatting sqref="I169">
    <cfRule type="duplicateValues" dxfId="5" priority="8"/>
  </conditionalFormatting>
  <conditionalFormatting sqref="I170">
    <cfRule type="duplicateValues" dxfId="4" priority="7"/>
  </conditionalFormatting>
  <conditionalFormatting sqref="E175:E181">
    <cfRule type="duplicateValues" dxfId="3" priority="6"/>
  </conditionalFormatting>
  <conditionalFormatting sqref="I176">
    <cfRule type="duplicateValues" dxfId="2" priority="5"/>
  </conditionalFormatting>
  <conditionalFormatting sqref="I177">
    <cfRule type="duplicateValues" dxfId="1" priority="4"/>
  </conditionalFormatting>
  <conditionalFormatting sqref="E182:E191">
    <cfRule type="duplicateValues" dxfId="0" priority="3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7" orientation="landscape" r:id="rId1"/>
  <rowBreaks count="1" manualBreakCount="1">
    <brk id="106" max="2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捷润目标价</vt:lpstr>
      <vt:lpstr>智凯目标价</vt:lpstr>
      <vt:lpstr>利达目标价</vt:lpstr>
      <vt:lpstr>产品报价 (4)</vt:lpstr>
      <vt:lpstr>宏达</vt:lpstr>
      <vt:lpstr>恒德1</vt:lpstr>
      <vt:lpstr>冲压件核价</vt:lpstr>
      <vt:lpstr>冲压件核价!Print_Area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2021-09-22T09:07:48Z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