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6E" lockStructure="1"/>
  <bookViews>
    <workbookView windowWidth="24000" windowHeight="9840" tabRatio="906" activeTab="2"/>
  </bookViews>
  <sheets>
    <sheet name="封面" sheetId="40" r:id="rId1"/>
    <sheet name="银行模板" sheetId="26" r:id="rId2"/>
    <sheet name="工资" sheetId="4" r:id="rId3"/>
    <sheet name="非生产人员工资" sheetId="8" r:id="rId4"/>
    <sheet name="生产人员工资" sheetId="7" r:id="rId5"/>
    <sheet name="员工基本信息" sheetId="2" r:id="rId6"/>
    <sheet name="本月员工姓名" sheetId="10" r:id="rId7"/>
    <sheet name="说明" sheetId="11" r:id="rId8"/>
    <sheet name="input" sheetId="22" r:id="rId9"/>
    <sheet name="对比表" sheetId="13" r:id="rId10"/>
    <sheet name="工资分类统计表" sheetId="18" r:id="rId11"/>
    <sheet name="工资环比分析表" sheetId="15" r:id="rId12"/>
    <sheet name="会计凭证" sheetId="41" r:id="rId13"/>
  </sheets>
  <definedNames>
    <definedName name="_xlnm._FilterDatabase" localSheetId="1" hidden="1">银行模板!$A$1:$L$92</definedName>
    <definedName name="_xlnm._FilterDatabase" localSheetId="2" hidden="1">工资!$1:$88</definedName>
    <definedName name="_xlnm._FilterDatabase" localSheetId="3" hidden="1">非生产人员工资!$A$1:$AI$40</definedName>
    <definedName name="_xlnm._FilterDatabase" localSheetId="4" hidden="1">生产人员工资!$A$1:$AF$47</definedName>
    <definedName name="_xlnm._FilterDatabase" localSheetId="5" hidden="1">员工基本信息!$A$1:$S$128</definedName>
    <definedName name="_xlnm._FilterDatabase" localSheetId="6" hidden="1">本月员工姓名!$A$1:$D$80</definedName>
    <definedName name="_xlnm.Print_Area" localSheetId="11">工资环比分析表!$A$1:$J$17</definedName>
    <definedName name="_xlnm.Print_Area" localSheetId="9">对比表!$A$1:$M$17</definedName>
  </definedNames>
  <calcPr calcId="144525"/>
  <pivotCaches>
    <pivotCache cacheId="0" r:id="rId14"/>
  </pivotCaches>
</workbook>
</file>

<file path=xl/comments1.xml><?xml version="1.0" encoding="utf-8"?>
<comments xmlns="http://schemas.openxmlformats.org/spreadsheetml/2006/main">
  <authors>
    <author>1</author>
  </authors>
  <commentList>
    <comment ref="R28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出勤天数*35元/天</t>
        </r>
      </text>
    </comment>
  </commentList>
</comments>
</file>

<file path=xl/comments2.xml><?xml version="1.0" encoding="utf-8"?>
<comments xmlns="http://schemas.openxmlformats.org/spreadsheetml/2006/main">
  <authors>
    <author>1</author>
  </authors>
  <commentList>
    <comment ref="I2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班组长工资*1.1</t>
        </r>
      </text>
    </comment>
    <comment ref="I3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班组长工资*1.1
</t>
        </r>
      </text>
    </comment>
    <comment ref="I18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16.5元/时
</t>
        </r>
      </text>
    </comment>
    <comment ref="I19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16元/时</t>
        </r>
      </text>
    </comment>
    <comment ref="I20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15元/时
</t>
        </r>
      </text>
    </comment>
    <comment ref="I21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15元/时
</t>
        </r>
      </text>
    </comment>
    <comment ref="O45" authorId="0">
      <text>
        <r>
          <rPr>
            <b/>
            <sz val="9"/>
            <rFont val="宋体"/>
            <charset val="134"/>
          </rPr>
          <t>1:回族</t>
        </r>
        <r>
          <rPr>
            <sz val="9"/>
            <rFont val="宋体"/>
            <charset val="134"/>
          </rPr>
          <t xml:space="preserve">
根据出勤天数计算餐补打卡</t>
        </r>
      </text>
    </comment>
  </commentList>
</comments>
</file>

<file path=xl/comments3.xml><?xml version="1.0" encoding="utf-8"?>
<comments xmlns="http://schemas.openxmlformats.org/spreadsheetml/2006/main">
  <authors>
    <author>1</author>
  </authors>
  <commentList>
    <comment ref="A4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开票金额</t>
        </r>
      </text>
    </comment>
    <comment ref="A6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车间产值统计</t>
        </r>
      </text>
    </comment>
    <comment ref="C8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预算销售收入</t>
        </r>
      </text>
    </comment>
  </commentList>
</comments>
</file>

<file path=xl/sharedStrings.xml><?xml version="1.0" encoding="utf-8"?>
<sst xmlns="http://schemas.openxmlformats.org/spreadsheetml/2006/main" count="3817" uniqueCount="657">
  <si>
    <t xml:space="preserve">2021年7月份工资统计表
（河北后视镜工厂）  </t>
  </si>
  <si>
    <t>综合管理部</t>
  </si>
  <si>
    <t>2021.8.25</t>
  </si>
  <si>
    <t>员工编号</t>
  </si>
  <si>
    <t>姓名</t>
  </si>
  <si>
    <t>账户</t>
  </si>
  <si>
    <t>转出金额</t>
  </si>
  <si>
    <t>备注</t>
  </si>
  <si>
    <t>CHECK</t>
  </si>
  <si>
    <t>金额</t>
  </si>
  <si>
    <t>人数</t>
  </si>
  <si>
    <t>沧州</t>
  </si>
  <si>
    <t>中行</t>
  </si>
  <si>
    <t>建行</t>
  </si>
  <si>
    <t>序号</t>
  </si>
  <si>
    <t>身份证号</t>
  </si>
  <si>
    <t>部门</t>
  </si>
  <si>
    <t>岗位/工种</t>
  </si>
  <si>
    <t>基本工资</t>
  </si>
  <si>
    <t>加班工资</t>
  </si>
  <si>
    <t>岗位工资</t>
  </si>
  <si>
    <t>绩效工资</t>
  </si>
  <si>
    <t>计时工资</t>
  </si>
  <si>
    <t>计件工资</t>
  </si>
  <si>
    <t>绩效奖惩</t>
  </si>
  <si>
    <t>岗位补助</t>
  </si>
  <si>
    <t>工龄工资</t>
  </si>
  <si>
    <t>交补</t>
  </si>
  <si>
    <t>饭补</t>
  </si>
  <si>
    <t>其他</t>
  </si>
  <si>
    <t>5S奖惩</t>
  </si>
  <si>
    <t>缺勤扣款</t>
  </si>
  <si>
    <t>通报扣款</t>
  </si>
  <si>
    <t>劳保工牌扣款</t>
  </si>
  <si>
    <t>考勤异常扣款</t>
  </si>
  <si>
    <t>应发工资</t>
  </si>
  <si>
    <t>养老保险</t>
  </si>
  <si>
    <t>医疗保险</t>
  </si>
  <si>
    <t>失业保险</t>
  </si>
  <si>
    <t>住房公
积金</t>
  </si>
  <si>
    <t>社保补差</t>
  </si>
  <si>
    <t>所得税</t>
  </si>
  <si>
    <t>实发工资</t>
  </si>
  <si>
    <t>科目分类</t>
  </si>
  <si>
    <t>分类3</t>
  </si>
  <si>
    <t>分类4</t>
  </si>
  <si>
    <t>分类5</t>
  </si>
  <si>
    <t>合 计</t>
  </si>
  <si>
    <t>银行账号</t>
  </si>
  <si>
    <t>开户行</t>
  </si>
  <si>
    <t>注塑车间</t>
  </si>
  <si>
    <t>6214220101208531302</t>
  </si>
  <si>
    <t>6214220101208651233</t>
  </si>
  <si>
    <t>6214220101208535423</t>
  </si>
  <si>
    <t>出勤天数</t>
  </si>
  <si>
    <t>出勤工时</t>
  </si>
  <si>
    <t>应出勤工时</t>
  </si>
  <si>
    <t>加班工时</t>
  </si>
  <si>
    <t>工资总额</t>
  </si>
  <si>
    <t>劳保扣款</t>
  </si>
  <si>
    <t>考勤异常</t>
  </si>
  <si>
    <t>补差额</t>
  </si>
  <si>
    <t>小计</t>
  </si>
  <si>
    <t>薪资类型</t>
  </si>
  <si>
    <t>崔海龙</t>
  </si>
  <si>
    <t>370923198707152838</t>
  </si>
  <si>
    <t>销售服务科</t>
  </si>
  <si>
    <t>0.00</t>
  </si>
  <si>
    <t>0</t>
  </si>
  <si>
    <t>与上月同</t>
  </si>
  <si>
    <t>陈阔</t>
  </si>
  <si>
    <t>132930199202050532</t>
  </si>
  <si>
    <t>综合管理科</t>
  </si>
  <si>
    <t>王金言</t>
  </si>
  <si>
    <t>132930198811144310</t>
  </si>
  <si>
    <t>技术质量科</t>
  </si>
  <si>
    <t>张博赟</t>
  </si>
  <si>
    <t>130983199409292214</t>
  </si>
  <si>
    <t>制造管理部-注塑车间</t>
  </si>
  <si>
    <t>张俊新</t>
  </si>
  <si>
    <t>132930196701291812</t>
  </si>
  <si>
    <t>生产管理部</t>
  </si>
  <si>
    <t>李芳慧</t>
  </si>
  <si>
    <t>130983199111042220</t>
  </si>
  <si>
    <t>财务管理科</t>
  </si>
  <si>
    <t>胡希港</t>
  </si>
  <si>
    <t>130983199706292413</t>
  </si>
  <si>
    <t>田健</t>
  </si>
  <si>
    <t>130927198905212716</t>
  </si>
  <si>
    <t>宋连利</t>
  </si>
  <si>
    <t>120225198105034672</t>
  </si>
  <si>
    <t>牟群</t>
  </si>
  <si>
    <t>132930198710064725</t>
  </si>
  <si>
    <t>人力资源科</t>
  </si>
  <si>
    <t>许嘉辉</t>
  </si>
  <si>
    <t>13092419820326351X</t>
  </si>
  <si>
    <t>孙沛霖</t>
  </si>
  <si>
    <t>13293019811207531X</t>
  </si>
  <si>
    <t>张琳</t>
  </si>
  <si>
    <t>130921198012143022</t>
  </si>
  <si>
    <t>张强</t>
  </si>
  <si>
    <t>130983199710275536</t>
  </si>
  <si>
    <t>齐静</t>
  </si>
  <si>
    <t>130983199405140328</t>
  </si>
  <si>
    <t>白艳焕</t>
  </si>
  <si>
    <t>132930198004252227</t>
  </si>
  <si>
    <t>赵真真</t>
  </si>
  <si>
    <t>130983198810080926</t>
  </si>
  <si>
    <t>转正调薪</t>
  </si>
  <si>
    <t>张巧慧</t>
  </si>
  <si>
    <t>130924198906184244</t>
  </si>
  <si>
    <t>刘小雪</t>
  </si>
  <si>
    <t>13092419911205424X</t>
  </si>
  <si>
    <t>李梦同</t>
  </si>
  <si>
    <t>132930199612020520</t>
  </si>
  <si>
    <t>张馀林</t>
  </si>
  <si>
    <t>130924199207164214</t>
  </si>
  <si>
    <t>于磊磊</t>
  </si>
  <si>
    <t>133030198101315498</t>
  </si>
  <si>
    <t>陈晓晴</t>
  </si>
  <si>
    <t>130983199305180023</t>
  </si>
  <si>
    <t>崔鑫</t>
  </si>
  <si>
    <t>370782199611121627</t>
  </si>
  <si>
    <t>初会勇</t>
  </si>
  <si>
    <t>370728197001283496</t>
  </si>
  <si>
    <t>销售服务科-现场</t>
  </si>
  <si>
    <t>固定薪酬</t>
  </si>
  <si>
    <t>王砚兵</t>
  </si>
  <si>
    <t>370728197103050212</t>
  </si>
  <si>
    <t>赵洪升</t>
  </si>
  <si>
    <t>371121198109251515</t>
  </si>
  <si>
    <t>王克杰</t>
  </si>
  <si>
    <t>370983198801063395</t>
  </si>
  <si>
    <t>芦建军</t>
  </si>
  <si>
    <t>370122196808177197</t>
  </si>
  <si>
    <t>万传志</t>
  </si>
  <si>
    <t>340505195712201215</t>
  </si>
  <si>
    <t>张镁凤</t>
  </si>
  <si>
    <t>360202198603173042</t>
  </si>
  <si>
    <t>离职清算</t>
  </si>
  <si>
    <t>李伟</t>
  </si>
  <si>
    <t>130903198411290318</t>
  </si>
  <si>
    <t>运营管理部</t>
  </si>
  <si>
    <t>张亚霖</t>
  </si>
  <si>
    <t>132930199002011811</t>
  </si>
  <si>
    <t>制造管理部-后勤</t>
  </si>
  <si>
    <t>李贵林</t>
  </si>
  <si>
    <t>372324198709253216</t>
  </si>
  <si>
    <t>赵化胜</t>
  </si>
  <si>
    <t>37292219820802479X</t>
  </si>
  <si>
    <t>李泉林</t>
  </si>
  <si>
    <t>37232419780708321X</t>
  </si>
  <si>
    <t>制造管理部-喷涂车间</t>
  </si>
  <si>
    <t>古帅</t>
  </si>
  <si>
    <t>130626199101032615</t>
  </si>
  <si>
    <t>褚文吉</t>
  </si>
  <si>
    <t>130983198503111817</t>
  </si>
  <si>
    <t>刘柏林</t>
  </si>
  <si>
    <t>132930199409233512</t>
  </si>
  <si>
    <t>制造管理部-组装车间</t>
  </si>
  <si>
    <t>车间</t>
  </si>
  <si>
    <t>总工时</t>
  </si>
  <si>
    <t>5S及奖惩</t>
  </si>
  <si>
    <t>王朋</t>
  </si>
  <si>
    <t>130983199403201617</t>
  </si>
  <si>
    <t>涂装工</t>
  </si>
  <si>
    <t>王冠文</t>
  </si>
  <si>
    <t>130983199611302818</t>
  </si>
  <si>
    <t>滕红玲</t>
  </si>
  <si>
    <t>132930197910072426</t>
  </si>
  <si>
    <t>刘洪荣</t>
  </si>
  <si>
    <t>132930197704042445</t>
  </si>
  <si>
    <t>白丽霞</t>
  </si>
  <si>
    <t>132930198105155020</t>
  </si>
  <si>
    <t>注塑工</t>
  </si>
  <si>
    <t>邓海旺</t>
  </si>
  <si>
    <t>13098319971108167x</t>
  </si>
  <si>
    <t>高建芳</t>
  </si>
  <si>
    <t>130924198011184227</t>
  </si>
  <si>
    <t>吴金凤</t>
  </si>
  <si>
    <t>132934198102141526</t>
  </si>
  <si>
    <t>许志飞</t>
  </si>
  <si>
    <t>130924200302083514</t>
  </si>
  <si>
    <t>张占利</t>
  </si>
  <si>
    <t>13293419750911092x</t>
  </si>
  <si>
    <t>杨宝亮</t>
  </si>
  <si>
    <t>132934198205293514</t>
  </si>
  <si>
    <t>辅助工</t>
  </si>
  <si>
    <t>刘宝臣</t>
  </si>
  <si>
    <t>130924199905103216</t>
  </si>
  <si>
    <t>刘贺</t>
  </si>
  <si>
    <t>220821198701024826</t>
  </si>
  <si>
    <t>王金来</t>
  </si>
  <si>
    <t>130983198703063936</t>
  </si>
  <si>
    <t>韩胜利</t>
  </si>
  <si>
    <t>220581198111061213</t>
  </si>
  <si>
    <t>郑艳红</t>
  </si>
  <si>
    <t>132930198111202823</t>
  </si>
  <si>
    <t>田高峰</t>
  </si>
  <si>
    <t>132930199202191116</t>
  </si>
  <si>
    <t>入职定薪</t>
  </si>
  <si>
    <t>胡占伟</t>
  </si>
  <si>
    <t>13293019940201371X</t>
  </si>
  <si>
    <t>检验员</t>
  </si>
  <si>
    <t>赵云香</t>
  </si>
  <si>
    <t>132930197209050085</t>
  </si>
  <si>
    <t>刘瑜</t>
  </si>
  <si>
    <t>13098319860907142X</t>
  </si>
  <si>
    <t>组装工</t>
  </si>
  <si>
    <t>滕志勇</t>
  </si>
  <si>
    <t>130983199909282418</t>
  </si>
  <si>
    <t>白月</t>
  </si>
  <si>
    <t>132930197709123543</t>
  </si>
  <si>
    <t>陈淑贞</t>
  </si>
  <si>
    <t>132930198012132225</t>
  </si>
  <si>
    <t>滕令驹</t>
  </si>
  <si>
    <t>130921199502202018</t>
  </si>
  <si>
    <t>曹延祥</t>
  </si>
  <si>
    <t>132930197510085535</t>
  </si>
  <si>
    <t>张猛</t>
  </si>
  <si>
    <t>130983199810300516</t>
  </si>
  <si>
    <t>王秀翠</t>
  </si>
  <si>
    <t>132930198203281629</t>
  </si>
  <si>
    <t>后视镜班组长</t>
  </si>
  <si>
    <t>刘海凤</t>
  </si>
  <si>
    <t>132930197710082240</t>
  </si>
  <si>
    <t>张静</t>
  </si>
  <si>
    <t>132930198111021627</t>
  </si>
  <si>
    <t>刘芹</t>
  </si>
  <si>
    <t>132930198602103520</t>
  </si>
  <si>
    <t>姚秀玲</t>
  </si>
  <si>
    <t>130983198403012221</t>
  </si>
  <si>
    <t>组装工兼质检</t>
  </si>
  <si>
    <t>孙桂平</t>
  </si>
  <si>
    <t>130983198402051421</t>
  </si>
  <si>
    <t>李跃茹</t>
  </si>
  <si>
    <t>132930198206270722</t>
  </si>
  <si>
    <t>刘二平</t>
  </si>
  <si>
    <t>130983198401251421</t>
  </si>
  <si>
    <t>齐迁菲</t>
  </si>
  <si>
    <t>130924198908123541</t>
  </si>
  <si>
    <t>董广新</t>
  </si>
  <si>
    <t>130983199604133016</t>
  </si>
  <si>
    <t>高换清</t>
  </si>
  <si>
    <t>130930198801133923</t>
  </si>
  <si>
    <t>张立霞</t>
  </si>
  <si>
    <t>130983198407232221</t>
  </si>
  <si>
    <t>邓淑荣</t>
  </si>
  <si>
    <t>132930197706291621</t>
  </si>
  <si>
    <t>李春花</t>
  </si>
  <si>
    <t>132930197907180928</t>
  </si>
  <si>
    <t>张爽</t>
  </si>
  <si>
    <t>130930198803203323</t>
  </si>
  <si>
    <t>李勇</t>
  </si>
  <si>
    <t>130930199703143911</t>
  </si>
  <si>
    <t>许龙涛</t>
  </si>
  <si>
    <t>130930200004123319</t>
  </si>
  <si>
    <t>康淑玲</t>
  </si>
  <si>
    <t>130983199101045022</t>
  </si>
  <si>
    <t>邓竣译</t>
  </si>
  <si>
    <t>130983200002201611</t>
  </si>
  <si>
    <t>李冲冲</t>
  </si>
  <si>
    <t>13098319930310537X</t>
  </si>
  <si>
    <t>检测</t>
  </si>
  <si>
    <t>性别</t>
  </si>
  <si>
    <t>工资方式</t>
  </si>
  <si>
    <t>分类1</t>
  </si>
  <si>
    <t>分类2</t>
  </si>
  <si>
    <t>分类6</t>
  </si>
  <si>
    <t>银行卡号</t>
  </si>
  <si>
    <t>银行</t>
  </si>
  <si>
    <t>李金榜</t>
  </si>
  <si>
    <t>130983198906192017</t>
  </si>
  <si>
    <t>√</t>
  </si>
  <si>
    <t>制造管理部</t>
  </si>
  <si>
    <t>设备维修</t>
  </si>
  <si>
    <t>男</t>
  </si>
  <si>
    <t>固定工资</t>
  </si>
  <si>
    <t>制造费用</t>
  </si>
  <si>
    <t>组装</t>
  </si>
  <si>
    <t>制造费用+组装</t>
  </si>
  <si>
    <t>间接成本</t>
  </si>
  <si>
    <t>制造人员</t>
  </si>
  <si>
    <t>厂内人员</t>
  </si>
  <si>
    <t>6212660101204014130</t>
  </si>
  <si>
    <t>财务经理</t>
  </si>
  <si>
    <t>女</t>
  </si>
  <si>
    <t>管理费用</t>
  </si>
  <si>
    <t>财务</t>
  </si>
  <si>
    <t>管理费用+财务</t>
  </si>
  <si>
    <t>管理人员</t>
  </si>
  <si>
    <t>6214220101208884388</t>
  </si>
  <si>
    <t>采购经理</t>
  </si>
  <si>
    <t>6214220101205384762</t>
  </si>
  <si>
    <t>13092419820326351x</t>
  </si>
  <si>
    <t>生管部长</t>
  </si>
  <si>
    <t>生管</t>
  </si>
  <si>
    <t>管理费用+生管</t>
  </si>
  <si>
    <t>6214220101205279384</t>
  </si>
  <si>
    <t>运营管理</t>
  </si>
  <si>
    <t>运营</t>
  </si>
  <si>
    <t>管理费用+运营</t>
  </si>
  <si>
    <t>6214220101207762775</t>
  </si>
  <si>
    <t>灯镜零部件库管员</t>
  </si>
  <si>
    <t>注塑</t>
  </si>
  <si>
    <t>制造费用+注塑</t>
  </si>
  <si>
    <t>6214220101207840159</t>
  </si>
  <si>
    <t>计划兼调度</t>
  </si>
  <si>
    <t>6214220106200295707</t>
  </si>
  <si>
    <t>厨师</t>
  </si>
  <si>
    <t>综合</t>
  </si>
  <si>
    <t>管理费用+综合</t>
  </si>
  <si>
    <t>辅助人员</t>
  </si>
  <si>
    <t>6214220101205379820</t>
  </si>
  <si>
    <t>人事主管</t>
  </si>
  <si>
    <t>6214220126200026472</t>
  </si>
  <si>
    <t>滕绍举</t>
  </si>
  <si>
    <t>13098320000702241X</t>
  </si>
  <si>
    <t>生产成本</t>
  </si>
  <si>
    <t>生产成本+注塑</t>
  </si>
  <si>
    <t>直接成本</t>
  </si>
  <si>
    <t>生产人员</t>
  </si>
  <si>
    <t>6214220101206106651</t>
  </si>
  <si>
    <t>班组长</t>
  </si>
  <si>
    <t>生产成本+组装</t>
  </si>
  <si>
    <t>组装车间</t>
  </si>
  <si>
    <t>6214220101205382121</t>
  </si>
  <si>
    <t>吴蕾</t>
  </si>
  <si>
    <t>130983199205022247</t>
  </si>
  <si>
    <t>补盲镜</t>
  </si>
  <si>
    <t>计件工资+计时工资</t>
  </si>
  <si>
    <t>6214220101206619794</t>
  </si>
  <si>
    <t>6214220101205490098</t>
  </si>
  <si>
    <t>6214220101205379184</t>
  </si>
  <si>
    <t>乘用车</t>
  </si>
  <si>
    <t>6214220101205379671</t>
  </si>
  <si>
    <t>6214220101205386361</t>
  </si>
  <si>
    <t>6214220101205378665</t>
  </si>
  <si>
    <t>6214220101205378657</t>
  </si>
  <si>
    <t>6214220101205266308</t>
  </si>
  <si>
    <t>6214220101205491393</t>
  </si>
  <si>
    <t>6214220101205378640</t>
  </si>
  <si>
    <t>6214220101205385330</t>
  </si>
  <si>
    <t>6214220101207603573</t>
  </si>
  <si>
    <t>6214220101206920432</t>
  </si>
  <si>
    <t>6214220101207778854</t>
  </si>
  <si>
    <t>重卡线</t>
  </si>
  <si>
    <t>6214220101205385199</t>
  </si>
  <si>
    <t>6214220101205942197</t>
  </si>
  <si>
    <t>6214220101205385280</t>
  </si>
  <si>
    <t>6214220101205383178</t>
  </si>
  <si>
    <t>王钰源</t>
  </si>
  <si>
    <t>130983199903083514</t>
  </si>
  <si>
    <t>6214220101205940324</t>
  </si>
  <si>
    <t>王爱臣</t>
  </si>
  <si>
    <t>132930197605201826</t>
  </si>
  <si>
    <t>6214220101207051161</t>
  </si>
  <si>
    <t>6214220101207778243</t>
  </si>
  <si>
    <t>6214220101205786669</t>
  </si>
  <si>
    <t>6214220101207475477</t>
  </si>
  <si>
    <t>赵斌</t>
  </si>
  <si>
    <t>140181199805032815</t>
  </si>
  <si>
    <t>6214220101208529355</t>
  </si>
  <si>
    <t>6214220101208176801</t>
  </si>
  <si>
    <t>孟利花</t>
  </si>
  <si>
    <t>410923199410026627</t>
  </si>
  <si>
    <t>6214220101208597246</t>
  </si>
  <si>
    <t>仓库上料工</t>
  </si>
  <si>
    <t>6214220101205384739</t>
  </si>
  <si>
    <t>喷涂</t>
  </si>
  <si>
    <t>生产成本+喷涂</t>
  </si>
  <si>
    <t>涂装车间</t>
  </si>
  <si>
    <t>6214220101206056856</t>
  </si>
  <si>
    <t>包装</t>
  </si>
  <si>
    <t>6214220101206057672</t>
  </si>
  <si>
    <t>点磨</t>
  </si>
  <si>
    <t>6214220101205538235</t>
  </si>
  <si>
    <t>点漆</t>
  </si>
  <si>
    <t>6214220101205943765</t>
  </si>
  <si>
    <t>复检</t>
  </si>
  <si>
    <t>6214220101206057979</t>
  </si>
  <si>
    <t>田钊珲</t>
  </si>
  <si>
    <t>130983199802045316</t>
  </si>
  <si>
    <t>抛光</t>
  </si>
  <si>
    <t>6214220101208795808</t>
  </si>
  <si>
    <t>喷涂技师</t>
  </si>
  <si>
    <t>6214220101207603417</t>
  </si>
  <si>
    <t>李芝</t>
  </si>
  <si>
    <t>230221199006133020</t>
  </si>
  <si>
    <t>上挂</t>
  </si>
  <si>
    <t>6214220101207780413</t>
  </si>
  <si>
    <t>董连芳</t>
  </si>
  <si>
    <t>132930198103135018</t>
  </si>
  <si>
    <t>装箱</t>
  </si>
  <si>
    <t>6214220101207779548</t>
  </si>
  <si>
    <t>戴姆勒服务（驻外）</t>
  </si>
  <si>
    <t>销售费用</t>
  </si>
  <si>
    <t>销售</t>
  </si>
  <si>
    <t>销售费用+销售</t>
  </si>
  <si>
    <t>驻外人员</t>
  </si>
  <si>
    <t>厂外人员</t>
  </si>
  <si>
    <t>6227000012080794298</t>
  </si>
  <si>
    <t>现场服务</t>
  </si>
  <si>
    <t>不计入成本</t>
  </si>
  <si>
    <t>6230942340001917523</t>
  </si>
  <si>
    <t>山东服务</t>
  </si>
  <si>
    <t>6217001700010230116</t>
  </si>
  <si>
    <t>景德镇服务</t>
  </si>
  <si>
    <t>6217002040006120958</t>
  </si>
  <si>
    <t>陈彪</t>
  </si>
  <si>
    <t>130924199803104218</t>
  </si>
  <si>
    <t>越野车服务（驻外）</t>
  </si>
  <si>
    <t>6217000010060304279</t>
  </si>
  <si>
    <t>刘明明</t>
  </si>
  <si>
    <t>370828198204155419</t>
  </si>
  <si>
    <t>诸城服务</t>
  </si>
  <si>
    <t>6217002200022296048</t>
  </si>
  <si>
    <t>6214220101204642715</t>
  </si>
  <si>
    <t>6214220101206209380</t>
  </si>
  <si>
    <t>滕文骥</t>
  </si>
  <si>
    <t>130983200204262412</t>
  </si>
  <si>
    <t>架模工</t>
  </si>
  <si>
    <t>6214220101206149651</t>
  </si>
  <si>
    <t>模具维修</t>
  </si>
  <si>
    <t>6214220101205943203</t>
  </si>
  <si>
    <t>王立新</t>
  </si>
  <si>
    <t>132930197705101136</t>
  </si>
  <si>
    <t>6214220101205942221</t>
  </si>
  <si>
    <t>滕祥旭</t>
  </si>
  <si>
    <t>130983198910052412</t>
  </si>
  <si>
    <t>调机员</t>
  </si>
  <si>
    <t>6214220101203555025</t>
  </si>
  <si>
    <t>6214220101205384721</t>
  </si>
  <si>
    <t>史文娟</t>
  </si>
  <si>
    <t>140311199811261229</t>
  </si>
  <si>
    <t>6214220101208529363</t>
  </si>
  <si>
    <t>张艳</t>
  </si>
  <si>
    <t>522422198704025821</t>
  </si>
  <si>
    <t>科长</t>
  </si>
  <si>
    <t>销售人员</t>
  </si>
  <si>
    <t>6214220101208650110</t>
  </si>
  <si>
    <t>统计员</t>
  </si>
  <si>
    <t>6214220101206471220</t>
  </si>
  <si>
    <t>济南销售主管</t>
  </si>
  <si>
    <t>6217000010054470128</t>
  </si>
  <si>
    <t>五征服务</t>
  </si>
  <si>
    <t>6227002240062513216</t>
  </si>
  <si>
    <t>济南服务</t>
  </si>
  <si>
    <t>6217002340038860138</t>
  </si>
  <si>
    <t>6217002200029235759</t>
  </si>
  <si>
    <t>奥铃工厂市场服务</t>
  </si>
  <si>
    <t>6227002201604698972</t>
  </si>
  <si>
    <t>诸城服务（驻外）</t>
  </si>
  <si>
    <t>6236682200001442388</t>
  </si>
  <si>
    <t>ERP录入员</t>
  </si>
  <si>
    <t>研发费用</t>
  </si>
  <si>
    <t>研发费用+生管</t>
  </si>
  <si>
    <t>研发人员</t>
  </si>
  <si>
    <t>6214220101205537971</t>
  </si>
  <si>
    <t>涂装工程师</t>
  </si>
  <si>
    <t>质量</t>
  </si>
  <si>
    <t>研发费用+质量</t>
  </si>
  <si>
    <t>6214220101207778219</t>
  </si>
  <si>
    <t>质量工程师兼体系认证</t>
  </si>
  <si>
    <t>6214220101205490593</t>
  </si>
  <si>
    <t>6214220101205939607</t>
  </si>
  <si>
    <t>质量工程师兼SQE事项</t>
  </si>
  <si>
    <t>6214220101205386312</t>
  </si>
  <si>
    <t>赵玉臣</t>
  </si>
  <si>
    <t>132930196612212211</t>
  </si>
  <si>
    <t>质量总工</t>
  </si>
  <si>
    <t>6214220101205491369</t>
  </si>
  <si>
    <t>喷涂车间主任</t>
  </si>
  <si>
    <t>制造科室</t>
  </si>
  <si>
    <t>研发费用+制造科室</t>
  </si>
  <si>
    <t>6214220101206208879</t>
  </si>
  <si>
    <t>仓库主管</t>
  </si>
  <si>
    <t>制造费用+喷涂</t>
  </si>
  <si>
    <t>6214220101205492920</t>
  </si>
  <si>
    <t>韩文亮</t>
  </si>
  <si>
    <t>130983199302085530</t>
  </si>
  <si>
    <t>6214220101205848170</t>
  </si>
  <si>
    <t>张竞文</t>
  </si>
  <si>
    <t>132930199511104725</t>
  </si>
  <si>
    <t>镜杆库+注塑原材料库</t>
  </si>
  <si>
    <t>6214220123200067887</t>
  </si>
  <si>
    <t>注塑自制件库管员</t>
  </si>
  <si>
    <t>6214220101208529173</t>
  </si>
  <si>
    <t>张姣</t>
  </si>
  <si>
    <t>130983199510161120</t>
  </si>
  <si>
    <t>6214220101208528720</t>
  </si>
  <si>
    <t>副部长</t>
  </si>
  <si>
    <t>制造</t>
  </si>
  <si>
    <t>管理费用+制造</t>
  </si>
  <si>
    <t>6214220101205382683</t>
  </si>
  <si>
    <t>注塑车间主任</t>
  </si>
  <si>
    <t>6217855000046935714</t>
  </si>
  <si>
    <t>商啸东</t>
  </si>
  <si>
    <t>130983199812222216</t>
  </si>
  <si>
    <t>6214220101208888025</t>
  </si>
  <si>
    <t>6214220101208886086</t>
  </si>
  <si>
    <t>刘建民</t>
  </si>
  <si>
    <t>130983199601055016</t>
  </si>
  <si>
    <t>6214220101205854913</t>
  </si>
  <si>
    <t>6214220101209042408</t>
  </si>
  <si>
    <t>刘继辉</t>
  </si>
  <si>
    <t>130983199907072839</t>
  </si>
  <si>
    <t>6214220126200027496</t>
  </si>
  <si>
    <t>刘晋</t>
  </si>
  <si>
    <t>132930199503213710</t>
  </si>
  <si>
    <t>6214220126200018685</t>
  </si>
  <si>
    <t>6214220101204683388</t>
  </si>
  <si>
    <t>赵骏</t>
  </si>
  <si>
    <t>130983199802052217</t>
  </si>
  <si>
    <t>6214220101208887613</t>
  </si>
  <si>
    <t>董辰晓</t>
  </si>
  <si>
    <t>132930199104240519</t>
  </si>
  <si>
    <t>6214220101208889304</t>
  </si>
  <si>
    <t>霍洪彬</t>
  </si>
  <si>
    <t>130983199812113730</t>
  </si>
  <si>
    <t>6214220101208888736</t>
  </si>
  <si>
    <t>李绍政</t>
  </si>
  <si>
    <t>130983199902072813</t>
  </si>
  <si>
    <t>6214220101208888744</t>
  </si>
  <si>
    <t>尚红宇</t>
  </si>
  <si>
    <t>130983199202063035</t>
  </si>
  <si>
    <t>6214220101208889163</t>
  </si>
  <si>
    <t>6214220101208763525</t>
  </si>
  <si>
    <t>6214220126200086724</t>
  </si>
  <si>
    <t>6214220101208765496</t>
  </si>
  <si>
    <t>郑达</t>
  </si>
  <si>
    <t>130983200007133013</t>
  </si>
  <si>
    <t>6214220101208888470</t>
  </si>
  <si>
    <t>6214220101208598814</t>
  </si>
  <si>
    <t>6214220101206034580</t>
  </si>
  <si>
    <t>6214220126200027736</t>
  </si>
  <si>
    <t>李鹏</t>
  </si>
  <si>
    <t>120109199005205074</t>
  </si>
  <si>
    <t>6214220101208867888</t>
  </si>
  <si>
    <t>左伟呈</t>
  </si>
  <si>
    <t>130930199912293617</t>
  </si>
  <si>
    <t>6214220101206615685</t>
  </si>
  <si>
    <t>张浩翔</t>
  </si>
  <si>
    <t>130983200106281839</t>
  </si>
  <si>
    <t>6214220101209096016</t>
  </si>
  <si>
    <t>6214220101209042457</t>
  </si>
  <si>
    <t>6214220101204683792</t>
  </si>
  <si>
    <t>付智辉</t>
  </si>
  <si>
    <t>13092419861117054x</t>
  </si>
  <si>
    <t>库管员</t>
  </si>
  <si>
    <t>6214220101208909425</t>
  </si>
  <si>
    <t>6214220101209100016</t>
  </si>
  <si>
    <t>白红霞</t>
  </si>
  <si>
    <t>132930198902044729</t>
  </si>
  <si>
    <t>6214220101209097915</t>
  </si>
  <si>
    <t>吴春雷</t>
  </si>
  <si>
    <t>130983198605150016</t>
  </si>
  <si>
    <t>质量管理工程师</t>
  </si>
  <si>
    <t>6214220101208974635</t>
  </si>
  <si>
    <t>采购文员</t>
  </si>
  <si>
    <t>6214220101209130948</t>
  </si>
  <si>
    <t>6214220101208659855</t>
  </si>
  <si>
    <t>滕巨泰</t>
  </si>
  <si>
    <t>130983199801072419</t>
  </si>
  <si>
    <t>电工</t>
  </si>
  <si>
    <t>6214220101209250134</t>
  </si>
  <si>
    <t>6214220101209098459</t>
  </si>
  <si>
    <t>6214220101209132456</t>
  </si>
  <si>
    <t>刘红晨</t>
  </si>
  <si>
    <t>130924199112024243</t>
  </si>
  <si>
    <t>6214220101209162941</t>
  </si>
  <si>
    <t>6214220101209130716</t>
  </si>
  <si>
    <t>6214220101205975205</t>
  </si>
  <si>
    <t>6214220101209250670</t>
  </si>
  <si>
    <t>卢志昭</t>
  </si>
  <si>
    <t>411122198107200051</t>
  </si>
  <si>
    <t>6217000140016542100</t>
  </si>
  <si>
    <t>6214220101209303529</t>
  </si>
  <si>
    <t>王明</t>
  </si>
  <si>
    <t>110222198106151212</t>
  </si>
  <si>
    <t>6215340300003144889</t>
  </si>
  <si>
    <t>直接人员</t>
  </si>
  <si>
    <t>6214220101209474247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</si>
  <si>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.非生产人员，生产人员工资表的格式（表头）不允许改变。</t>
    </r>
  </si>
  <si>
    <t>2.当得到非生产人员，生产人员工资后，不要改变格式，全部拷贝到相应表格位置。</t>
  </si>
  <si>
    <t>3.将非生产人员，生产人员姓名拷贝到本月员工基本信息的B列。</t>
  </si>
  <si>
    <t>4.检查工资表第二行是否正确。如有错误，请及时查找。</t>
  </si>
  <si>
    <t>5.员工基本信息当发生变化时应该及时更新。</t>
  </si>
  <si>
    <t>请输入月份：</t>
  </si>
  <si>
    <t>部门/工段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</si>
  <si>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</si>
  <si>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</si>
  <si>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</si>
  <si>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</si>
  <si>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</si>
  <si>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</si>
  <si>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</si>
  <si>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</si>
  <si>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</si>
  <si>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</si>
  <si>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</si>
  <si>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</si>
  <si>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</si>
  <si>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8月与7月相关数字比较</t>
  </si>
  <si>
    <t>后视镜</t>
  </si>
  <si>
    <t>喷涂车间</t>
  </si>
  <si>
    <t>总和</t>
  </si>
  <si>
    <t>环比</t>
  </si>
  <si>
    <t>销售收入</t>
  </si>
  <si>
    <t>增加</t>
  </si>
  <si>
    <t>产值</t>
  </si>
  <si>
    <t>计划</t>
  </si>
  <si>
    <t>实际占计划</t>
  </si>
  <si>
    <t>工资
占比</t>
  </si>
  <si>
    <t>工资总额占销售收入的</t>
  </si>
  <si>
    <t>工资总额占产值的</t>
  </si>
  <si>
    <t>保险总额</t>
  </si>
  <si>
    <t>保险
占比</t>
  </si>
  <si>
    <t>保险占工资总额的</t>
  </si>
  <si>
    <t>保险占销售收入的</t>
  </si>
  <si>
    <t>保险占产值的</t>
  </si>
  <si>
    <t xml:space="preserve">                         制表人：                                                  财务总监复核：                                                      总经理核准：                                         </t>
  </si>
  <si>
    <t>厂内/厂外</t>
  </si>
  <si>
    <t>人员分类</t>
  </si>
  <si>
    <t>跨车间
作业</t>
  </si>
  <si>
    <t>夜餐补助</t>
  </si>
  <si>
    <t>话费补助</t>
  </si>
  <si>
    <t>工伤补助</t>
  </si>
  <si>
    <t>上模/装架子</t>
  </si>
  <si>
    <t>现场5S及宿舍卫生</t>
  </si>
  <si>
    <t>焊工证扣款扣款</t>
  </si>
  <si>
    <t>出差未报
财务扣款</t>
  </si>
  <si>
    <t>财务扣款</t>
  </si>
  <si>
    <t>驻外管理</t>
  </si>
  <si>
    <t xml:space="preserve">CHECK </t>
  </si>
  <si>
    <t xml:space="preserve">       制表：                                          财务总监复核：                                              总经理批准：</t>
  </si>
  <si>
    <t>本月平均/上月平均%</t>
  </si>
  <si>
    <t>差额</t>
  </si>
  <si>
    <t>原因分析</t>
  </si>
  <si>
    <t>7月离职人员人数拉低平均工资</t>
  </si>
  <si>
    <t>7月有分摊人员</t>
  </si>
  <si>
    <t>员工转正，出勤环比上升</t>
  </si>
  <si>
    <t>员工出勤环比增长</t>
  </si>
  <si>
    <t>总计（元）</t>
  </si>
  <si>
    <t xml:space="preserve">                 制表：高福玲                  部长复核：                 财务总监复核 ：                   批准：</t>
  </si>
  <si>
    <t xml:space="preserve">上月检查CHECK </t>
  </si>
  <si>
    <t xml:space="preserve">本月检查CHECK </t>
  </si>
  <si>
    <t xml:space="preserve">                 制表：                                                   财务总监复核 ：                                           总经理批准：</t>
  </si>
  <si>
    <t>高延林扣一双劳保鞋</t>
  </si>
  <si>
    <t>王海超扣一套工作服</t>
  </si>
  <si>
    <t>科目1</t>
  </si>
  <si>
    <t>科目2</t>
  </si>
  <si>
    <t>科目3</t>
  </si>
  <si>
    <t>科目4</t>
  </si>
  <si>
    <t>求和项:应发工资</t>
  </si>
  <si>
    <t>(空白)</t>
  </si>
  <si>
    <t>总计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</si>
</sst>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_ "/>
    <numFmt numFmtId="177" formatCode="_ * #,##0.00_ ;_ * \-#,##0.00_ ;_ * &quot;-&quot;??.00_ ;_ @_ "/>
    <numFmt numFmtId="178" formatCode="0_);[Red]\(0\)"/>
    <numFmt numFmtId="179" formatCode="0.00_);[Red]\(0.00\)"/>
    <numFmt numFmtId="180" formatCode="_ \¥* #,##0.00_ ;_ \¥* \-#,##0.00_ ;_ \¥* &quot;-&quot;??_ ;_ @_ "/>
    <numFmt numFmtId="181" formatCode="_ * #,##0_ ;_ * \-#,##0_ ;_ * &quot;-&quot;??_ ;_ @_ "/>
    <numFmt numFmtId="182" formatCode="0.00_ "/>
    <numFmt numFmtId="183" formatCode="#,##0.00_);[Red]\(#,##0.00\)"/>
    <numFmt numFmtId="184" formatCode="#,##0.00_ "/>
    <numFmt numFmtId="185" formatCode="0.0_ "/>
  </numFmts>
  <fonts count="75">
    <font>
      <sz val="11"/>
      <color indexed="8"/>
      <name val="宋体"/>
      <charset val="134"/>
    </font>
    <font>
      <sz val="10"/>
      <name val="宋体"/>
      <charset val="134"/>
    </font>
    <font>
      <sz val="8"/>
      <color indexed="8"/>
      <name val="宋体"/>
      <charset val="134"/>
    </font>
    <font>
      <sz val="8"/>
      <name val="微软雅黑"/>
      <charset val="134"/>
    </font>
    <font>
      <b/>
      <sz val="8"/>
      <name val="微软雅黑"/>
      <charset val="134"/>
    </font>
    <font>
      <sz val="8"/>
      <name val="Arial"/>
      <charset val="134"/>
    </font>
    <font>
      <b/>
      <sz val="8"/>
      <name val="Arial"/>
      <charset val="134"/>
    </font>
    <font>
      <sz val="12"/>
      <name val="微软雅黑"/>
      <charset val="134"/>
    </font>
    <font>
      <b/>
      <sz val="24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4"/>
      <name val="微软雅黑"/>
      <charset val="134"/>
    </font>
    <font>
      <sz val="14"/>
      <color rgb="FF000000"/>
      <name val="宋体"/>
      <charset val="134"/>
    </font>
    <font>
      <b/>
      <sz val="20"/>
      <name val="微软雅黑"/>
      <charset val="134"/>
    </font>
    <font>
      <sz val="9"/>
      <name val="微软雅黑"/>
      <charset val="134"/>
    </font>
    <font>
      <b/>
      <sz val="16"/>
      <name val="微软雅黑"/>
      <charset val="134"/>
    </font>
    <font>
      <b/>
      <sz val="14"/>
      <name val="微软雅黑"/>
      <charset val="134"/>
    </font>
    <font>
      <u/>
      <sz val="9"/>
      <name val="微软雅黑"/>
      <charset val="134"/>
    </font>
    <font>
      <b/>
      <u/>
      <sz val="12"/>
      <name val="微软雅黑"/>
      <charset val="134"/>
    </font>
    <font>
      <sz val="10"/>
      <color rgb="FF000000"/>
      <name val="宋体"/>
      <charset val="134"/>
    </font>
    <font>
      <sz val="9"/>
      <color indexed="8"/>
      <name val="微软雅黑"/>
      <charset val="134"/>
    </font>
    <font>
      <b/>
      <sz val="11"/>
      <color indexed="8"/>
      <name val="宋体"/>
      <charset val="134"/>
    </font>
    <font>
      <b/>
      <sz val="9"/>
      <name val="微软雅黑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0"/>
      <name val="Arial"/>
      <charset val="134"/>
    </font>
    <font>
      <b/>
      <sz val="36"/>
      <name val="微软雅黑"/>
      <charset val="134"/>
    </font>
    <font>
      <b/>
      <sz val="50"/>
      <name val="微软雅黑"/>
      <charset val="134"/>
    </font>
    <font>
      <b/>
      <sz val="15"/>
      <name val="微软雅黑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0"/>
      <color theme="1"/>
      <name val="宋体"/>
      <charset val="134"/>
      <scheme val="minor"/>
    </font>
    <font>
      <sz val="10"/>
      <name val="MS Sans Serif"/>
      <charset val="134"/>
    </font>
    <font>
      <sz val="9"/>
      <name val="宋体"/>
      <charset val="134"/>
    </font>
    <font>
      <b/>
      <sz val="9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3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866">
    <xf numFmtId="0" fontId="0" fillId="0" borderId="0">
      <alignment vertical="center"/>
    </xf>
    <xf numFmtId="0" fontId="36" fillId="12" borderId="0" applyNumberFormat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3" fillId="38" borderId="26" applyNumberFormat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28" fillId="0" borderId="0"/>
    <xf numFmtId="0" fontId="43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0" fillId="50" borderId="30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0" borderId="0"/>
    <xf numFmtId="0" fontId="59" fillId="16" borderId="26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61" fillId="47" borderId="29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62" fillId="0" borderId="31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64" fillId="0" borderId="32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43" fillId="5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3" fillId="61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3" fillId="6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9" fontId="28" fillId="0" borderId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65" fillId="0" borderId="33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70" fillId="0" borderId="35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28" fillId="0" borderId="0"/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0" borderId="0"/>
    <xf numFmtId="0" fontId="65" fillId="0" borderId="33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42" borderId="28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71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28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8" fillId="0" borderId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28" fillId="0" borderId="0"/>
    <xf numFmtId="0" fontId="0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28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28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8" fillId="0" borderId="0">
      <alignment vertical="center"/>
    </xf>
    <xf numFmtId="0" fontId="68" fillId="28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8" fillId="0" borderId="0"/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28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28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18" borderId="21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28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28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28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28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28" fillId="0" borderId="0">
      <alignment vertical="center"/>
    </xf>
    <xf numFmtId="0" fontId="44" fillId="18" borderId="21" applyNumberFormat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28" fillId="0" borderId="0"/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28" fillId="0" borderId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28" fillId="0" borderId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28" fillId="0" borderId="0">
      <alignment vertical="center"/>
    </xf>
    <xf numFmtId="0" fontId="65" fillId="0" borderId="33" applyNumberFormat="0" applyFill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33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1" fillId="0" borderId="34" applyNumberFormat="0" applyFill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42" borderId="28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7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68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68" fillId="28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42" borderId="28" applyNumberFormat="0" applyFont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42" borderId="28" applyNumberFormat="0" applyFont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42" borderId="28" applyNumberFormat="0" applyFont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48" fillId="3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48" fillId="3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48" fillId="3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68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20" borderId="22" applyNumberFormat="0" applyAlignment="0" applyProtection="0">
      <alignment vertical="center"/>
    </xf>
    <xf numFmtId="0" fontId="28" fillId="0" borderId="0">
      <alignment vertical="center"/>
    </xf>
    <xf numFmtId="0" fontId="28" fillId="42" borderId="28" applyNumberFormat="0" applyFon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28" fillId="0" borderId="0"/>
    <xf numFmtId="0" fontId="28" fillId="42" borderId="28" applyNumberFormat="0" applyFon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28" fillId="0" borderId="0"/>
    <xf numFmtId="0" fontId="48" fillId="32" borderId="0" applyNumberFormat="0" applyBorder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48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48" fillId="32" borderId="0" applyNumberFormat="0" applyBorder="0" applyAlignment="0" applyProtection="0">
      <alignment vertical="center"/>
    </xf>
    <xf numFmtId="0" fontId="28" fillId="0" borderId="0"/>
    <xf numFmtId="0" fontId="28" fillId="42" borderId="28" applyNumberFormat="0" applyFont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42" borderId="28" applyNumberFormat="0" applyFon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28" fillId="0" borderId="0">
      <alignment vertical="center"/>
    </xf>
    <xf numFmtId="0" fontId="28" fillId="42" borderId="28" applyNumberFormat="0" applyFont="0" applyAlignment="0" applyProtection="0">
      <alignment vertical="center"/>
    </xf>
    <xf numFmtId="0" fontId="28" fillId="0" borderId="0"/>
    <xf numFmtId="0" fontId="28" fillId="42" borderId="28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42" borderId="28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0" fillId="0" borderId="35" applyNumberFormat="0" applyFill="0" applyAlignment="0" applyProtection="0">
      <alignment vertical="center"/>
    </xf>
    <xf numFmtId="0" fontId="28" fillId="0" borderId="0"/>
    <xf numFmtId="0" fontId="7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70" fillId="0" borderId="35" applyNumberFormat="0" applyFill="0" applyAlignment="0" applyProtection="0">
      <alignment vertical="center"/>
    </xf>
    <xf numFmtId="0" fontId="28" fillId="0" borderId="0"/>
    <xf numFmtId="0" fontId="7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7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7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180" fontId="28" fillId="0" borderId="0" applyFont="0" applyFill="0" applyBorder="0" applyAlignment="0" applyProtection="0"/>
    <xf numFmtId="0" fontId="28" fillId="42" borderId="28" applyNumberFormat="0" applyFont="0" applyAlignment="0" applyProtection="0">
      <alignment vertical="center"/>
    </xf>
    <xf numFmtId="180" fontId="28" fillId="0" borderId="0" applyFont="0" applyFill="0" applyBorder="0" applyAlignment="0" applyProtection="0"/>
    <xf numFmtId="0" fontId="55" fillId="31" borderId="22" applyNumberFormat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31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4" fillId="18" borderId="21" applyNumberForma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1" fillId="0" borderId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7" fillId="31" borderId="23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28" fillId="42" borderId="28" applyNumberFormat="0" applyFont="0" applyAlignment="0" applyProtection="0">
      <alignment vertical="center"/>
    </xf>
    <xf numFmtId="0" fontId="72" fillId="0" borderId="0"/>
  </cellStyleXfs>
  <cellXfs count="2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399" applyFont="1" applyFill="1">
      <alignment vertical="center"/>
    </xf>
    <xf numFmtId="43" fontId="3" fillId="0" borderId="0" xfId="1399" applyNumberFormat="1" applyFont="1" applyFill="1" applyAlignment="1">
      <alignment horizontal="center" vertical="center"/>
    </xf>
    <xf numFmtId="179" fontId="4" fillId="0" borderId="1" xfId="1399" applyNumberFormat="1" applyFont="1" applyFill="1" applyBorder="1" applyAlignment="1">
      <alignment horizontal="center" vertical="center"/>
    </xf>
    <xf numFmtId="43" fontId="4" fillId="0" borderId="1" xfId="1399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6" fillId="0" borderId="1" xfId="1399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7" fillId="0" borderId="0" xfId="431" applyFont="1" applyFill="1" applyAlignment="1">
      <alignment horizontal="center" vertical="center"/>
    </xf>
    <xf numFmtId="0" fontId="7" fillId="0" borderId="0" xfId="431" applyFont="1" applyFill="1"/>
    <xf numFmtId="0" fontId="7" fillId="0" borderId="0" xfId="431" applyFont="1" applyFill="1" applyAlignment="1">
      <alignment horizontal="left"/>
    </xf>
    <xf numFmtId="0" fontId="8" fillId="0" borderId="0" xfId="431" applyFont="1" applyFill="1" applyAlignment="1">
      <alignment horizontal="center" vertical="top"/>
    </xf>
    <xf numFmtId="0" fontId="9" fillId="0" borderId="2" xfId="431" applyFont="1" applyFill="1" applyBorder="1" applyAlignment="1">
      <alignment horizontal="center" vertical="center" wrapText="1"/>
    </xf>
    <xf numFmtId="0" fontId="9" fillId="0" borderId="3" xfId="431" applyFont="1" applyFill="1" applyBorder="1" applyAlignment="1">
      <alignment horizontal="center" vertical="center" wrapText="1"/>
    </xf>
    <xf numFmtId="0" fontId="10" fillId="0" borderId="4" xfId="431" applyFont="1" applyFill="1" applyBorder="1" applyAlignment="1">
      <alignment horizontal="center" vertical="center" wrapText="1"/>
    </xf>
    <xf numFmtId="177" fontId="10" fillId="0" borderId="1" xfId="19" applyNumberFormat="1" applyFont="1" applyFill="1" applyBorder="1" applyAlignment="1">
      <alignment horizontal="center" vertical="center"/>
    </xf>
    <xf numFmtId="41" fontId="10" fillId="0" borderId="1" xfId="431" applyNumberFormat="1" applyFont="1" applyFill="1" applyBorder="1" applyAlignment="1">
      <alignment horizontal="center" vertical="center"/>
    </xf>
    <xf numFmtId="9" fontId="10" fillId="0" borderId="1" xfId="38" applyFont="1" applyFill="1" applyBorder="1" applyAlignment="1">
      <alignment horizontal="center" vertical="center"/>
    </xf>
    <xf numFmtId="0" fontId="10" fillId="0" borderId="5" xfId="431" applyFont="1" applyFill="1" applyBorder="1" applyAlignment="1">
      <alignment horizontal="center" vertical="center" wrapText="1"/>
    </xf>
    <xf numFmtId="177" fontId="9" fillId="0" borderId="6" xfId="19" applyNumberFormat="1" applyFont="1" applyFill="1" applyBorder="1" applyAlignment="1">
      <alignment horizontal="center" vertical="center" wrapText="1"/>
    </xf>
    <xf numFmtId="181" fontId="9" fillId="0" borderId="6" xfId="19" applyNumberFormat="1" applyFont="1" applyFill="1" applyBorder="1" applyAlignment="1">
      <alignment horizontal="center" vertical="center" wrapText="1"/>
    </xf>
    <xf numFmtId="181" fontId="9" fillId="0" borderId="6" xfId="19" applyNumberFormat="1" applyFont="1" applyFill="1" applyBorder="1" applyAlignment="1">
      <alignment vertical="center" wrapText="1"/>
    </xf>
    <xf numFmtId="9" fontId="10" fillId="0" borderId="6" xfId="38" applyFont="1" applyFill="1" applyBorder="1" applyAlignment="1">
      <alignment horizontal="center" vertical="center"/>
    </xf>
    <xf numFmtId="0" fontId="7" fillId="0" borderId="0" xfId="431" applyFont="1" applyFill="1" applyBorder="1" applyAlignment="1">
      <alignment horizontal="left"/>
    </xf>
    <xf numFmtId="0" fontId="11" fillId="0" borderId="0" xfId="431" applyFont="1" applyFill="1" applyAlignment="1">
      <alignment horizontal="left"/>
    </xf>
    <xf numFmtId="182" fontId="7" fillId="0" borderId="0" xfId="431" applyNumberFormat="1" applyFont="1" applyFill="1"/>
    <xf numFmtId="0" fontId="12" fillId="0" borderId="0" xfId="0" applyFont="1">
      <alignment vertical="center"/>
    </xf>
    <xf numFmtId="0" fontId="13" fillId="0" borderId="0" xfId="431" applyFont="1" applyFill="1" applyAlignment="1">
      <alignment vertical="center"/>
    </xf>
    <xf numFmtId="0" fontId="7" fillId="0" borderId="3" xfId="431" applyFont="1" applyFill="1" applyBorder="1" applyAlignment="1">
      <alignment horizontal="center" vertical="center"/>
    </xf>
    <xf numFmtId="0" fontId="7" fillId="0" borderId="7" xfId="431" applyFont="1" applyFill="1" applyBorder="1" applyAlignment="1">
      <alignment horizontal="center" vertical="center"/>
    </xf>
    <xf numFmtId="179" fontId="10" fillId="0" borderId="1" xfId="38" applyNumberFormat="1" applyFont="1" applyFill="1" applyBorder="1" applyAlignment="1">
      <alignment horizontal="center" vertical="center"/>
    </xf>
    <xf numFmtId="0" fontId="7" fillId="0" borderId="8" xfId="431" applyFont="1" applyFill="1" applyBorder="1" applyAlignment="1">
      <alignment horizontal="left" vertical="center"/>
    </xf>
    <xf numFmtId="0" fontId="7" fillId="0" borderId="8" xfId="431" applyFont="1" applyFill="1" applyBorder="1" applyAlignment="1">
      <alignment horizontal="left" vertical="center" wrapText="1"/>
    </xf>
    <xf numFmtId="179" fontId="10" fillId="0" borderId="6" xfId="38" applyNumberFormat="1" applyFont="1" applyFill="1" applyBorder="1" applyAlignment="1">
      <alignment horizontal="center" vertical="center"/>
    </xf>
    <xf numFmtId="0" fontId="7" fillId="0" borderId="9" xfId="431" applyFont="1" applyFill="1" applyBorder="1" applyAlignment="1">
      <alignment horizontal="center" vertical="center"/>
    </xf>
    <xf numFmtId="0" fontId="7" fillId="0" borderId="10" xfId="431" applyFont="1" applyFill="1" applyBorder="1" applyAlignment="1">
      <alignment horizontal="center" vertical="center"/>
    </xf>
    <xf numFmtId="0" fontId="7" fillId="0" borderId="0" xfId="431" applyFont="1" applyFill="1" applyAlignment="1">
      <alignment horizontal="left" vertical="center"/>
    </xf>
    <xf numFmtId="43" fontId="14" fillId="0" borderId="9" xfId="431" applyNumberFormat="1" applyFont="1" applyFill="1" applyBorder="1" applyAlignment="1">
      <alignment vertical="center"/>
    </xf>
    <xf numFmtId="182" fontId="7" fillId="0" borderId="0" xfId="431" applyNumberFormat="1" applyFont="1" applyFill="1" applyAlignment="1">
      <alignment horizontal="left"/>
    </xf>
    <xf numFmtId="0" fontId="10" fillId="0" borderId="0" xfId="431" applyFont="1" applyFill="1" applyBorder="1" applyAlignment="1"/>
    <xf numFmtId="179" fontId="9" fillId="0" borderId="0" xfId="1399" applyNumberFormat="1" applyFont="1" applyFill="1" applyBorder="1" applyAlignment="1">
      <alignment horizontal="center" vertical="center" wrapText="1"/>
    </xf>
    <xf numFmtId="181" fontId="10" fillId="0" borderId="0" xfId="431" applyNumberFormat="1" applyFont="1" applyFill="1" applyBorder="1" applyAlignment="1"/>
    <xf numFmtId="0" fontId="0" fillId="0" borderId="0" xfId="0" applyFont="1" applyFill="1">
      <alignment vertical="center"/>
    </xf>
    <xf numFmtId="0" fontId="15" fillId="0" borderId="0" xfId="431" applyFont="1" applyFill="1" applyAlignment="1">
      <alignment horizontal="center" vertical="center"/>
    </xf>
    <xf numFmtId="179" fontId="9" fillId="0" borderId="1" xfId="1399" applyNumberFormat="1" applyFont="1" applyFill="1" applyBorder="1" applyAlignment="1" applyProtection="1">
      <alignment horizontal="center" vertical="center" wrapText="1"/>
      <protection locked="0"/>
    </xf>
    <xf numFmtId="179" fontId="9" fillId="0" borderId="1" xfId="1399" applyNumberFormat="1" applyFont="1" applyFill="1" applyBorder="1" applyAlignment="1">
      <alignment horizontal="center" vertical="center" wrapText="1"/>
    </xf>
    <xf numFmtId="43" fontId="9" fillId="0" borderId="1" xfId="19" applyNumberFormat="1" applyFont="1" applyFill="1" applyBorder="1" applyAlignment="1">
      <alignment horizontal="center" vertical="center" wrapText="1"/>
    </xf>
    <xf numFmtId="181" fontId="9" fillId="0" borderId="1" xfId="1399" applyNumberFormat="1" applyFont="1" applyFill="1" applyBorder="1" applyAlignment="1">
      <alignment horizontal="center" vertical="center" wrapText="1"/>
    </xf>
    <xf numFmtId="0" fontId="10" fillId="0" borderId="11" xfId="431" applyFont="1" applyFill="1" applyBorder="1" applyAlignment="1">
      <alignment horizontal="center" vertical="center"/>
    </xf>
    <xf numFmtId="181" fontId="10" fillId="0" borderId="1" xfId="19" applyNumberFormat="1" applyFont="1" applyFill="1" applyBorder="1" applyAlignment="1">
      <alignment horizontal="center" vertical="center"/>
    </xf>
    <xf numFmtId="0" fontId="10" fillId="0" borderId="1" xfId="431" applyFont="1" applyFill="1" applyBorder="1" applyAlignment="1">
      <alignment horizontal="center" vertical="center"/>
    </xf>
    <xf numFmtId="0" fontId="10" fillId="0" borderId="1" xfId="431" applyFont="1" applyFill="1" applyBorder="1" applyAlignment="1">
      <alignment horizontal="center" vertical="center" wrapText="1"/>
    </xf>
    <xf numFmtId="0" fontId="9" fillId="0" borderId="1" xfId="431" applyFont="1" applyFill="1" applyBorder="1" applyAlignment="1">
      <alignment horizontal="center" vertical="center" wrapText="1"/>
    </xf>
    <xf numFmtId="181" fontId="9" fillId="0" borderId="1" xfId="19" applyNumberFormat="1" applyFont="1" applyFill="1" applyBorder="1" applyAlignment="1">
      <alignment horizontal="center" vertical="center"/>
    </xf>
    <xf numFmtId="177" fontId="9" fillId="0" borderId="1" xfId="19" applyNumberFormat="1" applyFont="1" applyFill="1" applyBorder="1" applyAlignment="1">
      <alignment horizontal="center" vertical="center"/>
    </xf>
    <xf numFmtId="177" fontId="9" fillId="0" borderId="1" xfId="431" applyNumberFormat="1" applyFont="1" applyFill="1" applyBorder="1" applyAlignment="1">
      <alignment horizontal="center" vertical="center"/>
    </xf>
    <xf numFmtId="181" fontId="10" fillId="0" borderId="1" xfId="19" applyNumberFormat="1" applyFont="1" applyFill="1" applyBorder="1" applyAlignment="1">
      <alignment horizontal="center" vertical="center" wrapText="1"/>
    </xf>
    <xf numFmtId="177" fontId="10" fillId="0" borderId="1" xfId="19" applyNumberFormat="1" applyFont="1" applyFill="1" applyBorder="1" applyAlignment="1">
      <alignment horizontal="center" vertical="center" wrapText="1"/>
    </xf>
    <xf numFmtId="0" fontId="9" fillId="0" borderId="1" xfId="431" applyFont="1" applyFill="1" applyBorder="1" applyAlignment="1">
      <alignment horizontal="center" vertical="center"/>
    </xf>
    <xf numFmtId="181" fontId="9" fillId="0" borderId="1" xfId="431" applyNumberFormat="1" applyFont="1" applyFill="1" applyBorder="1" applyAlignment="1">
      <alignment horizontal="center" vertical="center"/>
    </xf>
    <xf numFmtId="0" fontId="10" fillId="0" borderId="0" xfId="431" applyFont="1" applyFill="1" applyBorder="1" applyAlignment="1">
      <alignment horizontal="center" vertical="center"/>
    </xf>
    <xf numFmtId="43" fontId="10" fillId="0" borderId="0" xfId="431" applyNumberFormat="1" applyFont="1" applyFill="1" applyBorder="1" applyAlignment="1">
      <alignment horizontal="center" vertical="center"/>
    </xf>
    <xf numFmtId="181" fontId="10" fillId="0" borderId="0" xfId="431" applyNumberFormat="1" applyFont="1" applyFill="1" applyBorder="1" applyAlignment="1">
      <alignment horizontal="center" vertical="center"/>
    </xf>
    <xf numFmtId="0" fontId="16" fillId="0" borderId="0" xfId="431" applyFont="1" applyFill="1" applyBorder="1" applyAlignment="1"/>
    <xf numFmtId="0" fontId="7" fillId="0" borderId="0" xfId="1441" applyFont="1" applyAlignment="1">
      <alignment horizontal="center" vertical="center"/>
    </xf>
    <xf numFmtId="0" fontId="11" fillId="0" borderId="0" xfId="1441" applyFont="1" applyAlignment="1">
      <alignment horizontal="center" vertical="center"/>
    </xf>
    <xf numFmtId="0" fontId="14" fillId="0" borderId="0" xfId="1441" applyFont="1" applyAlignment="1">
      <alignment horizontal="center" vertical="center"/>
    </xf>
    <xf numFmtId="0" fontId="7" fillId="0" borderId="0" xfId="1441" applyFont="1"/>
    <xf numFmtId="0" fontId="7" fillId="0" borderId="0" xfId="1441" applyFont="1" applyAlignment="1">
      <alignment horizontal="center"/>
    </xf>
    <xf numFmtId="0" fontId="13" fillId="0" borderId="0" xfId="1441" applyFont="1" applyAlignment="1">
      <alignment horizontal="center" vertical="center"/>
    </xf>
    <xf numFmtId="0" fontId="11" fillId="0" borderId="1" xfId="1441" applyFont="1" applyBorder="1" applyAlignment="1">
      <alignment horizontal="center" vertical="center" wrapText="1"/>
    </xf>
    <xf numFmtId="0" fontId="7" fillId="0" borderId="12" xfId="1441" applyFont="1" applyBorder="1" applyAlignment="1">
      <alignment horizontal="center" vertical="center" wrapText="1"/>
    </xf>
    <xf numFmtId="0" fontId="7" fillId="0" borderId="13" xfId="1441" applyFont="1" applyBorder="1" applyAlignment="1">
      <alignment horizontal="center" vertical="center" wrapText="1"/>
    </xf>
    <xf numFmtId="0" fontId="7" fillId="0" borderId="14" xfId="1441" applyFont="1" applyBorder="1" applyAlignment="1">
      <alignment horizontal="center" vertical="center" wrapText="1"/>
    </xf>
    <xf numFmtId="0" fontId="7" fillId="0" borderId="1" xfId="1441" applyFont="1" applyBorder="1" applyAlignment="1">
      <alignment horizontal="center" vertical="center" wrapText="1"/>
    </xf>
    <xf numFmtId="0" fontId="14" fillId="0" borderId="1" xfId="1441" applyFont="1" applyBorder="1" applyAlignment="1">
      <alignment horizontal="center" vertical="center" wrapText="1"/>
    </xf>
    <xf numFmtId="4" fontId="14" fillId="0" borderId="12" xfId="1441" applyNumberFormat="1" applyFont="1" applyFill="1" applyBorder="1" applyAlignment="1" applyProtection="1">
      <alignment horizontal="center" vertical="center" wrapText="1"/>
    </xf>
    <xf numFmtId="4" fontId="14" fillId="0" borderId="13" xfId="1441" applyNumberFormat="1" applyFont="1" applyFill="1" applyBorder="1" applyAlignment="1" applyProtection="1">
      <alignment horizontal="center" vertical="center" wrapText="1"/>
    </xf>
    <xf numFmtId="4" fontId="14" fillId="0" borderId="14" xfId="1441" applyNumberFormat="1" applyFont="1" applyFill="1" applyBorder="1" applyAlignment="1" applyProtection="1">
      <alignment horizontal="center" vertical="center" wrapText="1"/>
    </xf>
    <xf numFmtId="10" fontId="17" fillId="0" borderId="1" xfId="1441" applyNumberFormat="1" applyFont="1" applyBorder="1" applyAlignment="1">
      <alignment horizontal="center" vertical="center" wrapText="1"/>
    </xf>
    <xf numFmtId="4" fontId="14" fillId="0" borderId="1" xfId="1441" applyNumberFormat="1" applyFont="1" applyFill="1" applyBorder="1" applyAlignment="1" applyProtection="1">
      <alignment horizontal="center" vertical="center" wrapText="1"/>
    </xf>
    <xf numFmtId="183" fontId="14" fillId="0" borderId="1" xfId="1441" applyNumberFormat="1" applyFont="1" applyBorder="1" applyAlignment="1">
      <alignment horizontal="center" vertical="center" wrapText="1"/>
    </xf>
    <xf numFmtId="0" fontId="14" fillId="0" borderId="1" xfId="1441" applyFont="1" applyFill="1" applyBorder="1" applyAlignment="1">
      <alignment horizontal="center" vertical="center" wrapText="1"/>
    </xf>
    <xf numFmtId="10" fontId="17" fillId="0" borderId="1" xfId="1441" applyNumberFormat="1" applyFont="1" applyFill="1" applyBorder="1" applyAlignment="1">
      <alignment horizontal="center" vertical="center" wrapText="1"/>
    </xf>
    <xf numFmtId="0" fontId="14" fillId="0" borderId="12" xfId="1441" applyFont="1" applyFill="1" applyBorder="1" applyAlignment="1">
      <alignment horizontal="center" vertical="center" wrapText="1"/>
    </xf>
    <xf numFmtId="10" fontId="14" fillId="0" borderId="12" xfId="1441" applyNumberFormat="1" applyFont="1" applyFill="1" applyBorder="1" applyAlignment="1">
      <alignment horizontal="center" vertical="center" wrapText="1"/>
    </xf>
    <xf numFmtId="10" fontId="14" fillId="0" borderId="14" xfId="1441" applyNumberFormat="1" applyFont="1" applyFill="1" applyBorder="1" applyAlignment="1">
      <alignment horizontal="center" vertical="center" wrapText="1"/>
    </xf>
    <xf numFmtId="0" fontId="16" fillId="0" borderId="0" xfId="1441" applyFont="1" applyBorder="1" applyAlignment="1">
      <alignment horizontal="right" vertical="center" wrapText="1"/>
    </xf>
    <xf numFmtId="0" fontId="16" fillId="0" borderId="0" xfId="1441" applyFont="1" applyFill="1" applyBorder="1" applyAlignment="1">
      <alignment horizontal="right" vertical="center" wrapText="1"/>
    </xf>
    <xf numFmtId="10" fontId="18" fillId="0" borderId="0" xfId="1441" applyNumberFormat="1" applyFont="1" applyFill="1" applyBorder="1" applyAlignment="1">
      <alignment horizontal="left" vertical="center" wrapText="1"/>
    </xf>
    <xf numFmtId="0" fontId="7" fillId="0" borderId="0" xfId="1441" applyFont="1" applyBorder="1" applyAlignment="1">
      <alignment horizontal="center" vertical="center"/>
    </xf>
    <xf numFmtId="0" fontId="7" fillId="0" borderId="0" xfId="1441" applyFont="1" applyAlignment="1">
      <alignment horizontal="left" vertical="center"/>
    </xf>
    <xf numFmtId="0" fontId="13" fillId="0" borderId="0" xfId="1441" applyFont="1" applyAlignment="1">
      <alignment vertical="center"/>
    </xf>
    <xf numFmtId="10" fontId="14" fillId="0" borderId="1" xfId="1441" applyNumberFormat="1" applyFont="1" applyBorder="1" applyAlignment="1">
      <alignment horizontal="center" vertical="center"/>
    </xf>
    <xf numFmtId="182" fontId="14" fillId="0" borderId="1" xfId="1441" applyNumberFormat="1" applyFont="1" applyBorder="1" applyAlignment="1">
      <alignment horizontal="center" vertical="center" wrapText="1"/>
    </xf>
    <xf numFmtId="0" fontId="17" fillId="0" borderId="1" xfId="1441" applyFont="1" applyBorder="1" applyAlignment="1">
      <alignment horizontal="center" vertical="center" wrapText="1"/>
    </xf>
    <xf numFmtId="0" fontId="14" fillId="0" borderId="1" xfId="1441" applyFont="1" applyFill="1" applyBorder="1" applyAlignment="1">
      <alignment horizontal="center" vertical="center" wrapText="1" shrinkToFit="1"/>
    </xf>
    <xf numFmtId="10" fontId="14" fillId="0" borderId="0" xfId="1441" applyNumberFormat="1" applyFont="1" applyAlignment="1">
      <alignment horizontal="center" vertical="center"/>
    </xf>
    <xf numFmtId="0" fontId="14" fillId="0" borderId="15" xfId="1441" applyFont="1" applyBorder="1" applyAlignment="1">
      <alignment horizontal="center" vertical="center" wrapText="1"/>
    </xf>
    <xf numFmtId="0" fontId="14" fillId="0" borderId="16" xfId="1441" applyFont="1" applyBorder="1" applyAlignment="1">
      <alignment horizontal="center" vertical="center" wrapText="1"/>
    </xf>
    <xf numFmtId="10" fontId="17" fillId="0" borderId="12" xfId="1441" applyNumberFormat="1" applyFont="1" applyFill="1" applyBorder="1" applyAlignment="1">
      <alignment horizontal="center" vertical="center" wrapText="1"/>
    </xf>
    <xf numFmtId="10" fontId="17" fillId="0" borderId="14" xfId="1441" applyNumberFormat="1" applyFont="1" applyFill="1" applyBorder="1" applyAlignment="1">
      <alignment horizontal="center" vertical="center" wrapText="1"/>
    </xf>
    <xf numFmtId="0" fontId="14" fillId="0" borderId="11" xfId="1441" applyFont="1" applyBorder="1" applyAlignment="1">
      <alignment horizontal="center" vertical="center" wrapText="1"/>
    </xf>
    <xf numFmtId="0" fontId="19" fillId="0" borderId="0" xfId="1441" applyFont="1"/>
    <xf numFmtId="10" fontId="18" fillId="0" borderId="0" xfId="1441" applyNumberFormat="1" applyFont="1" applyFill="1" applyAlignment="1">
      <alignment horizontal="left" vertical="center" wrapText="1"/>
    </xf>
    <xf numFmtId="0" fontId="7" fillId="0" borderId="0" xfId="1441" applyFont="1" applyFill="1" applyAlignment="1">
      <alignment horizontal="center" vertical="center"/>
    </xf>
    <xf numFmtId="0" fontId="20" fillId="0" borderId="0" xfId="0" applyFont="1">
      <alignment vertical="center"/>
    </xf>
    <xf numFmtId="0" fontId="20" fillId="3" borderId="0" xfId="0" applyFont="1" applyFill="1">
      <alignment vertical="center"/>
    </xf>
    <xf numFmtId="0" fontId="0" fillId="0" borderId="0" xfId="0" applyFont="1">
      <alignment vertical="center"/>
    </xf>
    <xf numFmtId="0" fontId="0" fillId="4" borderId="0" xfId="0" applyFont="1" applyFill="1">
      <alignment vertical="center"/>
    </xf>
    <xf numFmtId="0" fontId="0" fillId="4" borderId="0" xfId="0" applyFill="1">
      <alignment vertical="center"/>
    </xf>
    <xf numFmtId="0" fontId="0" fillId="3" borderId="17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Protection="1">
      <alignment vertical="center"/>
      <protection locked="0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7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Alignment="1" applyProtection="1">
      <alignment horizontal="center" vertical="center"/>
      <protection locked="0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left"/>
    </xf>
    <xf numFmtId="179" fontId="24" fillId="0" borderId="0" xfId="0" applyNumberFormat="1" applyFont="1" applyFill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49" fontId="23" fillId="8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3" fillId="8" borderId="1" xfId="0" applyFont="1" applyFill="1" applyBorder="1" applyAlignment="1">
      <alignment horizontal="left" vertical="center"/>
    </xf>
    <xf numFmtId="179" fontId="24" fillId="0" borderId="1" xfId="0" applyNumberFormat="1" applyFont="1" applyFill="1" applyBorder="1" applyAlignment="1">
      <alignment horizontal="center" vertical="center"/>
    </xf>
    <xf numFmtId="179" fontId="24" fillId="0" borderId="1" xfId="0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5" fillId="9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5" xfId="0" applyFill="1" applyBorder="1">
      <alignment vertical="center"/>
    </xf>
    <xf numFmtId="179" fontId="24" fillId="0" borderId="15" xfId="0" applyNumberFormat="1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3" fillId="0" borderId="1" xfId="0" applyNumberFormat="1" applyFont="1" applyFill="1" applyBorder="1" applyAlignment="1" applyProtection="1">
      <alignment horizontal="left" vertical="center"/>
    </xf>
    <xf numFmtId="0" fontId="24" fillId="0" borderId="12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Alignment="1" applyProtection="1">
      <alignment vertical="center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182" fontId="24" fillId="0" borderId="0" xfId="0" applyNumberFormat="1" applyFont="1" applyFill="1" applyAlignment="1" applyProtection="1">
      <alignment vertical="center"/>
      <protection locked="0"/>
    </xf>
    <xf numFmtId="43" fontId="1" fillId="0" borderId="0" xfId="0" applyNumberFormat="1" applyFont="1" applyFill="1" applyBorder="1" applyAlignment="1" applyProtection="1">
      <alignment horizontal="center" vertical="center"/>
      <protection locked="0"/>
    </xf>
    <xf numFmtId="43" fontId="1" fillId="0" borderId="0" xfId="0" applyNumberFormat="1" applyFont="1" applyFill="1" applyBorder="1" applyAlignment="1" applyProtection="1">
      <alignment horizontal="right" vertical="center"/>
      <protection locked="0"/>
    </xf>
    <xf numFmtId="43" fontId="1" fillId="0" borderId="0" xfId="0" applyNumberFormat="1" applyFont="1" applyFill="1" applyAlignment="1" applyProtection="1">
      <alignment horizontal="right" vertical="center"/>
      <protection locked="0"/>
    </xf>
    <xf numFmtId="43" fontId="1" fillId="0" borderId="0" xfId="0" applyNumberFormat="1" applyFont="1" applyFill="1" applyAlignment="1" applyProtection="1">
      <alignment horizontal="center" vertical="center"/>
      <protection locked="0"/>
    </xf>
    <xf numFmtId="182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14" xfId="0" applyNumberFormat="1" applyFont="1" applyFill="1" applyBorder="1" applyAlignment="1" applyProtection="1">
      <alignment horizontal="center" vertical="center"/>
      <protection locked="0"/>
    </xf>
    <xf numFmtId="182" fontId="27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Fill="1" applyBorder="1" applyAlignment="1" applyProtection="1">
      <alignment horizontal="center" vertical="center"/>
    </xf>
    <xf numFmtId="182" fontId="1" fillId="0" borderId="14" xfId="0" applyNumberFormat="1" applyFont="1" applyFill="1" applyBorder="1" applyAlignment="1" applyProtection="1">
      <alignment horizontal="center" vertical="center"/>
    </xf>
    <xf numFmtId="43" fontId="27" fillId="0" borderId="14" xfId="0" applyNumberFormat="1" applyFont="1" applyFill="1" applyBorder="1" applyAlignment="1" applyProtection="1">
      <alignment horizontal="center" vertical="center"/>
      <protection locked="0"/>
    </xf>
    <xf numFmtId="43" fontId="27" fillId="0" borderId="1" xfId="0" applyNumberFormat="1" applyFont="1" applyFill="1" applyBorder="1" applyAlignment="1" applyProtection="1">
      <alignment horizontal="center" vertical="center"/>
      <protection locked="0"/>
    </xf>
    <xf numFmtId="43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14" xfId="0" applyNumberFormat="1" applyFont="1" applyFill="1" applyBorder="1" applyAlignment="1" applyProtection="1">
      <alignment horizontal="center" vertical="center"/>
    </xf>
    <xf numFmtId="43" fontId="1" fillId="0" borderId="1" xfId="0" applyNumberFormat="1" applyFont="1" applyFill="1" applyBorder="1" applyAlignment="1" applyProtection="1">
      <alignment horizontal="center" vertical="center"/>
    </xf>
    <xf numFmtId="184" fontId="1" fillId="0" borderId="1" xfId="0" applyNumberFormat="1" applyFont="1" applyFill="1" applyBorder="1" applyAlignment="1" applyProtection="1">
      <alignment horizontal="right" vertical="center"/>
    </xf>
    <xf numFmtId="184" fontId="1" fillId="0" borderId="1" xfId="0" applyNumberFormat="1" applyFont="1" applyFill="1" applyBorder="1" applyAlignment="1" applyProtection="1">
      <alignment horizontal="center" vertical="center"/>
    </xf>
    <xf numFmtId="18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wrapText="1"/>
    </xf>
    <xf numFmtId="0" fontId="28" fillId="3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horizontal="left"/>
    </xf>
    <xf numFmtId="185" fontId="28" fillId="0" borderId="0" xfId="0" applyNumberFormat="1" applyFont="1" applyFill="1" applyAlignment="1"/>
    <xf numFmtId="176" fontId="28" fillId="0" borderId="0" xfId="0" applyNumberFormat="1" applyFont="1" applyFill="1" applyAlignment="1"/>
    <xf numFmtId="182" fontId="28" fillId="0" borderId="0" xfId="0" applyNumberFormat="1" applyFont="1" applyFill="1" applyAlignment="1"/>
    <xf numFmtId="182" fontId="28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185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left" vertical="center"/>
      <protection locked="0"/>
    </xf>
    <xf numFmtId="185" fontId="1" fillId="3" borderId="1" xfId="0" applyNumberFormat="1" applyFont="1" applyFill="1" applyBorder="1" applyAlignment="1" applyProtection="1">
      <alignment horizontal="center" vertical="center"/>
      <protection locked="0"/>
    </xf>
    <xf numFmtId="176" fontId="1" fillId="3" borderId="1" xfId="0" applyNumberFormat="1" applyFont="1" applyFill="1" applyBorder="1" applyAlignment="1" applyProtection="1">
      <alignment horizontal="center" vertical="center"/>
      <protection locked="0"/>
    </xf>
    <xf numFmtId="185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  <protection locked="0"/>
    </xf>
    <xf numFmtId="182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1" fillId="3" borderId="1" xfId="0" applyNumberFormat="1" applyFont="1" applyFill="1" applyBorder="1" applyAlignment="1" applyProtection="1">
      <alignment horizontal="center" vertical="center"/>
      <protection locked="0"/>
    </xf>
    <xf numFmtId="182" fontId="1" fillId="3" borderId="1" xfId="0" applyNumberFormat="1" applyFont="1" applyFill="1" applyBorder="1" applyAlignment="1" applyProtection="1">
      <alignment horizontal="center" vertical="center"/>
    </xf>
    <xf numFmtId="184" fontId="1" fillId="3" borderId="1" xfId="0" applyNumberFormat="1" applyFont="1" applyFill="1" applyBorder="1" applyAlignment="1" applyProtection="1">
      <alignment horizontal="center" vertical="center"/>
      <protection locked="0"/>
    </xf>
    <xf numFmtId="18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82" fontId="1" fillId="0" borderId="1" xfId="0" applyNumberFormat="1" applyFont="1" applyFill="1" applyBorder="1" applyAlignment="1" applyProtection="1">
      <alignment horizontal="center" vertical="center"/>
    </xf>
    <xf numFmtId="184" fontId="1" fillId="0" borderId="1" xfId="0" applyNumberFormat="1" applyFont="1" applyFill="1" applyBorder="1" applyAlignment="1" applyProtection="1">
      <alignment horizontal="center" vertical="center"/>
      <protection locked="0"/>
    </xf>
    <xf numFmtId="182" fontId="1" fillId="10" borderId="1" xfId="0" applyNumberFormat="1" applyFont="1" applyFill="1" applyBorder="1" applyAlignment="1" applyProtection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3" borderId="1" xfId="0" applyNumberFormat="1" applyFont="1" applyFill="1" applyBorder="1" applyAlignment="1" applyProtection="1">
      <alignment horizontal="center" vertical="center" wrapText="1"/>
    </xf>
    <xf numFmtId="18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1" fillId="11" borderId="1" xfId="0" applyNumberFormat="1" applyFont="1" applyFill="1" applyBorder="1" applyAlignment="1" applyProtection="1">
      <alignment horizontal="center" vertical="center" wrapText="1"/>
      <protection locked="0"/>
    </xf>
    <xf numFmtId="178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3" borderId="1" xfId="0" applyNumberFormat="1" applyFont="1" applyFill="1" applyBorder="1" applyAlignment="1" applyProtection="1">
      <alignment horizontal="center" vertical="center"/>
    </xf>
    <xf numFmtId="17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/>
    <xf numFmtId="0" fontId="1" fillId="0" borderId="1" xfId="0" applyNumberFormat="1" applyFont="1" applyFill="1" applyBorder="1" applyAlignment="1">
      <alignment horizontal="center" vertical="center"/>
    </xf>
    <xf numFmtId="179" fontId="4" fillId="0" borderId="0" xfId="1399" applyNumberFormat="1" applyFont="1" applyFill="1" applyBorder="1" applyAlignment="1">
      <alignment horizontal="center" vertical="center"/>
    </xf>
    <xf numFmtId="179" fontId="6" fillId="0" borderId="0" xfId="1399" applyNumberFormat="1" applyFont="1" applyFill="1" applyBorder="1" applyAlignment="1">
      <alignment horizontal="center" vertical="center"/>
    </xf>
    <xf numFmtId="0" fontId="5" fillId="0" borderId="0" xfId="1399" applyNumberFormat="1" applyFont="1" applyFill="1" applyBorder="1" applyAlignment="1">
      <alignment horizontal="center" vertical="center"/>
    </xf>
    <xf numFmtId="0" fontId="2" fillId="0" borderId="0" xfId="1399" applyFont="1" applyProtection="1">
      <alignment vertical="center"/>
      <protection locked="0"/>
    </xf>
    <xf numFmtId="0" fontId="2" fillId="0" borderId="0" xfId="1399" applyFont="1">
      <alignment vertical="center"/>
    </xf>
    <xf numFmtId="43" fontId="2" fillId="0" borderId="0" xfId="19" applyNumberFormat="1" applyFont="1">
      <alignment vertical="center"/>
    </xf>
    <xf numFmtId="43" fontId="2" fillId="0" borderId="0" xfId="1399" applyNumberFormat="1" applyFont="1">
      <alignment vertical="center"/>
    </xf>
    <xf numFmtId="43" fontId="3" fillId="0" borderId="0" xfId="1399" applyNumberFormat="1" applyFont="1" applyFill="1" applyBorder="1" applyAlignment="1">
      <alignment horizontal="right" vertical="center"/>
    </xf>
    <xf numFmtId="43" fontId="3" fillId="0" borderId="0" xfId="1399" applyNumberFormat="1" applyFont="1" applyFill="1" applyAlignment="1">
      <alignment horizontal="right" vertical="center"/>
    </xf>
    <xf numFmtId="43" fontId="3" fillId="0" borderId="0" xfId="1399" applyNumberFormat="1" applyFont="1" applyFill="1" applyAlignment="1">
      <alignment horizontal="center" vertical="center" wrapText="1"/>
    </xf>
    <xf numFmtId="0" fontId="3" fillId="0" borderId="0" xfId="1399" applyNumberFormat="1" applyFont="1" applyFill="1" applyAlignment="1">
      <alignment horizontal="center" vertical="center"/>
    </xf>
    <xf numFmtId="179" fontId="4" fillId="0" borderId="1" xfId="1399" applyNumberFormat="1" applyFont="1" applyFill="1" applyBorder="1" applyAlignment="1" applyProtection="1">
      <alignment horizontal="center" vertical="center"/>
      <protection locked="0"/>
    </xf>
    <xf numFmtId="43" fontId="4" fillId="0" borderId="1" xfId="19" applyNumberFormat="1" applyFont="1" applyFill="1" applyBorder="1" applyAlignment="1">
      <alignment horizontal="center" vertical="center"/>
    </xf>
    <xf numFmtId="179" fontId="4" fillId="3" borderId="1" xfId="1399" applyNumberFormat="1" applyFont="1" applyFill="1" applyBorder="1" applyAlignment="1" applyProtection="1">
      <alignment horizontal="center" vertical="center"/>
      <protection locked="0"/>
    </xf>
    <xf numFmtId="179" fontId="4" fillId="3" borderId="1" xfId="1399" applyNumberFormat="1" applyFont="1" applyFill="1" applyBorder="1" applyAlignment="1">
      <alignment horizontal="center" vertical="center"/>
    </xf>
    <xf numFmtId="43" fontId="4" fillId="3" borderId="1" xfId="19" applyNumberFormat="1" applyFont="1" applyFill="1" applyBorder="1" applyAlignment="1">
      <alignment horizontal="center" vertical="center"/>
    </xf>
    <xf numFmtId="0" fontId="5" fillId="0" borderId="1" xfId="1399" applyNumberFormat="1" applyFont="1" applyFill="1" applyBorder="1" applyAlignment="1" applyProtection="1">
      <alignment horizontal="center" vertical="center"/>
      <protection locked="0"/>
    </xf>
    <xf numFmtId="179" fontId="6" fillId="0" borderId="1" xfId="1399" applyNumberFormat="1" applyFont="1" applyFill="1" applyBorder="1" applyAlignment="1">
      <alignment horizontal="center" vertical="center"/>
    </xf>
    <xf numFmtId="179" fontId="6" fillId="0" borderId="1" xfId="1399" applyNumberFormat="1" applyFont="1" applyFill="1" applyBorder="1" applyAlignment="1">
      <alignment horizontal="left" vertical="center"/>
    </xf>
    <xf numFmtId="43" fontId="6" fillId="0" borderId="1" xfId="19" applyNumberFormat="1" applyFont="1" applyFill="1" applyBorder="1" applyAlignment="1">
      <alignment horizontal="right" vertical="center"/>
    </xf>
    <xf numFmtId="43" fontId="4" fillId="3" borderId="1" xfId="1399" applyNumberFormat="1" applyFont="1" applyFill="1" applyBorder="1" applyAlignment="1">
      <alignment horizontal="center" vertical="center"/>
    </xf>
    <xf numFmtId="43" fontId="6" fillId="0" borderId="1" xfId="1399" applyNumberFormat="1" applyFont="1" applyFill="1" applyBorder="1" applyAlignment="1">
      <alignment horizontal="center" vertical="center"/>
    </xf>
    <xf numFmtId="179" fontId="4" fillId="0" borderId="14" xfId="1399" applyNumberFormat="1" applyFont="1" applyFill="1" applyBorder="1" applyAlignment="1">
      <alignment horizontal="center" vertical="center"/>
    </xf>
    <xf numFmtId="179" fontId="29" fillId="0" borderId="1" xfId="1399" applyNumberFormat="1" applyFont="1" applyFill="1" applyBorder="1" applyAlignment="1">
      <alignment horizontal="center" vertical="center"/>
    </xf>
    <xf numFmtId="0" fontId="6" fillId="0" borderId="0" xfId="1399" applyNumberFormat="1" applyFont="1" applyFill="1" applyBorder="1" applyAlignment="1">
      <alignment horizontal="center" vertical="center"/>
    </xf>
    <xf numFmtId="49" fontId="30" fillId="0" borderId="0" xfId="81" applyNumberFormat="1" applyFont="1" applyFill="1"/>
    <xf numFmtId="0" fontId="30" fillId="0" borderId="0" xfId="81" applyNumberFormat="1" applyFont="1" applyFill="1"/>
    <xf numFmtId="43" fontId="30" fillId="0" borderId="0" xfId="81" applyNumberFormat="1" applyFont="1" applyFill="1"/>
    <xf numFmtId="0" fontId="30" fillId="0" borderId="0" xfId="81" applyFont="1" applyFill="1"/>
    <xf numFmtId="49" fontId="31" fillId="0" borderId="0" xfId="81" applyNumberFormat="1" applyFont="1" applyFill="1"/>
    <xf numFmtId="0" fontId="31" fillId="0" borderId="0" xfId="81" applyNumberFormat="1" applyFont="1" applyFill="1"/>
    <xf numFmtId="0" fontId="30" fillId="0" borderId="1" xfId="81" applyNumberFormat="1" applyFont="1" applyFill="1" applyBorder="1" applyAlignment="1">
      <alignment horizontal="left"/>
    </xf>
    <xf numFmtId="0" fontId="31" fillId="0" borderId="1" xfId="81" applyNumberFormat="1" applyFont="1" applyFill="1" applyBorder="1" applyAlignment="1">
      <alignment horizontal="center" vertical="center" shrinkToFit="1"/>
    </xf>
    <xf numFmtId="43" fontId="31" fillId="0" borderId="1" xfId="81" applyNumberFormat="1" applyFont="1" applyFill="1" applyBorder="1" applyAlignment="1">
      <alignment horizontal="center" vertical="center"/>
    </xf>
    <xf numFmtId="0" fontId="32" fillId="0" borderId="0" xfId="81" applyFont="1" applyFill="1"/>
    <xf numFmtId="0" fontId="31" fillId="0" borderId="0" xfId="81" applyFont="1" applyFill="1"/>
    <xf numFmtId="0" fontId="30" fillId="0" borderId="1" xfId="81" applyFont="1" applyFill="1" applyBorder="1"/>
    <xf numFmtId="0" fontId="31" fillId="0" borderId="1" xfId="81" applyFont="1" applyFill="1" applyBorder="1"/>
    <xf numFmtId="0" fontId="32" fillId="0" borderId="1" xfId="81" applyFill="1" applyBorder="1"/>
    <xf numFmtId="0" fontId="32" fillId="0" borderId="0" xfId="81" applyFill="1"/>
    <xf numFmtId="0" fontId="7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3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4" fontId="35" fillId="0" borderId="0" xfId="0" applyNumberFormat="1" applyFont="1" applyFill="1" applyBorder="1" applyAlignment="1">
      <alignment horizontal="center"/>
    </xf>
    <xf numFmtId="0" fontId="31" fillId="0" borderId="1" xfId="81" applyNumberFormat="1" applyFont="1" applyFill="1" applyBorder="1" applyAlignment="1" quotePrefix="1">
      <alignment horizontal="center" vertical="center" shrinkToFit="1"/>
    </xf>
    <xf numFmtId="43" fontId="31" fillId="0" borderId="1" xfId="81" applyNumberFormat="1" applyFont="1" applyFill="1" applyBorder="1" applyAlignment="1" quotePrefix="1">
      <alignment horizontal="center" vertical="center"/>
    </xf>
    <xf numFmtId="179" fontId="6" fillId="0" borderId="0" xfId="1399" applyNumberFormat="1" applyFont="1" applyFill="1" applyBorder="1" applyAlignment="1" quotePrefix="1">
      <alignment horizontal="center" vertical="center"/>
    </xf>
    <xf numFmtId="0" fontId="6" fillId="0" borderId="0" xfId="1399" applyNumberFormat="1" applyFont="1" applyFill="1" applyBorder="1" applyAlignment="1" quotePrefix="1">
      <alignment horizontal="center" vertical="center"/>
    </xf>
    <xf numFmtId="49" fontId="1" fillId="3" borderId="1" xfId="0" applyNumberFormat="1" applyFont="1" applyFill="1" applyBorder="1" applyAlignment="1" quotePrefix="1">
      <alignment horizontal="center" vertical="center"/>
    </xf>
    <xf numFmtId="0" fontId="1" fillId="3" borderId="1" xfId="0" applyNumberFormat="1" applyFont="1" applyFill="1" applyBorder="1" applyAlignment="1" applyProtection="1" quotePrefix="1">
      <alignment horizontal="center" vertical="center"/>
      <protection locked="0"/>
    </xf>
    <xf numFmtId="0" fontId="1" fillId="0" borderId="1" xfId="0" applyNumberFormat="1" applyFont="1" applyFill="1" applyBorder="1" applyAlignment="1" applyProtection="1" quotePrefix="1">
      <alignment horizontal="center" vertical="center"/>
      <protection locked="0"/>
    </xf>
    <xf numFmtId="49" fontId="23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4" fillId="0" borderId="1" xfId="0" applyFont="1" applyFill="1" applyBorder="1" applyAlignment="1" quotePrefix="1">
      <alignment horizontal="left" vertical="center"/>
    </xf>
    <xf numFmtId="0" fontId="24" fillId="0" borderId="0" xfId="0" applyFont="1" applyFill="1" applyAlignment="1" quotePrefix="1">
      <alignment horizontal="left" vertical="center"/>
    </xf>
  </cellXfs>
  <cellStyles count="1866">
    <cellStyle name="常规" xfId="0" builtinId="0"/>
    <cellStyle name="强调文字颜色 5 6 2 2" xfId="1"/>
    <cellStyle name="货币[0]" xfId="2" builtinId="7"/>
    <cellStyle name="60% - 强调文字颜色 6 6 3" xfId="3"/>
    <cellStyle name="20% - 强调文字颜色 1 2" xfId="4"/>
    <cellStyle name="20% - 强调文字颜色 3" xfId="5" builtinId="38"/>
    <cellStyle name="20% - 强调文字颜色 6 10 2 2" xfId="6"/>
    <cellStyle name="检查单元格 8 3" xfId="7"/>
    <cellStyle name="强调文字颜色 2 3 2" xfId="8"/>
    <cellStyle name="输入" xfId="9" builtinId="20"/>
    <cellStyle name="60% - 强调文字颜色 1 11" xfId="10"/>
    <cellStyle name="强调文字颜色 2 10 2 2" xfId="11"/>
    <cellStyle name="货币" xfId="12" builtinId="4"/>
    <cellStyle name="40% - 强调文字颜色 4 9 2 2" xfId="13"/>
    <cellStyle name="强调文字颜色 2 11 3" xfId="14"/>
    <cellStyle name="20% - 强调文字颜色 1 6 2 2" xfId="15"/>
    <cellStyle name="千位分隔[0]" xfId="16" builtinId="6"/>
    <cellStyle name="20% - 强调文字颜色 3 6 2 2" xfId="17"/>
    <cellStyle name="常规 7 3" xfId="18"/>
    <cellStyle name="千位分隔" xfId="19" builtinId="3"/>
    <cellStyle name="输入 8 2" xfId="20"/>
    <cellStyle name="60% - 强调文字颜色 2 4 3" xfId="21"/>
    <cellStyle name="20% - 强调文字颜色 4 6 3" xfId="22"/>
    <cellStyle name="60% - 强调文字颜色 1 4 2 2" xfId="23"/>
    <cellStyle name="40% - 强调文字颜色 3" xfId="24" builtinId="39"/>
    <cellStyle name="20% - 强调文字颜色 3 11 2 2" xfId="25"/>
    <cellStyle name="40% - 强调文字颜色 3 5 3" xfId="26"/>
    <cellStyle name="40% - 强调文字颜色 2 5 2 2" xfId="27"/>
    <cellStyle name="强调文字颜色 3 11" xfId="28"/>
    <cellStyle name="差 11 2" xfId="29"/>
    <cellStyle name="差" xfId="30" builtinId="27"/>
    <cellStyle name="常规 12 2 3" xfId="31"/>
    <cellStyle name="60% - 强调文字颜色 3" xfId="32" builtinId="40"/>
    <cellStyle name="40% - 强调文字颜色 5 4 2 2" xfId="33"/>
    <cellStyle name="强调文字颜色 5 3 3" xfId="34"/>
    <cellStyle name="超链接" xfId="35" builtinId="8"/>
    <cellStyle name="20% - 强调文字颜色 1 11" xfId="36"/>
    <cellStyle name="强调文字颜色 4 4 3" xfId="37"/>
    <cellStyle name="百分比" xfId="38" builtinId="5"/>
    <cellStyle name="40% - 强调文字颜色 6 4 2" xfId="39"/>
    <cellStyle name="60% - 强调文字颜色 4 2 2 2" xfId="40"/>
    <cellStyle name="已访问的超链接" xfId="41" builtinId="9"/>
    <cellStyle name="20% - 强调文字颜色 6 4 2 2" xfId="42"/>
    <cellStyle name="20% - 强调文字颜色 4 5" xfId="43"/>
    <cellStyle name="40% - 强调文字颜色 3 9 3" xfId="44"/>
    <cellStyle name="注释" xfId="45" builtinId="10"/>
    <cellStyle name="60% - 强调文字颜色 2 3" xfId="46"/>
    <cellStyle name="常规 12 2 2" xfId="47"/>
    <cellStyle name="40% - 强调文字颜色 1 8 3" xfId="48"/>
    <cellStyle name="40% - 强调文字颜色 3 9" xfId="49"/>
    <cellStyle name="60% - 强调文字颜色 2" xfId="50" builtinId="36"/>
    <cellStyle name="标题 4" xfId="51" builtinId="19"/>
    <cellStyle name="警告文本" xfId="52" builtinId="11"/>
    <cellStyle name="40% - 强调文字颜色 3 10" xfId="53"/>
    <cellStyle name="60% - 强调文字颜色 4 11" xfId="54"/>
    <cellStyle name="强调文字颜色 1 2 3" xfId="55"/>
    <cellStyle name="20% - 强调文字颜色 4 4 2" xfId="56"/>
    <cellStyle name="40% - 强调文字颜色 3 9 2 2" xfId="57"/>
    <cellStyle name="标题" xfId="58" builtinId="15"/>
    <cellStyle name="解释性文本" xfId="59" builtinId="53"/>
    <cellStyle name="标题 1 5 2" xfId="60"/>
    <cellStyle name="20% - 强调文字颜色 5 3 3" xfId="61"/>
    <cellStyle name="强调文字颜色 5 8 2" xfId="62"/>
    <cellStyle name="标题 1" xfId="63" builtinId="16"/>
    <cellStyle name="40% - 强调文字颜色 3 10 2" xfId="64"/>
    <cellStyle name="60% - 强调文字颜色 4 11 2" xfId="65"/>
    <cellStyle name="20% - 强调文字颜色 4 4 2 2" xfId="66"/>
    <cellStyle name="强调文字颜色 5 8 3" xfId="67"/>
    <cellStyle name="标题 2" xfId="68" builtinId="17"/>
    <cellStyle name="40% - 强调文字颜色 1 8 2" xfId="69"/>
    <cellStyle name="40% - 强调文字颜色 3 8" xfId="70"/>
    <cellStyle name="40% - 强调文字颜色 1 6 2 2" xfId="71"/>
    <cellStyle name="60% - 强调文字颜色 1" xfId="72" builtinId="32"/>
    <cellStyle name="40% - 强调文字颜色 3 10 3" xfId="73"/>
    <cellStyle name="60% - 强调文字颜色 4 11 3" xfId="74"/>
    <cellStyle name="标题 3" xfId="75" builtinId="18"/>
    <cellStyle name="60% - 强调文字颜色 4" xfId="76" builtinId="44"/>
    <cellStyle name="40% - 强调文字颜色 3 7 2 2" xfId="77"/>
    <cellStyle name="输出" xfId="78" builtinId="21"/>
    <cellStyle name="20% - 强调文字颜色 2 4 2" xfId="79"/>
    <cellStyle name="40% - 强调文字颜色 3 3 3" xfId="80"/>
    <cellStyle name="常规 26" xfId="81"/>
    <cellStyle name="计算" xfId="82" builtinId="22"/>
    <cellStyle name="强调文字颜色 5 11 2 2" xfId="83"/>
    <cellStyle name="40% - 强调文字颜色 4 2" xfId="84"/>
    <cellStyle name="20% - 强调文字颜色 1 4 3" xfId="85"/>
    <cellStyle name="强调文字颜色 1 9 2" xfId="86"/>
    <cellStyle name="计算 3 2" xfId="87"/>
    <cellStyle name="标题 2 8 2 2" xfId="88"/>
    <cellStyle name="检查单元格" xfId="89" builtinId="23"/>
    <cellStyle name="输入 9 2" xfId="90"/>
    <cellStyle name="60% - 强调文字颜色 2 5 3" xfId="91"/>
    <cellStyle name="20% - 强调文字颜色 4 7 3" xfId="92"/>
    <cellStyle name="输出 6" xfId="93"/>
    <cellStyle name="20% - 强调文字颜色 6" xfId="94" builtinId="50"/>
    <cellStyle name="60% - 强调文字颜色 1 7 2" xfId="95"/>
    <cellStyle name="标题 4 5 3" xfId="96"/>
    <cellStyle name="20% - 强调文字颜色 2 8 2 2" xfId="97"/>
    <cellStyle name="检查单元格 3 3" xfId="98"/>
    <cellStyle name="20% - 强调文字颜色 3 9 2" xfId="99"/>
    <cellStyle name="60% - 强调文字颜色 3 10 2" xfId="100"/>
    <cellStyle name="强调文字颜色 2" xfId="101" builtinId="33"/>
    <cellStyle name="标题 2 11" xfId="102"/>
    <cellStyle name="40% - 强调文字颜色 5 7" xfId="103"/>
    <cellStyle name="注释 2 3" xfId="104"/>
    <cellStyle name="链接单元格" xfId="105" builtinId="24"/>
    <cellStyle name="40% - 强调文字颜色 6 5" xfId="106"/>
    <cellStyle name="60% - 强调文字颜色 4 2 3" xfId="107"/>
    <cellStyle name="20% - 强调文字颜色 6 4 3" xfId="108"/>
    <cellStyle name="强调文字颜色 6 9 2" xfId="109"/>
    <cellStyle name="汇总" xfId="110" builtinId="25"/>
    <cellStyle name="40% - 强调文字颜色 4 11 2 2" xfId="111"/>
    <cellStyle name="40% - 强调文字颜色 2 5 3" xfId="112"/>
    <cellStyle name="20% - 强调文字颜色 3 10 2 2" xfId="113"/>
    <cellStyle name="20% - 强调文字颜色 3 11 3" xfId="114"/>
    <cellStyle name="40% - 强调文字颜色 2 4 2 2" xfId="115"/>
    <cellStyle name="输出 10 3" xfId="116"/>
    <cellStyle name="好" xfId="117" builtinId="26"/>
    <cellStyle name="输出 3 3" xfId="118"/>
    <cellStyle name="20% - 强调文字颜色 3 3" xfId="119"/>
    <cellStyle name="强调文字颜色 5 9 2 2" xfId="120"/>
    <cellStyle name="适中 8" xfId="121"/>
    <cellStyle name="适中" xfId="122" builtinId="28"/>
    <cellStyle name="60% - 强调文字颜色 2 5 2" xfId="123"/>
    <cellStyle name="20% - 强调文字颜色 4 7 2" xfId="124"/>
    <cellStyle name="强调文字颜色 1 5 3" xfId="125"/>
    <cellStyle name="输出 5" xfId="126"/>
    <cellStyle name="20% - 强调文字颜色 5" xfId="127" builtinId="46"/>
    <cellStyle name="强调文字颜色 1" xfId="128" builtinId="29"/>
    <cellStyle name="标题 2 11 3" xfId="129"/>
    <cellStyle name="40% - 强调文字颜色 5 7 3" xfId="130"/>
    <cellStyle name="20% - 强调文字颜色 1" xfId="131" builtinId="30"/>
    <cellStyle name="60% - 强调文字颜色 2 9 2 2" xfId="132"/>
    <cellStyle name="40% - 强调文字颜色 4 3 2" xfId="133"/>
    <cellStyle name="警告文本 11 3" xfId="134"/>
    <cellStyle name="40% - 强调文字颜色 1" xfId="135" builtinId="31"/>
    <cellStyle name="20% - 强调文字颜色 2 4 2 2" xfId="136"/>
    <cellStyle name="输出 2" xfId="137"/>
    <cellStyle name="20% - 强调文字颜色 2" xfId="138" builtinId="34"/>
    <cellStyle name="40% - 强调文字颜色 4 3 3" xfId="139"/>
    <cellStyle name="40% - 强调文字颜色 2" xfId="140" builtinId="35"/>
    <cellStyle name="60% - 强调文字颜色 1 7 3" xfId="141"/>
    <cellStyle name="20% - 强调文字颜色 3 9 3" xfId="142"/>
    <cellStyle name="60% - 强调文字颜色 3 10 3" xfId="143"/>
    <cellStyle name="强调文字颜色 3" xfId="144" builtinId="37"/>
    <cellStyle name="强调文字颜色 4" xfId="145" builtinId="41"/>
    <cellStyle name="20% - 强调文字颜色 4" xfId="146" builtinId="42"/>
    <cellStyle name="20% - 强调文字颜色 1 9 2 2" xfId="147"/>
    <cellStyle name="标题 2 8 2" xfId="148"/>
    <cellStyle name="40% - 强调文字颜色 4" xfId="149" builtinId="43"/>
    <cellStyle name="强调文字颜色 5" xfId="150" builtinId="45"/>
    <cellStyle name="60% - 强调文字颜色 6 5 2" xfId="151"/>
    <cellStyle name="40% - 强调文字颜色 5" xfId="152" builtinId="47"/>
    <cellStyle name="标题 1 4 2" xfId="153"/>
    <cellStyle name="60% - 强调文字颜色 5" xfId="154" builtinId="48"/>
    <cellStyle name="强调文字颜色 6" xfId="155" builtinId="49"/>
    <cellStyle name="60% - 强调文字颜色 6 5 3" xfId="156"/>
    <cellStyle name="20% - 强调文字颜色 3 3 2" xfId="157"/>
    <cellStyle name="40% - 强调文字颜色 6" xfId="158" builtinId="51"/>
    <cellStyle name="适中 8 2" xfId="159"/>
    <cellStyle name="标题 1 4 3" xfId="160"/>
    <cellStyle name="60% - 强调文字颜色 6" xfId="161" builtinId="52"/>
    <cellStyle name="20% - 强调文字颜色 1 2 2 2" xfId="162"/>
    <cellStyle name="标题 5" xfId="163"/>
    <cellStyle name="20% - 强调文字颜色 1 11 2" xfId="164"/>
    <cellStyle name="检查单元格 6 3" xfId="165"/>
    <cellStyle name="百分比 2" xfId="166"/>
    <cellStyle name="20% - 强调文字颜色 1 11 2 2" xfId="167"/>
    <cellStyle name="百分比 2 2" xfId="168"/>
    <cellStyle name="标题 3 11 3" xfId="169"/>
    <cellStyle name="40% - 强调文字颜色 2 2" xfId="170"/>
    <cellStyle name="20% - 强调文字颜色 1 2 3" xfId="171"/>
    <cellStyle name="60% - 强调文字颜色 5 10" xfId="172"/>
    <cellStyle name="强调文字颜色 1 7 2" xfId="173"/>
    <cellStyle name="40% - 强调文字颜色 5 9" xfId="174"/>
    <cellStyle name="20% - 强调文字颜色 1 3 2 2" xfId="175"/>
    <cellStyle name="20% - 强调文字颜色 1 3" xfId="176"/>
    <cellStyle name="强调文字颜色 2 2 2 2" xfId="177"/>
    <cellStyle name="40% - 强调文字颜色 2 11" xfId="178"/>
    <cellStyle name="20% - 强调文字颜色 1 10" xfId="179"/>
    <cellStyle name="强调文字颜色 4 4 2" xfId="180"/>
    <cellStyle name="40% - 强调文字颜色 2 11 2" xfId="181"/>
    <cellStyle name="20% - 强调文字颜色 1 10 2" xfId="182"/>
    <cellStyle name="强调文字颜色 4 4 2 2" xfId="183"/>
    <cellStyle name="40% - 强调文字颜色 1 7" xfId="184"/>
    <cellStyle name="40% - 强调文字颜色 2 11 2 2" xfId="185"/>
    <cellStyle name="20% - 强调文字颜色 1 10 2 2" xfId="186"/>
    <cellStyle name="20% - 强调文字颜色 5 2 2" xfId="187"/>
    <cellStyle name="40% - 强调文字颜色 2 11 3" xfId="188"/>
    <cellStyle name="20% - 强调文字颜色 1 10 3" xfId="189"/>
    <cellStyle name="常规 8 2 2 2" xfId="190"/>
    <cellStyle name="链接单元格 7 2 2" xfId="191"/>
    <cellStyle name="20% - 强调文字颜色 1 11 3" xfId="192"/>
    <cellStyle name="20% - 强调文字颜色 5 3 2" xfId="193"/>
    <cellStyle name="20% - 强调文字颜色 1 2 2" xfId="194"/>
    <cellStyle name="20% - 强调文字颜色 1 3 2" xfId="195"/>
    <cellStyle name="40% - 强调文字颜色 3 2" xfId="196"/>
    <cellStyle name="20% - 强调文字颜色 1 3 3" xfId="197"/>
    <cellStyle name="强调文字颜色 1 8 2" xfId="198"/>
    <cellStyle name="计算 2 2" xfId="199"/>
    <cellStyle name="20% - 强调文字颜色 1 4" xfId="200"/>
    <cellStyle name="40% - 强调文字颜色 3 6 2" xfId="201"/>
    <cellStyle name="20% - 强调文字颜色 1 4 2" xfId="202"/>
    <cellStyle name="40% - 强调文字颜色 3 6 2 2" xfId="203"/>
    <cellStyle name="20% - 强调文字颜色 1 4 2 2" xfId="204"/>
    <cellStyle name="20% - 强调文字颜色 1 5" xfId="205"/>
    <cellStyle name="40% - 强调文字颜色 3 6 3" xfId="206"/>
    <cellStyle name="20% - 强调文字颜色 1 5 2" xfId="207"/>
    <cellStyle name="20% - 强调文字颜色 5 5" xfId="208"/>
    <cellStyle name="好 2 2 2" xfId="209"/>
    <cellStyle name="20% - 强调文字颜色 1 5 2 2" xfId="210"/>
    <cellStyle name="60% - 强调文字颜色 3 3" xfId="211"/>
    <cellStyle name="汇总 10" xfId="212"/>
    <cellStyle name="强调文字颜色 4 11" xfId="213"/>
    <cellStyle name="40% - 强调文字颜色 5 2" xfId="214"/>
    <cellStyle name="好 2 3" xfId="215"/>
    <cellStyle name="20% - 强调文字颜色 1 5 3" xfId="216"/>
    <cellStyle name="好 9 2 2" xfId="217"/>
    <cellStyle name="计算 4 2" xfId="218"/>
    <cellStyle name="20% - 强调文字颜色 1 6" xfId="219"/>
    <cellStyle name="20% - 强调文字颜色 1 6 2" xfId="220"/>
    <cellStyle name="40% - 强调文字颜色 6 2" xfId="221"/>
    <cellStyle name="好 3 3" xfId="222"/>
    <cellStyle name="适中 8 2 2" xfId="223"/>
    <cellStyle name="20% - 强调文字颜色 3 3 2 2" xfId="224"/>
    <cellStyle name="20% - 强调文字颜色 1 6 3" xfId="225"/>
    <cellStyle name="计算 5 2" xfId="226"/>
    <cellStyle name="20% - 强调文字颜色 6 6 2 2" xfId="227"/>
    <cellStyle name="好 4" xfId="228"/>
    <cellStyle name="20% - 强调文字颜色 1 7" xfId="229"/>
    <cellStyle name="60% - 强调文字颜色 4 4 2 2" xfId="230"/>
    <cellStyle name="20% - 强调文字颜色 1 7 2" xfId="231"/>
    <cellStyle name="20% - 强调文字颜色 1 7 2 2" xfId="232"/>
    <cellStyle name="40% - 强调文字颜色 6 10 2" xfId="233"/>
    <cellStyle name="20% - 强调文字颜色 1 7 3" xfId="234"/>
    <cellStyle name="60% - 强调文字颜色 6 10" xfId="235"/>
    <cellStyle name="计算 6 2" xfId="236"/>
    <cellStyle name="20% - 强调文字颜色 1 8" xfId="237"/>
    <cellStyle name="20% - 强调文字颜色 1 8 2" xfId="238"/>
    <cellStyle name="标题 1 8" xfId="239"/>
    <cellStyle name="20% - 强调文字颜色 1 8 2 2" xfId="240"/>
    <cellStyle name="标题 1 8 2" xfId="241"/>
    <cellStyle name="40% - 强调文字颜色 6 11 2" xfId="242"/>
    <cellStyle name="20% - 强调文字颜色 5 10 2" xfId="243"/>
    <cellStyle name="计算 7 2" xfId="244"/>
    <cellStyle name="60% - 强调文字颜色 4 8 2 2" xfId="245"/>
    <cellStyle name="20% - 强调文字颜色 1 8 3" xfId="246"/>
    <cellStyle name="标题 1 9" xfId="247"/>
    <cellStyle name="20% - 强调文字颜色 1 9" xfId="248"/>
    <cellStyle name="20% - 强调文字颜色 2 6 2" xfId="249"/>
    <cellStyle name="20% - 强调文字颜色 1 9 2" xfId="250"/>
    <cellStyle name="标题 2 8" xfId="251"/>
    <cellStyle name="20% - 强调文字颜色 2 6 2 2" xfId="252"/>
    <cellStyle name="20% - 强调文字颜色 5 11 2" xfId="253"/>
    <cellStyle name="20% - 强调文字颜色 1 9 3" xfId="254"/>
    <cellStyle name="标题 2 9" xfId="255"/>
    <cellStyle name="计算 8 2" xfId="256"/>
    <cellStyle name="40% - 强调文字颜色 3 11" xfId="257"/>
    <cellStyle name="20% - 强调文字颜色 2 10" xfId="258"/>
    <cellStyle name="20% - 强调文字颜色 4 4 3" xfId="259"/>
    <cellStyle name="强调文字颜色 4 9 2" xfId="260"/>
    <cellStyle name="输入 11 2" xfId="261"/>
    <cellStyle name="40% - 强调文字颜色 3 11 2" xfId="262"/>
    <cellStyle name="20% - 强调文字颜色 2 10 2" xfId="263"/>
    <cellStyle name="强调文字颜色 4 9 2 2" xfId="264"/>
    <cellStyle name="强调文字颜色 5 9 3" xfId="265"/>
    <cellStyle name="输入 11 2 2" xfId="266"/>
    <cellStyle name="40% - 强调文字颜色 3 11 2 2" xfId="267"/>
    <cellStyle name="20% - 强调文字颜色 4 3" xfId="268"/>
    <cellStyle name="20% - 强调文字颜色 2 10 2 2" xfId="269"/>
    <cellStyle name="40% - 强调文字颜色 3 11 3" xfId="270"/>
    <cellStyle name="20% - 强调文字颜色 2 10 3" xfId="271"/>
    <cellStyle name="20% - 强调文字颜色 2 11" xfId="272"/>
    <cellStyle name="强调文字颜色 4 8 2 2" xfId="273"/>
    <cellStyle name="强调文字颜色 4 9 3" xfId="274"/>
    <cellStyle name="输入 10 2 2" xfId="275"/>
    <cellStyle name="输入 11 3" xfId="276"/>
    <cellStyle name="20% - 强调文字颜色 2 11 2" xfId="277"/>
    <cellStyle name="20% - 强调文字颜色 2 11 2 2" xfId="278"/>
    <cellStyle name="40% - 强调文字颜色 1 2 3" xfId="279"/>
    <cellStyle name="20% - 强调文字颜色 2 11 3" xfId="280"/>
    <cellStyle name="20% - 强调文字颜色 2 2" xfId="281"/>
    <cellStyle name="20% - 强调文字颜色 2 2 2" xfId="282"/>
    <cellStyle name="20% - 强调文字颜色 2 2 2 2" xfId="283"/>
    <cellStyle name="20% - 强调文字颜色 2 6" xfId="284"/>
    <cellStyle name="20% - 强调文字颜色 2 2 3" xfId="285"/>
    <cellStyle name="强调文字颜色 2 7 2" xfId="286"/>
    <cellStyle name="20% - 强调文字颜色 5 4 2 2" xfId="287"/>
    <cellStyle name="20% - 强调文字颜色 2 3" xfId="288"/>
    <cellStyle name="20% - 强调文字颜色 2 3 2" xfId="289"/>
    <cellStyle name="60% - 强调文字颜色 2 10" xfId="290"/>
    <cellStyle name="20% - 强调文字颜色 2 3 2 2" xfId="291"/>
    <cellStyle name="标题 13 3" xfId="292"/>
    <cellStyle name="60% - 强调文字颜色 2 10 2" xfId="293"/>
    <cellStyle name="20% - 强调文字颜色 2 3 3" xfId="294"/>
    <cellStyle name="强调文字颜色 2 8 2" xfId="295"/>
    <cellStyle name="40% - 强调文字颜色 1 10" xfId="296"/>
    <cellStyle name="60% - 强调文字颜色 2 11" xfId="297"/>
    <cellStyle name="20% - 强调文字颜色 2 4" xfId="298"/>
    <cellStyle name="40% - 强调文字颜色 3 7 2" xfId="299"/>
    <cellStyle name="20% - 强调文字颜色 2 4 3" xfId="300"/>
    <cellStyle name="强调文字颜色 2 9 2" xfId="301"/>
    <cellStyle name="标题 2 9 2 2" xfId="302"/>
    <cellStyle name="20% - 强调文字颜色 2 5" xfId="303"/>
    <cellStyle name="40% - 强调文字颜色 3 7 3" xfId="304"/>
    <cellStyle name="20% - 强调文字颜色 2 5 2" xfId="305"/>
    <cellStyle name="20% - 强调文字颜色 2 5 2 2" xfId="306"/>
    <cellStyle name="20% - 强调文字颜色 2 5 3" xfId="307"/>
    <cellStyle name="20% - 强调文字颜色 3 4 2 2" xfId="308"/>
    <cellStyle name="适中 9 2 2" xfId="309"/>
    <cellStyle name="20% - 强调文字颜色 2 6 3" xfId="310"/>
    <cellStyle name="60% - 强调文字颜色 1 2 2 2" xfId="311"/>
    <cellStyle name="20% - 强调文字颜色 2 7" xfId="312"/>
    <cellStyle name="20% - 强调文字颜色 2 7 2" xfId="313"/>
    <cellStyle name="20% - 强调文字颜色 2 9" xfId="314"/>
    <cellStyle name="20% - 强调文字颜色 2 9 2" xfId="315"/>
    <cellStyle name="20% - 强调文字颜色 4 9" xfId="316"/>
    <cellStyle name="20% - 强调文字颜色 2 7 2 2" xfId="317"/>
    <cellStyle name="20% - 强调文字颜色 2 7 3" xfId="318"/>
    <cellStyle name="20% - 强调文字颜色 2 8" xfId="319"/>
    <cellStyle name="20% - 强调文字颜色 2 8 2" xfId="320"/>
    <cellStyle name="20% - 强调文字颜色 3 9" xfId="321"/>
    <cellStyle name="60% - 强调文字颜色 3 10" xfId="322"/>
    <cellStyle name="40% - 强调文字颜色 2 10" xfId="323"/>
    <cellStyle name="60% - 强调文字颜色 3 11" xfId="324"/>
    <cellStyle name="60% - 强调文字颜色 4 9 2 2" xfId="325"/>
    <cellStyle name="20% - 强调文字颜色 2 8 3" xfId="326"/>
    <cellStyle name="40% - 强调文字颜色 2 3" xfId="327"/>
    <cellStyle name="60% - 强调文字颜色 2 7 2" xfId="328"/>
    <cellStyle name="20% - 强调文字颜色 2 9 2 2" xfId="329"/>
    <cellStyle name="40% - 强调文字颜色 4 10" xfId="330"/>
    <cellStyle name="60% - 强调文字颜色 5 11" xfId="331"/>
    <cellStyle name="强调文字颜色 1 7 3" xfId="332"/>
    <cellStyle name="20% - 强调文字颜色 4 9 2" xfId="333"/>
    <cellStyle name="20% - 强调文字颜色 2 9 3" xfId="334"/>
    <cellStyle name="40% - 强调文字颜色 2 4" xfId="335"/>
    <cellStyle name="60% - 强调文字颜色 2 7 3" xfId="336"/>
    <cellStyle name="40% - 强调文字颜色 4 11" xfId="337"/>
    <cellStyle name="20% - 强调文字颜色 3 10" xfId="338"/>
    <cellStyle name="20% - 强调文字颜色 4 9 3" xfId="339"/>
    <cellStyle name="60% - 强调文字颜色 6 2 2 2" xfId="340"/>
    <cellStyle name="40% - 强调文字颜色 4 11 2" xfId="341"/>
    <cellStyle name="20% - 强调文字颜色 3 10 2" xfId="342"/>
    <cellStyle name="40% - 强调文字颜色 2 4 2" xfId="343"/>
    <cellStyle name="40% - 强调文字颜色 4 11 3" xfId="344"/>
    <cellStyle name="20% - 强调文字颜色 3 10 3" xfId="345"/>
    <cellStyle name="强调文字颜色 6 10" xfId="346"/>
    <cellStyle name="40% - 强调文字颜色 2 4 3" xfId="347"/>
    <cellStyle name="40% - 强调文字颜色 2 5" xfId="348"/>
    <cellStyle name="20% - 强调文字颜色 3 11" xfId="349"/>
    <cellStyle name="汇总 8 2 2" xfId="350"/>
    <cellStyle name="40% - 强调文字颜色 2 5 2" xfId="351"/>
    <cellStyle name="20% - 强调文字颜色 3 11 2" xfId="352"/>
    <cellStyle name="计算 10 3" xfId="353"/>
    <cellStyle name="20% - 强调文字颜色 3 2" xfId="354"/>
    <cellStyle name="适中 7" xfId="355"/>
    <cellStyle name="20% - 强调文字颜色 3 2 2" xfId="356"/>
    <cellStyle name="适中 7 2" xfId="357"/>
    <cellStyle name="20% - 强调文字颜色 3 2 2 2" xfId="358"/>
    <cellStyle name="适中 7 2 2" xfId="359"/>
    <cellStyle name="20% - 强调文字颜色 3 2 3" xfId="360"/>
    <cellStyle name="强调文字颜色 3 7 2" xfId="361"/>
    <cellStyle name="适中 7 3" xfId="362"/>
    <cellStyle name="20% - 强调文字颜色 3 3 3" xfId="363"/>
    <cellStyle name="强调文字颜色 3 8 2" xfId="364"/>
    <cellStyle name="适中 8 3" xfId="365"/>
    <cellStyle name="40% - 强调文字颜色 6 10" xfId="366"/>
    <cellStyle name="40% - 强调文字颜色 1 8 2 2" xfId="367"/>
    <cellStyle name="20% - 强调文字颜色 3 4" xfId="368"/>
    <cellStyle name="适中 9" xfId="369"/>
    <cellStyle name="40% - 强调文字颜色 3 8 2" xfId="370"/>
    <cellStyle name="20% - 强调文字颜色 3 4 2" xfId="371"/>
    <cellStyle name="适中 9 2" xfId="372"/>
    <cellStyle name="40% - 强调文字颜色 3 8 2 2" xfId="373"/>
    <cellStyle name="20% - 强调文字颜色 3 4 3" xfId="374"/>
    <cellStyle name="强调文字颜色 3 9 2" xfId="375"/>
    <cellStyle name="适中 9 3" xfId="376"/>
    <cellStyle name="40% - 强调文字颜色 3 8 3" xfId="377"/>
    <cellStyle name="40% - 强调文字颜色 5 10 2 2" xfId="378"/>
    <cellStyle name="20% - 强调文字颜色 3 5" xfId="379"/>
    <cellStyle name="60% - 强调文字颜色 6 11 2 2" xfId="380"/>
    <cellStyle name="20% - 强调文字颜色 3 5 2" xfId="381"/>
    <cellStyle name="20% - 强调文字颜色 3 6 3" xfId="382"/>
    <cellStyle name="60% - 强调文字颜色 1 3 2 2" xfId="383"/>
    <cellStyle name="20% - 强调文字颜色 3 5 2 2" xfId="384"/>
    <cellStyle name="60% - 强调文字颜色 1 4 3" xfId="385"/>
    <cellStyle name="20% - 强调文字颜色 3 5 3" xfId="386"/>
    <cellStyle name="20% - 强调文字颜色 3 6" xfId="387"/>
    <cellStyle name="20% - 强调文字颜色 3 6 2" xfId="388"/>
    <cellStyle name="20% - 强调文字颜色 3 7" xfId="389"/>
    <cellStyle name="注释 5 2 2" xfId="390"/>
    <cellStyle name="20% - 强调文字颜色 3 7 2" xfId="391"/>
    <cellStyle name="20% - 强调文字颜色 5 6 3" xfId="392"/>
    <cellStyle name="60% - 强调文字颜色 1 5 2 2" xfId="393"/>
    <cellStyle name="20% - 强调文字颜色 3 7 2 2" xfId="394"/>
    <cellStyle name="60% - 强调文字颜色 3 4 3" xfId="395"/>
    <cellStyle name="汇总 11 3" xfId="396"/>
    <cellStyle name="20% - 强调文字颜色 3 7 3" xfId="397"/>
    <cellStyle name="20% - 强调文字颜色 3 8" xfId="398"/>
    <cellStyle name="20% - 强调文字颜色 3 8 2" xfId="399"/>
    <cellStyle name="20% - 强调文字颜色 6 6 3" xfId="400"/>
    <cellStyle name="60% - 强调文字颜色 1 6 2 2" xfId="401"/>
    <cellStyle name="20% - 强调文字颜色 3 8 2 2" xfId="402"/>
    <cellStyle name="60% - 强调文字颜色 4 4 3" xfId="403"/>
    <cellStyle name="20% - 强调文字颜色 3 8 3" xfId="404"/>
    <cellStyle name="20% - 强调文字颜色 3 9 2 2" xfId="405"/>
    <cellStyle name="60% - 强调文字颜色 3 10 2 2" xfId="406"/>
    <cellStyle name="60% - 强调文字颜色 5 4 3" xfId="407"/>
    <cellStyle name="40% - 强调文字颜色 5 11" xfId="408"/>
    <cellStyle name="20% - 强调文字颜色 4 10" xfId="409"/>
    <cellStyle name="40% - 强调文字颜色 5 2 2 2" xfId="410"/>
    <cellStyle name="常规 2 10 3" xfId="411"/>
    <cellStyle name="强调文字颜色 3 3 3" xfId="412"/>
    <cellStyle name="20% - 强调文字颜色 6 5 2" xfId="413"/>
    <cellStyle name="20% - 强调文字颜色 6 5 2 2" xfId="414"/>
    <cellStyle name="标题 14" xfId="415"/>
    <cellStyle name="40% - 强调文字颜色 5 11 2" xfId="416"/>
    <cellStyle name="20% - 强调文字颜色 4 10 2" xfId="417"/>
    <cellStyle name="40% - 强调文字颜色 4 8 3" xfId="418"/>
    <cellStyle name="标题 14 2" xfId="419"/>
    <cellStyle name="40% - 强调文字颜色 5 11 2 2" xfId="420"/>
    <cellStyle name="20% - 强调文字颜色 4 10 2 2" xfId="421"/>
    <cellStyle name="40% - 强调文字颜色 5 11 3" xfId="422"/>
    <cellStyle name="20% - 强调文字颜色 4 10 3" xfId="423"/>
    <cellStyle name="标题 2 2 2" xfId="424"/>
    <cellStyle name="20% - 强调文字颜色 4 11" xfId="425"/>
    <cellStyle name="20% - 强调文字颜色 6 5 3" xfId="426"/>
    <cellStyle name="标题 4 4 2 2" xfId="427"/>
    <cellStyle name="20% - 强调文字颜色 4 11 2" xfId="428"/>
    <cellStyle name="常规 10" xfId="429"/>
    <cellStyle name="20% - 强调文字颜色 4 11 2 2" xfId="430"/>
    <cellStyle name="常规 10 2" xfId="431"/>
    <cellStyle name="40% - 强调文字颜色 5 8 3" xfId="432"/>
    <cellStyle name="20% - 强调文字颜色 4 11 3" xfId="433"/>
    <cellStyle name="常规 11" xfId="434"/>
    <cellStyle name="40% - 强调文字颜色 2 9 2 2" xfId="435"/>
    <cellStyle name="标题 2 3 2" xfId="436"/>
    <cellStyle name="20% - 强调文字颜色 4 2" xfId="437"/>
    <cellStyle name="20% - 强调文字颜色 4 2 2" xfId="438"/>
    <cellStyle name="20% - 强调文字颜色 4 2 2 2" xfId="439"/>
    <cellStyle name="强调文字颜色 3 8 3" xfId="440"/>
    <cellStyle name="40% - 强调文字颜色 6 11" xfId="441"/>
    <cellStyle name="20% - 强调文字颜色 5 10" xfId="442"/>
    <cellStyle name="20% - 强调文字颜色 4 2 3" xfId="443"/>
    <cellStyle name="强调文字颜色 4 7 2" xfId="444"/>
    <cellStyle name="检查单元格 10" xfId="445"/>
    <cellStyle name="20% - 强调文字颜色 4 3 2" xfId="446"/>
    <cellStyle name="20% - 强调文字颜色 4 3 2 2" xfId="447"/>
    <cellStyle name="强调文字颜色 4 8 3" xfId="448"/>
    <cellStyle name="输入 10 3" xfId="449"/>
    <cellStyle name="20% - 强调文字颜色 4 3 3" xfId="450"/>
    <cellStyle name="强调文字颜色 4 8 2" xfId="451"/>
    <cellStyle name="输入 10 2" xfId="452"/>
    <cellStyle name="20% - 强调文字颜色 4 4" xfId="453"/>
    <cellStyle name="40% - 强调文字颜色 3 9 2" xfId="454"/>
    <cellStyle name="20% - 强调文字颜色 4 5 2" xfId="455"/>
    <cellStyle name="强调文字颜色 1 3 3" xfId="456"/>
    <cellStyle name="40% - 强调文字颜色 5 6" xfId="457"/>
    <cellStyle name="60% - 强调文字颜色 2 3 2 2" xfId="458"/>
    <cellStyle name="注释 2 2" xfId="459"/>
    <cellStyle name="20% - 强调文字颜色 4 5 2 2" xfId="460"/>
    <cellStyle name="强调文字颜色 6 8 3" xfId="461"/>
    <cellStyle name="标题 2 10" xfId="462"/>
    <cellStyle name="20% - 强调文字颜色 4 5 3" xfId="463"/>
    <cellStyle name="标题 4 2 2 2" xfId="464"/>
    <cellStyle name="20% - 强调文字颜色 4 6" xfId="465"/>
    <cellStyle name="20% - 强调文字颜色 5 9 2 2" xfId="466"/>
    <cellStyle name="20% - 强调文字颜色 4 6 2" xfId="467"/>
    <cellStyle name="强调文字颜色 1 4 3" xfId="468"/>
    <cellStyle name="20% - 强调文字颜色 4 6 2 2" xfId="469"/>
    <cellStyle name="20% - 强调文字颜色 4 7" xfId="470"/>
    <cellStyle name="60% - 强调文字颜色 2 5 2 2" xfId="471"/>
    <cellStyle name="20% - 强调文字颜色 5 2" xfId="472"/>
    <cellStyle name="20% - 强调文字颜色 4 7 2 2" xfId="473"/>
    <cellStyle name="输出 5 2" xfId="474"/>
    <cellStyle name="20% - 强调文字颜色 4 8" xfId="475"/>
    <cellStyle name="40% - 强调文字颜色 1 3" xfId="476"/>
    <cellStyle name="常规 9 2" xfId="477"/>
    <cellStyle name="标题 3 5 2 2" xfId="478"/>
    <cellStyle name="60% - 强调文字颜色 2 6 2" xfId="479"/>
    <cellStyle name="20% - 强调文字颜色 4 8 2" xfId="480"/>
    <cellStyle name="强调文字颜色 1 6 3" xfId="481"/>
    <cellStyle name="40% - 强调文字颜色 1 3 2" xfId="482"/>
    <cellStyle name="常规 9 2 2" xfId="483"/>
    <cellStyle name="注释 7" xfId="484"/>
    <cellStyle name="60% - 强调文字颜色 2 6 2 2" xfId="485"/>
    <cellStyle name="20% - 强调文字颜色 4 8 2 2" xfId="486"/>
    <cellStyle name="40% - 强调文字颜色 1 4" xfId="487"/>
    <cellStyle name="常规 9 3" xfId="488"/>
    <cellStyle name="60% - 强调文字颜色 2 6 3" xfId="489"/>
    <cellStyle name="强调文字颜色 5 2 2 2" xfId="490"/>
    <cellStyle name="20% - 强调文字颜色 4 8 3" xfId="491"/>
    <cellStyle name="适中 10" xfId="492"/>
    <cellStyle name="40% - 强调文字颜色 2 3 2" xfId="493"/>
    <cellStyle name="60% - 强调文字颜色 2 7 2 2" xfId="494"/>
    <cellStyle name="40% - 强调文字颜色 4 10 2" xfId="495"/>
    <cellStyle name="60% - 强调文字颜色 5 11 2" xfId="496"/>
    <cellStyle name="20% - 强调文字颜色 4 9 2 2" xfId="497"/>
    <cellStyle name="40% - 强调文字颜色 6 11 2 2" xfId="498"/>
    <cellStyle name="20% - 强调文字颜色 5 10 2 2" xfId="499"/>
    <cellStyle name="常规 78" xfId="500"/>
    <cellStyle name="40% - 强调文字颜色 6 11 3" xfId="501"/>
    <cellStyle name="20% - 强调文字颜色 5 10 3" xfId="502"/>
    <cellStyle name="20% - 强调文字颜色 5 11" xfId="503"/>
    <cellStyle name="20% - 强调文字颜色 5 11 2 2" xfId="504"/>
    <cellStyle name="20% - 强调文字颜色 5 11 3" xfId="505"/>
    <cellStyle name="60% - 强调文字颜色 1 10 2 2" xfId="506"/>
    <cellStyle name="40% - 强调文字颜色 2 7" xfId="507"/>
    <cellStyle name="20% - 强调文字颜色 5 2 2 2" xfId="508"/>
    <cellStyle name="20% - 强调文字颜色 5 2 3" xfId="509"/>
    <cellStyle name="强调文字颜色 5 7 2" xfId="510"/>
    <cellStyle name="20% - 强调文字颜色 5 3" xfId="511"/>
    <cellStyle name="20% - 强调文字颜色 5 3 2 2" xfId="512"/>
    <cellStyle name="20% - 强调文字颜色 5 4" xfId="513"/>
    <cellStyle name="强调文字颜色 2 2 3" xfId="514"/>
    <cellStyle name="20% - 强调文字颜色 5 4 2" xfId="515"/>
    <cellStyle name="强调文字颜色 5 9 2" xfId="516"/>
    <cellStyle name="20% - 强调文字颜色 5 4 3" xfId="517"/>
    <cellStyle name="强调文字颜色 2 3 3" xfId="518"/>
    <cellStyle name="20% - 强调文字颜色 5 5 2" xfId="519"/>
    <cellStyle name="标题 9 3" xfId="520"/>
    <cellStyle name="20% - 强调文字颜色 5 5 2 2" xfId="521"/>
    <cellStyle name="标题 4 3 2 2" xfId="522"/>
    <cellStyle name="20% - 强调文字颜色 5 5 3" xfId="523"/>
    <cellStyle name="20% - 强调文字颜色 5 6" xfId="524"/>
    <cellStyle name="强调文字颜色 2 4 3" xfId="525"/>
    <cellStyle name="20% - 强调文字颜色 5 6 2" xfId="526"/>
    <cellStyle name="20% - 强调文字颜色 5 6 2 2" xfId="527"/>
    <cellStyle name="20% - 强调文字颜色 5 7" xfId="528"/>
    <cellStyle name="强调文字颜色 2 5 3" xfId="529"/>
    <cellStyle name="20% - 强调文字颜色 5 7 2" xfId="530"/>
    <cellStyle name="20% - 强调文字颜色 5 7 2 2" xfId="531"/>
    <cellStyle name="20% - 强调文字颜色 5 7 3" xfId="532"/>
    <cellStyle name="20% - 强调文字颜色 5 8" xfId="533"/>
    <cellStyle name="强调文字颜色 2 6 3" xfId="534"/>
    <cellStyle name="20% - 强调文字颜色 5 8 2" xfId="535"/>
    <cellStyle name="标题 2 5" xfId="536"/>
    <cellStyle name="20% - 强调文字颜色 5 8 2 2" xfId="537"/>
    <cellStyle name="20% - 强调文字颜色 5 8 3" xfId="538"/>
    <cellStyle name="20% - 强调文字颜色 5 9" xfId="539"/>
    <cellStyle name="强调文字颜色 2 7 3" xfId="540"/>
    <cellStyle name="20% - 强调文字颜色 5 9 2" xfId="541"/>
    <cellStyle name="60% - 强调文字颜色 6 3 2 2" xfId="542"/>
    <cellStyle name="20% - 强调文字颜色 5 9 3" xfId="543"/>
    <cellStyle name="强调文字颜色 5 4 2" xfId="544"/>
    <cellStyle name="20% - 强调文字颜色 6 10" xfId="545"/>
    <cellStyle name="强调文字颜色 5 4 2 2" xfId="546"/>
    <cellStyle name="60% - 强调文字颜色 4 6 3" xfId="547"/>
    <cellStyle name="20% - 强调文字颜色 6 10 2" xfId="548"/>
    <cellStyle name="20% - 强调文字颜色 6 8 3" xfId="549"/>
    <cellStyle name="注释 7 2" xfId="550"/>
    <cellStyle name="常规 9 2 2 2" xfId="551"/>
    <cellStyle name="20% - 强调文字颜色 6 10 3" xfId="552"/>
    <cellStyle name="40% - 强调文字颜色 1 3 2 2" xfId="553"/>
    <cellStyle name="强调文字颜色 5 4 3" xfId="554"/>
    <cellStyle name="20% - 强调文字颜色 6 11" xfId="555"/>
    <cellStyle name="60% - 强调文字颜色 4 7 3" xfId="556"/>
    <cellStyle name="20% - 强调文字颜色 6 11 2" xfId="557"/>
    <cellStyle name="60% - 强调文字颜色 6 4 2 2" xfId="558"/>
    <cellStyle name="20% - 强调文字颜色 6 9 3" xfId="559"/>
    <cellStyle name="20% - 强调文字颜色 6 11 2 2" xfId="560"/>
    <cellStyle name="注释 8 2" xfId="561"/>
    <cellStyle name="20% - 强调文字颜色 6 11 3" xfId="562"/>
    <cellStyle name="输入 9 2 2" xfId="563"/>
    <cellStyle name="20% - 强调文字颜色 6 2" xfId="564"/>
    <cellStyle name="20% - 强调文字颜色 6 2 2" xfId="565"/>
    <cellStyle name="输出 6 2 2" xfId="566"/>
    <cellStyle name="标题 4 11 2" xfId="567"/>
    <cellStyle name="60% - 强调文字颜色 2 9 3" xfId="568"/>
    <cellStyle name="40% - 强调文字颜色 4 4" xfId="569"/>
    <cellStyle name="汇总 4 3" xfId="570"/>
    <cellStyle name="20% - 强调文字颜色 6 2 2 2" xfId="571"/>
    <cellStyle name="40% - 强调文字颜色 4 4 2" xfId="572"/>
    <cellStyle name="解释性文本 10" xfId="573"/>
    <cellStyle name="强调文字颜色 6 7 2" xfId="574"/>
    <cellStyle name="20% - 强调文字颜色 6 2 3" xfId="575"/>
    <cellStyle name="40% - 强调文字颜色 4 5" xfId="576"/>
    <cellStyle name="标题 14 2 2" xfId="577"/>
    <cellStyle name="解释性文本 3 2 2" xfId="578"/>
    <cellStyle name="20% - 强调文字颜色 6 3" xfId="579"/>
    <cellStyle name="20% - 强调文字颜色 6 3 2" xfId="580"/>
    <cellStyle name="40% - 强调文字颜色 5 4" xfId="581"/>
    <cellStyle name="60% - 强调文字颜色 6 3" xfId="582"/>
    <cellStyle name="20% - 强调文字颜色 6 3 2 2" xfId="583"/>
    <cellStyle name="40% - 强调文字颜色 5 4 2" xfId="584"/>
    <cellStyle name="强调文字颜色 6 8 2" xfId="585"/>
    <cellStyle name="20% - 强调文字颜色 6 3 3" xfId="586"/>
    <cellStyle name="60% - 强调文字颜色 2 11 2 2" xfId="587"/>
    <cellStyle name="40% - 强调文字颜色 1 10 2 2" xfId="588"/>
    <cellStyle name="40% - 强调文字颜色 5 5" xfId="589"/>
    <cellStyle name="40% - 强调文字颜色 6 6 2 2" xfId="590"/>
    <cellStyle name="链接单元格 10 3" xfId="591"/>
    <cellStyle name="20% - 强调文字颜色 6 4" xfId="592"/>
    <cellStyle name="强调文字颜色 3 2 3" xfId="593"/>
    <cellStyle name="20% - 强调文字颜色 6 4 2" xfId="594"/>
    <cellStyle name="60% - 强调文字颜色 4 2 2" xfId="595"/>
    <cellStyle name="40% - 强调文字颜色 6 4" xfId="596"/>
    <cellStyle name="20% - 强调文字颜色 6 5" xfId="597"/>
    <cellStyle name="40% - 强调文字颜色 5 2 2" xfId="598"/>
    <cellStyle name="20% - 强调文字颜色 6 6" xfId="599"/>
    <cellStyle name="40% - 强调文字颜色 5 2 3" xfId="600"/>
    <cellStyle name="强调文字颜色 3 4 3" xfId="601"/>
    <cellStyle name="常规 2 11 3" xfId="602"/>
    <cellStyle name="20% - 强调文字颜色 6 6 2" xfId="603"/>
    <cellStyle name="20% - 强调文字颜色 6 7" xfId="604"/>
    <cellStyle name="40% - 强调文字颜色 3 4 2 2" xfId="605"/>
    <cellStyle name="强调文字颜色 3 5 3" xfId="606"/>
    <cellStyle name="20% - 强调文字颜色 6 7 2" xfId="607"/>
    <cellStyle name="输入 11" xfId="608"/>
    <cellStyle name="强调文字颜色 4 9" xfId="609"/>
    <cellStyle name="20% - 强调文字颜色 6 7 2 2" xfId="610"/>
    <cellStyle name="20% - 强调文字颜色 6 7 3" xfId="611"/>
    <cellStyle name="标题 2 6 2 2" xfId="612"/>
    <cellStyle name="20% - 强调文字颜色 6 8" xfId="613"/>
    <cellStyle name="强调文字颜色 3 6 3" xfId="614"/>
    <cellStyle name="20% - 强调文字颜色 6 8 2" xfId="615"/>
    <cellStyle name="20% - 强调文字颜色 6 8 2 2" xfId="616"/>
    <cellStyle name="20% - 强调文字颜色 6 9" xfId="617"/>
    <cellStyle name="强调文字颜色 3 7 3" xfId="618"/>
    <cellStyle name="20% - 强调文字颜色 6 9 2" xfId="619"/>
    <cellStyle name="20% - 强调文字颜色 6 9 2 2" xfId="620"/>
    <cellStyle name="标题 14 3" xfId="621"/>
    <cellStyle name="60% - 强调文字颜色 2 11 2" xfId="622"/>
    <cellStyle name="40% - 强调文字颜色 1 10 2" xfId="623"/>
    <cellStyle name="注释 6 2 2" xfId="624"/>
    <cellStyle name="60% - 强调文字颜色 2 11 3" xfId="625"/>
    <cellStyle name="40% - 强调文字颜色 1 10 3" xfId="626"/>
    <cellStyle name="40% - 强调文字颜色 1 11" xfId="627"/>
    <cellStyle name="40% - 强调文字颜色 1 11 2" xfId="628"/>
    <cellStyle name="40% - 强调文字颜色 1 11 2 2" xfId="629"/>
    <cellStyle name="链接单元格 2 2 2" xfId="630"/>
    <cellStyle name="40% - 强调文字颜色 1 11 3" xfId="631"/>
    <cellStyle name="40% - 强调文字颜色 1 2" xfId="632"/>
    <cellStyle name="标题 3 10 3" xfId="633"/>
    <cellStyle name="40% - 强调文字颜色 4 3 2 2" xfId="634"/>
    <cellStyle name="40% - 强调文字颜色 1 2 2" xfId="635"/>
    <cellStyle name="40% - 强调文字颜色 1 2 2 2" xfId="636"/>
    <cellStyle name="注释 8" xfId="637"/>
    <cellStyle name="常规 9 2 3" xfId="638"/>
    <cellStyle name="40% - 强调文字颜色 1 3 3" xfId="639"/>
    <cellStyle name="常规 9 3 2" xfId="640"/>
    <cellStyle name="40% - 强调文字颜色 1 4 2" xfId="641"/>
    <cellStyle name="40% - 强调文字颜色 1 4 2 2" xfId="642"/>
    <cellStyle name="40% - 强调文字颜色 1 4 3" xfId="643"/>
    <cellStyle name="40% - 强调文字颜色 1 5" xfId="644"/>
    <cellStyle name="常规 9 4" xfId="645"/>
    <cellStyle name="40% - 强调文字颜色 1 5 2" xfId="646"/>
    <cellStyle name="40% - 强调文字颜色 1 5 2 2" xfId="647"/>
    <cellStyle name="40% - 强调文字颜色 4 10 2 2" xfId="648"/>
    <cellStyle name="40% - 强调文字颜色 1 5 3" xfId="649"/>
    <cellStyle name="60% - 强调文字颜色 5 11 2 2" xfId="650"/>
    <cellStyle name="40% - 强调文字颜色 2 3 2 2" xfId="651"/>
    <cellStyle name="40% - 强调文字颜色 1 6" xfId="652"/>
    <cellStyle name="40% - 强调文字颜色 1 6 2" xfId="653"/>
    <cellStyle name="40% - 强调文字颜色 1 8" xfId="654"/>
    <cellStyle name="40% - 强调文字颜色 1 6 3" xfId="655"/>
    <cellStyle name="40% - 强调文字颜色 1 9" xfId="656"/>
    <cellStyle name="40% - 强调文字颜色 1 7 2" xfId="657"/>
    <cellStyle name="40% - 强调文字颜色 2 8" xfId="658"/>
    <cellStyle name="40% - 强调文字颜色 1 7 2 2" xfId="659"/>
    <cellStyle name="40% - 强调文字颜色 2 8 2" xfId="660"/>
    <cellStyle name="标题 1 3" xfId="661"/>
    <cellStyle name="40% - 强调文字颜色 1 7 3" xfId="662"/>
    <cellStyle name="40% - 强调文字颜色 2 9" xfId="663"/>
    <cellStyle name="40% - 强调文字颜色 1 9 2" xfId="664"/>
    <cellStyle name="40% - 强调文字颜色 4 8" xfId="665"/>
    <cellStyle name="40% - 强调文字颜色 1 9 2 2" xfId="666"/>
    <cellStyle name="40% - 强调文字颜色 4 8 2" xfId="667"/>
    <cellStyle name="40% - 强调文字颜色 1 9 3" xfId="668"/>
    <cellStyle name="40% - 强调文字颜色 4 9" xfId="669"/>
    <cellStyle name="40% - 强调文字颜色 2 10 2" xfId="670"/>
    <cellStyle name="60% - 强调文字颜色 3 11 2" xfId="671"/>
    <cellStyle name="60% - 强调文字颜色 6 4 3" xfId="672"/>
    <cellStyle name="40% - 强调文字颜色 2 10 2 2" xfId="673"/>
    <cellStyle name="60% - 强调文字颜色 3 11 2 2" xfId="674"/>
    <cellStyle name="40% - 强调文字颜色 2 10 3" xfId="675"/>
    <cellStyle name="60% - 强调文字颜色 3 11 3" xfId="676"/>
    <cellStyle name="40% - 强调文字颜色 2 2 2" xfId="677"/>
    <cellStyle name="40% - 强调文字颜色 2 2 2 2" xfId="678"/>
    <cellStyle name="40% - 强调文字颜色 2 2 3" xfId="679"/>
    <cellStyle name="强调文字颜色 5 10 2 2" xfId="680"/>
    <cellStyle name="40% - 强调文字颜色 4 10 3" xfId="681"/>
    <cellStyle name="60% - 强调文字颜色 5 11 3" xfId="682"/>
    <cellStyle name="40% - 强调文字颜色 2 3 3" xfId="683"/>
    <cellStyle name="40% - 强调文字颜色 2 6" xfId="684"/>
    <cellStyle name="40% - 强调文字颜色 2 6 2" xfId="685"/>
    <cellStyle name="标题 11 2" xfId="686"/>
    <cellStyle name="输出 11 2 2" xfId="687"/>
    <cellStyle name="40% - 强调文字颜色 4 5 3" xfId="688"/>
    <cellStyle name="40% - 强调文字颜色 2 6 2 2" xfId="689"/>
    <cellStyle name="解释性文本 10 3" xfId="690"/>
    <cellStyle name="40% - 强调文字颜色 2 6 3" xfId="691"/>
    <cellStyle name="强调文字颜色 6 10 2" xfId="692"/>
    <cellStyle name="40% - 强调文字颜色 2 7 2" xfId="693"/>
    <cellStyle name="40% - 强调文字颜色 5 5 3" xfId="694"/>
    <cellStyle name="40% - 强调文字颜色 2 7 2 2" xfId="695"/>
    <cellStyle name="40% - 强调文字颜色 2 7 3" xfId="696"/>
    <cellStyle name="强调文字颜色 6 11 2" xfId="697"/>
    <cellStyle name="40% - 强调文字颜色 6 5 3" xfId="698"/>
    <cellStyle name="40% - 强调文字颜色 2 8 2 2" xfId="699"/>
    <cellStyle name="标题 1 3 2" xfId="700"/>
    <cellStyle name="60% - 强调文字颜色 6 10 2 2" xfId="701"/>
    <cellStyle name="40% - 强调文字颜色 2 8 3" xfId="702"/>
    <cellStyle name="标题 1 4" xfId="703"/>
    <cellStyle name="40% - 强调文字颜色 2 9 2" xfId="704"/>
    <cellStyle name="标题 2 3" xfId="705"/>
    <cellStyle name="40% - 强调文字颜色 2 9 3" xfId="706"/>
    <cellStyle name="标题 2 4" xfId="707"/>
    <cellStyle name="标题 2 2" xfId="708"/>
    <cellStyle name="40% - 强调文字颜色 3 10 2 2" xfId="709"/>
    <cellStyle name="60% - 强调文字颜色 4 11 2 2" xfId="710"/>
    <cellStyle name="40% - 强调文字颜色 3 2 2" xfId="711"/>
    <cellStyle name="40% - 强调文字颜色 6 9" xfId="712"/>
    <cellStyle name="40% - 强调文字颜色 3 2 2 2" xfId="713"/>
    <cellStyle name="40% - 强调文字颜色 6 9 2" xfId="714"/>
    <cellStyle name="40% - 强调文字颜色 3 2 3" xfId="715"/>
    <cellStyle name="60% - 强调文字颜色 2 8 2" xfId="716"/>
    <cellStyle name="40% - 强调文字颜色 3 3" xfId="717"/>
    <cellStyle name="60% - 强调文字颜色 2 8 2 2" xfId="718"/>
    <cellStyle name="40% - 强调文字颜色 3 3 2" xfId="719"/>
    <cellStyle name="常规 25" xfId="720"/>
    <cellStyle name="40% - 强调文字颜色 3 3 2 2" xfId="721"/>
    <cellStyle name="标题 4 10 2" xfId="722"/>
    <cellStyle name="60% - 强调文字颜色 2 8 3" xfId="723"/>
    <cellStyle name="40% - 强调文字颜色 3 4" xfId="724"/>
    <cellStyle name="40% - 强调文字颜色 3 4 2" xfId="725"/>
    <cellStyle name="40% - 强调文字颜色 3 4 3" xfId="726"/>
    <cellStyle name="计算 10 2 2" xfId="727"/>
    <cellStyle name="40% - 强调文字颜色 3 5" xfId="728"/>
    <cellStyle name="40% - 强调文字颜色 4 8 2 2" xfId="729"/>
    <cellStyle name="标题 4 10 3" xfId="730"/>
    <cellStyle name="40% - 强调文字颜色 3 5 2" xfId="731"/>
    <cellStyle name="40% - 强调文字颜色 3 5 2 2" xfId="732"/>
    <cellStyle name="40% - 强调文字颜色 3 6" xfId="733"/>
    <cellStyle name="40% - 强调文字颜色 3 7" xfId="734"/>
    <cellStyle name="强调文字颜色 5 7 2 2" xfId="735"/>
    <cellStyle name="40% - 强调文字颜色 4 2 2" xfId="736"/>
    <cellStyle name="警告文本 10 3" xfId="737"/>
    <cellStyle name="40% - 强调文字颜色 4 2 2 2" xfId="738"/>
    <cellStyle name="40% - 强调文字颜色 4 2 3" xfId="739"/>
    <cellStyle name="输入 2 2 2" xfId="740"/>
    <cellStyle name="常规 2 8 2 2" xfId="741"/>
    <cellStyle name="60% - 强调文字颜色 2 9 2" xfId="742"/>
    <cellStyle name="40% - 强调文字颜色 4 3" xfId="743"/>
    <cellStyle name="40% - 强调文字颜色 4 4 2 2" xfId="744"/>
    <cellStyle name="解释性文本 7 2 2" xfId="745"/>
    <cellStyle name="差 4 2 2" xfId="746"/>
    <cellStyle name="标题 10 2" xfId="747"/>
    <cellStyle name="40% - 强调文字颜色 4 4 3" xfId="748"/>
    <cellStyle name="计算 11 2 2" xfId="749"/>
    <cellStyle name="40% - 强调文字颜色 4 5 2" xfId="750"/>
    <cellStyle name="60% - 强调文字颜色 1 10 3" xfId="751"/>
    <cellStyle name="40% - 强调文字颜色 4 5 2 2" xfId="752"/>
    <cellStyle name="40% - 强调文字颜色 4 6" xfId="753"/>
    <cellStyle name="40% - 强调文字颜色 4 6 2" xfId="754"/>
    <cellStyle name="60% - 强调文字颜色 1 11 3" xfId="755"/>
    <cellStyle name="输入 3 2" xfId="756"/>
    <cellStyle name="常规 2 9 2" xfId="757"/>
    <cellStyle name="60% - 强调文字颜色 3 9" xfId="758"/>
    <cellStyle name="40% - 强调文字颜色 4 6 2 2" xfId="759"/>
    <cellStyle name="常规 2 3" xfId="760"/>
    <cellStyle name="好 10 3" xfId="761"/>
    <cellStyle name="输入 4" xfId="762"/>
    <cellStyle name="标题 12 2" xfId="763"/>
    <cellStyle name="40% - 强调文字颜色 4 6 3" xfId="764"/>
    <cellStyle name="40% - 强调文字颜色 4 7" xfId="765"/>
    <cellStyle name="60% - 强调文字颜色 4 10 2 2" xfId="766"/>
    <cellStyle name="40% - 强调文字颜色 4 7 2" xfId="767"/>
    <cellStyle name="40% - 强调文字颜色 4 7 2 2" xfId="768"/>
    <cellStyle name="标题 13 2" xfId="769"/>
    <cellStyle name="40% - 强调文字颜色 4 7 3" xfId="770"/>
    <cellStyle name="40% - 强调文字颜色 4 9 2" xfId="771"/>
    <cellStyle name="40% - 强调文字颜色 4 9 3" xfId="772"/>
    <cellStyle name="标题 2 2 2 2" xfId="773"/>
    <cellStyle name="40% - 强调文字颜色 6 10 3" xfId="774"/>
    <cellStyle name="计算 6 3" xfId="775"/>
    <cellStyle name="40% - 强调文字颜色 5 10" xfId="776"/>
    <cellStyle name="60% - 强调文字颜色 6 11" xfId="777"/>
    <cellStyle name="40% - 强调文字颜色 5 10 2" xfId="778"/>
    <cellStyle name="60% - 强调文字颜色 6 11 2" xfId="779"/>
    <cellStyle name="40% - 强调文字颜色 5 10 3" xfId="780"/>
    <cellStyle name="60% - 强调文字颜色 6 11 3" xfId="781"/>
    <cellStyle name="60% - 强调文字颜色 5 5 2 2" xfId="782"/>
    <cellStyle name="40% - 强调文字颜色 5 3" xfId="783"/>
    <cellStyle name="40% - 强调文字颜色 5 3 2" xfId="784"/>
    <cellStyle name="40% - 强调文字颜色 5 3 2 2" xfId="785"/>
    <cellStyle name="强调文字颜色 4 3 3" xfId="786"/>
    <cellStyle name="40% - 强调文字颜色 5 3 3" xfId="787"/>
    <cellStyle name="40% - 强调文字颜色 5 4 3" xfId="788"/>
    <cellStyle name="40% - 强调文字颜色 5 5 2" xfId="789"/>
    <cellStyle name="输出 8" xfId="790"/>
    <cellStyle name="标题 1 10" xfId="791"/>
    <cellStyle name="40% - 强调文字颜色 5 5 2 2" xfId="792"/>
    <cellStyle name="强调文字颜色 6 3 3" xfId="793"/>
    <cellStyle name="40% - 强调文字颜色 5 6 2" xfId="794"/>
    <cellStyle name="注释 2 2 2" xfId="795"/>
    <cellStyle name="40% - 强调文字颜色 5 6 2 2" xfId="796"/>
    <cellStyle name="40% - 强调文字颜色 5 6 3" xfId="797"/>
    <cellStyle name="40% - 强调文字颜色 5 7 2" xfId="798"/>
    <cellStyle name="40% - 强调文字颜色 5 7 2 2" xfId="799"/>
    <cellStyle name="40% - 强调文字颜色 5 8" xfId="800"/>
    <cellStyle name="40% - 强调文字颜色 5 8 2" xfId="801"/>
    <cellStyle name="强调文字颜色 3 4" xfId="802"/>
    <cellStyle name="常规 2 11" xfId="803"/>
    <cellStyle name="40% - 强调文字颜色 5 8 2 2" xfId="804"/>
    <cellStyle name="40% - 强调文字颜色 5 9 2" xfId="805"/>
    <cellStyle name="输出 9 3" xfId="806"/>
    <cellStyle name="标题 1 11 3" xfId="807"/>
    <cellStyle name="40% - 强调文字颜色 5 9 2 2" xfId="808"/>
    <cellStyle name="40% - 强调文字颜色 5 9 3" xfId="809"/>
    <cellStyle name="标题 2 3 2 2" xfId="810"/>
    <cellStyle name="40% - 强调文字颜色 6 10 2 2" xfId="811"/>
    <cellStyle name="40% - 强调文字颜色 6 2 2" xfId="812"/>
    <cellStyle name="40% - 强调文字颜色 6 2 2 2" xfId="813"/>
    <cellStyle name="40% - 强调文字颜色 6 2 3" xfId="814"/>
    <cellStyle name="40% - 强调文字颜色 6 3" xfId="815"/>
    <cellStyle name="40% - 强调文字颜色 6 3 2" xfId="816"/>
    <cellStyle name="40% - 强调文字颜色 6 3 2 2" xfId="817"/>
    <cellStyle name="40% - 强调文字颜色 6 3 3" xfId="818"/>
    <cellStyle name="40% - 强调文字颜色 6 8" xfId="819"/>
    <cellStyle name="40% - 强调文字颜色 6 4 2 2" xfId="820"/>
    <cellStyle name="40% - 强调文字颜色 6 4 3" xfId="821"/>
    <cellStyle name="40% - 强调文字颜色 6 5 2" xfId="822"/>
    <cellStyle name="标题 4 3" xfId="823"/>
    <cellStyle name="40% - 强调文字颜色 6 5 2 2" xfId="824"/>
    <cellStyle name="40% - 强调文字颜色 6 6" xfId="825"/>
    <cellStyle name="输入 7 2 2" xfId="826"/>
    <cellStyle name="注释 3 2" xfId="827"/>
    <cellStyle name="40% - 强调文字颜色 6 6 2" xfId="828"/>
    <cellStyle name="注释 3 2 2" xfId="829"/>
    <cellStyle name="40% - 强调文字颜色 6 6 3" xfId="830"/>
    <cellStyle name="40% - 强调文字颜色 6 7" xfId="831"/>
    <cellStyle name="注释 3 3" xfId="832"/>
    <cellStyle name="40% - 强调文字颜色 6 7 2" xfId="833"/>
    <cellStyle name="40% - 强调文字颜色 6 7 2 2" xfId="834"/>
    <cellStyle name="40% - 强调文字颜色 6 7 3" xfId="835"/>
    <cellStyle name="40% - 强调文字颜色 6 8 2" xfId="836"/>
    <cellStyle name="40% - 强调文字颜色 6 8 2 2" xfId="837"/>
    <cellStyle name="40% - 强调文字颜色 6 8 3" xfId="838"/>
    <cellStyle name="40% - 强调文字颜色 6 9 2 2" xfId="839"/>
    <cellStyle name="40% - 强调文字颜色 6 9 3" xfId="840"/>
    <cellStyle name="标题 2 4 2 2" xfId="841"/>
    <cellStyle name="60% - 强调文字颜色 1 10" xfId="842"/>
    <cellStyle name="60% - 强调文字颜色 1 10 2" xfId="843"/>
    <cellStyle name="60% - 强调文字颜色 1 11 2" xfId="844"/>
    <cellStyle name="输入 2 2" xfId="845"/>
    <cellStyle name="常规 2 8 2" xfId="846"/>
    <cellStyle name="60% - 强调文字颜色 2 9" xfId="847"/>
    <cellStyle name="60% - 强调文字颜色 1 11 2 2" xfId="848"/>
    <cellStyle name="60% - 强调文字颜色 1 2" xfId="849"/>
    <cellStyle name="60% - 强调文字颜色 1 2 2" xfId="850"/>
    <cellStyle name="60% - 强调文字颜色 1 2 3" xfId="851"/>
    <cellStyle name="60% - 强调文字颜色 1 3" xfId="852"/>
    <cellStyle name="60% - 强调文字颜色 1 3 2" xfId="853"/>
    <cellStyle name="60% - 强调文字颜色 1 3 3" xfId="854"/>
    <cellStyle name="60% - 强调文字颜色 1 4" xfId="855"/>
    <cellStyle name="标题 4 2 3" xfId="856"/>
    <cellStyle name="60% - 强调文字颜色 1 4 2" xfId="857"/>
    <cellStyle name="60% - 强调文字颜色 1 5" xfId="858"/>
    <cellStyle name="标题 4 3 3" xfId="859"/>
    <cellStyle name="60% - 强调文字颜色 1 5 2" xfId="860"/>
    <cellStyle name="60% - 强调文字颜色 1 5 3" xfId="861"/>
    <cellStyle name="标题 3 4 2" xfId="862"/>
    <cellStyle name="60% - 强调文字颜色 1 6" xfId="863"/>
    <cellStyle name="标题 4 4 3" xfId="864"/>
    <cellStyle name="60% - 强调文字颜色 1 6 2" xfId="865"/>
    <cellStyle name="60% - 强调文字颜色 1 6 3" xfId="866"/>
    <cellStyle name="60% - 强调文字颜色 1 7" xfId="867"/>
    <cellStyle name="标题 3 3 2 2" xfId="868"/>
    <cellStyle name="60% - 强调文字颜色 1 7 2 2" xfId="869"/>
    <cellStyle name="60% - 强调文字颜色 1 8" xfId="870"/>
    <cellStyle name="检查单元格 10 2 2" xfId="871"/>
    <cellStyle name="标题 4 6 3" xfId="872"/>
    <cellStyle name="60% - 强调文字颜色 1 8 2" xfId="873"/>
    <cellStyle name="60% - 强调文字颜色 1 8 2 2" xfId="874"/>
    <cellStyle name="60% - 强调文字颜色 1 8 3" xfId="875"/>
    <cellStyle name="常规 2 7 2" xfId="876"/>
    <cellStyle name="标题 8 2 2" xfId="877"/>
    <cellStyle name="60% - 强调文字颜色 1 9" xfId="878"/>
    <cellStyle name="常规 2 7 2 2" xfId="879"/>
    <cellStyle name="标题 4 7 3" xfId="880"/>
    <cellStyle name="60% - 强调文字颜色 1 9 2" xfId="881"/>
    <cellStyle name="60% - 强调文字颜色 1 9 2 2" xfId="882"/>
    <cellStyle name="输出 5 2 2" xfId="883"/>
    <cellStyle name="60% - 强调文字颜色 1 9 3" xfId="884"/>
    <cellStyle name="解释性文本 9" xfId="885"/>
    <cellStyle name="差 6" xfId="886"/>
    <cellStyle name="60% - 强调文字颜色 2 10 2 2" xfId="887"/>
    <cellStyle name="60% - 强调文字颜色 2 10 3" xfId="888"/>
    <cellStyle name="常规 12 2 2 2" xfId="889"/>
    <cellStyle name="60% - 强调文字颜色 2 2" xfId="890"/>
    <cellStyle name="60% - 强调文字颜色 2 2 2" xfId="891"/>
    <cellStyle name="60% - 强调文字颜色 6 8" xfId="892"/>
    <cellStyle name="60% - 强调文字颜色 2 2 2 2" xfId="893"/>
    <cellStyle name="差 7" xfId="894"/>
    <cellStyle name="60% - 强调文字颜色 6 8 2" xfId="895"/>
    <cellStyle name="60% - 强调文字颜色 2 2 3" xfId="896"/>
    <cellStyle name="输入 6 2" xfId="897"/>
    <cellStyle name="60% - 强调文字颜色 6 9" xfId="898"/>
    <cellStyle name="60% - 强调文字颜色 2 3 2" xfId="899"/>
    <cellStyle name="注释 2" xfId="900"/>
    <cellStyle name="60% - 强调文字颜色 2 3 3" xfId="901"/>
    <cellStyle name="输入 7 2" xfId="902"/>
    <cellStyle name="注释 3" xfId="903"/>
    <cellStyle name="60% - 强调文字颜色 3 7 2 2" xfId="904"/>
    <cellStyle name="常规 7" xfId="905"/>
    <cellStyle name="60% - 强调文字颜色 2 4" xfId="906"/>
    <cellStyle name="60% - 强调文字颜色 2 4 2" xfId="907"/>
    <cellStyle name="60% - 强调文字颜色 2 4 2 2" xfId="908"/>
    <cellStyle name="60% - 强调文字颜色 2 5" xfId="909"/>
    <cellStyle name="60% - 强调文字颜色 2 6" xfId="910"/>
    <cellStyle name="60% - 强调文字颜色 2 7" xfId="911"/>
    <cellStyle name="60% - 强调文字颜色 2 8" xfId="912"/>
    <cellStyle name="强调文字颜色 4 10" xfId="913"/>
    <cellStyle name="60% - 强调文字颜色 3 2" xfId="914"/>
    <cellStyle name="强调文字颜色 4 10 2" xfId="915"/>
    <cellStyle name="60% - 强调文字颜色 3 2 2" xfId="916"/>
    <cellStyle name="强调文字颜色 4 10 2 2" xfId="917"/>
    <cellStyle name="60% - 强调文字颜色 3 2 2 2" xfId="918"/>
    <cellStyle name="强调文字颜色 4 10 3" xfId="919"/>
    <cellStyle name="60% - 强调文字颜色 3 2 3" xfId="920"/>
    <cellStyle name="强调文字颜色 4 11 2" xfId="921"/>
    <cellStyle name="汇总 7" xfId="922"/>
    <cellStyle name="汇总 10 2" xfId="923"/>
    <cellStyle name="60% - 强调文字颜色 3 3 2" xfId="924"/>
    <cellStyle name="强调文字颜色 4 11 2 2" xfId="925"/>
    <cellStyle name="汇总 7 2" xfId="926"/>
    <cellStyle name="汇总 10 2 2" xfId="927"/>
    <cellStyle name="60% - 强调文字颜色 3 3 2 2" xfId="928"/>
    <cellStyle name="强调文字颜色 4 11 3" xfId="929"/>
    <cellStyle name="汇总 8" xfId="930"/>
    <cellStyle name="汇总 10 3" xfId="931"/>
    <cellStyle name="60% - 强调文字颜色 3 3 3" xfId="932"/>
    <cellStyle name="汇总 11" xfId="933"/>
    <cellStyle name="60% - 强调文字颜色 3 4" xfId="934"/>
    <cellStyle name="汇总 11 2" xfId="935"/>
    <cellStyle name="60% - 强调文字颜色 3 4 2" xfId="936"/>
    <cellStyle name="汇总 11 2 2" xfId="937"/>
    <cellStyle name="60% - 强调文字颜色 3 4 2 2" xfId="938"/>
    <cellStyle name="60% - 强调文字颜色 3 5" xfId="939"/>
    <cellStyle name="60% - 强调文字颜色 3 5 2" xfId="940"/>
    <cellStyle name="强调文字颜色 2 11" xfId="941"/>
    <cellStyle name="60% - 强调文字颜色 3 5 2 2" xfId="942"/>
    <cellStyle name="60% - 强调文字颜色 3 5 3" xfId="943"/>
    <cellStyle name="常规 19 2 2" xfId="944"/>
    <cellStyle name="60% - 强调文字颜色 3 6" xfId="945"/>
    <cellStyle name="60% - 强调文字颜色 3 6 2" xfId="946"/>
    <cellStyle name="60% - 强调文字颜色 3 6 2 2" xfId="947"/>
    <cellStyle name="强调文字颜色 5 3 2 2" xfId="948"/>
    <cellStyle name="60% - 强调文字颜色 3 6 3" xfId="949"/>
    <cellStyle name="60% - 强调文字颜色 3 7" xfId="950"/>
    <cellStyle name="60% - 强调文字颜色 3 7 2" xfId="951"/>
    <cellStyle name="60% - 强调文字颜色 3 7 3" xfId="952"/>
    <cellStyle name="60% - 强调文字颜色 3 8" xfId="953"/>
    <cellStyle name="60% - 强调文字颜色 3 8 2" xfId="954"/>
    <cellStyle name="60% - 强调文字颜色 3 8 2 2" xfId="955"/>
    <cellStyle name="60% - 强调文字颜色 3 8 3" xfId="956"/>
    <cellStyle name="输入 3 2 2" xfId="957"/>
    <cellStyle name="常规 2 9 2 2" xfId="958"/>
    <cellStyle name="60% - 强调文字颜色 3 9 2" xfId="959"/>
    <cellStyle name="60% - 强调文字颜色 3 9 2 2" xfId="960"/>
    <cellStyle name="输出 7 2 2" xfId="961"/>
    <cellStyle name="60% - 强调文字颜色 3 9 3" xfId="962"/>
    <cellStyle name="60% - 强调文字颜色 4 10" xfId="963"/>
    <cellStyle name="强调文字颜色 1 2 2" xfId="964"/>
    <cellStyle name="强调文字颜色 5 7 3" xfId="965"/>
    <cellStyle name="60% - 强调文字颜色 4 10 2" xfId="966"/>
    <cellStyle name="强调文字颜色 1 2 2 2" xfId="967"/>
    <cellStyle name="60% - 强调文字颜色 6 6 2 2" xfId="968"/>
    <cellStyle name="60% - 强调文字颜色 4 10 3" xfId="969"/>
    <cellStyle name="60% - 强调文字颜色 4 2" xfId="970"/>
    <cellStyle name="计算 4 2 2" xfId="971"/>
    <cellStyle name="60% - 强调文字颜色 4 3" xfId="972"/>
    <cellStyle name="60% - 强调文字颜色 4 3 2" xfId="973"/>
    <cellStyle name="常规 15" xfId="974"/>
    <cellStyle name="常规 20" xfId="975"/>
    <cellStyle name="60% - 强调文字颜色 4 3 2 2" xfId="976"/>
    <cellStyle name="常规 15 2" xfId="977"/>
    <cellStyle name="常规 20 2" xfId="978"/>
    <cellStyle name="60% - 强调文字颜色 4 3 3" xfId="979"/>
    <cellStyle name="常规 16" xfId="980"/>
    <cellStyle name="常规 21" xfId="981"/>
    <cellStyle name="检查单元格 2 2 2" xfId="982"/>
    <cellStyle name="60% - 强调文字颜色 4 4" xfId="983"/>
    <cellStyle name="60% - 强调文字颜色 4 4 2" xfId="984"/>
    <cellStyle name="60% - 强调文字颜色 4 5" xfId="985"/>
    <cellStyle name="60% - 强调文字颜色 4 5 2" xfId="986"/>
    <cellStyle name="60% - 强调文字颜色 4 5 2 2" xfId="987"/>
    <cellStyle name="输入 6" xfId="988"/>
    <cellStyle name="60% - 强调文字颜色 4 5 3" xfId="989"/>
    <cellStyle name="60% - 强调文字颜色 4 6" xfId="990"/>
    <cellStyle name="60% - 强调文字颜色 4 6 2" xfId="991"/>
    <cellStyle name="60% - 强调文字颜色 4 6 2 2" xfId="992"/>
    <cellStyle name="警告文本 9 3" xfId="993"/>
    <cellStyle name="60% - 强调文字颜色 4 7" xfId="994"/>
    <cellStyle name="60% - 强调文字颜色 4 7 2" xfId="995"/>
    <cellStyle name="60% - 强调文字颜色 4 7 2 2" xfId="996"/>
    <cellStyle name="60% - 强调文字颜色 4 8" xfId="997"/>
    <cellStyle name="60% - 强调文字颜色 4 8 2" xfId="998"/>
    <cellStyle name="计算 7" xfId="999"/>
    <cellStyle name="60% - 强调文字颜色 4 8 3" xfId="1000"/>
    <cellStyle name="计算 8" xfId="1001"/>
    <cellStyle name="输入 4 2" xfId="1002"/>
    <cellStyle name="60% - 强调文字颜色 4 9" xfId="1003"/>
    <cellStyle name="标题 12 2 2" xfId="1004"/>
    <cellStyle name="输入 4 2 2" xfId="1005"/>
    <cellStyle name="60% - 强调文字颜色 4 9 2" xfId="1006"/>
    <cellStyle name="输出 8 2 2" xfId="1007"/>
    <cellStyle name="60% - 强调文字颜色 4 9 3" xfId="1008"/>
    <cellStyle name="标题 1 10 2 2" xfId="1009"/>
    <cellStyle name="60% - 强调文字颜色 5 10 2" xfId="1010"/>
    <cellStyle name="链接单元格 11" xfId="1011"/>
    <cellStyle name="强调文字颜色 1 7 2 2" xfId="1012"/>
    <cellStyle name="60% - 强调文字颜色 5 10 2 2" xfId="1013"/>
    <cellStyle name="链接单元格 11 2" xfId="1014"/>
    <cellStyle name="链接单元格 9 3" xfId="1015"/>
    <cellStyle name="60% - 强调文字颜色 5 10 3" xfId="1016"/>
    <cellStyle name="60% - 强调文字颜色 5 2" xfId="1017"/>
    <cellStyle name="标题 1 4 2 2" xfId="1018"/>
    <cellStyle name="常规 2 5 3" xfId="1019"/>
    <cellStyle name="60% - 强调文字颜色 5 2 2" xfId="1020"/>
    <cellStyle name="60% - 强调文字颜色 5 2 2 2" xfId="1021"/>
    <cellStyle name="标题 2 8 3" xfId="1022"/>
    <cellStyle name="60% - 强调文字颜色 5 2 3" xfId="1023"/>
    <cellStyle name="60% - 强调文字颜色 5 3" xfId="1024"/>
    <cellStyle name="常规 2 6 3" xfId="1025"/>
    <cellStyle name="60% - 强调文字颜色 5 3 2" xfId="1026"/>
    <cellStyle name="60% - 强调文字颜色 5 7" xfId="1027"/>
    <cellStyle name="标题 3 8 3" xfId="1028"/>
    <cellStyle name="60% - 强调文字颜色 5 3 2 2" xfId="1029"/>
    <cellStyle name="60% - 强调文字颜色 5 3 3" xfId="1030"/>
    <cellStyle name="检查单元格 3 2 2" xfId="1031"/>
    <cellStyle name="60% - 强调文字颜色 5 4" xfId="1032"/>
    <cellStyle name="常规 2 7 3" xfId="1033"/>
    <cellStyle name="60% - 强调文字颜色 5 4 2" xfId="1034"/>
    <cellStyle name="计算 11" xfId="1035"/>
    <cellStyle name="标题 4 8 3" xfId="1036"/>
    <cellStyle name="60% - 强调文字颜色 5 4 2 2" xfId="1037"/>
    <cellStyle name="60% - 强调文字颜色 5 5" xfId="1038"/>
    <cellStyle name="差 10 2 2" xfId="1039"/>
    <cellStyle name="输入 2 3" xfId="1040"/>
    <cellStyle name="常规 2 8 3" xfId="1041"/>
    <cellStyle name="60% - 强调文字颜色 5 5 2" xfId="1042"/>
    <cellStyle name="60% - 强调文字颜色 5 5 3" xfId="1043"/>
    <cellStyle name="60% - 强调文字颜色 5 6" xfId="1044"/>
    <cellStyle name="输入 3 3" xfId="1045"/>
    <cellStyle name="常规 2 9 3" xfId="1046"/>
    <cellStyle name="60% - 强调文字颜色 5 6 2" xfId="1047"/>
    <cellStyle name="60% - 强调文字颜色 5 6 2 2" xfId="1048"/>
    <cellStyle name="强调文字颜色 5 5 2 2" xfId="1049"/>
    <cellStyle name="60% - 强调文字颜色 5 6 3" xfId="1050"/>
    <cellStyle name="输入 4 3" xfId="1051"/>
    <cellStyle name="60% - 强调文字颜色 5 7 2" xfId="1052"/>
    <cellStyle name="60% - 强调文字颜色 5 7 2 2" xfId="1053"/>
    <cellStyle name="60% - 强调文字颜色 5 7 3" xfId="1054"/>
    <cellStyle name="60% - 强调文字颜色 5 8" xfId="1055"/>
    <cellStyle name="输入 5 3" xfId="1056"/>
    <cellStyle name="60% - 强调文字颜色 5 8 2" xfId="1057"/>
    <cellStyle name="注释 4" xfId="1058"/>
    <cellStyle name="输入 7 3" xfId="1059"/>
    <cellStyle name="60% - 强调文字颜色 5 8 2 2" xfId="1060"/>
    <cellStyle name="60% - 强调文字颜色 5 8 3" xfId="1061"/>
    <cellStyle name="输入 5 2" xfId="1062"/>
    <cellStyle name="60% - 强调文字颜色 5 9" xfId="1063"/>
    <cellStyle name="输入 6 3" xfId="1064"/>
    <cellStyle name="输入 5 2 2" xfId="1065"/>
    <cellStyle name="60% - 强调文字颜色 5 9 2" xfId="1066"/>
    <cellStyle name="60% - 强调文字颜色 5 9 2 2" xfId="1067"/>
    <cellStyle name="汇总 9" xfId="1068"/>
    <cellStyle name="输出 9 2 2" xfId="1069"/>
    <cellStyle name="60% - 强调文字颜色 5 9 3" xfId="1070"/>
    <cellStyle name="标题 1 11 2 2" xfId="1071"/>
    <cellStyle name="计算 6 2 2" xfId="1072"/>
    <cellStyle name="60% - 强调文字颜色 6 10 2" xfId="1073"/>
    <cellStyle name="60% - 强调文字颜色 6 10 3" xfId="1074"/>
    <cellStyle name="60% - 强调文字颜色 6 2" xfId="1075"/>
    <cellStyle name="60% - 强调文字颜色 6 2 2" xfId="1076"/>
    <cellStyle name="60% - 强调文字颜色 6 2 3" xfId="1077"/>
    <cellStyle name="60% - 强调文字颜色 6 3 2" xfId="1078"/>
    <cellStyle name="60% - 强调文字颜色 6 3 3" xfId="1079"/>
    <cellStyle name="检查单元格 4 2 2" xfId="1080"/>
    <cellStyle name="60% - 强调文字颜色 6 4" xfId="1081"/>
    <cellStyle name="60% - 强调文字颜色 6 4 2" xfId="1082"/>
    <cellStyle name="60% - 强调文字颜色 6 5" xfId="1083"/>
    <cellStyle name="60% - 强调文字颜色 6 5 2 2" xfId="1084"/>
    <cellStyle name="强调文字颜色 5 2" xfId="1085"/>
    <cellStyle name="适中 6 2 2" xfId="1086"/>
    <cellStyle name="60% - 强调文字颜色 6 6" xfId="1087"/>
    <cellStyle name="60% - 强调文字颜色 6 6 2" xfId="1088"/>
    <cellStyle name="60% - 强调文字颜色 6 7" xfId="1089"/>
    <cellStyle name="60% - 强调文字颜色 6 7 2" xfId="1090"/>
    <cellStyle name="60% - 强调文字颜色 6 7 2 2" xfId="1091"/>
    <cellStyle name="60% - 强调文字颜色 6 7 3" xfId="1092"/>
    <cellStyle name="差 7 2" xfId="1093"/>
    <cellStyle name="60% - 强调文字颜色 6 8 2 2" xfId="1094"/>
    <cellStyle name="差 8" xfId="1095"/>
    <cellStyle name="60% - 强调文字颜色 6 8 3" xfId="1096"/>
    <cellStyle name="输入 6 2 2" xfId="1097"/>
    <cellStyle name="60% - 强调文字颜色 6 9 2" xfId="1098"/>
    <cellStyle name="60% - 强调文字颜色 6 9 2 2" xfId="1099"/>
    <cellStyle name="60% - 强调文字颜色 6 9 3" xfId="1100"/>
    <cellStyle name="输出 8 2" xfId="1101"/>
    <cellStyle name="标题 1 10 2" xfId="1102"/>
    <cellStyle name="输出 8 3" xfId="1103"/>
    <cellStyle name="标题 1 10 3" xfId="1104"/>
    <cellStyle name="输出 9" xfId="1105"/>
    <cellStyle name="标题 1 11" xfId="1106"/>
    <cellStyle name="输出 9 2" xfId="1107"/>
    <cellStyle name="标题 1 11 2" xfId="1108"/>
    <cellStyle name="标题 1 2" xfId="1109"/>
    <cellStyle name="标题 1 2 2" xfId="1110"/>
    <cellStyle name="标题 1 2 2 2" xfId="1111"/>
    <cellStyle name="标题 1 2 3" xfId="1112"/>
    <cellStyle name="标题 1 3 2 2" xfId="1113"/>
    <cellStyle name="强调文字颜色 1 5" xfId="1114"/>
    <cellStyle name="标题 1 3 3" xfId="1115"/>
    <cellStyle name="强调文字颜色 2 6 2 2" xfId="1116"/>
    <cellStyle name="标题 1 5" xfId="1117"/>
    <cellStyle name="标题 1 5 2 2" xfId="1118"/>
    <cellStyle name="解释性文本 2" xfId="1119"/>
    <cellStyle name="标题 1 5 3" xfId="1120"/>
    <cellStyle name="标题 1 6" xfId="1121"/>
    <cellStyle name="标题 1 6 2" xfId="1122"/>
    <cellStyle name="标题 1 6 2 2" xfId="1123"/>
    <cellStyle name="标题 1 6 3" xfId="1124"/>
    <cellStyle name="标题 1 7" xfId="1125"/>
    <cellStyle name="标题 1 7 2" xfId="1126"/>
    <cellStyle name="标题 1 7 2 2" xfId="1127"/>
    <cellStyle name="标题 1 7 3" xfId="1128"/>
    <cellStyle name="常规 2 4 2 2" xfId="1129"/>
    <cellStyle name="标题 1 8 2 2" xfId="1130"/>
    <cellStyle name="标题 1 8 3" xfId="1131"/>
    <cellStyle name="计算 7 2 2" xfId="1132"/>
    <cellStyle name="标题 1 9 2" xfId="1133"/>
    <cellStyle name="标题 1 9 2 2" xfId="1134"/>
    <cellStyle name="标题 1 9 3" xfId="1135"/>
    <cellStyle name="解释性文本 7 2" xfId="1136"/>
    <cellStyle name="差 4 2" xfId="1137"/>
    <cellStyle name="标题 10" xfId="1138"/>
    <cellStyle name="标题 10 2 2" xfId="1139"/>
    <cellStyle name="标题 10 3" xfId="1140"/>
    <cellStyle name="解释性文本 7 3" xfId="1141"/>
    <cellStyle name="差 4 3" xfId="1142"/>
    <cellStyle name="标题 11" xfId="1143"/>
    <cellStyle name="输出 11 2" xfId="1144"/>
    <cellStyle name="标题 11 2 2" xfId="1145"/>
    <cellStyle name="标题 11 3" xfId="1146"/>
    <cellStyle name="标题 12" xfId="1147"/>
    <cellStyle name="输出 11 3" xfId="1148"/>
    <cellStyle name="输入 5" xfId="1149"/>
    <cellStyle name="标题 12 3" xfId="1150"/>
    <cellStyle name="标题 13" xfId="1151"/>
    <cellStyle name="标题 13 2 2" xfId="1152"/>
    <cellStyle name="标题 2 10 2" xfId="1153"/>
    <cellStyle name="强调文字颜色 5 11" xfId="1154"/>
    <cellStyle name="标题 2 10 2 2" xfId="1155"/>
    <cellStyle name="强调文字颜色 5 11 2" xfId="1156"/>
    <cellStyle name="标题 2 10 3" xfId="1157"/>
    <cellStyle name="标题 2 11 2" xfId="1158"/>
    <cellStyle name="标题 2 11 2 2" xfId="1159"/>
    <cellStyle name="标题 2 2 3" xfId="1160"/>
    <cellStyle name="标题 2 3 3" xfId="1161"/>
    <cellStyle name="标题 2 4 2" xfId="1162"/>
    <cellStyle name="标题 3 2 2 2" xfId="1163"/>
    <cellStyle name="好 5 2" xfId="1164"/>
    <cellStyle name="标题 2 4 3" xfId="1165"/>
    <cellStyle name="标题 2 5 2" xfId="1166"/>
    <cellStyle name="标题 2 5 2 2" xfId="1167"/>
    <cellStyle name="标题 2 5 3" xfId="1168"/>
    <cellStyle name="标题 2 6" xfId="1169"/>
    <cellStyle name="标题 2 6 2" xfId="1170"/>
    <cellStyle name="标题 2 6 3" xfId="1171"/>
    <cellStyle name="标题 2 7" xfId="1172"/>
    <cellStyle name="标题 2 7 2" xfId="1173"/>
    <cellStyle name="检查单元格 5" xfId="1174"/>
    <cellStyle name="标题 2 7 2 2" xfId="1175"/>
    <cellStyle name="检查单元格 5 2" xfId="1176"/>
    <cellStyle name="标题 2 7 3" xfId="1177"/>
    <cellStyle name="常规 2 5 2 2" xfId="1178"/>
    <cellStyle name="检查单元格 6" xfId="1179"/>
    <cellStyle name="计算 8 2 2" xfId="1180"/>
    <cellStyle name="标题 2 9 2" xfId="1181"/>
    <cellStyle name="标题 2 9 3" xfId="1182"/>
    <cellStyle name="标题 3 10" xfId="1183"/>
    <cellStyle name="标题 3 10 2" xfId="1184"/>
    <cellStyle name="标题 3 10 2 2" xfId="1185"/>
    <cellStyle name="标题 3 11" xfId="1186"/>
    <cellStyle name="标题 3 11 2" xfId="1187"/>
    <cellStyle name="标题 3 11 2 2" xfId="1188"/>
    <cellStyle name="常规 7 2 3" xfId="1189"/>
    <cellStyle name="标题 3 2" xfId="1190"/>
    <cellStyle name="标题 3 2 2" xfId="1191"/>
    <cellStyle name="好 5" xfId="1192"/>
    <cellStyle name="标题 3 2 3" xfId="1193"/>
    <cellStyle name="好 6" xfId="1194"/>
    <cellStyle name="标题 3 3" xfId="1195"/>
    <cellStyle name="标题 3 3 2" xfId="1196"/>
    <cellStyle name="标题 3 3 3" xfId="1197"/>
    <cellStyle name="标题 3 4" xfId="1198"/>
    <cellStyle name="标题 3 4 2 2" xfId="1199"/>
    <cellStyle name="标题 3 4 3" xfId="1200"/>
    <cellStyle name="标题 3 5" xfId="1201"/>
    <cellStyle name="常规 9" xfId="1202"/>
    <cellStyle name="标题 3 5 2" xfId="1203"/>
    <cellStyle name="标题 3 5 3" xfId="1204"/>
    <cellStyle name="标题 3 6" xfId="1205"/>
    <cellStyle name="标题 3 6 2" xfId="1206"/>
    <cellStyle name="标题 3 6 2 2" xfId="1207"/>
    <cellStyle name="标题 3 6 3" xfId="1208"/>
    <cellStyle name="标题 3 7" xfId="1209"/>
    <cellStyle name="标题 3 7 2" xfId="1210"/>
    <cellStyle name="标题 3 7 2 2" xfId="1211"/>
    <cellStyle name="常规 2 6 2 2" xfId="1212"/>
    <cellStyle name="标题 3 7 3" xfId="1213"/>
    <cellStyle name="标题 3 8" xfId="1214"/>
    <cellStyle name="标题 3 8 2" xfId="1215"/>
    <cellStyle name="常规 2 4" xfId="1216"/>
    <cellStyle name="标题 3 8 2 2" xfId="1217"/>
    <cellStyle name="注释 9 2 2" xfId="1218"/>
    <cellStyle name="计算 9 2" xfId="1219"/>
    <cellStyle name="标题 3 9" xfId="1220"/>
    <cellStyle name="计算 9 2 2" xfId="1221"/>
    <cellStyle name="标题 3 9 2" xfId="1222"/>
    <cellStyle name="标题 3 9 2 2" xfId="1223"/>
    <cellStyle name="标题 3 9 3" xfId="1224"/>
    <cellStyle name="标题 4 10" xfId="1225"/>
    <cellStyle name="警告文本 5" xfId="1226"/>
    <cellStyle name="标题 4 10 2 2" xfId="1227"/>
    <cellStyle name="输出 6 2" xfId="1228"/>
    <cellStyle name="标题 4 11" xfId="1229"/>
    <cellStyle name="标题 4 11 2 2" xfId="1230"/>
    <cellStyle name="标题 4 11 3" xfId="1231"/>
    <cellStyle name="标题 4 2" xfId="1232"/>
    <cellStyle name="标题 4 2 2" xfId="1233"/>
    <cellStyle name="标题 4 3 2" xfId="1234"/>
    <cellStyle name="标题 4 4" xfId="1235"/>
    <cellStyle name="标题 4 4 2" xfId="1236"/>
    <cellStyle name="标题 4 5" xfId="1237"/>
    <cellStyle name="标题 4 5 2" xfId="1238"/>
    <cellStyle name="标题 4 5 2 2" xfId="1239"/>
    <cellStyle name="标题 4 6" xfId="1240"/>
    <cellStyle name="标题 4 6 2" xfId="1241"/>
    <cellStyle name="标题 4 6 2 2" xfId="1242"/>
    <cellStyle name="标题 4 7" xfId="1243"/>
    <cellStyle name="强调文字颜色 3 10 3" xfId="1244"/>
    <cellStyle name="标题 4 7 2" xfId="1245"/>
    <cellStyle name="标题 4 7 2 2" xfId="1246"/>
    <cellStyle name="强调文字颜色 4 2 2 2" xfId="1247"/>
    <cellStyle name="标题 4 8" xfId="1248"/>
    <cellStyle name="强调文字颜色 3 11 3" xfId="1249"/>
    <cellStyle name="计算 10" xfId="1250"/>
    <cellStyle name="标题 4 8 2" xfId="1251"/>
    <cellStyle name="计算 10 2" xfId="1252"/>
    <cellStyle name="标题 4 8 2 2" xfId="1253"/>
    <cellStyle name="链接单元格 5 2 2" xfId="1254"/>
    <cellStyle name="标题 4 9" xfId="1255"/>
    <cellStyle name="标题 4 9 2" xfId="1256"/>
    <cellStyle name="标题 4 9 2 2" xfId="1257"/>
    <cellStyle name="标题 4 9 3" xfId="1258"/>
    <cellStyle name="标题 5 2" xfId="1259"/>
    <cellStyle name="标题 5 2 2" xfId="1260"/>
    <cellStyle name="标题 5 3" xfId="1261"/>
    <cellStyle name="标题 6" xfId="1262"/>
    <cellStyle name="标题 6 2" xfId="1263"/>
    <cellStyle name="标题 6 2 2" xfId="1264"/>
    <cellStyle name="标题 6 3" xfId="1265"/>
    <cellStyle name="标题 7" xfId="1266"/>
    <cellStyle name="标题 7 2" xfId="1267"/>
    <cellStyle name="标题 7 2 2" xfId="1268"/>
    <cellStyle name="检查单元格 8 2 2" xfId="1269"/>
    <cellStyle name="标题 7 3" xfId="1270"/>
    <cellStyle name="常规 21 2 2" xfId="1271"/>
    <cellStyle name="常规 16 2 2" xfId="1272"/>
    <cellStyle name="标题 8" xfId="1273"/>
    <cellStyle name="常规 2 7" xfId="1274"/>
    <cellStyle name="标题 8 2" xfId="1275"/>
    <cellStyle name="输入 2" xfId="1276"/>
    <cellStyle name="强调文字颜色 2 3 2 2" xfId="1277"/>
    <cellStyle name="常规 2 8" xfId="1278"/>
    <cellStyle name="标题 8 3" xfId="1279"/>
    <cellStyle name="标题 9" xfId="1280"/>
    <cellStyle name="标题 9 2" xfId="1281"/>
    <cellStyle name="标题 9 2 2" xfId="1282"/>
    <cellStyle name="检查单元格 6 2 2" xfId="1283"/>
    <cellStyle name="强调文字颜色 5 11 3" xfId="1284"/>
    <cellStyle name="差 10" xfId="1285"/>
    <cellStyle name="差 10 2" xfId="1286"/>
    <cellStyle name="差 10 3" xfId="1287"/>
    <cellStyle name="差 11" xfId="1288"/>
    <cellStyle name="解释性文本 5" xfId="1289"/>
    <cellStyle name="差 2" xfId="1290"/>
    <cellStyle name="差 11 2 2" xfId="1291"/>
    <cellStyle name="差 11 3" xfId="1292"/>
    <cellStyle name="解释性文本 5 2" xfId="1293"/>
    <cellStyle name="差 2 2" xfId="1294"/>
    <cellStyle name="解释性文本 5 2 2" xfId="1295"/>
    <cellStyle name="差 2 2 2" xfId="1296"/>
    <cellStyle name="解释性文本 5 3" xfId="1297"/>
    <cellStyle name="差 2 3" xfId="1298"/>
    <cellStyle name="解释性文本 6" xfId="1299"/>
    <cellStyle name="差 3" xfId="1300"/>
    <cellStyle name="解释性文本 6 2" xfId="1301"/>
    <cellStyle name="差 3 2" xfId="1302"/>
    <cellStyle name="警告文本 6" xfId="1303"/>
    <cellStyle name="解释性文本 6 2 2" xfId="1304"/>
    <cellStyle name="差 3 2 2" xfId="1305"/>
    <cellStyle name="输出 10 2" xfId="1306"/>
    <cellStyle name="强调文字颜色 6 5 2 2" xfId="1307"/>
    <cellStyle name="解释性文本 6 3" xfId="1308"/>
    <cellStyle name="差 3 3" xfId="1309"/>
    <cellStyle name="解释性文本 7" xfId="1310"/>
    <cellStyle name="差 4" xfId="1311"/>
    <cellStyle name="解释性文本 8" xfId="1312"/>
    <cellStyle name="差 5" xfId="1313"/>
    <cellStyle name="解释性文本 8 2" xfId="1314"/>
    <cellStyle name="差 5 2" xfId="1315"/>
    <cellStyle name="解释性文本 8 2 2" xfId="1316"/>
    <cellStyle name="差 5 2 2" xfId="1317"/>
    <cellStyle name="解释性文本 8 3" xfId="1318"/>
    <cellStyle name="差 5 3" xfId="1319"/>
    <cellStyle name="解释性文本 9 2" xfId="1320"/>
    <cellStyle name="差 6 2" xfId="1321"/>
    <cellStyle name="解释性文本 9 2 2" xfId="1322"/>
    <cellStyle name="差 6 2 2" xfId="1323"/>
    <cellStyle name="解释性文本 9 3" xfId="1324"/>
    <cellStyle name="差 6 3" xfId="1325"/>
    <cellStyle name="差 7 2 2" xfId="1326"/>
    <cellStyle name="差 7 3" xfId="1327"/>
    <cellStyle name="差 8 2" xfId="1328"/>
    <cellStyle name="差 8 2 2" xfId="1329"/>
    <cellStyle name="差 8 3" xfId="1330"/>
    <cellStyle name="差 9" xfId="1331"/>
    <cellStyle name="差 9 2" xfId="1332"/>
    <cellStyle name="差 9 2 2" xfId="1333"/>
    <cellStyle name="差 9 3" xfId="1334"/>
    <cellStyle name="常规 10 2 2" xfId="1335"/>
    <cellStyle name="常规 10 2 2 2" xfId="1336"/>
    <cellStyle name="汇总 6 2" xfId="1337"/>
    <cellStyle name="常规 10 2 3" xfId="1338"/>
    <cellStyle name="常规 10 3" xfId="1339"/>
    <cellStyle name="常规 10 3 2" xfId="1340"/>
    <cellStyle name="注释 7 2 2" xfId="1341"/>
    <cellStyle name="常规 10 4" xfId="1342"/>
    <cellStyle name="常规 11 2" xfId="1343"/>
    <cellStyle name="常规 11 2 2" xfId="1344"/>
    <cellStyle name="常规 11 2 2 2" xfId="1345"/>
    <cellStyle name="常规 11 2 3" xfId="1346"/>
    <cellStyle name="常规 11 3" xfId="1347"/>
    <cellStyle name="常规 11 3 2" xfId="1348"/>
    <cellStyle name="链接单元格 3 2 2" xfId="1349"/>
    <cellStyle name="常规 11 4" xfId="1350"/>
    <cellStyle name="好 4 2" xfId="1351"/>
    <cellStyle name="常规 12" xfId="1352"/>
    <cellStyle name="好 4 2 2" xfId="1353"/>
    <cellStyle name="常规 12 2" xfId="1354"/>
    <cellStyle name="常规 12 3" xfId="1355"/>
    <cellStyle name="强调文字颜色 2 10" xfId="1356"/>
    <cellStyle name="常规 12 3 2" xfId="1357"/>
    <cellStyle name="常规 12 4" xfId="1358"/>
    <cellStyle name="强调文字颜色 3 8 2 2" xfId="1359"/>
    <cellStyle name="好 4 3" xfId="1360"/>
    <cellStyle name="常规 13" xfId="1361"/>
    <cellStyle name="常规 13 2" xfId="1362"/>
    <cellStyle name="常规 13 2 2" xfId="1363"/>
    <cellStyle name="常规 13 3" xfId="1364"/>
    <cellStyle name="常规 14" xfId="1365"/>
    <cellStyle name="常规 14 2" xfId="1366"/>
    <cellStyle name="常规 14 2 2" xfId="1367"/>
    <cellStyle name="常规 14 3" xfId="1368"/>
    <cellStyle name="强调文字颜色 6 7" xfId="1369"/>
    <cellStyle name="常规 20 2 2" xfId="1370"/>
    <cellStyle name="常规 15 2 2" xfId="1371"/>
    <cellStyle name="常规 20 3" xfId="1372"/>
    <cellStyle name="常规 15 3" xfId="1373"/>
    <cellStyle name="常规 21 2" xfId="1374"/>
    <cellStyle name="常规 16 2" xfId="1375"/>
    <cellStyle name="常规 21 3" xfId="1376"/>
    <cellStyle name="常规 16 3" xfId="1377"/>
    <cellStyle name="注释 4 2" xfId="1378"/>
    <cellStyle name="常规 22" xfId="1379"/>
    <cellStyle name="常规 17" xfId="1380"/>
    <cellStyle name="注释 4 2 2" xfId="1381"/>
    <cellStyle name="常规 22 2" xfId="1382"/>
    <cellStyle name="常规 17 2" xfId="1383"/>
    <cellStyle name="常规 17 2 2" xfId="1384"/>
    <cellStyle name="常规 17 3" xfId="1385"/>
    <cellStyle name="注释 4 3" xfId="1386"/>
    <cellStyle name="常规 23" xfId="1387"/>
    <cellStyle name="常规 18" xfId="1388"/>
    <cellStyle name="常规 23 2" xfId="1389"/>
    <cellStyle name="常规 18 2" xfId="1390"/>
    <cellStyle name="常规 18 2 2" xfId="1391"/>
    <cellStyle name="常规 18 3" xfId="1392"/>
    <cellStyle name="常规 24" xfId="1393"/>
    <cellStyle name="常规 19" xfId="1394"/>
    <cellStyle name="常规 24 2" xfId="1395"/>
    <cellStyle name="常规 19 2" xfId="1396"/>
    <cellStyle name="常规 19 3" xfId="1397"/>
    <cellStyle name="好 10" xfId="1398"/>
    <cellStyle name="常规 2" xfId="1399"/>
    <cellStyle name="强调文字颜色 3 3" xfId="1400"/>
    <cellStyle name="常规 2 10" xfId="1401"/>
    <cellStyle name="适中 3 3" xfId="1402"/>
    <cellStyle name="强调文字颜色 3 3 2" xfId="1403"/>
    <cellStyle name="常规 2 10 2" xfId="1404"/>
    <cellStyle name="强调文字颜色 3 3 2 2" xfId="1405"/>
    <cellStyle name="常规 2 10 2 2" xfId="1406"/>
    <cellStyle name="适中 4 3" xfId="1407"/>
    <cellStyle name="强调文字颜色 3 4 2" xfId="1408"/>
    <cellStyle name="常规 2 11 2" xfId="1409"/>
    <cellStyle name="强调文字颜色 3 4 2 2" xfId="1410"/>
    <cellStyle name="常规 2 11 2 2" xfId="1411"/>
    <cellStyle name="常规_Sheet1" xfId="1412"/>
    <cellStyle name="强调文字颜色 3 5" xfId="1413"/>
    <cellStyle name="常规 2 12" xfId="1414"/>
    <cellStyle name="适中 5 3" xfId="1415"/>
    <cellStyle name="强调文字颜色 3 5 2" xfId="1416"/>
    <cellStyle name="常规 2 12 2" xfId="1417"/>
    <cellStyle name="强调文字颜色 3 6" xfId="1418"/>
    <cellStyle name="常规 2 13" xfId="1419"/>
    <cellStyle name="好 10 2" xfId="1420"/>
    <cellStyle name="常规 2 2" xfId="1421"/>
    <cellStyle name="好 10 2 2" xfId="1422"/>
    <cellStyle name="常规 2 2 2" xfId="1423"/>
    <cellStyle name="常规 2 2 2 2" xfId="1424"/>
    <cellStyle name="常规 2 2 3" xfId="1425"/>
    <cellStyle name="常规 2 3 2" xfId="1426"/>
    <cellStyle name="常规 2 3 2 2" xfId="1427"/>
    <cellStyle name="常规 2 3 3" xfId="1428"/>
    <cellStyle name="常规 2 4 2" xfId="1429"/>
    <cellStyle name="常规 2 4 3" xfId="1430"/>
    <cellStyle name="常规 2 5" xfId="1431"/>
    <cellStyle name="常规 2 5 2" xfId="1432"/>
    <cellStyle name="常规 2 6" xfId="1433"/>
    <cellStyle name="常规 2 6 2" xfId="1434"/>
    <cellStyle name="输入 3" xfId="1435"/>
    <cellStyle name="常规 2 9" xfId="1436"/>
    <cellStyle name="注释 10" xfId="1437"/>
    <cellStyle name="输出 4 2" xfId="1438"/>
    <cellStyle name="强调文字颜色 1 5 2 2" xfId="1439"/>
    <cellStyle name="好 11" xfId="1440"/>
    <cellStyle name="常规 3" xfId="1441"/>
    <cellStyle name="注释 10 2" xfId="1442"/>
    <cellStyle name="输出 4 2 2" xfId="1443"/>
    <cellStyle name="好 11 2" xfId="1444"/>
    <cellStyle name="常规 3 2" xfId="1445"/>
    <cellStyle name="适中 4" xfId="1446"/>
    <cellStyle name="注释 10 2 2" xfId="1447"/>
    <cellStyle name="好 11 2 2" xfId="1448"/>
    <cellStyle name="常规 3 2 2" xfId="1449"/>
    <cellStyle name="适中 4 2" xfId="1450"/>
    <cellStyle name="常规 3 2 2 2" xfId="1451"/>
    <cellStyle name="适中 5" xfId="1452"/>
    <cellStyle name="常规 3 2 3" xfId="1453"/>
    <cellStyle name="注释 10 3" xfId="1454"/>
    <cellStyle name="好 11 3" xfId="1455"/>
    <cellStyle name="常规 3 3" xfId="1456"/>
    <cellStyle name="常规 3 3 2" xfId="1457"/>
    <cellStyle name="常规 3 4" xfId="1458"/>
    <cellStyle name="注释 11" xfId="1459"/>
    <cellStyle name="输出 4 3" xfId="1460"/>
    <cellStyle name="常规 4" xfId="1461"/>
    <cellStyle name="注释 11 2" xfId="1462"/>
    <cellStyle name="常规 4 2" xfId="1463"/>
    <cellStyle name="注释 11 2 2" xfId="1464"/>
    <cellStyle name="常规 4 4" xfId="1465"/>
    <cellStyle name="常规 4 2 2" xfId="1466"/>
    <cellStyle name="常规 6 4" xfId="1467"/>
    <cellStyle name="常规 4 2 2 2" xfId="1468"/>
    <cellStyle name="常规 4 2 3" xfId="1469"/>
    <cellStyle name="注释 11 3" xfId="1470"/>
    <cellStyle name="常规 4 3" xfId="1471"/>
    <cellStyle name="常规 5 4" xfId="1472"/>
    <cellStyle name="常规 4 3 2" xfId="1473"/>
    <cellStyle name="常规 5" xfId="1474"/>
    <cellStyle name="常规 5 2" xfId="1475"/>
    <cellStyle name="常规 5 2 2" xfId="1476"/>
    <cellStyle name="常规 5 2 2 2" xfId="1477"/>
    <cellStyle name="常规 5 2 3" xfId="1478"/>
    <cellStyle name="常规 5 3" xfId="1479"/>
    <cellStyle name="常规 5 3 2" xfId="1480"/>
    <cellStyle name="常规 6" xfId="1481"/>
    <cellStyle name="常规 6 2" xfId="1482"/>
    <cellStyle name="常规 6 2 2" xfId="1483"/>
    <cellStyle name="常规 6 2 2 2" xfId="1484"/>
    <cellStyle name="常规 6 2 3" xfId="1485"/>
    <cellStyle name="常规 6 3" xfId="1486"/>
    <cellStyle name="常规 6 3 2" xfId="1487"/>
    <cellStyle name="常规 7 2" xfId="1488"/>
    <cellStyle name="常规 7 2 2" xfId="1489"/>
    <cellStyle name="常规 7 2 2 2" xfId="1490"/>
    <cellStyle name="千位分隔 2" xfId="1491"/>
    <cellStyle name="常规 7 3 2" xfId="1492"/>
    <cellStyle name="常规 7 4" xfId="1493"/>
    <cellStyle name="常规 8" xfId="1494"/>
    <cellStyle name="链接单元格 7" xfId="1495"/>
    <cellStyle name="常规 8 2" xfId="1496"/>
    <cellStyle name="链接单元格 7 2" xfId="1497"/>
    <cellStyle name="常规 8 2 2" xfId="1498"/>
    <cellStyle name="链接单元格 7 3" xfId="1499"/>
    <cellStyle name="常规 8 2 3" xfId="1500"/>
    <cellStyle name="链接单元格 8" xfId="1501"/>
    <cellStyle name="常规 8 3" xfId="1502"/>
    <cellStyle name="链接单元格 8 2" xfId="1503"/>
    <cellStyle name="常规 8 3 2" xfId="1504"/>
    <cellStyle name="链接单元格 9" xfId="1505"/>
    <cellStyle name="常规 8 4" xfId="1506"/>
    <cellStyle name="好 2" xfId="1507"/>
    <cellStyle name="好 2 2" xfId="1508"/>
    <cellStyle name="好 3" xfId="1509"/>
    <cellStyle name="好 3 2" xfId="1510"/>
    <cellStyle name="好 3 2 2" xfId="1511"/>
    <cellStyle name="好 5 2 2" xfId="1512"/>
    <cellStyle name="好 5 3" xfId="1513"/>
    <cellStyle name="好 6 2" xfId="1514"/>
    <cellStyle name="好 6 2 2" xfId="1515"/>
    <cellStyle name="好 6 3" xfId="1516"/>
    <cellStyle name="好 7" xfId="1517"/>
    <cellStyle name="好 7 2" xfId="1518"/>
    <cellStyle name="警告文本 6 3" xfId="1519"/>
    <cellStyle name="好 7 2 2" xfId="1520"/>
    <cellStyle name="好 7 3" xfId="1521"/>
    <cellStyle name="好 8" xfId="1522"/>
    <cellStyle name="好 8 2" xfId="1523"/>
    <cellStyle name="好 8 2 2" xfId="1524"/>
    <cellStyle name="好 8 3" xfId="1525"/>
    <cellStyle name="好 9" xfId="1526"/>
    <cellStyle name="计算 4" xfId="1527"/>
    <cellStyle name="好 9 2" xfId="1528"/>
    <cellStyle name="计算 5" xfId="1529"/>
    <cellStyle name="好 9 3" xfId="1530"/>
    <cellStyle name="汇总 2" xfId="1531"/>
    <cellStyle name="汇总 2 2" xfId="1532"/>
    <cellStyle name="汇总 2 2 2" xfId="1533"/>
    <cellStyle name="检查单元格 2" xfId="1534"/>
    <cellStyle name="汇总 2 3" xfId="1535"/>
    <cellStyle name="汇总 3" xfId="1536"/>
    <cellStyle name="汇总 3 2" xfId="1537"/>
    <cellStyle name="汇总 3 2 2" xfId="1538"/>
    <cellStyle name="汇总 3 3" xfId="1539"/>
    <cellStyle name="汇总 4" xfId="1540"/>
    <cellStyle name="汇总 4 2" xfId="1541"/>
    <cellStyle name="汇总 4 2 2" xfId="1542"/>
    <cellStyle name="强调文字颜色 3 7 2 2" xfId="1543"/>
    <cellStyle name="汇总 5" xfId="1544"/>
    <cellStyle name="汇总 5 2" xfId="1545"/>
    <cellStyle name="计算 8 3" xfId="1546"/>
    <cellStyle name="汇总 5 2 2" xfId="1547"/>
    <cellStyle name="强调文字颜色 6 7 2 2" xfId="1548"/>
    <cellStyle name="解释性文本 10 2" xfId="1549"/>
    <cellStyle name="汇总 5 3" xfId="1550"/>
    <cellStyle name="汇总 6" xfId="1551"/>
    <cellStyle name="汇总 6 2 2" xfId="1552"/>
    <cellStyle name="解释性文本 11 2" xfId="1553"/>
    <cellStyle name="汇总 6 3" xfId="1554"/>
    <cellStyle name="汇总 7 2 2" xfId="1555"/>
    <cellStyle name="汇总 7 3" xfId="1556"/>
    <cellStyle name="汇总 8 2" xfId="1557"/>
    <cellStyle name="汇总 8 3" xfId="1558"/>
    <cellStyle name="汇总 9 2" xfId="1559"/>
    <cellStyle name="汇总 9 2 2" xfId="1560"/>
    <cellStyle name="强调文字颜色 2 10 2" xfId="1561"/>
    <cellStyle name="汇总 9 3" xfId="1562"/>
    <cellStyle name="货币 2" xfId="1563"/>
    <cellStyle name="注释 6" xfId="1564"/>
    <cellStyle name="货币 2 2" xfId="1565"/>
    <cellStyle name="计算 11 2" xfId="1566"/>
    <cellStyle name="计算 11 3" xfId="1567"/>
    <cellStyle name="强调文字颜色 1 8" xfId="1568"/>
    <cellStyle name="计算 2" xfId="1569"/>
    <cellStyle name="强调文字颜色 1 8 2 2" xfId="1570"/>
    <cellStyle name="计算 2 2 2" xfId="1571"/>
    <cellStyle name="强调文字颜色 1 8 3" xfId="1572"/>
    <cellStyle name="计算 2 3" xfId="1573"/>
    <cellStyle name="强调文字颜色 1 9" xfId="1574"/>
    <cellStyle name="计算 3" xfId="1575"/>
    <cellStyle name="强调文字颜色 1 9 2 2" xfId="1576"/>
    <cellStyle name="计算 3 2 2" xfId="1577"/>
    <cellStyle name="强调文字颜色 4 5 2 2" xfId="1578"/>
    <cellStyle name="强调文字颜色 1 9 3" xfId="1579"/>
    <cellStyle name="计算 3 3" xfId="1580"/>
    <cellStyle name="计算 4 3" xfId="1581"/>
    <cellStyle name="计算 5 2 2" xfId="1582"/>
    <cellStyle name="计算 5 3" xfId="1583"/>
    <cellStyle name="计算 6" xfId="1584"/>
    <cellStyle name="计算 7 3" xfId="1585"/>
    <cellStyle name="注释 9 2" xfId="1586"/>
    <cellStyle name="计算 9" xfId="1587"/>
    <cellStyle name="解释性文本 10 2 2" xfId="1588"/>
    <cellStyle name="计算 9 3" xfId="1589"/>
    <cellStyle name="强调文字颜色 4 7 2 2" xfId="1590"/>
    <cellStyle name="强调文字颜色 3 9 3" xfId="1591"/>
    <cellStyle name="检查单元格 10 2" xfId="1592"/>
    <cellStyle name="检查单元格 10 3" xfId="1593"/>
    <cellStyle name="强调文字颜色 4 7 3" xfId="1594"/>
    <cellStyle name="检查单元格 11" xfId="1595"/>
    <cellStyle name="检查单元格 11 2" xfId="1596"/>
    <cellStyle name="检查单元格 11 2 2" xfId="1597"/>
    <cellStyle name="检查单元格 11 3" xfId="1598"/>
    <cellStyle name="检查单元格 2 2" xfId="1599"/>
    <cellStyle name="检查单元格 2 3" xfId="1600"/>
    <cellStyle name="检查单元格 3" xfId="1601"/>
    <cellStyle name="检查单元格 3 2" xfId="1602"/>
    <cellStyle name="检查单元格 4" xfId="1603"/>
    <cellStyle name="检查单元格 4 2" xfId="1604"/>
    <cellStyle name="检查单元格 4 3" xfId="1605"/>
    <cellStyle name="检查单元格 5 2 2" xfId="1606"/>
    <cellStyle name="检查单元格 5 3" xfId="1607"/>
    <cellStyle name="检查单元格 6 2" xfId="1608"/>
    <cellStyle name="输出 3 2 2" xfId="1609"/>
    <cellStyle name="检查单元格 7" xfId="1610"/>
    <cellStyle name="检查单元格 7 2" xfId="1611"/>
    <cellStyle name="检查单元格 7 2 2" xfId="1612"/>
    <cellStyle name="强调文字颜色 2 2 2" xfId="1613"/>
    <cellStyle name="检查单元格 7 3" xfId="1614"/>
    <cellStyle name="检查单元格 8" xfId="1615"/>
    <cellStyle name="检查单元格 8 2" xfId="1616"/>
    <cellStyle name="检查单元格 9" xfId="1617"/>
    <cellStyle name="检查单元格 9 2" xfId="1618"/>
    <cellStyle name="检查单元格 9 2 2" xfId="1619"/>
    <cellStyle name="强调文字颜色 2 4 2" xfId="1620"/>
    <cellStyle name="检查单元格 9 3" xfId="1621"/>
    <cellStyle name="强调文字颜色 6 7 3" xfId="1622"/>
    <cellStyle name="强调文字颜色 1 3 2 2" xfId="1623"/>
    <cellStyle name="解释性文本 11" xfId="1624"/>
    <cellStyle name="解释性文本 11 2 2" xfId="1625"/>
    <cellStyle name="强调文字颜色 6 10 2 2" xfId="1626"/>
    <cellStyle name="解释性文本 11 3" xfId="1627"/>
    <cellStyle name="解释性文本 2 2" xfId="1628"/>
    <cellStyle name="解释性文本 2 2 2" xfId="1629"/>
    <cellStyle name="解释性文本 2 3" xfId="1630"/>
    <cellStyle name="解释性文本 3" xfId="1631"/>
    <cellStyle name="解释性文本 3 2" xfId="1632"/>
    <cellStyle name="解释性文本 3 3" xfId="1633"/>
    <cellStyle name="解释性文本 4" xfId="1634"/>
    <cellStyle name="解释性文本 4 2" xfId="1635"/>
    <cellStyle name="解释性文本 4 2 2" xfId="1636"/>
    <cellStyle name="解释性文本 4 3" xfId="1637"/>
    <cellStyle name="警告文本 10" xfId="1638"/>
    <cellStyle name="警告文本 10 2" xfId="1639"/>
    <cellStyle name="警告文本 10 2 2" xfId="1640"/>
    <cellStyle name="警告文本 11" xfId="1641"/>
    <cellStyle name="警告文本 11 2" xfId="1642"/>
    <cellStyle name="链接单元格 6" xfId="1643"/>
    <cellStyle name="警告文本 11 2 2" xfId="1644"/>
    <cellStyle name="警告文本 2" xfId="1645"/>
    <cellStyle name="警告文本 2 2" xfId="1646"/>
    <cellStyle name="警告文本 2 2 2" xfId="1647"/>
    <cellStyle name="警告文本 2 3" xfId="1648"/>
    <cellStyle name="警告文本 3" xfId="1649"/>
    <cellStyle name="警告文本 3 2" xfId="1650"/>
    <cellStyle name="警告文本 3 2 2" xfId="1651"/>
    <cellStyle name="警告文本 3 3" xfId="1652"/>
    <cellStyle name="警告文本 4" xfId="1653"/>
    <cellStyle name="警告文本 4 2" xfId="1654"/>
    <cellStyle name="警告文本 4 2 2" xfId="1655"/>
    <cellStyle name="警告文本 4 3" xfId="1656"/>
    <cellStyle name="警告文本 5 2" xfId="1657"/>
    <cellStyle name="警告文本 5 2 2" xfId="1658"/>
    <cellStyle name="警告文本 5 3" xfId="1659"/>
    <cellStyle name="警告文本 6 2" xfId="1660"/>
    <cellStyle name="警告文本 6 2 2" xfId="1661"/>
    <cellStyle name="警告文本 7" xfId="1662"/>
    <cellStyle name="警告文本 7 2" xfId="1663"/>
    <cellStyle name="警告文本 7 2 2" xfId="1664"/>
    <cellStyle name="警告文本 7 3" xfId="1665"/>
    <cellStyle name="警告文本 8" xfId="1666"/>
    <cellStyle name="警告文本 8 2" xfId="1667"/>
    <cellStyle name="警告文本 8 2 2" xfId="1668"/>
    <cellStyle name="警告文本 8 3" xfId="1669"/>
    <cellStyle name="警告文本 9" xfId="1670"/>
    <cellStyle name="警告文本 9 2" xfId="1671"/>
    <cellStyle name="警告文本 9 2 2" xfId="1672"/>
    <cellStyle name="链接单元格 10" xfId="1673"/>
    <cellStyle name="链接单元格 8 3" xfId="1674"/>
    <cellStyle name="链接单元格 10 2" xfId="1675"/>
    <cellStyle name="常规 2 79" xfId="1676"/>
    <cellStyle name="链接单元格 10 2 2" xfId="1677"/>
    <cellStyle name="链接单元格 11 2 2" xfId="1678"/>
    <cellStyle name="链接单元格 11 3" xfId="1679"/>
    <cellStyle name="链接单元格 2" xfId="1680"/>
    <cellStyle name="注释 6 3" xfId="1681"/>
    <cellStyle name="链接单元格 2 2" xfId="1682"/>
    <cellStyle name="链接单元格 2 3" xfId="1683"/>
    <cellStyle name="链接单元格 3" xfId="1684"/>
    <cellStyle name="注释 7 3" xfId="1685"/>
    <cellStyle name="链接单元格 3 2" xfId="1686"/>
    <cellStyle name="链接单元格 3 3" xfId="1687"/>
    <cellStyle name="链接单元格 4" xfId="1688"/>
    <cellStyle name="注释 8 3" xfId="1689"/>
    <cellStyle name="链接单元格 4 2" xfId="1690"/>
    <cellStyle name="链接单元格 4 2 2" xfId="1691"/>
    <cellStyle name="链接单元格 4 3" xfId="1692"/>
    <cellStyle name="链接单元格 5" xfId="1693"/>
    <cellStyle name="注释 9 3" xfId="1694"/>
    <cellStyle name="链接单元格 5 2" xfId="1695"/>
    <cellStyle name="链接单元格 5 3" xfId="1696"/>
    <cellStyle name="链接单元格 6 2" xfId="1697"/>
    <cellStyle name="链接单元格 6 2 2" xfId="1698"/>
    <cellStyle name="链接单元格 6 3" xfId="1699"/>
    <cellStyle name="链接单元格 8 2 2" xfId="1700"/>
    <cellStyle name="链接单元格 9 2" xfId="1701"/>
    <cellStyle name="链接单元格 9 2 2" xfId="1702"/>
    <cellStyle name="适中 10 3" xfId="1703"/>
    <cellStyle name="强调文字颜色 1 10" xfId="1704"/>
    <cellStyle name="强调文字颜色 5 3" xfId="1705"/>
    <cellStyle name="强调文字颜色 1 10 2" xfId="1706"/>
    <cellStyle name="强调文字颜色 5 3 2" xfId="1707"/>
    <cellStyle name="强调文字颜色 1 10 2 2" xfId="1708"/>
    <cellStyle name="强调文字颜色 5 4" xfId="1709"/>
    <cellStyle name="强调文字颜色 1 10 3" xfId="1710"/>
    <cellStyle name="强调文字颜色 1 11" xfId="1711"/>
    <cellStyle name="强调文字颜色 6 3" xfId="1712"/>
    <cellStyle name="强调文字颜色 1 11 2" xfId="1713"/>
    <cellStyle name="强调文字颜色 6 3 2" xfId="1714"/>
    <cellStyle name="强调文字颜色 1 11 2 2" xfId="1715"/>
    <cellStyle name="强调文字颜色 6 4" xfId="1716"/>
    <cellStyle name="强调文字颜色 1 11 3" xfId="1717"/>
    <cellStyle name="强调文字颜色 1 2" xfId="1718"/>
    <cellStyle name="强调文字颜色 6 2 2 2" xfId="1719"/>
    <cellStyle name="强调文字颜色 1 3" xfId="1720"/>
    <cellStyle name="强调文字颜色 1 3 2" xfId="1721"/>
    <cellStyle name="强调文字颜色 1 4" xfId="1722"/>
    <cellStyle name="强调文字颜色 1 4 2" xfId="1723"/>
    <cellStyle name="强调文字颜色 1 4 2 2" xfId="1724"/>
    <cellStyle name="输出 4" xfId="1725"/>
    <cellStyle name="强调文字颜色 1 5 2" xfId="1726"/>
    <cellStyle name="强调文字颜色 1 6" xfId="1727"/>
    <cellStyle name="强调文字颜色 1 6 2" xfId="1728"/>
    <cellStyle name="强调文字颜色 1 6 2 2" xfId="1729"/>
    <cellStyle name="强调文字颜色 1 7" xfId="1730"/>
    <cellStyle name="强调文字颜色 2 10 3" xfId="1731"/>
    <cellStyle name="强调文字颜色 2 11 2" xfId="1732"/>
    <cellStyle name="强调文字颜色 2 11 2 2" xfId="1733"/>
    <cellStyle name="强调文字颜色 2 2" xfId="1734"/>
    <cellStyle name="强调文字颜色 2 3" xfId="1735"/>
    <cellStyle name="强调文字颜色 2 4" xfId="1736"/>
    <cellStyle name="强调文字颜色 2 4 2 2" xfId="1737"/>
    <cellStyle name="强调文字颜色 2 5" xfId="1738"/>
    <cellStyle name="强调文字颜色 2 5 2" xfId="1739"/>
    <cellStyle name="强调文字颜色 2 5 2 2" xfId="1740"/>
    <cellStyle name="强调文字颜色 2 6" xfId="1741"/>
    <cellStyle name="强调文字颜色 2 6 2" xfId="1742"/>
    <cellStyle name="强调文字颜色 2 7" xfId="1743"/>
    <cellStyle name="强调文字颜色 2 7 2 2" xfId="1744"/>
    <cellStyle name="强调文字颜色 2 8" xfId="1745"/>
    <cellStyle name="强调文字颜色 2 8 2 2" xfId="1746"/>
    <cellStyle name="强调文字颜色 2 8 3" xfId="1747"/>
    <cellStyle name="适中 5 2 2" xfId="1748"/>
    <cellStyle name="强调文字颜色 2 9" xfId="1749"/>
    <cellStyle name="强调文字颜色 2 9 2 2" xfId="1750"/>
    <cellStyle name="强调文字颜色 4 6 2 2" xfId="1751"/>
    <cellStyle name="强调文字颜色 2 9 3" xfId="1752"/>
    <cellStyle name="强调文字颜色 6 6 2 2" xfId="1753"/>
    <cellStyle name="强调文字颜色 3 10" xfId="1754"/>
    <cellStyle name="强调文字颜色 3 10 2" xfId="1755"/>
    <cellStyle name="强调文字颜色 3 10 2 2" xfId="1756"/>
    <cellStyle name="强调文字颜色 3 11 2" xfId="1757"/>
    <cellStyle name="强调文字颜色 3 11 2 2" xfId="1758"/>
    <cellStyle name="强调文字颜色 3 2" xfId="1759"/>
    <cellStyle name="适中 2 3" xfId="1760"/>
    <cellStyle name="强调文字颜色 3 2 2" xfId="1761"/>
    <cellStyle name="强调文字颜色 3 2 2 2" xfId="1762"/>
    <cellStyle name="强调文字颜色 3 9" xfId="1763"/>
    <cellStyle name="强调文字颜色 3 5 2 2" xfId="1764"/>
    <cellStyle name="适中 6 3" xfId="1765"/>
    <cellStyle name="强调文字颜色 3 6 2" xfId="1766"/>
    <cellStyle name="强调文字颜色 3 6 2 2" xfId="1767"/>
    <cellStyle name="强调文字颜色 3 7" xfId="1768"/>
    <cellStyle name="强调文字颜色 3 8" xfId="1769"/>
    <cellStyle name="强调文字颜色 3 9 2 2" xfId="1770"/>
    <cellStyle name="强调文字颜色 4 2" xfId="1771"/>
    <cellStyle name="强调文字颜色 4 2 2" xfId="1772"/>
    <cellStyle name="强调文字颜色 4 2 3" xfId="1773"/>
    <cellStyle name="适中 10 2 2" xfId="1774"/>
    <cellStyle name="强调文字颜色 4 3" xfId="1775"/>
    <cellStyle name="强调文字颜色 4 3 2" xfId="1776"/>
    <cellStyle name="强调文字颜色 4 3 2 2" xfId="1777"/>
    <cellStyle name="强调文字颜色 4 4" xfId="1778"/>
    <cellStyle name="强调文字颜色 4 5" xfId="1779"/>
    <cellStyle name="强调文字颜色 4 5 2" xfId="1780"/>
    <cellStyle name="强调文字颜色 4 5 3" xfId="1781"/>
    <cellStyle name="强调文字颜色 4 6" xfId="1782"/>
    <cellStyle name="强调文字颜色 4 6 2" xfId="1783"/>
    <cellStyle name="强调文字颜色 4 6 3" xfId="1784"/>
    <cellStyle name="强调文字颜色 4 7" xfId="1785"/>
    <cellStyle name="输入 10" xfId="1786"/>
    <cellStyle name="强调文字颜色 4 8" xfId="1787"/>
    <cellStyle name="强调文字颜色 5 10" xfId="1788"/>
    <cellStyle name="强调文字颜色 5 10 2" xfId="1789"/>
    <cellStyle name="强调文字颜色 5 10 3" xfId="1790"/>
    <cellStyle name="强调文字颜色 5 2 2" xfId="1791"/>
    <cellStyle name="强调文字颜色 5 2 3" xfId="1792"/>
    <cellStyle name="强调文字颜色 5 5" xfId="1793"/>
    <cellStyle name="强调文字颜色 5 5 2" xfId="1794"/>
    <cellStyle name="强调文字颜色 5 5 3" xfId="1795"/>
    <cellStyle name="强调文字颜色 5 6" xfId="1796"/>
    <cellStyle name="强调文字颜色 5 6 2" xfId="1797"/>
    <cellStyle name="强调文字颜色 5 6 3" xfId="1798"/>
    <cellStyle name="强调文字颜色 5 7" xfId="1799"/>
    <cellStyle name="强调文字颜色 5 8" xfId="1800"/>
    <cellStyle name="强调文字颜色 5 8 2 2" xfId="1801"/>
    <cellStyle name="强调文字颜色 5 9" xfId="1802"/>
    <cellStyle name="强调文字颜色 6 10 3" xfId="1803"/>
    <cellStyle name="强调文字颜色 6 11" xfId="1804"/>
    <cellStyle name="强调文字颜色 6 11 2 2" xfId="1805"/>
    <cellStyle name="强调文字颜色 6 11 3" xfId="1806"/>
    <cellStyle name="强调文字颜色 6 2" xfId="1807"/>
    <cellStyle name="强调文字颜色 6 2 2" xfId="1808"/>
    <cellStyle name="强调文字颜色 6 2 3" xfId="1809"/>
    <cellStyle name="强调文字颜色 6 3 2 2" xfId="1810"/>
    <cellStyle name="强调文字颜色 6 4 2" xfId="1811"/>
    <cellStyle name="强调文字颜色 6 4 2 2" xfId="1812"/>
    <cellStyle name="强调文字颜色 6 4 3" xfId="1813"/>
    <cellStyle name="强调文字颜色 6 5" xfId="1814"/>
    <cellStyle name="输出 10" xfId="1815"/>
    <cellStyle name="强调文字颜色 6 5 2" xfId="1816"/>
    <cellStyle name="输出 11" xfId="1817"/>
    <cellStyle name="强调文字颜色 6 5 3" xfId="1818"/>
    <cellStyle name="强调文字颜色 6 6" xfId="1819"/>
    <cellStyle name="强调文字颜色 6 6 2" xfId="1820"/>
    <cellStyle name="强调文字颜色 6 6 3" xfId="1821"/>
    <cellStyle name="强调文字颜色 6 8" xfId="1822"/>
    <cellStyle name="强调文字颜色 6 8 2 2" xfId="1823"/>
    <cellStyle name="强调文字颜色 6 9" xfId="1824"/>
    <cellStyle name="强调文字颜色 6 9 2 2" xfId="1825"/>
    <cellStyle name="强调文字颜色 6 9 3" xfId="1826"/>
    <cellStyle name="适中 10 2" xfId="1827"/>
    <cellStyle name="适中 11" xfId="1828"/>
    <cellStyle name="适中 11 2" xfId="1829"/>
    <cellStyle name="适中 11 2 2" xfId="1830"/>
    <cellStyle name="适中 11 3" xfId="1831"/>
    <cellStyle name="适中 2" xfId="1832"/>
    <cellStyle name="适中 2 2" xfId="1833"/>
    <cellStyle name="适中 2 2 2" xfId="1834"/>
    <cellStyle name="适中 3" xfId="1835"/>
    <cellStyle name="适中 3 2" xfId="1836"/>
    <cellStyle name="适中 3 2 2" xfId="1837"/>
    <cellStyle name="适中 4 2 2" xfId="1838"/>
    <cellStyle name="适中 5 2" xfId="1839"/>
    <cellStyle name="适中 6" xfId="1840"/>
    <cellStyle name="适中 6 2" xfId="1841"/>
    <cellStyle name="输出 10 2 2" xfId="1842"/>
    <cellStyle name="输出 2 2" xfId="1843"/>
    <cellStyle name="输出 2 2 2" xfId="1844"/>
    <cellStyle name="输出 2 3" xfId="1845"/>
    <cellStyle name="输出 3" xfId="1846"/>
    <cellStyle name="输出 3 2" xfId="1847"/>
    <cellStyle name="输出 5 3" xfId="1848"/>
    <cellStyle name="输出 6 3" xfId="1849"/>
    <cellStyle name="输出 7" xfId="1850"/>
    <cellStyle name="输出 7 2" xfId="1851"/>
    <cellStyle name="输出 7 3" xfId="1852"/>
    <cellStyle name="输入 7" xfId="1853"/>
    <cellStyle name="输入 8" xfId="1854"/>
    <cellStyle name="输入 8 2 2" xfId="1855"/>
    <cellStyle name="输入 8 3" xfId="1856"/>
    <cellStyle name="输入 9" xfId="1857"/>
    <cellStyle name="输入 9 3" xfId="1858"/>
    <cellStyle name="注释 5" xfId="1859"/>
    <cellStyle name="注释 5 2" xfId="1860"/>
    <cellStyle name="注释 5 3" xfId="1861"/>
    <cellStyle name="注释 6 2" xfId="1862"/>
    <cellStyle name="注释 8 2 2" xfId="1863"/>
    <cellStyle name="注释 9" xfId="1864"/>
    <cellStyle name="常规_Sheet1_2" xfId="18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57.6867592593" refreshedBy="MuQun" recordCount="86">
  <cacheSource type="worksheet">
    <worksheetSource ref="A1:E1048576" sheet="会计凭证"/>
  </cacheSource>
  <cacheFields count="5">
    <cacheField name="姓名" numFmtId="0">
      <sharedItems containsBlank="1" count="86">
        <s v="崔海龙"/>
        <s v="陈阔"/>
        <s v="王金言"/>
        <s v="张博赟"/>
        <s v="张俊新"/>
        <s v="李芳慧"/>
        <s v="胡希港"/>
        <s v="田健"/>
        <s v="宋连利"/>
        <s v="牟群"/>
        <s v="许嘉辉"/>
        <s v="孙沛霖"/>
        <s v="张琳"/>
        <s v="张强"/>
        <s v="齐静"/>
        <s v="白艳焕"/>
        <s v="赵真真"/>
        <s v="张巧慧"/>
        <s v="刘小雪"/>
        <s v="李梦同"/>
        <s v="张馀林"/>
        <s v="于磊磊"/>
        <s v="陈晓晴"/>
        <s v="崔鑫"/>
        <s v="初会勇"/>
        <s v="王砚兵"/>
        <s v="赵洪升"/>
        <s v="王克杰"/>
        <s v="芦建军"/>
        <s v="万传志"/>
        <s v="张镁凤"/>
        <s v="李伟"/>
        <s v="张亚霖"/>
        <s v="李贵林"/>
        <s v="赵化胜"/>
        <s v="李泉林"/>
        <s v="古帅"/>
        <s v="褚文吉"/>
        <s v="刘柏林"/>
        <s v="王朋"/>
        <s v="王冠文"/>
        <s v="滕红玲"/>
        <s v="刘洪荣"/>
        <s v="白丽霞"/>
        <s v="邓海旺"/>
        <s v="高建芳"/>
        <s v="吴金凤"/>
        <s v="许志飞"/>
        <s v="张占利"/>
        <s v="杨宝亮"/>
        <s v="刘宝臣"/>
        <s v="刘贺"/>
        <s v="王金来"/>
        <s v="韩胜利"/>
        <s v="郑艳红"/>
        <s v="田高峰"/>
        <s v="胡占伟"/>
        <s v="赵云香"/>
        <s v="刘瑜"/>
        <s v="滕志勇"/>
        <s v="白月"/>
        <s v="陈淑贞"/>
        <s v="滕令驹"/>
        <s v="曹延祥"/>
        <s v="张猛"/>
        <s v="王秀翠"/>
        <s v="刘海凤"/>
        <s v="张静"/>
        <s v="刘芹"/>
        <s v="姚秀玲"/>
        <s v="孙桂平"/>
        <s v="李跃茹"/>
        <s v="刘二平"/>
        <s v="齐迁菲"/>
        <s v="董广新"/>
        <s v="高换清"/>
        <s v="张立霞"/>
        <s v="邓淑荣"/>
        <s v="李春花"/>
        <s v="张爽"/>
        <s v="李勇"/>
        <s v="许龙涛"/>
        <s v="康淑玲"/>
        <s v="邓竣译"/>
        <s v="李冲冲"/>
        <m/>
      </sharedItems>
    </cacheField>
    <cacheField name="应发工资" numFmtId="43">
      <sharedItems containsString="0" containsBlank="1" containsNumber="1" minValue="0" maxValue="16930" count="83">
        <n v="6129.74"/>
        <n v="4941"/>
        <n v="3600"/>
        <n v="6235"/>
        <n v="2866.75"/>
        <n v="4520.59"/>
        <n v="5640"/>
        <n v="5140"/>
        <n v="13000"/>
        <n v="5500"/>
        <n v="8340"/>
        <n v="7140"/>
        <n v="3060"/>
        <n v="4550"/>
        <n v="3520"/>
        <n v="4080"/>
        <n v="3640"/>
        <n v="2882.35"/>
        <n v="3000"/>
        <n v="7180"/>
        <n v="7745"/>
        <n v="3140"/>
        <n v="2860"/>
        <n v="3800"/>
        <n v="3700"/>
        <n v="4000"/>
        <n v="2500"/>
        <n v="2000"/>
        <n v="800"/>
        <n v="12317.12"/>
        <n v="7660"/>
        <n v="13305"/>
        <n v="16930"/>
        <n v="7520"/>
        <n v="7600"/>
        <n v="5840"/>
        <n v="4465"/>
        <n v="3993.95"/>
        <n v="4022.55"/>
        <n v="3751.5"/>
        <n v="3081.5"/>
        <n v="3730"/>
        <n v="3690"/>
        <n v="4352.5"/>
        <n v="3435"/>
        <n v="180"/>
        <n v="3942.5"/>
        <n v="4835"/>
        <n v="4862.5"/>
        <n v="3320"/>
        <n v="720"/>
        <n v="785"/>
        <n v="3722.5"/>
        <n v="3787.05"/>
        <n v="740"/>
        <n v="2967.1"/>
        <n v="1858.01"/>
        <n v="1769.63"/>
        <n v="1783.1"/>
        <n v="1814.35"/>
        <n v="2254.25"/>
        <n v="2697.05"/>
        <n v="3874.6"/>
        <n v="3393.9"/>
        <n v="2984.7"/>
        <n v="3012.6"/>
        <n v="3126.6"/>
        <n v="2896.4"/>
        <n v="3012.9"/>
        <n v="2970.1"/>
        <n v="2919.1"/>
        <n v="2604.99"/>
        <n v="2352.32"/>
        <n v="1966.35"/>
        <n v="1950.04"/>
        <n v="1614.55"/>
        <n v="2918.6"/>
        <n v="1889.25"/>
        <n v="1724.34"/>
        <n v="2845"/>
        <n v="1823.09"/>
        <n v="1508.76"/>
        <m/>
      </sharedItems>
    </cacheField>
    <cacheField name="科目1" numFmtId="0">
      <sharedItems containsBlank="1" count="6">
        <s v="销售费用"/>
        <s v="管理费用"/>
        <s v="研发费用"/>
        <s v="生产成本"/>
        <s v="制造费用"/>
        <m/>
      </sharedItems>
    </cacheField>
    <cacheField name="科目2" numFmtId="0">
      <sharedItems containsBlank="1" count="4">
        <s v="间接成本"/>
        <s v="直接成本"/>
        <s v="不计入成本"/>
        <m/>
      </sharedItems>
    </cacheField>
    <cacheField name="科目3" numFmtId="0">
      <sharedItems containsBlank="1" count="16">
        <s v="销售费用+销售"/>
        <s v="管理费用+综合"/>
        <s v="研发费用+质量"/>
        <s v="生产成本+注塑"/>
        <s v="制造费用+组装"/>
        <s v="管理费用+财务"/>
        <s v="管理费用+生管"/>
        <s v="研发费用+生管"/>
        <s v="制造费用+喷涂"/>
        <s v="制造费用+注塑"/>
        <s v="管理费用+运营"/>
        <s v="管理费用+制造"/>
        <s v="研发费用+制造科室"/>
        <s v="生产成本+喷涂"/>
        <s v="生产成本+组装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">
  <r>
    <x v="0"/>
    <x v="0"/>
    <x v="0"/>
    <x v="0"/>
    <x v="0"/>
  </r>
  <r>
    <x v="1"/>
    <x v="1"/>
    <x v="1"/>
    <x v="0"/>
    <x v="1"/>
  </r>
  <r>
    <x v="2"/>
    <x v="2"/>
    <x v="2"/>
    <x v="0"/>
    <x v="2"/>
  </r>
  <r>
    <x v="3"/>
    <x v="3"/>
    <x v="3"/>
    <x v="1"/>
    <x v="3"/>
  </r>
  <r>
    <x v="4"/>
    <x v="4"/>
    <x v="4"/>
    <x v="0"/>
    <x v="4"/>
  </r>
  <r>
    <x v="5"/>
    <x v="5"/>
    <x v="1"/>
    <x v="0"/>
    <x v="5"/>
  </r>
  <r>
    <x v="6"/>
    <x v="6"/>
    <x v="2"/>
    <x v="0"/>
    <x v="2"/>
  </r>
  <r>
    <x v="7"/>
    <x v="7"/>
    <x v="2"/>
    <x v="0"/>
    <x v="2"/>
  </r>
  <r>
    <x v="8"/>
    <x v="8"/>
    <x v="2"/>
    <x v="0"/>
    <x v="2"/>
  </r>
  <r>
    <x v="9"/>
    <x v="9"/>
    <x v="1"/>
    <x v="0"/>
    <x v="1"/>
  </r>
  <r>
    <x v="10"/>
    <x v="10"/>
    <x v="1"/>
    <x v="0"/>
    <x v="6"/>
  </r>
  <r>
    <x v="11"/>
    <x v="11"/>
    <x v="4"/>
    <x v="0"/>
    <x v="4"/>
  </r>
  <r>
    <x v="12"/>
    <x v="12"/>
    <x v="2"/>
    <x v="0"/>
    <x v="7"/>
  </r>
  <r>
    <x v="13"/>
    <x v="13"/>
    <x v="4"/>
    <x v="0"/>
    <x v="4"/>
  </r>
  <r>
    <x v="14"/>
    <x v="14"/>
    <x v="4"/>
    <x v="0"/>
    <x v="4"/>
  </r>
  <r>
    <x v="15"/>
    <x v="15"/>
    <x v="4"/>
    <x v="0"/>
    <x v="8"/>
  </r>
  <r>
    <x v="16"/>
    <x v="16"/>
    <x v="4"/>
    <x v="0"/>
    <x v="9"/>
  </r>
  <r>
    <x v="17"/>
    <x v="17"/>
    <x v="4"/>
    <x v="0"/>
    <x v="4"/>
  </r>
  <r>
    <x v="18"/>
    <x v="14"/>
    <x v="4"/>
    <x v="1"/>
    <x v="9"/>
  </r>
  <r>
    <x v="19"/>
    <x v="18"/>
    <x v="4"/>
    <x v="0"/>
    <x v="9"/>
  </r>
  <r>
    <x v="20"/>
    <x v="19"/>
    <x v="0"/>
    <x v="0"/>
    <x v="0"/>
  </r>
  <r>
    <x v="21"/>
    <x v="20"/>
    <x v="0"/>
    <x v="0"/>
    <x v="0"/>
  </r>
  <r>
    <x v="22"/>
    <x v="21"/>
    <x v="0"/>
    <x v="0"/>
    <x v="0"/>
  </r>
  <r>
    <x v="23"/>
    <x v="22"/>
    <x v="0"/>
    <x v="0"/>
    <x v="0"/>
  </r>
  <r>
    <x v="24"/>
    <x v="23"/>
    <x v="0"/>
    <x v="2"/>
    <x v="0"/>
  </r>
  <r>
    <x v="25"/>
    <x v="24"/>
    <x v="0"/>
    <x v="2"/>
    <x v="0"/>
  </r>
  <r>
    <x v="26"/>
    <x v="25"/>
    <x v="0"/>
    <x v="2"/>
    <x v="0"/>
  </r>
  <r>
    <x v="27"/>
    <x v="18"/>
    <x v="0"/>
    <x v="2"/>
    <x v="0"/>
  </r>
  <r>
    <x v="28"/>
    <x v="26"/>
    <x v="0"/>
    <x v="2"/>
    <x v="0"/>
  </r>
  <r>
    <x v="29"/>
    <x v="27"/>
    <x v="0"/>
    <x v="2"/>
    <x v="0"/>
  </r>
  <r>
    <x v="30"/>
    <x v="28"/>
    <x v="0"/>
    <x v="2"/>
    <x v="0"/>
  </r>
  <r>
    <x v="31"/>
    <x v="29"/>
    <x v="1"/>
    <x v="0"/>
    <x v="10"/>
  </r>
  <r>
    <x v="32"/>
    <x v="30"/>
    <x v="1"/>
    <x v="0"/>
    <x v="11"/>
  </r>
  <r>
    <x v="33"/>
    <x v="31"/>
    <x v="4"/>
    <x v="0"/>
    <x v="4"/>
  </r>
  <r>
    <x v="34"/>
    <x v="32"/>
    <x v="2"/>
    <x v="0"/>
    <x v="12"/>
  </r>
  <r>
    <x v="35"/>
    <x v="33"/>
    <x v="3"/>
    <x v="1"/>
    <x v="13"/>
  </r>
  <r>
    <x v="36"/>
    <x v="34"/>
    <x v="3"/>
    <x v="1"/>
    <x v="13"/>
  </r>
  <r>
    <x v="37"/>
    <x v="35"/>
    <x v="3"/>
    <x v="1"/>
    <x v="3"/>
  </r>
  <r>
    <x v="38"/>
    <x v="36"/>
    <x v="3"/>
    <x v="1"/>
    <x v="14"/>
  </r>
  <r>
    <x v="39"/>
    <x v="37"/>
    <x v="3"/>
    <x v="1"/>
    <x v="13"/>
  </r>
  <r>
    <x v="40"/>
    <x v="38"/>
    <x v="3"/>
    <x v="1"/>
    <x v="13"/>
  </r>
  <r>
    <x v="41"/>
    <x v="39"/>
    <x v="3"/>
    <x v="1"/>
    <x v="13"/>
  </r>
  <r>
    <x v="42"/>
    <x v="40"/>
    <x v="3"/>
    <x v="1"/>
    <x v="13"/>
  </r>
  <r>
    <x v="43"/>
    <x v="41"/>
    <x v="3"/>
    <x v="1"/>
    <x v="3"/>
  </r>
  <r>
    <x v="44"/>
    <x v="42"/>
    <x v="3"/>
    <x v="1"/>
    <x v="3"/>
  </r>
  <r>
    <x v="45"/>
    <x v="43"/>
    <x v="3"/>
    <x v="1"/>
    <x v="3"/>
  </r>
  <r>
    <x v="46"/>
    <x v="44"/>
    <x v="3"/>
    <x v="1"/>
    <x v="3"/>
  </r>
  <r>
    <x v="47"/>
    <x v="45"/>
    <x v="3"/>
    <x v="1"/>
    <x v="3"/>
  </r>
  <r>
    <x v="48"/>
    <x v="46"/>
    <x v="3"/>
    <x v="1"/>
    <x v="3"/>
  </r>
  <r>
    <x v="49"/>
    <x v="47"/>
    <x v="3"/>
    <x v="1"/>
    <x v="3"/>
  </r>
  <r>
    <x v="50"/>
    <x v="48"/>
    <x v="3"/>
    <x v="1"/>
    <x v="3"/>
  </r>
  <r>
    <x v="51"/>
    <x v="49"/>
    <x v="3"/>
    <x v="1"/>
    <x v="3"/>
  </r>
  <r>
    <x v="52"/>
    <x v="50"/>
    <x v="3"/>
    <x v="1"/>
    <x v="3"/>
  </r>
  <r>
    <x v="53"/>
    <x v="51"/>
    <x v="3"/>
    <x v="1"/>
    <x v="3"/>
  </r>
  <r>
    <x v="54"/>
    <x v="52"/>
    <x v="3"/>
    <x v="1"/>
    <x v="3"/>
  </r>
  <r>
    <x v="55"/>
    <x v="18"/>
    <x v="3"/>
    <x v="1"/>
    <x v="3"/>
  </r>
  <r>
    <x v="56"/>
    <x v="53"/>
    <x v="3"/>
    <x v="1"/>
    <x v="3"/>
  </r>
  <r>
    <x v="57"/>
    <x v="54"/>
    <x v="3"/>
    <x v="1"/>
    <x v="3"/>
  </r>
  <r>
    <x v="58"/>
    <x v="55"/>
    <x v="3"/>
    <x v="1"/>
    <x v="14"/>
  </r>
  <r>
    <x v="59"/>
    <x v="56"/>
    <x v="3"/>
    <x v="1"/>
    <x v="14"/>
  </r>
  <r>
    <x v="60"/>
    <x v="57"/>
    <x v="3"/>
    <x v="1"/>
    <x v="14"/>
  </r>
  <r>
    <x v="61"/>
    <x v="58"/>
    <x v="3"/>
    <x v="1"/>
    <x v="14"/>
  </r>
  <r>
    <x v="62"/>
    <x v="59"/>
    <x v="3"/>
    <x v="1"/>
    <x v="14"/>
  </r>
  <r>
    <x v="63"/>
    <x v="60"/>
    <x v="3"/>
    <x v="1"/>
    <x v="14"/>
  </r>
  <r>
    <x v="64"/>
    <x v="61"/>
    <x v="3"/>
    <x v="1"/>
    <x v="14"/>
  </r>
  <r>
    <x v="65"/>
    <x v="62"/>
    <x v="3"/>
    <x v="1"/>
    <x v="14"/>
  </r>
  <r>
    <x v="66"/>
    <x v="63"/>
    <x v="3"/>
    <x v="1"/>
    <x v="14"/>
  </r>
  <r>
    <x v="67"/>
    <x v="64"/>
    <x v="3"/>
    <x v="1"/>
    <x v="14"/>
  </r>
  <r>
    <x v="68"/>
    <x v="65"/>
    <x v="3"/>
    <x v="1"/>
    <x v="14"/>
  </r>
  <r>
    <x v="69"/>
    <x v="66"/>
    <x v="3"/>
    <x v="1"/>
    <x v="14"/>
  </r>
  <r>
    <x v="70"/>
    <x v="67"/>
    <x v="3"/>
    <x v="1"/>
    <x v="14"/>
  </r>
  <r>
    <x v="71"/>
    <x v="68"/>
    <x v="3"/>
    <x v="1"/>
    <x v="14"/>
  </r>
  <r>
    <x v="72"/>
    <x v="69"/>
    <x v="3"/>
    <x v="1"/>
    <x v="14"/>
  </r>
  <r>
    <x v="73"/>
    <x v="70"/>
    <x v="3"/>
    <x v="1"/>
    <x v="14"/>
  </r>
  <r>
    <x v="74"/>
    <x v="71"/>
    <x v="3"/>
    <x v="1"/>
    <x v="14"/>
  </r>
  <r>
    <x v="75"/>
    <x v="72"/>
    <x v="3"/>
    <x v="1"/>
    <x v="14"/>
  </r>
  <r>
    <x v="76"/>
    <x v="73"/>
    <x v="3"/>
    <x v="1"/>
    <x v="14"/>
  </r>
  <r>
    <x v="77"/>
    <x v="74"/>
    <x v="3"/>
    <x v="1"/>
    <x v="14"/>
  </r>
  <r>
    <x v="78"/>
    <x v="75"/>
    <x v="3"/>
    <x v="1"/>
    <x v="14"/>
  </r>
  <r>
    <x v="79"/>
    <x v="76"/>
    <x v="3"/>
    <x v="1"/>
    <x v="14"/>
  </r>
  <r>
    <x v="80"/>
    <x v="77"/>
    <x v="3"/>
    <x v="1"/>
    <x v="14"/>
  </r>
  <r>
    <x v="81"/>
    <x v="78"/>
    <x v="3"/>
    <x v="1"/>
    <x v="14"/>
  </r>
  <r>
    <x v="82"/>
    <x v="79"/>
    <x v="5"/>
    <x v="3"/>
    <x v="15"/>
  </r>
  <r>
    <x v="83"/>
    <x v="80"/>
    <x v="5"/>
    <x v="3"/>
    <x v="15"/>
  </r>
  <r>
    <x v="84"/>
    <x v="81"/>
    <x v="5"/>
    <x v="3"/>
    <x v="15"/>
  </r>
  <r>
    <x v="85"/>
    <x v="82"/>
    <x v="5"/>
    <x v="3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I13:J20" firstHeaderRow="1" firstDataRow="1" firstDataCol="1"/>
  <pivotFields count="5">
    <pivotField compact="0" showAll="0">
      <items count="87">
        <item x="43"/>
        <item x="15"/>
        <item x="60"/>
        <item x="63"/>
        <item x="1"/>
        <item x="61"/>
        <item x="22"/>
        <item x="24"/>
        <item x="37"/>
        <item x="0"/>
        <item x="23"/>
        <item x="44"/>
        <item x="83"/>
        <item x="77"/>
        <item x="74"/>
        <item x="75"/>
        <item x="45"/>
        <item x="36"/>
        <item x="53"/>
        <item x="6"/>
        <item x="56"/>
        <item x="82"/>
        <item x="84"/>
        <item x="78"/>
        <item x="5"/>
        <item x="33"/>
        <item x="19"/>
        <item x="35"/>
        <item x="31"/>
        <item x="80"/>
        <item x="71"/>
        <item x="38"/>
        <item x="50"/>
        <item x="72"/>
        <item x="66"/>
        <item x="51"/>
        <item x="42"/>
        <item x="68"/>
        <item x="18"/>
        <item x="58"/>
        <item x="28"/>
        <item x="9"/>
        <item x="14"/>
        <item x="73"/>
        <item x="8"/>
        <item x="70"/>
        <item x="11"/>
        <item x="41"/>
        <item x="62"/>
        <item x="59"/>
        <item x="55"/>
        <item x="7"/>
        <item x="29"/>
        <item x="40"/>
        <item x="52"/>
        <item x="2"/>
        <item x="27"/>
        <item x="39"/>
        <item x="65"/>
        <item x="25"/>
        <item x="46"/>
        <item x="10"/>
        <item x="81"/>
        <item x="47"/>
        <item x="49"/>
        <item x="69"/>
        <item x="21"/>
        <item x="3"/>
        <item x="67"/>
        <item x="4"/>
        <item x="76"/>
        <item x="12"/>
        <item x="30"/>
        <item x="64"/>
        <item x="13"/>
        <item x="17"/>
        <item x="79"/>
        <item x="32"/>
        <item x="20"/>
        <item x="48"/>
        <item x="26"/>
        <item x="34"/>
        <item x="57"/>
        <item x="16"/>
        <item x="54"/>
        <item x="85"/>
        <item t="default"/>
      </items>
    </pivotField>
    <pivotField dataField="1" compact="0" showAll="0">
      <items count="84">
        <item x="45"/>
        <item x="50"/>
        <item x="54"/>
        <item x="51"/>
        <item x="28"/>
        <item x="81"/>
        <item x="75"/>
        <item x="78"/>
        <item x="57"/>
        <item x="58"/>
        <item x="59"/>
        <item x="80"/>
        <item x="56"/>
        <item x="77"/>
        <item x="74"/>
        <item x="73"/>
        <item x="27"/>
        <item x="60"/>
        <item x="72"/>
        <item x="26"/>
        <item x="71"/>
        <item x="61"/>
        <item x="79"/>
        <item x="22"/>
        <item x="4"/>
        <item x="17"/>
        <item x="67"/>
        <item x="76"/>
        <item x="70"/>
        <item x="55"/>
        <item x="69"/>
        <item x="64"/>
        <item x="18"/>
        <item x="65"/>
        <item x="68"/>
        <item x="12"/>
        <item x="40"/>
        <item x="66"/>
        <item x="21"/>
        <item x="49"/>
        <item x="63"/>
        <item x="44"/>
        <item x="14"/>
        <item x="2"/>
        <item x="16"/>
        <item x="42"/>
        <item x="24"/>
        <item x="52"/>
        <item x="41"/>
        <item x="39"/>
        <item x="53"/>
        <item x="23"/>
        <item x="62"/>
        <item x="46"/>
        <item x="37"/>
        <item x="25"/>
        <item x="38"/>
        <item x="15"/>
        <item x="43"/>
        <item x="36"/>
        <item x="5"/>
        <item x="13"/>
        <item x="47"/>
        <item x="48"/>
        <item x="1"/>
        <item x="7"/>
        <item x="9"/>
        <item x="6"/>
        <item x="35"/>
        <item x="0"/>
        <item x="3"/>
        <item x="11"/>
        <item x="19"/>
        <item x="33"/>
        <item x="34"/>
        <item x="30"/>
        <item x="20"/>
        <item x="10"/>
        <item x="29"/>
        <item x="8"/>
        <item x="31"/>
        <item x="32"/>
        <item x="82"/>
        <item t="default"/>
      </items>
    </pivotField>
    <pivotField axis="axisRow" compact="0" showAll="0">
      <items count="7">
        <item x="1"/>
        <item x="3"/>
        <item x="0"/>
        <item x="2"/>
        <item x="4"/>
        <item x="5"/>
        <item t="default"/>
      </items>
    </pivotField>
    <pivotField compact="0" showAll="0"/>
    <pivotField compact="0"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应发工资" fld="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I25:J30" firstHeaderRow="1" firstDataRow="1" firstDataCol="1"/>
  <pivotFields count="5">
    <pivotField compact="0" showAll="0">
      <items count="87">
        <item x="43"/>
        <item x="15"/>
        <item x="60"/>
        <item x="63"/>
        <item x="1"/>
        <item x="61"/>
        <item x="22"/>
        <item x="24"/>
        <item x="37"/>
        <item x="0"/>
        <item x="23"/>
        <item x="44"/>
        <item x="83"/>
        <item x="77"/>
        <item x="74"/>
        <item x="75"/>
        <item x="45"/>
        <item x="36"/>
        <item x="53"/>
        <item x="6"/>
        <item x="56"/>
        <item x="82"/>
        <item x="84"/>
        <item x="78"/>
        <item x="5"/>
        <item x="33"/>
        <item x="19"/>
        <item x="35"/>
        <item x="31"/>
        <item x="80"/>
        <item x="71"/>
        <item x="38"/>
        <item x="50"/>
        <item x="72"/>
        <item x="66"/>
        <item x="51"/>
        <item x="42"/>
        <item x="68"/>
        <item x="18"/>
        <item x="58"/>
        <item x="28"/>
        <item x="9"/>
        <item x="14"/>
        <item x="73"/>
        <item x="8"/>
        <item x="70"/>
        <item x="11"/>
        <item x="41"/>
        <item x="62"/>
        <item x="59"/>
        <item x="55"/>
        <item x="7"/>
        <item x="29"/>
        <item x="40"/>
        <item x="52"/>
        <item x="2"/>
        <item x="27"/>
        <item x="39"/>
        <item x="65"/>
        <item x="25"/>
        <item x="46"/>
        <item x="10"/>
        <item x="81"/>
        <item x="47"/>
        <item x="49"/>
        <item x="69"/>
        <item x="21"/>
        <item x="3"/>
        <item x="67"/>
        <item x="4"/>
        <item x="76"/>
        <item x="12"/>
        <item x="30"/>
        <item x="64"/>
        <item x="13"/>
        <item x="17"/>
        <item x="79"/>
        <item x="32"/>
        <item x="20"/>
        <item x="48"/>
        <item x="26"/>
        <item x="34"/>
        <item x="57"/>
        <item x="16"/>
        <item x="54"/>
        <item x="85"/>
        <item t="default"/>
      </items>
    </pivotField>
    <pivotField dataField="1" compact="0" showAll="0">
      <items count="84">
        <item x="45"/>
        <item x="50"/>
        <item x="54"/>
        <item x="51"/>
        <item x="28"/>
        <item x="81"/>
        <item x="75"/>
        <item x="78"/>
        <item x="57"/>
        <item x="58"/>
        <item x="59"/>
        <item x="80"/>
        <item x="56"/>
        <item x="77"/>
        <item x="74"/>
        <item x="73"/>
        <item x="27"/>
        <item x="60"/>
        <item x="72"/>
        <item x="26"/>
        <item x="71"/>
        <item x="61"/>
        <item x="79"/>
        <item x="22"/>
        <item x="4"/>
        <item x="17"/>
        <item x="67"/>
        <item x="76"/>
        <item x="70"/>
        <item x="55"/>
        <item x="69"/>
        <item x="64"/>
        <item x="18"/>
        <item x="65"/>
        <item x="68"/>
        <item x="12"/>
        <item x="40"/>
        <item x="66"/>
        <item x="21"/>
        <item x="49"/>
        <item x="63"/>
        <item x="44"/>
        <item x="14"/>
        <item x="2"/>
        <item x="16"/>
        <item x="42"/>
        <item x="24"/>
        <item x="52"/>
        <item x="41"/>
        <item x="39"/>
        <item x="53"/>
        <item x="23"/>
        <item x="62"/>
        <item x="46"/>
        <item x="37"/>
        <item x="25"/>
        <item x="38"/>
        <item x="15"/>
        <item x="43"/>
        <item x="36"/>
        <item x="5"/>
        <item x="13"/>
        <item x="47"/>
        <item x="48"/>
        <item x="1"/>
        <item x="7"/>
        <item x="9"/>
        <item x="6"/>
        <item x="35"/>
        <item x="0"/>
        <item x="3"/>
        <item x="11"/>
        <item x="19"/>
        <item x="33"/>
        <item x="34"/>
        <item x="30"/>
        <item x="20"/>
        <item x="10"/>
        <item x="29"/>
        <item x="8"/>
        <item x="31"/>
        <item x="32"/>
        <item x="82"/>
        <item t="default"/>
      </items>
    </pivotField>
    <pivotField compact="0" showAll="0"/>
    <pivotField axis="axisRow" compact="0" showAll="0">
      <items count="5">
        <item x="2"/>
        <item x="0"/>
        <item x="1"/>
        <item x="3"/>
        <item t="default"/>
      </items>
    </pivotField>
    <pivotField compact="0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应发工资" fld="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H23"/>
  <sheetViews>
    <sheetView topLeftCell="A7" workbookViewId="0">
      <selection activeCell="J15" sqref="J15"/>
    </sheetView>
  </sheetViews>
  <sheetFormatPr defaultColWidth="9" defaultRowHeight="17.25" outlineLevelCol="7"/>
  <cols>
    <col min="1" max="1" width="12.125" style="288" customWidth="1"/>
    <col min="2" max="2" width="11.375" style="288" customWidth="1"/>
    <col min="3" max="3" width="21.875" style="288" customWidth="1"/>
    <col min="4" max="4" width="20.75" style="288" customWidth="1"/>
    <col min="5" max="5" width="19.875" style="288" customWidth="1"/>
    <col min="6" max="6" width="20.625" style="288" customWidth="1"/>
    <col min="7" max="7" width="8.625" style="288" customWidth="1"/>
    <col min="8" max="8" width="11.125" style="288" customWidth="1"/>
    <col min="9" max="9" width="9" style="288"/>
    <col min="10" max="10" width="15" style="288" customWidth="1"/>
    <col min="11" max="16384" width="9" style="288"/>
  </cols>
  <sheetData>
    <row r="7" s="288" customFormat="1" ht="102" customHeight="1" spans="1:8">
      <c r="A7" s="289" t="s">
        <v>0</v>
      </c>
      <c r="B7" s="290"/>
      <c r="C7" s="290"/>
      <c r="D7" s="290"/>
      <c r="E7" s="290"/>
      <c r="F7" s="290"/>
      <c r="G7" s="290"/>
      <c r="H7" s="290"/>
    </row>
    <row r="12" s="288" customFormat="1" spans="5:5">
      <c r="E12" s="291"/>
    </row>
    <row r="16" ht="21.75" spans="6:6">
      <c r="F16" s="292" t="s">
        <v>1</v>
      </c>
    </row>
    <row r="18" ht="21.75" spans="5:6">
      <c r="E18" s="293"/>
      <c r="F18" s="294" t="s">
        <v>2</v>
      </c>
    </row>
    <row r="21" s="288" customFormat="1" ht="21.75" spans="7:7">
      <c r="G21" s="292"/>
    </row>
    <row r="23" s="288" customFormat="1" ht="21.75" spans="7:7">
      <c r="G23" s="294"/>
    </row>
  </sheetData>
  <mergeCells count="1">
    <mergeCell ref="A7:H7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view="pageBreakPreview" zoomScaleNormal="80" zoomScaleSheetLayoutView="100" topLeftCell="A3" workbookViewId="0">
      <selection activeCell="I23" sqref="I23"/>
    </sheetView>
  </sheetViews>
  <sheetFormatPr defaultColWidth="9.81666666666667" defaultRowHeight="17.25"/>
  <cols>
    <col min="1" max="1" width="8.275" style="68" customWidth="1"/>
    <col min="2" max="2" width="8.43333333333333" style="68" customWidth="1"/>
    <col min="3" max="3" width="16.1" style="68" customWidth="1"/>
    <col min="4" max="4" width="13.7416666666667" style="68" customWidth="1"/>
    <col min="5" max="5" width="14.9916666666667" style="68" customWidth="1"/>
    <col min="6" max="6" width="4.68333333333333" style="68" customWidth="1"/>
    <col min="7" max="7" width="12.65" style="68" customWidth="1"/>
    <col min="8" max="8" width="14.0583333333333" style="68" customWidth="1"/>
    <col min="9" max="9" width="4.68333333333333" style="68" customWidth="1"/>
    <col min="10" max="10" width="13.9" style="68" customWidth="1"/>
    <col min="11" max="11" width="13.725" style="68" customWidth="1"/>
    <col min="12" max="12" width="5" style="68" customWidth="1"/>
    <col min="13" max="13" width="14.85" style="68" customWidth="1"/>
    <col min="14" max="14" width="10.725" style="68" customWidth="1"/>
    <col min="15" max="15" width="10.375" style="68" customWidth="1"/>
    <col min="16" max="16" width="11.125" style="68" customWidth="1"/>
    <col min="17" max="17" width="17.375" style="68" customWidth="1"/>
    <col min="18" max="18" width="4.875" style="68" customWidth="1"/>
    <col min="19" max="19" width="9.26666666666667" style="68" customWidth="1"/>
    <col min="20" max="20" width="13.1833333333333" style="68" customWidth="1"/>
    <col min="21" max="21" width="11.45" style="68" customWidth="1"/>
    <col min="22" max="22" width="3.44166666666667" style="68" customWidth="1"/>
    <col min="23" max="23" width="10.9333333333333" style="69" customWidth="1"/>
    <col min="24" max="24" width="21.8166666666667" style="68" hidden="1" customWidth="1"/>
    <col min="25" max="26" width="9.81666666666667" style="68" hidden="1" customWidth="1"/>
    <col min="27" max="27" width="19.3666666666667" style="68" hidden="1" customWidth="1"/>
    <col min="28" max="28" width="9.81666666666667" style="68" hidden="1" customWidth="1"/>
    <col min="29" max="29" width="11" style="68" customWidth="1"/>
    <col min="30" max="30" width="11.125" style="68"/>
    <col min="31" max="255" width="9.81666666666667" style="68"/>
    <col min="256" max="256" width="3.26666666666667" style="68" customWidth="1"/>
    <col min="257" max="257" width="3.90833333333333" style="68" customWidth="1"/>
    <col min="258" max="258" width="11.8166666666667" style="68" customWidth="1"/>
    <col min="259" max="259" width="2.54166666666667" style="68" customWidth="1"/>
    <col min="260" max="260" width="7.725" style="68" customWidth="1"/>
    <col min="261" max="261" width="11.45" style="68" customWidth="1"/>
    <col min="262" max="262" width="3" style="68" customWidth="1"/>
    <col min="263" max="263" width="8.54166666666667" style="68" customWidth="1"/>
    <col min="264" max="264" width="13.0916666666667" style="68" customWidth="1"/>
    <col min="265" max="265" width="3" style="68" customWidth="1"/>
    <col min="266" max="266" width="8.54166666666667" style="68" customWidth="1"/>
    <col min="267" max="267" width="13.725" style="68" customWidth="1"/>
    <col min="268" max="268" width="3" style="68" customWidth="1"/>
    <col min="269" max="269" width="8.81666666666667" style="68" customWidth="1"/>
    <col min="270" max="270" width="10.725" style="68" customWidth="1"/>
    <col min="271" max="271" width="3" style="68" customWidth="1"/>
    <col min="272" max="272" width="8.81666666666667" style="68" customWidth="1"/>
    <col min="273" max="273" width="9.26666666666667" style="68" customWidth="1"/>
    <col min="274" max="274" width="3.36666666666667" style="68" customWidth="1"/>
    <col min="275" max="275" width="9.26666666666667" style="68" customWidth="1"/>
    <col min="276" max="276" width="13.1833333333333" style="68" customWidth="1"/>
    <col min="277" max="277" width="11.45" style="68" customWidth="1"/>
    <col min="278" max="278" width="3" style="68" customWidth="1"/>
    <col min="279" max="279" width="8.45" style="68" customWidth="1"/>
    <col min="280" max="284" width="9.81666666666667" style="68" hidden="1" customWidth="1"/>
    <col min="285" max="285" width="11" style="68" customWidth="1"/>
    <col min="286" max="511" width="9.81666666666667" style="68"/>
    <col min="512" max="512" width="3.26666666666667" style="68" customWidth="1"/>
    <col min="513" max="513" width="3.90833333333333" style="68" customWidth="1"/>
    <col min="514" max="514" width="11.8166666666667" style="68" customWidth="1"/>
    <col min="515" max="515" width="2.54166666666667" style="68" customWidth="1"/>
    <col min="516" max="516" width="7.725" style="68" customWidth="1"/>
    <col min="517" max="517" width="11.45" style="68" customWidth="1"/>
    <col min="518" max="518" width="3" style="68" customWidth="1"/>
    <col min="519" max="519" width="8.54166666666667" style="68" customWidth="1"/>
    <col min="520" max="520" width="13.0916666666667" style="68" customWidth="1"/>
    <col min="521" max="521" width="3" style="68" customWidth="1"/>
    <col min="522" max="522" width="8.54166666666667" style="68" customWidth="1"/>
    <col min="523" max="523" width="13.725" style="68" customWidth="1"/>
    <col min="524" max="524" width="3" style="68" customWidth="1"/>
    <col min="525" max="525" width="8.81666666666667" style="68" customWidth="1"/>
    <col min="526" max="526" width="10.725" style="68" customWidth="1"/>
    <col min="527" max="527" width="3" style="68" customWidth="1"/>
    <col min="528" max="528" width="8.81666666666667" style="68" customWidth="1"/>
    <col min="529" max="529" width="9.26666666666667" style="68" customWidth="1"/>
    <col min="530" max="530" width="3.36666666666667" style="68" customWidth="1"/>
    <col min="531" max="531" width="9.26666666666667" style="68" customWidth="1"/>
    <col min="532" max="532" width="13.1833333333333" style="68" customWidth="1"/>
    <col min="533" max="533" width="11.45" style="68" customWidth="1"/>
    <col min="534" max="534" width="3" style="68" customWidth="1"/>
    <col min="535" max="535" width="8.45" style="68" customWidth="1"/>
    <col min="536" max="540" width="9.81666666666667" style="68" hidden="1" customWidth="1"/>
    <col min="541" max="541" width="11" style="68" customWidth="1"/>
    <col min="542" max="767" width="9.81666666666667" style="68"/>
    <col min="768" max="768" width="3.26666666666667" style="68" customWidth="1"/>
    <col min="769" max="769" width="3.90833333333333" style="68" customWidth="1"/>
    <col min="770" max="770" width="11.8166666666667" style="68" customWidth="1"/>
    <col min="771" max="771" width="2.54166666666667" style="68" customWidth="1"/>
    <col min="772" max="772" width="7.725" style="68" customWidth="1"/>
    <col min="773" max="773" width="11.45" style="68" customWidth="1"/>
    <col min="774" max="774" width="3" style="68" customWidth="1"/>
    <col min="775" max="775" width="8.54166666666667" style="68" customWidth="1"/>
    <col min="776" max="776" width="13.0916666666667" style="68" customWidth="1"/>
    <col min="777" max="777" width="3" style="68" customWidth="1"/>
    <col min="778" max="778" width="8.54166666666667" style="68" customWidth="1"/>
    <col min="779" max="779" width="13.725" style="68" customWidth="1"/>
    <col min="780" max="780" width="3" style="68" customWidth="1"/>
    <col min="781" max="781" width="8.81666666666667" style="68" customWidth="1"/>
    <col min="782" max="782" width="10.725" style="68" customWidth="1"/>
    <col min="783" max="783" width="3" style="68" customWidth="1"/>
    <col min="784" max="784" width="8.81666666666667" style="68" customWidth="1"/>
    <col min="785" max="785" width="9.26666666666667" style="68" customWidth="1"/>
    <col min="786" max="786" width="3.36666666666667" style="68" customWidth="1"/>
    <col min="787" max="787" width="9.26666666666667" style="68" customWidth="1"/>
    <col min="788" max="788" width="13.1833333333333" style="68" customWidth="1"/>
    <col min="789" max="789" width="11.45" style="68" customWidth="1"/>
    <col min="790" max="790" width="3" style="68" customWidth="1"/>
    <col min="791" max="791" width="8.45" style="68" customWidth="1"/>
    <col min="792" max="796" width="9.81666666666667" style="68" hidden="1" customWidth="1"/>
    <col min="797" max="797" width="11" style="68" customWidth="1"/>
    <col min="798" max="1023" width="9.81666666666667" style="68"/>
    <col min="1024" max="1024" width="3.26666666666667" style="68" customWidth="1"/>
    <col min="1025" max="1025" width="3.90833333333333" style="68" customWidth="1"/>
    <col min="1026" max="1026" width="11.8166666666667" style="68" customWidth="1"/>
    <col min="1027" max="1027" width="2.54166666666667" style="68" customWidth="1"/>
    <col min="1028" max="1028" width="7.725" style="68" customWidth="1"/>
    <col min="1029" max="1029" width="11.45" style="68" customWidth="1"/>
    <col min="1030" max="1030" width="3" style="68" customWidth="1"/>
    <col min="1031" max="1031" width="8.54166666666667" style="68" customWidth="1"/>
    <col min="1032" max="1032" width="13.0916666666667" style="68" customWidth="1"/>
    <col min="1033" max="1033" width="3" style="68" customWidth="1"/>
    <col min="1034" max="1034" width="8.54166666666667" style="68" customWidth="1"/>
    <col min="1035" max="1035" width="13.725" style="68" customWidth="1"/>
    <col min="1036" max="1036" width="3" style="68" customWidth="1"/>
    <col min="1037" max="1037" width="8.81666666666667" style="68" customWidth="1"/>
    <col min="1038" max="1038" width="10.725" style="68" customWidth="1"/>
    <col min="1039" max="1039" width="3" style="68" customWidth="1"/>
    <col min="1040" max="1040" width="8.81666666666667" style="68" customWidth="1"/>
    <col min="1041" max="1041" width="9.26666666666667" style="68" customWidth="1"/>
    <col min="1042" max="1042" width="3.36666666666667" style="68" customWidth="1"/>
    <col min="1043" max="1043" width="9.26666666666667" style="68" customWidth="1"/>
    <col min="1044" max="1044" width="13.1833333333333" style="68" customWidth="1"/>
    <col min="1045" max="1045" width="11.45" style="68" customWidth="1"/>
    <col min="1046" max="1046" width="3" style="68" customWidth="1"/>
    <col min="1047" max="1047" width="8.45" style="68" customWidth="1"/>
    <col min="1048" max="1052" width="9.81666666666667" style="68" hidden="1" customWidth="1"/>
    <col min="1053" max="1053" width="11" style="68" customWidth="1"/>
    <col min="1054" max="1279" width="9.81666666666667" style="68"/>
    <col min="1280" max="1280" width="3.26666666666667" style="68" customWidth="1"/>
    <col min="1281" max="1281" width="3.90833333333333" style="68" customWidth="1"/>
    <col min="1282" max="1282" width="11.8166666666667" style="68" customWidth="1"/>
    <col min="1283" max="1283" width="2.54166666666667" style="68" customWidth="1"/>
    <col min="1284" max="1284" width="7.725" style="68" customWidth="1"/>
    <col min="1285" max="1285" width="11.45" style="68" customWidth="1"/>
    <col min="1286" max="1286" width="3" style="68" customWidth="1"/>
    <col min="1287" max="1287" width="8.54166666666667" style="68" customWidth="1"/>
    <col min="1288" max="1288" width="13.0916666666667" style="68" customWidth="1"/>
    <col min="1289" max="1289" width="3" style="68" customWidth="1"/>
    <col min="1290" max="1290" width="8.54166666666667" style="68" customWidth="1"/>
    <col min="1291" max="1291" width="13.725" style="68" customWidth="1"/>
    <col min="1292" max="1292" width="3" style="68" customWidth="1"/>
    <col min="1293" max="1293" width="8.81666666666667" style="68" customWidth="1"/>
    <col min="1294" max="1294" width="10.725" style="68" customWidth="1"/>
    <col min="1295" max="1295" width="3" style="68" customWidth="1"/>
    <col min="1296" max="1296" width="8.81666666666667" style="68" customWidth="1"/>
    <col min="1297" max="1297" width="9.26666666666667" style="68" customWidth="1"/>
    <col min="1298" max="1298" width="3.36666666666667" style="68" customWidth="1"/>
    <col min="1299" max="1299" width="9.26666666666667" style="68" customWidth="1"/>
    <col min="1300" max="1300" width="13.1833333333333" style="68" customWidth="1"/>
    <col min="1301" max="1301" width="11.45" style="68" customWidth="1"/>
    <col min="1302" max="1302" width="3" style="68" customWidth="1"/>
    <col min="1303" max="1303" width="8.45" style="68" customWidth="1"/>
    <col min="1304" max="1308" width="9.81666666666667" style="68" hidden="1" customWidth="1"/>
    <col min="1309" max="1309" width="11" style="68" customWidth="1"/>
    <col min="1310" max="1535" width="9.81666666666667" style="68"/>
    <col min="1536" max="1536" width="3.26666666666667" style="68" customWidth="1"/>
    <col min="1537" max="1537" width="3.90833333333333" style="68" customWidth="1"/>
    <col min="1538" max="1538" width="11.8166666666667" style="68" customWidth="1"/>
    <col min="1539" max="1539" width="2.54166666666667" style="68" customWidth="1"/>
    <col min="1540" max="1540" width="7.725" style="68" customWidth="1"/>
    <col min="1541" max="1541" width="11.45" style="68" customWidth="1"/>
    <col min="1542" max="1542" width="3" style="68" customWidth="1"/>
    <col min="1543" max="1543" width="8.54166666666667" style="68" customWidth="1"/>
    <col min="1544" max="1544" width="13.0916666666667" style="68" customWidth="1"/>
    <col min="1545" max="1545" width="3" style="68" customWidth="1"/>
    <col min="1546" max="1546" width="8.54166666666667" style="68" customWidth="1"/>
    <col min="1547" max="1547" width="13.725" style="68" customWidth="1"/>
    <col min="1548" max="1548" width="3" style="68" customWidth="1"/>
    <col min="1549" max="1549" width="8.81666666666667" style="68" customWidth="1"/>
    <col min="1550" max="1550" width="10.725" style="68" customWidth="1"/>
    <col min="1551" max="1551" width="3" style="68" customWidth="1"/>
    <col min="1552" max="1552" width="8.81666666666667" style="68" customWidth="1"/>
    <col min="1553" max="1553" width="9.26666666666667" style="68" customWidth="1"/>
    <col min="1554" max="1554" width="3.36666666666667" style="68" customWidth="1"/>
    <col min="1555" max="1555" width="9.26666666666667" style="68" customWidth="1"/>
    <col min="1556" max="1556" width="13.1833333333333" style="68" customWidth="1"/>
    <col min="1557" max="1557" width="11.45" style="68" customWidth="1"/>
    <col min="1558" max="1558" width="3" style="68" customWidth="1"/>
    <col min="1559" max="1559" width="8.45" style="68" customWidth="1"/>
    <col min="1560" max="1564" width="9.81666666666667" style="68" hidden="1" customWidth="1"/>
    <col min="1565" max="1565" width="11" style="68" customWidth="1"/>
    <col min="1566" max="1791" width="9.81666666666667" style="68"/>
    <col min="1792" max="1792" width="3.26666666666667" style="68" customWidth="1"/>
    <col min="1793" max="1793" width="3.90833333333333" style="68" customWidth="1"/>
    <col min="1794" max="1794" width="11.8166666666667" style="68" customWidth="1"/>
    <col min="1795" max="1795" width="2.54166666666667" style="68" customWidth="1"/>
    <col min="1796" max="1796" width="7.725" style="68" customWidth="1"/>
    <col min="1797" max="1797" width="11.45" style="68" customWidth="1"/>
    <col min="1798" max="1798" width="3" style="68" customWidth="1"/>
    <col min="1799" max="1799" width="8.54166666666667" style="68" customWidth="1"/>
    <col min="1800" max="1800" width="13.0916666666667" style="68" customWidth="1"/>
    <col min="1801" max="1801" width="3" style="68" customWidth="1"/>
    <col min="1802" max="1802" width="8.54166666666667" style="68" customWidth="1"/>
    <col min="1803" max="1803" width="13.725" style="68" customWidth="1"/>
    <col min="1804" max="1804" width="3" style="68" customWidth="1"/>
    <col min="1805" max="1805" width="8.81666666666667" style="68" customWidth="1"/>
    <col min="1806" max="1806" width="10.725" style="68" customWidth="1"/>
    <col min="1807" max="1807" width="3" style="68" customWidth="1"/>
    <col min="1808" max="1808" width="8.81666666666667" style="68" customWidth="1"/>
    <col min="1809" max="1809" width="9.26666666666667" style="68" customWidth="1"/>
    <col min="1810" max="1810" width="3.36666666666667" style="68" customWidth="1"/>
    <col min="1811" max="1811" width="9.26666666666667" style="68" customWidth="1"/>
    <col min="1812" max="1812" width="13.1833333333333" style="68" customWidth="1"/>
    <col min="1813" max="1813" width="11.45" style="68" customWidth="1"/>
    <col min="1814" max="1814" width="3" style="68" customWidth="1"/>
    <col min="1815" max="1815" width="8.45" style="68" customWidth="1"/>
    <col min="1816" max="1820" width="9.81666666666667" style="68" hidden="1" customWidth="1"/>
    <col min="1821" max="1821" width="11" style="68" customWidth="1"/>
    <col min="1822" max="2047" width="9.81666666666667" style="68"/>
    <col min="2048" max="2048" width="3.26666666666667" style="68" customWidth="1"/>
    <col min="2049" max="2049" width="3.90833333333333" style="68" customWidth="1"/>
    <col min="2050" max="2050" width="11.8166666666667" style="68" customWidth="1"/>
    <col min="2051" max="2051" width="2.54166666666667" style="68" customWidth="1"/>
    <col min="2052" max="2052" width="7.725" style="68" customWidth="1"/>
    <col min="2053" max="2053" width="11.45" style="68" customWidth="1"/>
    <col min="2054" max="2054" width="3" style="68" customWidth="1"/>
    <col min="2055" max="2055" width="8.54166666666667" style="68" customWidth="1"/>
    <col min="2056" max="2056" width="13.0916666666667" style="68" customWidth="1"/>
    <col min="2057" max="2057" width="3" style="68" customWidth="1"/>
    <col min="2058" max="2058" width="8.54166666666667" style="68" customWidth="1"/>
    <col min="2059" max="2059" width="13.725" style="68" customWidth="1"/>
    <col min="2060" max="2060" width="3" style="68" customWidth="1"/>
    <col min="2061" max="2061" width="8.81666666666667" style="68" customWidth="1"/>
    <col min="2062" max="2062" width="10.725" style="68" customWidth="1"/>
    <col min="2063" max="2063" width="3" style="68" customWidth="1"/>
    <col min="2064" max="2064" width="8.81666666666667" style="68" customWidth="1"/>
    <col min="2065" max="2065" width="9.26666666666667" style="68" customWidth="1"/>
    <col min="2066" max="2066" width="3.36666666666667" style="68" customWidth="1"/>
    <col min="2067" max="2067" width="9.26666666666667" style="68" customWidth="1"/>
    <col min="2068" max="2068" width="13.1833333333333" style="68" customWidth="1"/>
    <col min="2069" max="2069" width="11.45" style="68" customWidth="1"/>
    <col min="2070" max="2070" width="3" style="68" customWidth="1"/>
    <col min="2071" max="2071" width="8.45" style="68" customWidth="1"/>
    <col min="2072" max="2076" width="9.81666666666667" style="68" hidden="1" customWidth="1"/>
    <col min="2077" max="2077" width="11" style="68" customWidth="1"/>
    <col min="2078" max="2303" width="9.81666666666667" style="68"/>
    <col min="2304" max="2304" width="3.26666666666667" style="68" customWidth="1"/>
    <col min="2305" max="2305" width="3.90833333333333" style="68" customWidth="1"/>
    <col min="2306" max="2306" width="11.8166666666667" style="68" customWidth="1"/>
    <col min="2307" max="2307" width="2.54166666666667" style="68" customWidth="1"/>
    <col min="2308" max="2308" width="7.725" style="68" customWidth="1"/>
    <col min="2309" max="2309" width="11.45" style="68" customWidth="1"/>
    <col min="2310" max="2310" width="3" style="68" customWidth="1"/>
    <col min="2311" max="2311" width="8.54166666666667" style="68" customWidth="1"/>
    <col min="2312" max="2312" width="13.0916666666667" style="68" customWidth="1"/>
    <col min="2313" max="2313" width="3" style="68" customWidth="1"/>
    <col min="2314" max="2314" width="8.54166666666667" style="68" customWidth="1"/>
    <col min="2315" max="2315" width="13.725" style="68" customWidth="1"/>
    <col min="2316" max="2316" width="3" style="68" customWidth="1"/>
    <col min="2317" max="2317" width="8.81666666666667" style="68" customWidth="1"/>
    <col min="2318" max="2318" width="10.725" style="68" customWidth="1"/>
    <col min="2319" max="2319" width="3" style="68" customWidth="1"/>
    <col min="2320" max="2320" width="8.81666666666667" style="68" customWidth="1"/>
    <col min="2321" max="2321" width="9.26666666666667" style="68" customWidth="1"/>
    <col min="2322" max="2322" width="3.36666666666667" style="68" customWidth="1"/>
    <col min="2323" max="2323" width="9.26666666666667" style="68" customWidth="1"/>
    <col min="2324" max="2324" width="13.1833333333333" style="68" customWidth="1"/>
    <col min="2325" max="2325" width="11.45" style="68" customWidth="1"/>
    <col min="2326" max="2326" width="3" style="68" customWidth="1"/>
    <col min="2327" max="2327" width="8.45" style="68" customWidth="1"/>
    <col min="2328" max="2332" width="9.81666666666667" style="68" hidden="1" customWidth="1"/>
    <col min="2333" max="2333" width="11" style="68" customWidth="1"/>
    <col min="2334" max="2559" width="9.81666666666667" style="68"/>
    <col min="2560" max="2560" width="3.26666666666667" style="68" customWidth="1"/>
    <col min="2561" max="2561" width="3.90833333333333" style="68" customWidth="1"/>
    <col min="2562" max="2562" width="11.8166666666667" style="68" customWidth="1"/>
    <col min="2563" max="2563" width="2.54166666666667" style="68" customWidth="1"/>
    <col min="2564" max="2564" width="7.725" style="68" customWidth="1"/>
    <col min="2565" max="2565" width="11.45" style="68" customWidth="1"/>
    <col min="2566" max="2566" width="3" style="68" customWidth="1"/>
    <col min="2567" max="2567" width="8.54166666666667" style="68" customWidth="1"/>
    <col min="2568" max="2568" width="13.0916666666667" style="68" customWidth="1"/>
    <col min="2569" max="2569" width="3" style="68" customWidth="1"/>
    <col min="2570" max="2570" width="8.54166666666667" style="68" customWidth="1"/>
    <col min="2571" max="2571" width="13.725" style="68" customWidth="1"/>
    <col min="2572" max="2572" width="3" style="68" customWidth="1"/>
    <col min="2573" max="2573" width="8.81666666666667" style="68" customWidth="1"/>
    <col min="2574" max="2574" width="10.725" style="68" customWidth="1"/>
    <col min="2575" max="2575" width="3" style="68" customWidth="1"/>
    <col min="2576" max="2576" width="8.81666666666667" style="68" customWidth="1"/>
    <col min="2577" max="2577" width="9.26666666666667" style="68" customWidth="1"/>
    <col min="2578" max="2578" width="3.36666666666667" style="68" customWidth="1"/>
    <col min="2579" max="2579" width="9.26666666666667" style="68" customWidth="1"/>
    <col min="2580" max="2580" width="13.1833333333333" style="68" customWidth="1"/>
    <col min="2581" max="2581" width="11.45" style="68" customWidth="1"/>
    <col min="2582" max="2582" width="3" style="68" customWidth="1"/>
    <col min="2583" max="2583" width="8.45" style="68" customWidth="1"/>
    <col min="2584" max="2588" width="9.81666666666667" style="68" hidden="1" customWidth="1"/>
    <col min="2589" max="2589" width="11" style="68" customWidth="1"/>
    <col min="2590" max="2815" width="9.81666666666667" style="68"/>
    <col min="2816" max="2816" width="3.26666666666667" style="68" customWidth="1"/>
    <col min="2817" max="2817" width="3.90833333333333" style="68" customWidth="1"/>
    <col min="2818" max="2818" width="11.8166666666667" style="68" customWidth="1"/>
    <col min="2819" max="2819" width="2.54166666666667" style="68" customWidth="1"/>
    <col min="2820" max="2820" width="7.725" style="68" customWidth="1"/>
    <col min="2821" max="2821" width="11.45" style="68" customWidth="1"/>
    <col min="2822" max="2822" width="3" style="68" customWidth="1"/>
    <col min="2823" max="2823" width="8.54166666666667" style="68" customWidth="1"/>
    <col min="2824" max="2824" width="13.0916666666667" style="68" customWidth="1"/>
    <col min="2825" max="2825" width="3" style="68" customWidth="1"/>
    <col min="2826" max="2826" width="8.54166666666667" style="68" customWidth="1"/>
    <col min="2827" max="2827" width="13.725" style="68" customWidth="1"/>
    <col min="2828" max="2828" width="3" style="68" customWidth="1"/>
    <col min="2829" max="2829" width="8.81666666666667" style="68" customWidth="1"/>
    <col min="2830" max="2830" width="10.725" style="68" customWidth="1"/>
    <col min="2831" max="2831" width="3" style="68" customWidth="1"/>
    <col min="2832" max="2832" width="8.81666666666667" style="68" customWidth="1"/>
    <col min="2833" max="2833" width="9.26666666666667" style="68" customWidth="1"/>
    <col min="2834" max="2834" width="3.36666666666667" style="68" customWidth="1"/>
    <col min="2835" max="2835" width="9.26666666666667" style="68" customWidth="1"/>
    <col min="2836" max="2836" width="13.1833333333333" style="68" customWidth="1"/>
    <col min="2837" max="2837" width="11.45" style="68" customWidth="1"/>
    <col min="2838" max="2838" width="3" style="68" customWidth="1"/>
    <col min="2839" max="2839" width="8.45" style="68" customWidth="1"/>
    <col min="2840" max="2844" width="9.81666666666667" style="68" hidden="1" customWidth="1"/>
    <col min="2845" max="2845" width="11" style="68" customWidth="1"/>
    <col min="2846" max="3071" width="9.81666666666667" style="68"/>
    <col min="3072" max="3072" width="3.26666666666667" style="68" customWidth="1"/>
    <col min="3073" max="3073" width="3.90833333333333" style="68" customWidth="1"/>
    <col min="3074" max="3074" width="11.8166666666667" style="68" customWidth="1"/>
    <col min="3075" max="3075" width="2.54166666666667" style="68" customWidth="1"/>
    <col min="3076" max="3076" width="7.725" style="68" customWidth="1"/>
    <col min="3077" max="3077" width="11.45" style="68" customWidth="1"/>
    <col min="3078" max="3078" width="3" style="68" customWidth="1"/>
    <col min="3079" max="3079" width="8.54166666666667" style="68" customWidth="1"/>
    <col min="3080" max="3080" width="13.0916666666667" style="68" customWidth="1"/>
    <col min="3081" max="3081" width="3" style="68" customWidth="1"/>
    <col min="3082" max="3082" width="8.54166666666667" style="68" customWidth="1"/>
    <col min="3083" max="3083" width="13.725" style="68" customWidth="1"/>
    <col min="3084" max="3084" width="3" style="68" customWidth="1"/>
    <col min="3085" max="3085" width="8.81666666666667" style="68" customWidth="1"/>
    <col min="3086" max="3086" width="10.725" style="68" customWidth="1"/>
    <col min="3087" max="3087" width="3" style="68" customWidth="1"/>
    <col min="3088" max="3088" width="8.81666666666667" style="68" customWidth="1"/>
    <col min="3089" max="3089" width="9.26666666666667" style="68" customWidth="1"/>
    <col min="3090" max="3090" width="3.36666666666667" style="68" customWidth="1"/>
    <col min="3091" max="3091" width="9.26666666666667" style="68" customWidth="1"/>
    <col min="3092" max="3092" width="13.1833333333333" style="68" customWidth="1"/>
    <col min="3093" max="3093" width="11.45" style="68" customWidth="1"/>
    <col min="3094" max="3094" width="3" style="68" customWidth="1"/>
    <col min="3095" max="3095" width="8.45" style="68" customWidth="1"/>
    <col min="3096" max="3100" width="9.81666666666667" style="68" hidden="1" customWidth="1"/>
    <col min="3101" max="3101" width="11" style="68" customWidth="1"/>
    <col min="3102" max="3327" width="9.81666666666667" style="68"/>
    <col min="3328" max="3328" width="3.26666666666667" style="68" customWidth="1"/>
    <col min="3329" max="3329" width="3.90833333333333" style="68" customWidth="1"/>
    <col min="3330" max="3330" width="11.8166666666667" style="68" customWidth="1"/>
    <col min="3331" max="3331" width="2.54166666666667" style="68" customWidth="1"/>
    <col min="3332" max="3332" width="7.725" style="68" customWidth="1"/>
    <col min="3333" max="3333" width="11.45" style="68" customWidth="1"/>
    <col min="3334" max="3334" width="3" style="68" customWidth="1"/>
    <col min="3335" max="3335" width="8.54166666666667" style="68" customWidth="1"/>
    <col min="3336" max="3336" width="13.0916666666667" style="68" customWidth="1"/>
    <col min="3337" max="3337" width="3" style="68" customWidth="1"/>
    <col min="3338" max="3338" width="8.54166666666667" style="68" customWidth="1"/>
    <col min="3339" max="3339" width="13.725" style="68" customWidth="1"/>
    <col min="3340" max="3340" width="3" style="68" customWidth="1"/>
    <col min="3341" max="3341" width="8.81666666666667" style="68" customWidth="1"/>
    <col min="3342" max="3342" width="10.725" style="68" customWidth="1"/>
    <col min="3343" max="3343" width="3" style="68" customWidth="1"/>
    <col min="3344" max="3344" width="8.81666666666667" style="68" customWidth="1"/>
    <col min="3345" max="3345" width="9.26666666666667" style="68" customWidth="1"/>
    <col min="3346" max="3346" width="3.36666666666667" style="68" customWidth="1"/>
    <col min="3347" max="3347" width="9.26666666666667" style="68" customWidth="1"/>
    <col min="3348" max="3348" width="13.1833333333333" style="68" customWidth="1"/>
    <col min="3349" max="3349" width="11.45" style="68" customWidth="1"/>
    <col min="3350" max="3350" width="3" style="68" customWidth="1"/>
    <col min="3351" max="3351" width="8.45" style="68" customWidth="1"/>
    <col min="3352" max="3356" width="9.81666666666667" style="68" hidden="1" customWidth="1"/>
    <col min="3357" max="3357" width="11" style="68" customWidth="1"/>
    <col min="3358" max="3583" width="9.81666666666667" style="68"/>
    <col min="3584" max="3584" width="3.26666666666667" style="68" customWidth="1"/>
    <col min="3585" max="3585" width="3.90833333333333" style="68" customWidth="1"/>
    <col min="3586" max="3586" width="11.8166666666667" style="68" customWidth="1"/>
    <col min="3587" max="3587" width="2.54166666666667" style="68" customWidth="1"/>
    <col min="3588" max="3588" width="7.725" style="68" customWidth="1"/>
    <col min="3589" max="3589" width="11.45" style="68" customWidth="1"/>
    <col min="3590" max="3590" width="3" style="68" customWidth="1"/>
    <col min="3591" max="3591" width="8.54166666666667" style="68" customWidth="1"/>
    <col min="3592" max="3592" width="13.0916666666667" style="68" customWidth="1"/>
    <col min="3593" max="3593" width="3" style="68" customWidth="1"/>
    <col min="3594" max="3594" width="8.54166666666667" style="68" customWidth="1"/>
    <col min="3595" max="3595" width="13.725" style="68" customWidth="1"/>
    <col min="3596" max="3596" width="3" style="68" customWidth="1"/>
    <col min="3597" max="3597" width="8.81666666666667" style="68" customWidth="1"/>
    <col min="3598" max="3598" width="10.725" style="68" customWidth="1"/>
    <col min="3599" max="3599" width="3" style="68" customWidth="1"/>
    <col min="3600" max="3600" width="8.81666666666667" style="68" customWidth="1"/>
    <col min="3601" max="3601" width="9.26666666666667" style="68" customWidth="1"/>
    <col min="3602" max="3602" width="3.36666666666667" style="68" customWidth="1"/>
    <col min="3603" max="3603" width="9.26666666666667" style="68" customWidth="1"/>
    <col min="3604" max="3604" width="13.1833333333333" style="68" customWidth="1"/>
    <col min="3605" max="3605" width="11.45" style="68" customWidth="1"/>
    <col min="3606" max="3606" width="3" style="68" customWidth="1"/>
    <col min="3607" max="3607" width="8.45" style="68" customWidth="1"/>
    <col min="3608" max="3612" width="9.81666666666667" style="68" hidden="1" customWidth="1"/>
    <col min="3613" max="3613" width="11" style="68" customWidth="1"/>
    <col min="3614" max="3839" width="9.81666666666667" style="68"/>
    <col min="3840" max="3840" width="3.26666666666667" style="68" customWidth="1"/>
    <col min="3841" max="3841" width="3.90833333333333" style="68" customWidth="1"/>
    <col min="3842" max="3842" width="11.8166666666667" style="68" customWidth="1"/>
    <col min="3843" max="3843" width="2.54166666666667" style="68" customWidth="1"/>
    <col min="3844" max="3844" width="7.725" style="68" customWidth="1"/>
    <col min="3845" max="3845" width="11.45" style="68" customWidth="1"/>
    <col min="3846" max="3846" width="3" style="68" customWidth="1"/>
    <col min="3847" max="3847" width="8.54166666666667" style="68" customWidth="1"/>
    <col min="3848" max="3848" width="13.0916666666667" style="68" customWidth="1"/>
    <col min="3849" max="3849" width="3" style="68" customWidth="1"/>
    <col min="3850" max="3850" width="8.54166666666667" style="68" customWidth="1"/>
    <col min="3851" max="3851" width="13.725" style="68" customWidth="1"/>
    <col min="3852" max="3852" width="3" style="68" customWidth="1"/>
    <col min="3853" max="3853" width="8.81666666666667" style="68" customWidth="1"/>
    <col min="3854" max="3854" width="10.725" style="68" customWidth="1"/>
    <col min="3855" max="3855" width="3" style="68" customWidth="1"/>
    <col min="3856" max="3856" width="8.81666666666667" style="68" customWidth="1"/>
    <col min="3857" max="3857" width="9.26666666666667" style="68" customWidth="1"/>
    <col min="3858" max="3858" width="3.36666666666667" style="68" customWidth="1"/>
    <col min="3859" max="3859" width="9.26666666666667" style="68" customWidth="1"/>
    <col min="3860" max="3860" width="13.1833333333333" style="68" customWidth="1"/>
    <col min="3861" max="3861" width="11.45" style="68" customWidth="1"/>
    <col min="3862" max="3862" width="3" style="68" customWidth="1"/>
    <col min="3863" max="3863" width="8.45" style="68" customWidth="1"/>
    <col min="3864" max="3868" width="9.81666666666667" style="68" hidden="1" customWidth="1"/>
    <col min="3869" max="3869" width="11" style="68" customWidth="1"/>
    <col min="3870" max="4095" width="9.81666666666667" style="68"/>
    <col min="4096" max="4096" width="3.26666666666667" style="68" customWidth="1"/>
    <col min="4097" max="4097" width="3.90833333333333" style="68" customWidth="1"/>
    <col min="4098" max="4098" width="11.8166666666667" style="68" customWidth="1"/>
    <col min="4099" max="4099" width="2.54166666666667" style="68" customWidth="1"/>
    <col min="4100" max="4100" width="7.725" style="68" customWidth="1"/>
    <col min="4101" max="4101" width="11.45" style="68" customWidth="1"/>
    <col min="4102" max="4102" width="3" style="68" customWidth="1"/>
    <col min="4103" max="4103" width="8.54166666666667" style="68" customWidth="1"/>
    <col min="4104" max="4104" width="13.0916666666667" style="68" customWidth="1"/>
    <col min="4105" max="4105" width="3" style="68" customWidth="1"/>
    <col min="4106" max="4106" width="8.54166666666667" style="68" customWidth="1"/>
    <col min="4107" max="4107" width="13.725" style="68" customWidth="1"/>
    <col min="4108" max="4108" width="3" style="68" customWidth="1"/>
    <col min="4109" max="4109" width="8.81666666666667" style="68" customWidth="1"/>
    <col min="4110" max="4110" width="10.725" style="68" customWidth="1"/>
    <col min="4111" max="4111" width="3" style="68" customWidth="1"/>
    <col min="4112" max="4112" width="8.81666666666667" style="68" customWidth="1"/>
    <col min="4113" max="4113" width="9.26666666666667" style="68" customWidth="1"/>
    <col min="4114" max="4114" width="3.36666666666667" style="68" customWidth="1"/>
    <col min="4115" max="4115" width="9.26666666666667" style="68" customWidth="1"/>
    <col min="4116" max="4116" width="13.1833333333333" style="68" customWidth="1"/>
    <col min="4117" max="4117" width="11.45" style="68" customWidth="1"/>
    <col min="4118" max="4118" width="3" style="68" customWidth="1"/>
    <col min="4119" max="4119" width="8.45" style="68" customWidth="1"/>
    <col min="4120" max="4124" width="9.81666666666667" style="68" hidden="1" customWidth="1"/>
    <col min="4125" max="4125" width="11" style="68" customWidth="1"/>
    <col min="4126" max="4351" width="9.81666666666667" style="68"/>
    <col min="4352" max="4352" width="3.26666666666667" style="68" customWidth="1"/>
    <col min="4353" max="4353" width="3.90833333333333" style="68" customWidth="1"/>
    <col min="4354" max="4354" width="11.8166666666667" style="68" customWidth="1"/>
    <col min="4355" max="4355" width="2.54166666666667" style="68" customWidth="1"/>
    <col min="4356" max="4356" width="7.725" style="68" customWidth="1"/>
    <col min="4357" max="4357" width="11.45" style="68" customWidth="1"/>
    <col min="4358" max="4358" width="3" style="68" customWidth="1"/>
    <col min="4359" max="4359" width="8.54166666666667" style="68" customWidth="1"/>
    <col min="4360" max="4360" width="13.0916666666667" style="68" customWidth="1"/>
    <col min="4361" max="4361" width="3" style="68" customWidth="1"/>
    <col min="4362" max="4362" width="8.54166666666667" style="68" customWidth="1"/>
    <col min="4363" max="4363" width="13.725" style="68" customWidth="1"/>
    <col min="4364" max="4364" width="3" style="68" customWidth="1"/>
    <col min="4365" max="4365" width="8.81666666666667" style="68" customWidth="1"/>
    <col min="4366" max="4366" width="10.725" style="68" customWidth="1"/>
    <col min="4367" max="4367" width="3" style="68" customWidth="1"/>
    <col min="4368" max="4368" width="8.81666666666667" style="68" customWidth="1"/>
    <col min="4369" max="4369" width="9.26666666666667" style="68" customWidth="1"/>
    <col min="4370" max="4370" width="3.36666666666667" style="68" customWidth="1"/>
    <col min="4371" max="4371" width="9.26666666666667" style="68" customWidth="1"/>
    <col min="4372" max="4372" width="13.1833333333333" style="68" customWidth="1"/>
    <col min="4373" max="4373" width="11.45" style="68" customWidth="1"/>
    <col min="4374" max="4374" width="3" style="68" customWidth="1"/>
    <col min="4375" max="4375" width="8.45" style="68" customWidth="1"/>
    <col min="4376" max="4380" width="9.81666666666667" style="68" hidden="1" customWidth="1"/>
    <col min="4381" max="4381" width="11" style="68" customWidth="1"/>
    <col min="4382" max="4607" width="9.81666666666667" style="68"/>
    <col min="4608" max="4608" width="3.26666666666667" style="68" customWidth="1"/>
    <col min="4609" max="4609" width="3.90833333333333" style="68" customWidth="1"/>
    <col min="4610" max="4610" width="11.8166666666667" style="68" customWidth="1"/>
    <col min="4611" max="4611" width="2.54166666666667" style="68" customWidth="1"/>
    <col min="4612" max="4612" width="7.725" style="68" customWidth="1"/>
    <col min="4613" max="4613" width="11.45" style="68" customWidth="1"/>
    <col min="4614" max="4614" width="3" style="68" customWidth="1"/>
    <col min="4615" max="4615" width="8.54166666666667" style="68" customWidth="1"/>
    <col min="4616" max="4616" width="13.0916666666667" style="68" customWidth="1"/>
    <col min="4617" max="4617" width="3" style="68" customWidth="1"/>
    <col min="4618" max="4618" width="8.54166666666667" style="68" customWidth="1"/>
    <col min="4619" max="4619" width="13.725" style="68" customWidth="1"/>
    <col min="4620" max="4620" width="3" style="68" customWidth="1"/>
    <col min="4621" max="4621" width="8.81666666666667" style="68" customWidth="1"/>
    <col min="4622" max="4622" width="10.725" style="68" customWidth="1"/>
    <col min="4623" max="4623" width="3" style="68" customWidth="1"/>
    <col min="4624" max="4624" width="8.81666666666667" style="68" customWidth="1"/>
    <col min="4625" max="4625" width="9.26666666666667" style="68" customWidth="1"/>
    <col min="4626" max="4626" width="3.36666666666667" style="68" customWidth="1"/>
    <col min="4627" max="4627" width="9.26666666666667" style="68" customWidth="1"/>
    <col min="4628" max="4628" width="13.1833333333333" style="68" customWidth="1"/>
    <col min="4629" max="4629" width="11.45" style="68" customWidth="1"/>
    <col min="4630" max="4630" width="3" style="68" customWidth="1"/>
    <col min="4631" max="4631" width="8.45" style="68" customWidth="1"/>
    <col min="4632" max="4636" width="9.81666666666667" style="68" hidden="1" customWidth="1"/>
    <col min="4637" max="4637" width="11" style="68" customWidth="1"/>
    <col min="4638" max="4863" width="9.81666666666667" style="68"/>
    <col min="4864" max="4864" width="3.26666666666667" style="68" customWidth="1"/>
    <col min="4865" max="4865" width="3.90833333333333" style="68" customWidth="1"/>
    <col min="4866" max="4866" width="11.8166666666667" style="68" customWidth="1"/>
    <col min="4867" max="4867" width="2.54166666666667" style="68" customWidth="1"/>
    <col min="4868" max="4868" width="7.725" style="68" customWidth="1"/>
    <col min="4869" max="4869" width="11.45" style="68" customWidth="1"/>
    <col min="4870" max="4870" width="3" style="68" customWidth="1"/>
    <col min="4871" max="4871" width="8.54166666666667" style="68" customWidth="1"/>
    <col min="4872" max="4872" width="13.0916666666667" style="68" customWidth="1"/>
    <col min="4873" max="4873" width="3" style="68" customWidth="1"/>
    <col min="4874" max="4874" width="8.54166666666667" style="68" customWidth="1"/>
    <col min="4875" max="4875" width="13.725" style="68" customWidth="1"/>
    <col min="4876" max="4876" width="3" style="68" customWidth="1"/>
    <col min="4877" max="4877" width="8.81666666666667" style="68" customWidth="1"/>
    <col min="4878" max="4878" width="10.725" style="68" customWidth="1"/>
    <col min="4879" max="4879" width="3" style="68" customWidth="1"/>
    <col min="4880" max="4880" width="8.81666666666667" style="68" customWidth="1"/>
    <col min="4881" max="4881" width="9.26666666666667" style="68" customWidth="1"/>
    <col min="4882" max="4882" width="3.36666666666667" style="68" customWidth="1"/>
    <col min="4883" max="4883" width="9.26666666666667" style="68" customWidth="1"/>
    <col min="4884" max="4884" width="13.1833333333333" style="68" customWidth="1"/>
    <col min="4885" max="4885" width="11.45" style="68" customWidth="1"/>
    <col min="4886" max="4886" width="3" style="68" customWidth="1"/>
    <col min="4887" max="4887" width="8.45" style="68" customWidth="1"/>
    <col min="4888" max="4892" width="9.81666666666667" style="68" hidden="1" customWidth="1"/>
    <col min="4893" max="4893" width="11" style="68" customWidth="1"/>
    <col min="4894" max="5119" width="9.81666666666667" style="68"/>
    <col min="5120" max="5120" width="3.26666666666667" style="68" customWidth="1"/>
    <col min="5121" max="5121" width="3.90833333333333" style="68" customWidth="1"/>
    <col min="5122" max="5122" width="11.8166666666667" style="68" customWidth="1"/>
    <col min="5123" max="5123" width="2.54166666666667" style="68" customWidth="1"/>
    <col min="5124" max="5124" width="7.725" style="68" customWidth="1"/>
    <col min="5125" max="5125" width="11.45" style="68" customWidth="1"/>
    <col min="5126" max="5126" width="3" style="68" customWidth="1"/>
    <col min="5127" max="5127" width="8.54166666666667" style="68" customWidth="1"/>
    <col min="5128" max="5128" width="13.0916666666667" style="68" customWidth="1"/>
    <col min="5129" max="5129" width="3" style="68" customWidth="1"/>
    <col min="5130" max="5130" width="8.54166666666667" style="68" customWidth="1"/>
    <col min="5131" max="5131" width="13.725" style="68" customWidth="1"/>
    <col min="5132" max="5132" width="3" style="68" customWidth="1"/>
    <col min="5133" max="5133" width="8.81666666666667" style="68" customWidth="1"/>
    <col min="5134" max="5134" width="10.725" style="68" customWidth="1"/>
    <col min="5135" max="5135" width="3" style="68" customWidth="1"/>
    <col min="5136" max="5136" width="8.81666666666667" style="68" customWidth="1"/>
    <col min="5137" max="5137" width="9.26666666666667" style="68" customWidth="1"/>
    <col min="5138" max="5138" width="3.36666666666667" style="68" customWidth="1"/>
    <col min="5139" max="5139" width="9.26666666666667" style="68" customWidth="1"/>
    <col min="5140" max="5140" width="13.1833333333333" style="68" customWidth="1"/>
    <col min="5141" max="5141" width="11.45" style="68" customWidth="1"/>
    <col min="5142" max="5142" width="3" style="68" customWidth="1"/>
    <col min="5143" max="5143" width="8.45" style="68" customWidth="1"/>
    <col min="5144" max="5148" width="9.81666666666667" style="68" hidden="1" customWidth="1"/>
    <col min="5149" max="5149" width="11" style="68" customWidth="1"/>
    <col min="5150" max="5375" width="9.81666666666667" style="68"/>
    <col min="5376" max="5376" width="3.26666666666667" style="68" customWidth="1"/>
    <col min="5377" max="5377" width="3.90833333333333" style="68" customWidth="1"/>
    <col min="5378" max="5378" width="11.8166666666667" style="68" customWidth="1"/>
    <col min="5379" max="5379" width="2.54166666666667" style="68" customWidth="1"/>
    <col min="5380" max="5380" width="7.725" style="68" customWidth="1"/>
    <col min="5381" max="5381" width="11.45" style="68" customWidth="1"/>
    <col min="5382" max="5382" width="3" style="68" customWidth="1"/>
    <col min="5383" max="5383" width="8.54166666666667" style="68" customWidth="1"/>
    <col min="5384" max="5384" width="13.0916666666667" style="68" customWidth="1"/>
    <col min="5385" max="5385" width="3" style="68" customWidth="1"/>
    <col min="5386" max="5386" width="8.54166666666667" style="68" customWidth="1"/>
    <col min="5387" max="5387" width="13.725" style="68" customWidth="1"/>
    <col min="5388" max="5388" width="3" style="68" customWidth="1"/>
    <col min="5389" max="5389" width="8.81666666666667" style="68" customWidth="1"/>
    <col min="5390" max="5390" width="10.725" style="68" customWidth="1"/>
    <col min="5391" max="5391" width="3" style="68" customWidth="1"/>
    <col min="5392" max="5392" width="8.81666666666667" style="68" customWidth="1"/>
    <col min="5393" max="5393" width="9.26666666666667" style="68" customWidth="1"/>
    <col min="5394" max="5394" width="3.36666666666667" style="68" customWidth="1"/>
    <col min="5395" max="5395" width="9.26666666666667" style="68" customWidth="1"/>
    <col min="5396" max="5396" width="13.1833333333333" style="68" customWidth="1"/>
    <col min="5397" max="5397" width="11.45" style="68" customWidth="1"/>
    <col min="5398" max="5398" width="3" style="68" customWidth="1"/>
    <col min="5399" max="5399" width="8.45" style="68" customWidth="1"/>
    <col min="5400" max="5404" width="9.81666666666667" style="68" hidden="1" customWidth="1"/>
    <col min="5405" max="5405" width="11" style="68" customWidth="1"/>
    <col min="5406" max="5631" width="9.81666666666667" style="68"/>
    <col min="5632" max="5632" width="3.26666666666667" style="68" customWidth="1"/>
    <col min="5633" max="5633" width="3.90833333333333" style="68" customWidth="1"/>
    <col min="5634" max="5634" width="11.8166666666667" style="68" customWidth="1"/>
    <col min="5635" max="5635" width="2.54166666666667" style="68" customWidth="1"/>
    <col min="5636" max="5636" width="7.725" style="68" customWidth="1"/>
    <col min="5637" max="5637" width="11.45" style="68" customWidth="1"/>
    <col min="5638" max="5638" width="3" style="68" customWidth="1"/>
    <col min="5639" max="5639" width="8.54166666666667" style="68" customWidth="1"/>
    <col min="5640" max="5640" width="13.0916666666667" style="68" customWidth="1"/>
    <col min="5641" max="5641" width="3" style="68" customWidth="1"/>
    <col min="5642" max="5642" width="8.54166666666667" style="68" customWidth="1"/>
    <col min="5643" max="5643" width="13.725" style="68" customWidth="1"/>
    <col min="5644" max="5644" width="3" style="68" customWidth="1"/>
    <col min="5645" max="5645" width="8.81666666666667" style="68" customWidth="1"/>
    <col min="5646" max="5646" width="10.725" style="68" customWidth="1"/>
    <col min="5647" max="5647" width="3" style="68" customWidth="1"/>
    <col min="5648" max="5648" width="8.81666666666667" style="68" customWidth="1"/>
    <col min="5649" max="5649" width="9.26666666666667" style="68" customWidth="1"/>
    <col min="5650" max="5650" width="3.36666666666667" style="68" customWidth="1"/>
    <col min="5651" max="5651" width="9.26666666666667" style="68" customWidth="1"/>
    <col min="5652" max="5652" width="13.1833333333333" style="68" customWidth="1"/>
    <col min="5653" max="5653" width="11.45" style="68" customWidth="1"/>
    <col min="5654" max="5654" width="3" style="68" customWidth="1"/>
    <col min="5655" max="5655" width="8.45" style="68" customWidth="1"/>
    <col min="5656" max="5660" width="9.81666666666667" style="68" hidden="1" customWidth="1"/>
    <col min="5661" max="5661" width="11" style="68" customWidth="1"/>
    <col min="5662" max="5887" width="9.81666666666667" style="68"/>
    <col min="5888" max="5888" width="3.26666666666667" style="68" customWidth="1"/>
    <col min="5889" max="5889" width="3.90833333333333" style="68" customWidth="1"/>
    <col min="5890" max="5890" width="11.8166666666667" style="68" customWidth="1"/>
    <col min="5891" max="5891" width="2.54166666666667" style="68" customWidth="1"/>
    <col min="5892" max="5892" width="7.725" style="68" customWidth="1"/>
    <col min="5893" max="5893" width="11.45" style="68" customWidth="1"/>
    <col min="5894" max="5894" width="3" style="68" customWidth="1"/>
    <col min="5895" max="5895" width="8.54166666666667" style="68" customWidth="1"/>
    <col min="5896" max="5896" width="13.0916666666667" style="68" customWidth="1"/>
    <col min="5897" max="5897" width="3" style="68" customWidth="1"/>
    <col min="5898" max="5898" width="8.54166666666667" style="68" customWidth="1"/>
    <col min="5899" max="5899" width="13.725" style="68" customWidth="1"/>
    <col min="5900" max="5900" width="3" style="68" customWidth="1"/>
    <col min="5901" max="5901" width="8.81666666666667" style="68" customWidth="1"/>
    <col min="5902" max="5902" width="10.725" style="68" customWidth="1"/>
    <col min="5903" max="5903" width="3" style="68" customWidth="1"/>
    <col min="5904" max="5904" width="8.81666666666667" style="68" customWidth="1"/>
    <col min="5905" max="5905" width="9.26666666666667" style="68" customWidth="1"/>
    <col min="5906" max="5906" width="3.36666666666667" style="68" customWidth="1"/>
    <col min="5907" max="5907" width="9.26666666666667" style="68" customWidth="1"/>
    <col min="5908" max="5908" width="13.1833333333333" style="68" customWidth="1"/>
    <col min="5909" max="5909" width="11.45" style="68" customWidth="1"/>
    <col min="5910" max="5910" width="3" style="68" customWidth="1"/>
    <col min="5911" max="5911" width="8.45" style="68" customWidth="1"/>
    <col min="5912" max="5916" width="9.81666666666667" style="68" hidden="1" customWidth="1"/>
    <col min="5917" max="5917" width="11" style="68" customWidth="1"/>
    <col min="5918" max="6143" width="9.81666666666667" style="68"/>
    <col min="6144" max="6144" width="3.26666666666667" style="68" customWidth="1"/>
    <col min="6145" max="6145" width="3.90833333333333" style="68" customWidth="1"/>
    <col min="6146" max="6146" width="11.8166666666667" style="68" customWidth="1"/>
    <col min="6147" max="6147" width="2.54166666666667" style="68" customWidth="1"/>
    <col min="6148" max="6148" width="7.725" style="68" customWidth="1"/>
    <col min="6149" max="6149" width="11.45" style="68" customWidth="1"/>
    <col min="6150" max="6150" width="3" style="68" customWidth="1"/>
    <col min="6151" max="6151" width="8.54166666666667" style="68" customWidth="1"/>
    <col min="6152" max="6152" width="13.0916666666667" style="68" customWidth="1"/>
    <col min="6153" max="6153" width="3" style="68" customWidth="1"/>
    <col min="6154" max="6154" width="8.54166666666667" style="68" customWidth="1"/>
    <col min="6155" max="6155" width="13.725" style="68" customWidth="1"/>
    <col min="6156" max="6156" width="3" style="68" customWidth="1"/>
    <col min="6157" max="6157" width="8.81666666666667" style="68" customWidth="1"/>
    <col min="6158" max="6158" width="10.725" style="68" customWidth="1"/>
    <col min="6159" max="6159" width="3" style="68" customWidth="1"/>
    <col min="6160" max="6160" width="8.81666666666667" style="68" customWidth="1"/>
    <col min="6161" max="6161" width="9.26666666666667" style="68" customWidth="1"/>
    <col min="6162" max="6162" width="3.36666666666667" style="68" customWidth="1"/>
    <col min="6163" max="6163" width="9.26666666666667" style="68" customWidth="1"/>
    <col min="6164" max="6164" width="13.1833333333333" style="68" customWidth="1"/>
    <col min="6165" max="6165" width="11.45" style="68" customWidth="1"/>
    <col min="6166" max="6166" width="3" style="68" customWidth="1"/>
    <col min="6167" max="6167" width="8.45" style="68" customWidth="1"/>
    <col min="6168" max="6172" width="9.81666666666667" style="68" hidden="1" customWidth="1"/>
    <col min="6173" max="6173" width="11" style="68" customWidth="1"/>
    <col min="6174" max="6399" width="9.81666666666667" style="68"/>
    <col min="6400" max="6400" width="3.26666666666667" style="68" customWidth="1"/>
    <col min="6401" max="6401" width="3.90833333333333" style="68" customWidth="1"/>
    <col min="6402" max="6402" width="11.8166666666667" style="68" customWidth="1"/>
    <col min="6403" max="6403" width="2.54166666666667" style="68" customWidth="1"/>
    <col min="6404" max="6404" width="7.725" style="68" customWidth="1"/>
    <col min="6405" max="6405" width="11.45" style="68" customWidth="1"/>
    <col min="6406" max="6406" width="3" style="68" customWidth="1"/>
    <col min="6407" max="6407" width="8.54166666666667" style="68" customWidth="1"/>
    <col min="6408" max="6408" width="13.0916666666667" style="68" customWidth="1"/>
    <col min="6409" max="6409" width="3" style="68" customWidth="1"/>
    <col min="6410" max="6410" width="8.54166666666667" style="68" customWidth="1"/>
    <col min="6411" max="6411" width="13.725" style="68" customWidth="1"/>
    <col min="6412" max="6412" width="3" style="68" customWidth="1"/>
    <col min="6413" max="6413" width="8.81666666666667" style="68" customWidth="1"/>
    <col min="6414" max="6414" width="10.725" style="68" customWidth="1"/>
    <col min="6415" max="6415" width="3" style="68" customWidth="1"/>
    <col min="6416" max="6416" width="8.81666666666667" style="68" customWidth="1"/>
    <col min="6417" max="6417" width="9.26666666666667" style="68" customWidth="1"/>
    <col min="6418" max="6418" width="3.36666666666667" style="68" customWidth="1"/>
    <col min="6419" max="6419" width="9.26666666666667" style="68" customWidth="1"/>
    <col min="6420" max="6420" width="13.1833333333333" style="68" customWidth="1"/>
    <col min="6421" max="6421" width="11.45" style="68" customWidth="1"/>
    <col min="6422" max="6422" width="3" style="68" customWidth="1"/>
    <col min="6423" max="6423" width="8.45" style="68" customWidth="1"/>
    <col min="6424" max="6428" width="9.81666666666667" style="68" hidden="1" customWidth="1"/>
    <col min="6429" max="6429" width="11" style="68" customWidth="1"/>
    <col min="6430" max="6655" width="9.81666666666667" style="68"/>
    <col min="6656" max="6656" width="3.26666666666667" style="68" customWidth="1"/>
    <col min="6657" max="6657" width="3.90833333333333" style="68" customWidth="1"/>
    <col min="6658" max="6658" width="11.8166666666667" style="68" customWidth="1"/>
    <col min="6659" max="6659" width="2.54166666666667" style="68" customWidth="1"/>
    <col min="6660" max="6660" width="7.725" style="68" customWidth="1"/>
    <col min="6661" max="6661" width="11.45" style="68" customWidth="1"/>
    <col min="6662" max="6662" width="3" style="68" customWidth="1"/>
    <col min="6663" max="6663" width="8.54166666666667" style="68" customWidth="1"/>
    <col min="6664" max="6664" width="13.0916666666667" style="68" customWidth="1"/>
    <col min="6665" max="6665" width="3" style="68" customWidth="1"/>
    <col min="6666" max="6666" width="8.54166666666667" style="68" customWidth="1"/>
    <col min="6667" max="6667" width="13.725" style="68" customWidth="1"/>
    <col min="6668" max="6668" width="3" style="68" customWidth="1"/>
    <col min="6669" max="6669" width="8.81666666666667" style="68" customWidth="1"/>
    <col min="6670" max="6670" width="10.725" style="68" customWidth="1"/>
    <col min="6671" max="6671" width="3" style="68" customWidth="1"/>
    <col min="6672" max="6672" width="8.81666666666667" style="68" customWidth="1"/>
    <col min="6673" max="6673" width="9.26666666666667" style="68" customWidth="1"/>
    <col min="6674" max="6674" width="3.36666666666667" style="68" customWidth="1"/>
    <col min="6675" max="6675" width="9.26666666666667" style="68" customWidth="1"/>
    <col min="6676" max="6676" width="13.1833333333333" style="68" customWidth="1"/>
    <col min="6677" max="6677" width="11.45" style="68" customWidth="1"/>
    <col min="6678" max="6678" width="3" style="68" customWidth="1"/>
    <col min="6679" max="6679" width="8.45" style="68" customWidth="1"/>
    <col min="6680" max="6684" width="9.81666666666667" style="68" hidden="1" customWidth="1"/>
    <col min="6685" max="6685" width="11" style="68" customWidth="1"/>
    <col min="6686" max="6911" width="9.81666666666667" style="68"/>
    <col min="6912" max="6912" width="3.26666666666667" style="68" customWidth="1"/>
    <col min="6913" max="6913" width="3.90833333333333" style="68" customWidth="1"/>
    <col min="6914" max="6914" width="11.8166666666667" style="68" customWidth="1"/>
    <col min="6915" max="6915" width="2.54166666666667" style="68" customWidth="1"/>
    <col min="6916" max="6916" width="7.725" style="68" customWidth="1"/>
    <col min="6917" max="6917" width="11.45" style="68" customWidth="1"/>
    <col min="6918" max="6918" width="3" style="68" customWidth="1"/>
    <col min="6919" max="6919" width="8.54166666666667" style="68" customWidth="1"/>
    <col min="6920" max="6920" width="13.0916666666667" style="68" customWidth="1"/>
    <col min="6921" max="6921" width="3" style="68" customWidth="1"/>
    <col min="6922" max="6922" width="8.54166666666667" style="68" customWidth="1"/>
    <col min="6923" max="6923" width="13.725" style="68" customWidth="1"/>
    <col min="6924" max="6924" width="3" style="68" customWidth="1"/>
    <col min="6925" max="6925" width="8.81666666666667" style="68" customWidth="1"/>
    <col min="6926" max="6926" width="10.725" style="68" customWidth="1"/>
    <col min="6927" max="6927" width="3" style="68" customWidth="1"/>
    <col min="6928" max="6928" width="8.81666666666667" style="68" customWidth="1"/>
    <col min="6929" max="6929" width="9.26666666666667" style="68" customWidth="1"/>
    <col min="6930" max="6930" width="3.36666666666667" style="68" customWidth="1"/>
    <col min="6931" max="6931" width="9.26666666666667" style="68" customWidth="1"/>
    <col min="6932" max="6932" width="13.1833333333333" style="68" customWidth="1"/>
    <col min="6933" max="6933" width="11.45" style="68" customWidth="1"/>
    <col min="6934" max="6934" width="3" style="68" customWidth="1"/>
    <col min="6935" max="6935" width="8.45" style="68" customWidth="1"/>
    <col min="6936" max="6940" width="9.81666666666667" style="68" hidden="1" customWidth="1"/>
    <col min="6941" max="6941" width="11" style="68" customWidth="1"/>
    <col min="6942" max="7167" width="9.81666666666667" style="68"/>
    <col min="7168" max="7168" width="3.26666666666667" style="68" customWidth="1"/>
    <col min="7169" max="7169" width="3.90833333333333" style="68" customWidth="1"/>
    <col min="7170" max="7170" width="11.8166666666667" style="68" customWidth="1"/>
    <col min="7171" max="7171" width="2.54166666666667" style="68" customWidth="1"/>
    <col min="7172" max="7172" width="7.725" style="68" customWidth="1"/>
    <col min="7173" max="7173" width="11.45" style="68" customWidth="1"/>
    <col min="7174" max="7174" width="3" style="68" customWidth="1"/>
    <col min="7175" max="7175" width="8.54166666666667" style="68" customWidth="1"/>
    <col min="7176" max="7176" width="13.0916666666667" style="68" customWidth="1"/>
    <col min="7177" max="7177" width="3" style="68" customWidth="1"/>
    <col min="7178" max="7178" width="8.54166666666667" style="68" customWidth="1"/>
    <col min="7179" max="7179" width="13.725" style="68" customWidth="1"/>
    <col min="7180" max="7180" width="3" style="68" customWidth="1"/>
    <col min="7181" max="7181" width="8.81666666666667" style="68" customWidth="1"/>
    <col min="7182" max="7182" width="10.725" style="68" customWidth="1"/>
    <col min="7183" max="7183" width="3" style="68" customWidth="1"/>
    <col min="7184" max="7184" width="8.81666666666667" style="68" customWidth="1"/>
    <col min="7185" max="7185" width="9.26666666666667" style="68" customWidth="1"/>
    <col min="7186" max="7186" width="3.36666666666667" style="68" customWidth="1"/>
    <col min="7187" max="7187" width="9.26666666666667" style="68" customWidth="1"/>
    <col min="7188" max="7188" width="13.1833333333333" style="68" customWidth="1"/>
    <col min="7189" max="7189" width="11.45" style="68" customWidth="1"/>
    <col min="7190" max="7190" width="3" style="68" customWidth="1"/>
    <col min="7191" max="7191" width="8.45" style="68" customWidth="1"/>
    <col min="7192" max="7196" width="9.81666666666667" style="68" hidden="1" customWidth="1"/>
    <col min="7197" max="7197" width="11" style="68" customWidth="1"/>
    <col min="7198" max="7423" width="9.81666666666667" style="68"/>
    <col min="7424" max="7424" width="3.26666666666667" style="68" customWidth="1"/>
    <col min="7425" max="7425" width="3.90833333333333" style="68" customWidth="1"/>
    <col min="7426" max="7426" width="11.8166666666667" style="68" customWidth="1"/>
    <col min="7427" max="7427" width="2.54166666666667" style="68" customWidth="1"/>
    <col min="7428" max="7428" width="7.725" style="68" customWidth="1"/>
    <col min="7429" max="7429" width="11.45" style="68" customWidth="1"/>
    <col min="7430" max="7430" width="3" style="68" customWidth="1"/>
    <col min="7431" max="7431" width="8.54166666666667" style="68" customWidth="1"/>
    <col min="7432" max="7432" width="13.0916666666667" style="68" customWidth="1"/>
    <col min="7433" max="7433" width="3" style="68" customWidth="1"/>
    <col min="7434" max="7434" width="8.54166666666667" style="68" customWidth="1"/>
    <col min="7435" max="7435" width="13.725" style="68" customWidth="1"/>
    <col min="7436" max="7436" width="3" style="68" customWidth="1"/>
    <col min="7437" max="7437" width="8.81666666666667" style="68" customWidth="1"/>
    <col min="7438" max="7438" width="10.725" style="68" customWidth="1"/>
    <col min="7439" max="7439" width="3" style="68" customWidth="1"/>
    <col min="7440" max="7440" width="8.81666666666667" style="68" customWidth="1"/>
    <col min="7441" max="7441" width="9.26666666666667" style="68" customWidth="1"/>
    <col min="7442" max="7442" width="3.36666666666667" style="68" customWidth="1"/>
    <col min="7443" max="7443" width="9.26666666666667" style="68" customWidth="1"/>
    <col min="7444" max="7444" width="13.1833333333333" style="68" customWidth="1"/>
    <col min="7445" max="7445" width="11.45" style="68" customWidth="1"/>
    <col min="7446" max="7446" width="3" style="68" customWidth="1"/>
    <col min="7447" max="7447" width="8.45" style="68" customWidth="1"/>
    <col min="7448" max="7452" width="9.81666666666667" style="68" hidden="1" customWidth="1"/>
    <col min="7453" max="7453" width="11" style="68" customWidth="1"/>
    <col min="7454" max="7679" width="9.81666666666667" style="68"/>
    <col min="7680" max="7680" width="3.26666666666667" style="68" customWidth="1"/>
    <col min="7681" max="7681" width="3.90833333333333" style="68" customWidth="1"/>
    <col min="7682" max="7682" width="11.8166666666667" style="68" customWidth="1"/>
    <col min="7683" max="7683" width="2.54166666666667" style="68" customWidth="1"/>
    <col min="7684" max="7684" width="7.725" style="68" customWidth="1"/>
    <col min="7685" max="7685" width="11.45" style="68" customWidth="1"/>
    <col min="7686" max="7686" width="3" style="68" customWidth="1"/>
    <col min="7687" max="7687" width="8.54166666666667" style="68" customWidth="1"/>
    <col min="7688" max="7688" width="13.0916666666667" style="68" customWidth="1"/>
    <col min="7689" max="7689" width="3" style="68" customWidth="1"/>
    <col min="7690" max="7690" width="8.54166666666667" style="68" customWidth="1"/>
    <col min="7691" max="7691" width="13.725" style="68" customWidth="1"/>
    <col min="7692" max="7692" width="3" style="68" customWidth="1"/>
    <col min="7693" max="7693" width="8.81666666666667" style="68" customWidth="1"/>
    <col min="7694" max="7694" width="10.725" style="68" customWidth="1"/>
    <col min="7695" max="7695" width="3" style="68" customWidth="1"/>
    <col min="7696" max="7696" width="8.81666666666667" style="68" customWidth="1"/>
    <col min="7697" max="7697" width="9.26666666666667" style="68" customWidth="1"/>
    <col min="7698" max="7698" width="3.36666666666667" style="68" customWidth="1"/>
    <col min="7699" max="7699" width="9.26666666666667" style="68" customWidth="1"/>
    <col min="7700" max="7700" width="13.1833333333333" style="68" customWidth="1"/>
    <col min="7701" max="7701" width="11.45" style="68" customWidth="1"/>
    <col min="7702" max="7702" width="3" style="68" customWidth="1"/>
    <col min="7703" max="7703" width="8.45" style="68" customWidth="1"/>
    <col min="7704" max="7708" width="9.81666666666667" style="68" hidden="1" customWidth="1"/>
    <col min="7709" max="7709" width="11" style="68" customWidth="1"/>
    <col min="7710" max="7935" width="9.81666666666667" style="68"/>
    <col min="7936" max="7936" width="3.26666666666667" style="68" customWidth="1"/>
    <col min="7937" max="7937" width="3.90833333333333" style="68" customWidth="1"/>
    <col min="7938" max="7938" width="11.8166666666667" style="68" customWidth="1"/>
    <col min="7939" max="7939" width="2.54166666666667" style="68" customWidth="1"/>
    <col min="7940" max="7940" width="7.725" style="68" customWidth="1"/>
    <col min="7941" max="7941" width="11.45" style="68" customWidth="1"/>
    <col min="7942" max="7942" width="3" style="68" customWidth="1"/>
    <col min="7943" max="7943" width="8.54166666666667" style="68" customWidth="1"/>
    <col min="7944" max="7944" width="13.0916666666667" style="68" customWidth="1"/>
    <col min="7945" max="7945" width="3" style="68" customWidth="1"/>
    <col min="7946" max="7946" width="8.54166666666667" style="68" customWidth="1"/>
    <col min="7947" max="7947" width="13.725" style="68" customWidth="1"/>
    <col min="7948" max="7948" width="3" style="68" customWidth="1"/>
    <col min="7949" max="7949" width="8.81666666666667" style="68" customWidth="1"/>
    <col min="7950" max="7950" width="10.725" style="68" customWidth="1"/>
    <col min="7951" max="7951" width="3" style="68" customWidth="1"/>
    <col min="7952" max="7952" width="8.81666666666667" style="68" customWidth="1"/>
    <col min="7953" max="7953" width="9.26666666666667" style="68" customWidth="1"/>
    <col min="7954" max="7954" width="3.36666666666667" style="68" customWidth="1"/>
    <col min="7955" max="7955" width="9.26666666666667" style="68" customWidth="1"/>
    <col min="7956" max="7956" width="13.1833333333333" style="68" customWidth="1"/>
    <col min="7957" max="7957" width="11.45" style="68" customWidth="1"/>
    <col min="7958" max="7958" width="3" style="68" customWidth="1"/>
    <col min="7959" max="7959" width="8.45" style="68" customWidth="1"/>
    <col min="7960" max="7964" width="9.81666666666667" style="68" hidden="1" customWidth="1"/>
    <col min="7965" max="7965" width="11" style="68" customWidth="1"/>
    <col min="7966" max="8191" width="9.81666666666667" style="68"/>
    <col min="8192" max="8192" width="3.26666666666667" style="68" customWidth="1"/>
    <col min="8193" max="8193" width="3.90833333333333" style="68" customWidth="1"/>
    <col min="8194" max="8194" width="11.8166666666667" style="68" customWidth="1"/>
    <col min="8195" max="8195" width="2.54166666666667" style="68" customWidth="1"/>
    <col min="8196" max="8196" width="7.725" style="68" customWidth="1"/>
    <col min="8197" max="8197" width="11.45" style="68" customWidth="1"/>
    <col min="8198" max="8198" width="3" style="68" customWidth="1"/>
    <col min="8199" max="8199" width="8.54166666666667" style="68" customWidth="1"/>
    <col min="8200" max="8200" width="13.0916666666667" style="68" customWidth="1"/>
    <col min="8201" max="8201" width="3" style="68" customWidth="1"/>
    <col min="8202" max="8202" width="8.54166666666667" style="68" customWidth="1"/>
    <col min="8203" max="8203" width="13.725" style="68" customWidth="1"/>
    <col min="8204" max="8204" width="3" style="68" customWidth="1"/>
    <col min="8205" max="8205" width="8.81666666666667" style="68" customWidth="1"/>
    <col min="8206" max="8206" width="10.725" style="68" customWidth="1"/>
    <col min="8207" max="8207" width="3" style="68" customWidth="1"/>
    <col min="8208" max="8208" width="8.81666666666667" style="68" customWidth="1"/>
    <col min="8209" max="8209" width="9.26666666666667" style="68" customWidth="1"/>
    <col min="8210" max="8210" width="3.36666666666667" style="68" customWidth="1"/>
    <col min="8211" max="8211" width="9.26666666666667" style="68" customWidth="1"/>
    <col min="8212" max="8212" width="13.1833333333333" style="68" customWidth="1"/>
    <col min="8213" max="8213" width="11.45" style="68" customWidth="1"/>
    <col min="8214" max="8214" width="3" style="68" customWidth="1"/>
    <col min="8215" max="8215" width="8.45" style="68" customWidth="1"/>
    <col min="8216" max="8220" width="9.81666666666667" style="68" hidden="1" customWidth="1"/>
    <col min="8221" max="8221" width="11" style="68" customWidth="1"/>
    <col min="8222" max="8447" width="9.81666666666667" style="68"/>
    <col min="8448" max="8448" width="3.26666666666667" style="68" customWidth="1"/>
    <col min="8449" max="8449" width="3.90833333333333" style="68" customWidth="1"/>
    <col min="8450" max="8450" width="11.8166666666667" style="68" customWidth="1"/>
    <col min="8451" max="8451" width="2.54166666666667" style="68" customWidth="1"/>
    <col min="8452" max="8452" width="7.725" style="68" customWidth="1"/>
    <col min="8453" max="8453" width="11.45" style="68" customWidth="1"/>
    <col min="8454" max="8454" width="3" style="68" customWidth="1"/>
    <col min="8455" max="8455" width="8.54166666666667" style="68" customWidth="1"/>
    <col min="8456" max="8456" width="13.0916666666667" style="68" customWidth="1"/>
    <col min="8457" max="8457" width="3" style="68" customWidth="1"/>
    <col min="8458" max="8458" width="8.54166666666667" style="68" customWidth="1"/>
    <col min="8459" max="8459" width="13.725" style="68" customWidth="1"/>
    <col min="8460" max="8460" width="3" style="68" customWidth="1"/>
    <col min="8461" max="8461" width="8.81666666666667" style="68" customWidth="1"/>
    <col min="8462" max="8462" width="10.725" style="68" customWidth="1"/>
    <col min="8463" max="8463" width="3" style="68" customWidth="1"/>
    <col min="8464" max="8464" width="8.81666666666667" style="68" customWidth="1"/>
    <col min="8465" max="8465" width="9.26666666666667" style="68" customWidth="1"/>
    <col min="8466" max="8466" width="3.36666666666667" style="68" customWidth="1"/>
    <col min="8467" max="8467" width="9.26666666666667" style="68" customWidth="1"/>
    <col min="8468" max="8468" width="13.1833333333333" style="68" customWidth="1"/>
    <col min="8469" max="8469" width="11.45" style="68" customWidth="1"/>
    <col min="8470" max="8470" width="3" style="68" customWidth="1"/>
    <col min="8471" max="8471" width="8.45" style="68" customWidth="1"/>
    <col min="8472" max="8476" width="9.81666666666667" style="68" hidden="1" customWidth="1"/>
    <col min="8477" max="8477" width="11" style="68" customWidth="1"/>
    <col min="8478" max="8703" width="9.81666666666667" style="68"/>
    <col min="8704" max="8704" width="3.26666666666667" style="68" customWidth="1"/>
    <col min="8705" max="8705" width="3.90833333333333" style="68" customWidth="1"/>
    <col min="8706" max="8706" width="11.8166666666667" style="68" customWidth="1"/>
    <col min="8707" max="8707" width="2.54166666666667" style="68" customWidth="1"/>
    <col min="8708" max="8708" width="7.725" style="68" customWidth="1"/>
    <col min="8709" max="8709" width="11.45" style="68" customWidth="1"/>
    <col min="8710" max="8710" width="3" style="68" customWidth="1"/>
    <col min="8711" max="8711" width="8.54166666666667" style="68" customWidth="1"/>
    <col min="8712" max="8712" width="13.0916666666667" style="68" customWidth="1"/>
    <col min="8713" max="8713" width="3" style="68" customWidth="1"/>
    <col min="8714" max="8714" width="8.54166666666667" style="68" customWidth="1"/>
    <col min="8715" max="8715" width="13.725" style="68" customWidth="1"/>
    <col min="8716" max="8716" width="3" style="68" customWidth="1"/>
    <col min="8717" max="8717" width="8.81666666666667" style="68" customWidth="1"/>
    <col min="8718" max="8718" width="10.725" style="68" customWidth="1"/>
    <col min="8719" max="8719" width="3" style="68" customWidth="1"/>
    <col min="8720" max="8720" width="8.81666666666667" style="68" customWidth="1"/>
    <col min="8721" max="8721" width="9.26666666666667" style="68" customWidth="1"/>
    <col min="8722" max="8722" width="3.36666666666667" style="68" customWidth="1"/>
    <col min="8723" max="8723" width="9.26666666666667" style="68" customWidth="1"/>
    <col min="8724" max="8724" width="13.1833333333333" style="68" customWidth="1"/>
    <col min="8725" max="8725" width="11.45" style="68" customWidth="1"/>
    <col min="8726" max="8726" width="3" style="68" customWidth="1"/>
    <col min="8727" max="8727" width="8.45" style="68" customWidth="1"/>
    <col min="8728" max="8732" width="9.81666666666667" style="68" hidden="1" customWidth="1"/>
    <col min="8733" max="8733" width="11" style="68" customWidth="1"/>
    <col min="8734" max="8959" width="9.81666666666667" style="68"/>
    <col min="8960" max="8960" width="3.26666666666667" style="68" customWidth="1"/>
    <col min="8961" max="8961" width="3.90833333333333" style="68" customWidth="1"/>
    <col min="8962" max="8962" width="11.8166666666667" style="68" customWidth="1"/>
    <col min="8963" max="8963" width="2.54166666666667" style="68" customWidth="1"/>
    <col min="8964" max="8964" width="7.725" style="68" customWidth="1"/>
    <col min="8965" max="8965" width="11.45" style="68" customWidth="1"/>
    <col min="8966" max="8966" width="3" style="68" customWidth="1"/>
    <col min="8967" max="8967" width="8.54166666666667" style="68" customWidth="1"/>
    <col min="8968" max="8968" width="13.0916666666667" style="68" customWidth="1"/>
    <col min="8969" max="8969" width="3" style="68" customWidth="1"/>
    <col min="8970" max="8970" width="8.54166666666667" style="68" customWidth="1"/>
    <col min="8971" max="8971" width="13.725" style="68" customWidth="1"/>
    <col min="8972" max="8972" width="3" style="68" customWidth="1"/>
    <col min="8973" max="8973" width="8.81666666666667" style="68" customWidth="1"/>
    <col min="8974" max="8974" width="10.725" style="68" customWidth="1"/>
    <col min="8975" max="8975" width="3" style="68" customWidth="1"/>
    <col min="8976" max="8976" width="8.81666666666667" style="68" customWidth="1"/>
    <col min="8977" max="8977" width="9.26666666666667" style="68" customWidth="1"/>
    <col min="8978" max="8978" width="3.36666666666667" style="68" customWidth="1"/>
    <col min="8979" max="8979" width="9.26666666666667" style="68" customWidth="1"/>
    <col min="8980" max="8980" width="13.1833333333333" style="68" customWidth="1"/>
    <col min="8981" max="8981" width="11.45" style="68" customWidth="1"/>
    <col min="8982" max="8982" width="3" style="68" customWidth="1"/>
    <col min="8983" max="8983" width="8.45" style="68" customWidth="1"/>
    <col min="8984" max="8988" width="9.81666666666667" style="68" hidden="1" customWidth="1"/>
    <col min="8989" max="8989" width="11" style="68" customWidth="1"/>
    <col min="8990" max="9215" width="9.81666666666667" style="68"/>
    <col min="9216" max="9216" width="3.26666666666667" style="68" customWidth="1"/>
    <col min="9217" max="9217" width="3.90833333333333" style="68" customWidth="1"/>
    <col min="9218" max="9218" width="11.8166666666667" style="68" customWidth="1"/>
    <col min="9219" max="9219" width="2.54166666666667" style="68" customWidth="1"/>
    <col min="9220" max="9220" width="7.725" style="68" customWidth="1"/>
    <col min="9221" max="9221" width="11.45" style="68" customWidth="1"/>
    <col min="9222" max="9222" width="3" style="68" customWidth="1"/>
    <col min="9223" max="9223" width="8.54166666666667" style="68" customWidth="1"/>
    <col min="9224" max="9224" width="13.0916666666667" style="68" customWidth="1"/>
    <col min="9225" max="9225" width="3" style="68" customWidth="1"/>
    <col min="9226" max="9226" width="8.54166666666667" style="68" customWidth="1"/>
    <col min="9227" max="9227" width="13.725" style="68" customWidth="1"/>
    <col min="9228" max="9228" width="3" style="68" customWidth="1"/>
    <col min="9229" max="9229" width="8.81666666666667" style="68" customWidth="1"/>
    <col min="9230" max="9230" width="10.725" style="68" customWidth="1"/>
    <col min="9231" max="9231" width="3" style="68" customWidth="1"/>
    <col min="9232" max="9232" width="8.81666666666667" style="68" customWidth="1"/>
    <col min="9233" max="9233" width="9.26666666666667" style="68" customWidth="1"/>
    <col min="9234" max="9234" width="3.36666666666667" style="68" customWidth="1"/>
    <col min="9235" max="9235" width="9.26666666666667" style="68" customWidth="1"/>
    <col min="9236" max="9236" width="13.1833333333333" style="68" customWidth="1"/>
    <col min="9237" max="9237" width="11.45" style="68" customWidth="1"/>
    <col min="9238" max="9238" width="3" style="68" customWidth="1"/>
    <col min="9239" max="9239" width="8.45" style="68" customWidth="1"/>
    <col min="9240" max="9244" width="9.81666666666667" style="68" hidden="1" customWidth="1"/>
    <col min="9245" max="9245" width="11" style="68" customWidth="1"/>
    <col min="9246" max="9471" width="9.81666666666667" style="68"/>
    <col min="9472" max="9472" width="3.26666666666667" style="68" customWidth="1"/>
    <col min="9473" max="9473" width="3.90833333333333" style="68" customWidth="1"/>
    <col min="9474" max="9474" width="11.8166666666667" style="68" customWidth="1"/>
    <col min="9475" max="9475" width="2.54166666666667" style="68" customWidth="1"/>
    <col min="9476" max="9476" width="7.725" style="68" customWidth="1"/>
    <col min="9477" max="9477" width="11.45" style="68" customWidth="1"/>
    <col min="9478" max="9478" width="3" style="68" customWidth="1"/>
    <col min="9479" max="9479" width="8.54166666666667" style="68" customWidth="1"/>
    <col min="9480" max="9480" width="13.0916666666667" style="68" customWidth="1"/>
    <col min="9481" max="9481" width="3" style="68" customWidth="1"/>
    <col min="9482" max="9482" width="8.54166666666667" style="68" customWidth="1"/>
    <col min="9483" max="9483" width="13.725" style="68" customWidth="1"/>
    <col min="9484" max="9484" width="3" style="68" customWidth="1"/>
    <col min="9485" max="9485" width="8.81666666666667" style="68" customWidth="1"/>
    <col min="9486" max="9486" width="10.725" style="68" customWidth="1"/>
    <col min="9487" max="9487" width="3" style="68" customWidth="1"/>
    <col min="9488" max="9488" width="8.81666666666667" style="68" customWidth="1"/>
    <col min="9489" max="9489" width="9.26666666666667" style="68" customWidth="1"/>
    <col min="9490" max="9490" width="3.36666666666667" style="68" customWidth="1"/>
    <col min="9491" max="9491" width="9.26666666666667" style="68" customWidth="1"/>
    <col min="9492" max="9492" width="13.1833333333333" style="68" customWidth="1"/>
    <col min="9493" max="9493" width="11.45" style="68" customWidth="1"/>
    <col min="9494" max="9494" width="3" style="68" customWidth="1"/>
    <col min="9495" max="9495" width="8.45" style="68" customWidth="1"/>
    <col min="9496" max="9500" width="9.81666666666667" style="68" hidden="1" customWidth="1"/>
    <col min="9501" max="9501" width="11" style="68" customWidth="1"/>
    <col min="9502" max="9727" width="9.81666666666667" style="68"/>
    <col min="9728" max="9728" width="3.26666666666667" style="68" customWidth="1"/>
    <col min="9729" max="9729" width="3.90833333333333" style="68" customWidth="1"/>
    <col min="9730" max="9730" width="11.8166666666667" style="68" customWidth="1"/>
    <col min="9731" max="9731" width="2.54166666666667" style="68" customWidth="1"/>
    <col min="9732" max="9732" width="7.725" style="68" customWidth="1"/>
    <col min="9733" max="9733" width="11.45" style="68" customWidth="1"/>
    <col min="9734" max="9734" width="3" style="68" customWidth="1"/>
    <col min="9735" max="9735" width="8.54166666666667" style="68" customWidth="1"/>
    <col min="9736" max="9736" width="13.0916666666667" style="68" customWidth="1"/>
    <col min="9737" max="9737" width="3" style="68" customWidth="1"/>
    <col min="9738" max="9738" width="8.54166666666667" style="68" customWidth="1"/>
    <col min="9739" max="9739" width="13.725" style="68" customWidth="1"/>
    <col min="9740" max="9740" width="3" style="68" customWidth="1"/>
    <col min="9741" max="9741" width="8.81666666666667" style="68" customWidth="1"/>
    <col min="9742" max="9742" width="10.725" style="68" customWidth="1"/>
    <col min="9743" max="9743" width="3" style="68" customWidth="1"/>
    <col min="9744" max="9744" width="8.81666666666667" style="68" customWidth="1"/>
    <col min="9745" max="9745" width="9.26666666666667" style="68" customWidth="1"/>
    <col min="9746" max="9746" width="3.36666666666667" style="68" customWidth="1"/>
    <col min="9747" max="9747" width="9.26666666666667" style="68" customWidth="1"/>
    <col min="9748" max="9748" width="13.1833333333333" style="68" customWidth="1"/>
    <col min="9749" max="9749" width="11.45" style="68" customWidth="1"/>
    <col min="9750" max="9750" width="3" style="68" customWidth="1"/>
    <col min="9751" max="9751" width="8.45" style="68" customWidth="1"/>
    <col min="9752" max="9756" width="9.81666666666667" style="68" hidden="1" customWidth="1"/>
    <col min="9757" max="9757" width="11" style="68" customWidth="1"/>
    <col min="9758" max="9983" width="9.81666666666667" style="68"/>
    <col min="9984" max="9984" width="3.26666666666667" style="68" customWidth="1"/>
    <col min="9985" max="9985" width="3.90833333333333" style="68" customWidth="1"/>
    <col min="9986" max="9986" width="11.8166666666667" style="68" customWidth="1"/>
    <col min="9987" max="9987" width="2.54166666666667" style="68" customWidth="1"/>
    <col min="9988" max="9988" width="7.725" style="68" customWidth="1"/>
    <col min="9989" max="9989" width="11.45" style="68" customWidth="1"/>
    <col min="9990" max="9990" width="3" style="68" customWidth="1"/>
    <col min="9991" max="9991" width="8.54166666666667" style="68" customWidth="1"/>
    <col min="9992" max="9992" width="13.0916666666667" style="68" customWidth="1"/>
    <col min="9993" max="9993" width="3" style="68" customWidth="1"/>
    <col min="9994" max="9994" width="8.54166666666667" style="68" customWidth="1"/>
    <col min="9995" max="9995" width="13.725" style="68" customWidth="1"/>
    <col min="9996" max="9996" width="3" style="68" customWidth="1"/>
    <col min="9997" max="9997" width="8.81666666666667" style="68" customWidth="1"/>
    <col min="9998" max="9998" width="10.725" style="68" customWidth="1"/>
    <col min="9999" max="9999" width="3" style="68" customWidth="1"/>
    <col min="10000" max="10000" width="8.81666666666667" style="68" customWidth="1"/>
    <col min="10001" max="10001" width="9.26666666666667" style="68" customWidth="1"/>
    <col min="10002" max="10002" width="3.36666666666667" style="68" customWidth="1"/>
    <col min="10003" max="10003" width="9.26666666666667" style="68" customWidth="1"/>
    <col min="10004" max="10004" width="13.1833333333333" style="68" customWidth="1"/>
    <col min="10005" max="10005" width="11.45" style="68" customWidth="1"/>
    <col min="10006" max="10006" width="3" style="68" customWidth="1"/>
    <col min="10007" max="10007" width="8.45" style="68" customWidth="1"/>
    <col min="10008" max="10012" width="9.81666666666667" style="68" hidden="1" customWidth="1"/>
    <col min="10013" max="10013" width="11" style="68" customWidth="1"/>
    <col min="10014" max="10239" width="9.81666666666667" style="68"/>
    <col min="10240" max="10240" width="3.26666666666667" style="68" customWidth="1"/>
    <col min="10241" max="10241" width="3.90833333333333" style="68" customWidth="1"/>
    <col min="10242" max="10242" width="11.8166666666667" style="68" customWidth="1"/>
    <col min="10243" max="10243" width="2.54166666666667" style="68" customWidth="1"/>
    <col min="10244" max="10244" width="7.725" style="68" customWidth="1"/>
    <col min="10245" max="10245" width="11.45" style="68" customWidth="1"/>
    <col min="10246" max="10246" width="3" style="68" customWidth="1"/>
    <col min="10247" max="10247" width="8.54166666666667" style="68" customWidth="1"/>
    <col min="10248" max="10248" width="13.0916666666667" style="68" customWidth="1"/>
    <col min="10249" max="10249" width="3" style="68" customWidth="1"/>
    <col min="10250" max="10250" width="8.54166666666667" style="68" customWidth="1"/>
    <col min="10251" max="10251" width="13.725" style="68" customWidth="1"/>
    <col min="10252" max="10252" width="3" style="68" customWidth="1"/>
    <col min="10253" max="10253" width="8.81666666666667" style="68" customWidth="1"/>
    <col min="10254" max="10254" width="10.725" style="68" customWidth="1"/>
    <col min="10255" max="10255" width="3" style="68" customWidth="1"/>
    <col min="10256" max="10256" width="8.81666666666667" style="68" customWidth="1"/>
    <col min="10257" max="10257" width="9.26666666666667" style="68" customWidth="1"/>
    <col min="10258" max="10258" width="3.36666666666667" style="68" customWidth="1"/>
    <col min="10259" max="10259" width="9.26666666666667" style="68" customWidth="1"/>
    <col min="10260" max="10260" width="13.1833333333333" style="68" customWidth="1"/>
    <col min="10261" max="10261" width="11.45" style="68" customWidth="1"/>
    <col min="10262" max="10262" width="3" style="68" customWidth="1"/>
    <col min="10263" max="10263" width="8.45" style="68" customWidth="1"/>
    <col min="10264" max="10268" width="9.81666666666667" style="68" hidden="1" customWidth="1"/>
    <col min="10269" max="10269" width="11" style="68" customWidth="1"/>
    <col min="10270" max="10495" width="9.81666666666667" style="68"/>
    <col min="10496" max="10496" width="3.26666666666667" style="68" customWidth="1"/>
    <col min="10497" max="10497" width="3.90833333333333" style="68" customWidth="1"/>
    <col min="10498" max="10498" width="11.8166666666667" style="68" customWidth="1"/>
    <col min="10499" max="10499" width="2.54166666666667" style="68" customWidth="1"/>
    <col min="10500" max="10500" width="7.725" style="68" customWidth="1"/>
    <col min="10501" max="10501" width="11.45" style="68" customWidth="1"/>
    <col min="10502" max="10502" width="3" style="68" customWidth="1"/>
    <col min="10503" max="10503" width="8.54166666666667" style="68" customWidth="1"/>
    <col min="10504" max="10504" width="13.0916666666667" style="68" customWidth="1"/>
    <col min="10505" max="10505" width="3" style="68" customWidth="1"/>
    <col min="10506" max="10506" width="8.54166666666667" style="68" customWidth="1"/>
    <col min="10507" max="10507" width="13.725" style="68" customWidth="1"/>
    <col min="10508" max="10508" width="3" style="68" customWidth="1"/>
    <col min="10509" max="10509" width="8.81666666666667" style="68" customWidth="1"/>
    <col min="10510" max="10510" width="10.725" style="68" customWidth="1"/>
    <col min="10511" max="10511" width="3" style="68" customWidth="1"/>
    <col min="10512" max="10512" width="8.81666666666667" style="68" customWidth="1"/>
    <col min="10513" max="10513" width="9.26666666666667" style="68" customWidth="1"/>
    <col min="10514" max="10514" width="3.36666666666667" style="68" customWidth="1"/>
    <col min="10515" max="10515" width="9.26666666666667" style="68" customWidth="1"/>
    <col min="10516" max="10516" width="13.1833333333333" style="68" customWidth="1"/>
    <col min="10517" max="10517" width="11.45" style="68" customWidth="1"/>
    <col min="10518" max="10518" width="3" style="68" customWidth="1"/>
    <col min="10519" max="10519" width="8.45" style="68" customWidth="1"/>
    <col min="10520" max="10524" width="9.81666666666667" style="68" hidden="1" customWidth="1"/>
    <col min="10525" max="10525" width="11" style="68" customWidth="1"/>
    <col min="10526" max="10751" width="9.81666666666667" style="68"/>
    <col min="10752" max="10752" width="3.26666666666667" style="68" customWidth="1"/>
    <col min="10753" max="10753" width="3.90833333333333" style="68" customWidth="1"/>
    <col min="10754" max="10754" width="11.8166666666667" style="68" customWidth="1"/>
    <col min="10755" max="10755" width="2.54166666666667" style="68" customWidth="1"/>
    <col min="10756" max="10756" width="7.725" style="68" customWidth="1"/>
    <col min="10757" max="10757" width="11.45" style="68" customWidth="1"/>
    <col min="10758" max="10758" width="3" style="68" customWidth="1"/>
    <col min="10759" max="10759" width="8.54166666666667" style="68" customWidth="1"/>
    <col min="10760" max="10760" width="13.0916666666667" style="68" customWidth="1"/>
    <col min="10761" max="10761" width="3" style="68" customWidth="1"/>
    <col min="10762" max="10762" width="8.54166666666667" style="68" customWidth="1"/>
    <col min="10763" max="10763" width="13.725" style="68" customWidth="1"/>
    <col min="10764" max="10764" width="3" style="68" customWidth="1"/>
    <col min="10765" max="10765" width="8.81666666666667" style="68" customWidth="1"/>
    <col min="10766" max="10766" width="10.725" style="68" customWidth="1"/>
    <col min="10767" max="10767" width="3" style="68" customWidth="1"/>
    <col min="10768" max="10768" width="8.81666666666667" style="68" customWidth="1"/>
    <col min="10769" max="10769" width="9.26666666666667" style="68" customWidth="1"/>
    <col min="10770" max="10770" width="3.36666666666667" style="68" customWidth="1"/>
    <col min="10771" max="10771" width="9.26666666666667" style="68" customWidth="1"/>
    <col min="10772" max="10772" width="13.1833333333333" style="68" customWidth="1"/>
    <col min="10773" max="10773" width="11.45" style="68" customWidth="1"/>
    <col min="10774" max="10774" width="3" style="68" customWidth="1"/>
    <col min="10775" max="10775" width="8.45" style="68" customWidth="1"/>
    <col min="10776" max="10780" width="9.81666666666667" style="68" hidden="1" customWidth="1"/>
    <col min="10781" max="10781" width="11" style="68" customWidth="1"/>
    <col min="10782" max="11007" width="9.81666666666667" style="68"/>
    <col min="11008" max="11008" width="3.26666666666667" style="68" customWidth="1"/>
    <col min="11009" max="11009" width="3.90833333333333" style="68" customWidth="1"/>
    <col min="11010" max="11010" width="11.8166666666667" style="68" customWidth="1"/>
    <col min="11011" max="11011" width="2.54166666666667" style="68" customWidth="1"/>
    <col min="11012" max="11012" width="7.725" style="68" customWidth="1"/>
    <col min="11013" max="11013" width="11.45" style="68" customWidth="1"/>
    <col min="11014" max="11014" width="3" style="68" customWidth="1"/>
    <col min="11015" max="11015" width="8.54166666666667" style="68" customWidth="1"/>
    <col min="11016" max="11016" width="13.0916666666667" style="68" customWidth="1"/>
    <col min="11017" max="11017" width="3" style="68" customWidth="1"/>
    <col min="11018" max="11018" width="8.54166666666667" style="68" customWidth="1"/>
    <col min="11019" max="11019" width="13.725" style="68" customWidth="1"/>
    <col min="11020" max="11020" width="3" style="68" customWidth="1"/>
    <col min="11021" max="11021" width="8.81666666666667" style="68" customWidth="1"/>
    <col min="11022" max="11022" width="10.725" style="68" customWidth="1"/>
    <col min="11023" max="11023" width="3" style="68" customWidth="1"/>
    <col min="11024" max="11024" width="8.81666666666667" style="68" customWidth="1"/>
    <col min="11025" max="11025" width="9.26666666666667" style="68" customWidth="1"/>
    <col min="11026" max="11026" width="3.36666666666667" style="68" customWidth="1"/>
    <col min="11027" max="11027" width="9.26666666666667" style="68" customWidth="1"/>
    <col min="11028" max="11028" width="13.1833333333333" style="68" customWidth="1"/>
    <col min="11029" max="11029" width="11.45" style="68" customWidth="1"/>
    <col min="11030" max="11030" width="3" style="68" customWidth="1"/>
    <col min="11031" max="11031" width="8.45" style="68" customWidth="1"/>
    <col min="11032" max="11036" width="9.81666666666667" style="68" hidden="1" customWidth="1"/>
    <col min="11037" max="11037" width="11" style="68" customWidth="1"/>
    <col min="11038" max="11263" width="9.81666666666667" style="68"/>
    <col min="11264" max="11264" width="3.26666666666667" style="68" customWidth="1"/>
    <col min="11265" max="11265" width="3.90833333333333" style="68" customWidth="1"/>
    <col min="11266" max="11266" width="11.8166666666667" style="68" customWidth="1"/>
    <col min="11267" max="11267" width="2.54166666666667" style="68" customWidth="1"/>
    <col min="11268" max="11268" width="7.725" style="68" customWidth="1"/>
    <col min="11269" max="11269" width="11.45" style="68" customWidth="1"/>
    <col min="11270" max="11270" width="3" style="68" customWidth="1"/>
    <col min="11271" max="11271" width="8.54166666666667" style="68" customWidth="1"/>
    <col min="11272" max="11272" width="13.0916666666667" style="68" customWidth="1"/>
    <col min="11273" max="11273" width="3" style="68" customWidth="1"/>
    <col min="11274" max="11274" width="8.54166666666667" style="68" customWidth="1"/>
    <col min="11275" max="11275" width="13.725" style="68" customWidth="1"/>
    <col min="11276" max="11276" width="3" style="68" customWidth="1"/>
    <col min="11277" max="11277" width="8.81666666666667" style="68" customWidth="1"/>
    <col min="11278" max="11278" width="10.725" style="68" customWidth="1"/>
    <col min="11279" max="11279" width="3" style="68" customWidth="1"/>
    <col min="11280" max="11280" width="8.81666666666667" style="68" customWidth="1"/>
    <col min="11281" max="11281" width="9.26666666666667" style="68" customWidth="1"/>
    <col min="11282" max="11282" width="3.36666666666667" style="68" customWidth="1"/>
    <col min="11283" max="11283" width="9.26666666666667" style="68" customWidth="1"/>
    <col min="11284" max="11284" width="13.1833333333333" style="68" customWidth="1"/>
    <col min="11285" max="11285" width="11.45" style="68" customWidth="1"/>
    <col min="11286" max="11286" width="3" style="68" customWidth="1"/>
    <col min="11287" max="11287" width="8.45" style="68" customWidth="1"/>
    <col min="11288" max="11292" width="9.81666666666667" style="68" hidden="1" customWidth="1"/>
    <col min="11293" max="11293" width="11" style="68" customWidth="1"/>
    <col min="11294" max="11519" width="9.81666666666667" style="68"/>
    <col min="11520" max="11520" width="3.26666666666667" style="68" customWidth="1"/>
    <col min="11521" max="11521" width="3.90833333333333" style="68" customWidth="1"/>
    <col min="11522" max="11522" width="11.8166666666667" style="68" customWidth="1"/>
    <col min="11523" max="11523" width="2.54166666666667" style="68" customWidth="1"/>
    <col min="11524" max="11524" width="7.725" style="68" customWidth="1"/>
    <col min="11525" max="11525" width="11.45" style="68" customWidth="1"/>
    <col min="11526" max="11526" width="3" style="68" customWidth="1"/>
    <col min="11527" max="11527" width="8.54166666666667" style="68" customWidth="1"/>
    <col min="11528" max="11528" width="13.0916666666667" style="68" customWidth="1"/>
    <col min="11529" max="11529" width="3" style="68" customWidth="1"/>
    <col min="11530" max="11530" width="8.54166666666667" style="68" customWidth="1"/>
    <col min="11531" max="11531" width="13.725" style="68" customWidth="1"/>
    <col min="11532" max="11532" width="3" style="68" customWidth="1"/>
    <col min="11533" max="11533" width="8.81666666666667" style="68" customWidth="1"/>
    <col min="11534" max="11534" width="10.725" style="68" customWidth="1"/>
    <col min="11535" max="11535" width="3" style="68" customWidth="1"/>
    <col min="11536" max="11536" width="8.81666666666667" style="68" customWidth="1"/>
    <col min="11537" max="11537" width="9.26666666666667" style="68" customWidth="1"/>
    <col min="11538" max="11538" width="3.36666666666667" style="68" customWidth="1"/>
    <col min="11539" max="11539" width="9.26666666666667" style="68" customWidth="1"/>
    <col min="11540" max="11540" width="13.1833333333333" style="68" customWidth="1"/>
    <col min="11541" max="11541" width="11.45" style="68" customWidth="1"/>
    <col min="11542" max="11542" width="3" style="68" customWidth="1"/>
    <col min="11543" max="11543" width="8.45" style="68" customWidth="1"/>
    <col min="11544" max="11548" width="9.81666666666667" style="68" hidden="1" customWidth="1"/>
    <col min="11549" max="11549" width="11" style="68" customWidth="1"/>
    <col min="11550" max="11775" width="9.81666666666667" style="68"/>
    <col min="11776" max="11776" width="3.26666666666667" style="68" customWidth="1"/>
    <col min="11777" max="11777" width="3.90833333333333" style="68" customWidth="1"/>
    <col min="11778" max="11778" width="11.8166666666667" style="68" customWidth="1"/>
    <col min="11779" max="11779" width="2.54166666666667" style="68" customWidth="1"/>
    <col min="11780" max="11780" width="7.725" style="68" customWidth="1"/>
    <col min="11781" max="11781" width="11.45" style="68" customWidth="1"/>
    <col min="11782" max="11782" width="3" style="68" customWidth="1"/>
    <col min="11783" max="11783" width="8.54166666666667" style="68" customWidth="1"/>
    <col min="11784" max="11784" width="13.0916666666667" style="68" customWidth="1"/>
    <col min="11785" max="11785" width="3" style="68" customWidth="1"/>
    <col min="11786" max="11786" width="8.54166666666667" style="68" customWidth="1"/>
    <col min="11787" max="11787" width="13.725" style="68" customWidth="1"/>
    <col min="11788" max="11788" width="3" style="68" customWidth="1"/>
    <col min="11789" max="11789" width="8.81666666666667" style="68" customWidth="1"/>
    <col min="11790" max="11790" width="10.725" style="68" customWidth="1"/>
    <col min="11791" max="11791" width="3" style="68" customWidth="1"/>
    <col min="11792" max="11792" width="8.81666666666667" style="68" customWidth="1"/>
    <col min="11793" max="11793" width="9.26666666666667" style="68" customWidth="1"/>
    <col min="11794" max="11794" width="3.36666666666667" style="68" customWidth="1"/>
    <col min="11795" max="11795" width="9.26666666666667" style="68" customWidth="1"/>
    <col min="11796" max="11796" width="13.1833333333333" style="68" customWidth="1"/>
    <col min="11797" max="11797" width="11.45" style="68" customWidth="1"/>
    <col min="11798" max="11798" width="3" style="68" customWidth="1"/>
    <col min="11799" max="11799" width="8.45" style="68" customWidth="1"/>
    <col min="11800" max="11804" width="9.81666666666667" style="68" hidden="1" customWidth="1"/>
    <col min="11805" max="11805" width="11" style="68" customWidth="1"/>
    <col min="11806" max="12031" width="9.81666666666667" style="68"/>
    <col min="12032" max="12032" width="3.26666666666667" style="68" customWidth="1"/>
    <col min="12033" max="12033" width="3.90833333333333" style="68" customWidth="1"/>
    <col min="12034" max="12034" width="11.8166666666667" style="68" customWidth="1"/>
    <col min="12035" max="12035" width="2.54166666666667" style="68" customWidth="1"/>
    <col min="12036" max="12036" width="7.725" style="68" customWidth="1"/>
    <col min="12037" max="12037" width="11.45" style="68" customWidth="1"/>
    <col min="12038" max="12038" width="3" style="68" customWidth="1"/>
    <col min="12039" max="12039" width="8.54166666666667" style="68" customWidth="1"/>
    <col min="12040" max="12040" width="13.0916666666667" style="68" customWidth="1"/>
    <col min="12041" max="12041" width="3" style="68" customWidth="1"/>
    <col min="12042" max="12042" width="8.54166666666667" style="68" customWidth="1"/>
    <col min="12043" max="12043" width="13.725" style="68" customWidth="1"/>
    <col min="12044" max="12044" width="3" style="68" customWidth="1"/>
    <col min="12045" max="12045" width="8.81666666666667" style="68" customWidth="1"/>
    <col min="12046" max="12046" width="10.725" style="68" customWidth="1"/>
    <col min="12047" max="12047" width="3" style="68" customWidth="1"/>
    <col min="12048" max="12048" width="8.81666666666667" style="68" customWidth="1"/>
    <col min="12049" max="12049" width="9.26666666666667" style="68" customWidth="1"/>
    <col min="12050" max="12050" width="3.36666666666667" style="68" customWidth="1"/>
    <col min="12051" max="12051" width="9.26666666666667" style="68" customWidth="1"/>
    <col min="12052" max="12052" width="13.1833333333333" style="68" customWidth="1"/>
    <col min="12053" max="12053" width="11.45" style="68" customWidth="1"/>
    <col min="12054" max="12054" width="3" style="68" customWidth="1"/>
    <col min="12055" max="12055" width="8.45" style="68" customWidth="1"/>
    <col min="12056" max="12060" width="9.81666666666667" style="68" hidden="1" customWidth="1"/>
    <col min="12061" max="12061" width="11" style="68" customWidth="1"/>
    <col min="12062" max="12287" width="9.81666666666667" style="68"/>
    <col min="12288" max="12288" width="3.26666666666667" style="68" customWidth="1"/>
    <col min="12289" max="12289" width="3.90833333333333" style="68" customWidth="1"/>
    <col min="12290" max="12290" width="11.8166666666667" style="68" customWidth="1"/>
    <col min="12291" max="12291" width="2.54166666666667" style="68" customWidth="1"/>
    <col min="12292" max="12292" width="7.725" style="68" customWidth="1"/>
    <col min="12293" max="12293" width="11.45" style="68" customWidth="1"/>
    <col min="12294" max="12294" width="3" style="68" customWidth="1"/>
    <col min="12295" max="12295" width="8.54166666666667" style="68" customWidth="1"/>
    <col min="12296" max="12296" width="13.0916666666667" style="68" customWidth="1"/>
    <col min="12297" max="12297" width="3" style="68" customWidth="1"/>
    <col min="12298" max="12298" width="8.54166666666667" style="68" customWidth="1"/>
    <col min="12299" max="12299" width="13.725" style="68" customWidth="1"/>
    <col min="12300" max="12300" width="3" style="68" customWidth="1"/>
    <col min="12301" max="12301" width="8.81666666666667" style="68" customWidth="1"/>
    <col min="12302" max="12302" width="10.725" style="68" customWidth="1"/>
    <col min="12303" max="12303" width="3" style="68" customWidth="1"/>
    <col min="12304" max="12304" width="8.81666666666667" style="68" customWidth="1"/>
    <col min="12305" max="12305" width="9.26666666666667" style="68" customWidth="1"/>
    <col min="12306" max="12306" width="3.36666666666667" style="68" customWidth="1"/>
    <col min="12307" max="12307" width="9.26666666666667" style="68" customWidth="1"/>
    <col min="12308" max="12308" width="13.1833333333333" style="68" customWidth="1"/>
    <col min="12309" max="12309" width="11.45" style="68" customWidth="1"/>
    <col min="12310" max="12310" width="3" style="68" customWidth="1"/>
    <col min="12311" max="12311" width="8.45" style="68" customWidth="1"/>
    <col min="12312" max="12316" width="9.81666666666667" style="68" hidden="1" customWidth="1"/>
    <col min="12317" max="12317" width="11" style="68" customWidth="1"/>
    <col min="12318" max="12543" width="9.81666666666667" style="68"/>
    <col min="12544" max="12544" width="3.26666666666667" style="68" customWidth="1"/>
    <col min="12545" max="12545" width="3.90833333333333" style="68" customWidth="1"/>
    <col min="12546" max="12546" width="11.8166666666667" style="68" customWidth="1"/>
    <col min="12547" max="12547" width="2.54166666666667" style="68" customWidth="1"/>
    <col min="12548" max="12548" width="7.725" style="68" customWidth="1"/>
    <col min="12549" max="12549" width="11.45" style="68" customWidth="1"/>
    <col min="12550" max="12550" width="3" style="68" customWidth="1"/>
    <col min="12551" max="12551" width="8.54166666666667" style="68" customWidth="1"/>
    <col min="12552" max="12552" width="13.0916666666667" style="68" customWidth="1"/>
    <col min="12553" max="12553" width="3" style="68" customWidth="1"/>
    <col min="12554" max="12554" width="8.54166666666667" style="68" customWidth="1"/>
    <col min="12555" max="12555" width="13.725" style="68" customWidth="1"/>
    <col min="12556" max="12556" width="3" style="68" customWidth="1"/>
    <col min="12557" max="12557" width="8.81666666666667" style="68" customWidth="1"/>
    <col min="12558" max="12558" width="10.725" style="68" customWidth="1"/>
    <col min="12559" max="12559" width="3" style="68" customWidth="1"/>
    <col min="12560" max="12560" width="8.81666666666667" style="68" customWidth="1"/>
    <col min="12561" max="12561" width="9.26666666666667" style="68" customWidth="1"/>
    <col min="12562" max="12562" width="3.36666666666667" style="68" customWidth="1"/>
    <col min="12563" max="12563" width="9.26666666666667" style="68" customWidth="1"/>
    <col min="12564" max="12564" width="13.1833333333333" style="68" customWidth="1"/>
    <col min="12565" max="12565" width="11.45" style="68" customWidth="1"/>
    <col min="12566" max="12566" width="3" style="68" customWidth="1"/>
    <col min="12567" max="12567" width="8.45" style="68" customWidth="1"/>
    <col min="12568" max="12572" width="9.81666666666667" style="68" hidden="1" customWidth="1"/>
    <col min="12573" max="12573" width="11" style="68" customWidth="1"/>
    <col min="12574" max="12799" width="9.81666666666667" style="68"/>
    <col min="12800" max="12800" width="3.26666666666667" style="68" customWidth="1"/>
    <col min="12801" max="12801" width="3.90833333333333" style="68" customWidth="1"/>
    <col min="12802" max="12802" width="11.8166666666667" style="68" customWidth="1"/>
    <col min="12803" max="12803" width="2.54166666666667" style="68" customWidth="1"/>
    <col min="12804" max="12804" width="7.725" style="68" customWidth="1"/>
    <col min="12805" max="12805" width="11.45" style="68" customWidth="1"/>
    <col min="12806" max="12806" width="3" style="68" customWidth="1"/>
    <col min="12807" max="12807" width="8.54166666666667" style="68" customWidth="1"/>
    <col min="12808" max="12808" width="13.0916666666667" style="68" customWidth="1"/>
    <col min="12809" max="12809" width="3" style="68" customWidth="1"/>
    <col min="12810" max="12810" width="8.54166666666667" style="68" customWidth="1"/>
    <col min="12811" max="12811" width="13.725" style="68" customWidth="1"/>
    <col min="12812" max="12812" width="3" style="68" customWidth="1"/>
    <col min="12813" max="12813" width="8.81666666666667" style="68" customWidth="1"/>
    <col min="12814" max="12814" width="10.725" style="68" customWidth="1"/>
    <col min="12815" max="12815" width="3" style="68" customWidth="1"/>
    <col min="12816" max="12816" width="8.81666666666667" style="68" customWidth="1"/>
    <col min="12817" max="12817" width="9.26666666666667" style="68" customWidth="1"/>
    <col min="12818" max="12818" width="3.36666666666667" style="68" customWidth="1"/>
    <col min="12819" max="12819" width="9.26666666666667" style="68" customWidth="1"/>
    <col min="12820" max="12820" width="13.1833333333333" style="68" customWidth="1"/>
    <col min="12821" max="12821" width="11.45" style="68" customWidth="1"/>
    <col min="12822" max="12822" width="3" style="68" customWidth="1"/>
    <col min="12823" max="12823" width="8.45" style="68" customWidth="1"/>
    <col min="12824" max="12828" width="9.81666666666667" style="68" hidden="1" customWidth="1"/>
    <col min="12829" max="12829" width="11" style="68" customWidth="1"/>
    <col min="12830" max="13055" width="9.81666666666667" style="68"/>
    <col min="13056" max="13056" width="3.26666666666667" style="68" customWidth="1"/>
    <col min="13057" max="13057" width="3.90833333333333" style="68" customWidth="1"/>
    <col min="13058" max="13058" width="11.8166666666667" style="68" customWidth="1"/>
    <col min="13059" max="13059" width="2.54166666666667" style="68" customWidth="1"/>
    <col min="13060" max="13060" width="7.725" style="68" customWidth="1"/>
    <col min="13061" max="13061" width="11.45" style="68" customWidth="1"/>
    <col min="13062" max="13062" width="3" style="68" customWidth="1"/>
    <col min="13063" max="13063" width="8.54166666666667" style="68" customWidth="1"/>
    <col min="13064" max="13064" width="13.0916666666667" style="68" customWidth="1"/>
    <col min="13065" max="13065" width="3" style="68" customWidth="1"/>
    <col min="13066" max="13066" width="8.54166666666667" style="68" customWidth="1"/>
    <col min="13067" max="13067" width="13.725" style="68" customWidth="1"/>
    <col min="13068" max="13068" width="3" style="68" customWidth="1"/>
    <col min="13069" max="13069" width="8.81666666666667" style="68" customWidth="1"/>
    <col min="13070" max="13070" width="10.725" style="68" customWidth="1"/>
    <col min="13071" max="13071" width="3" style="68" customWidth="1"/>
    <col min="13072" max="13072" width="8.81666666666667" style="68" customWidth="1"/>
    <col min="13073" max="13073" width="9.26666666666667" style="68" customWidth="1"/>
    <col min="13074" max="13074" width="3.36666666666667" style="68" customWidth="1"/>
    <col min="13075" max="13075" width="9.26666666666667" style="68" customWidth="1"/>
    <col min="13076" max="13076" width="13.1833333333333" style="68" customWidth="1"/>
    <col min="13077" max="13077" width="11.45" style="68" customWidth="1"/>
    <col min="13078" max="13078" width="3" style="68" customWidth="1"/>
    <col min="13079" max="13079" width="8.45" style="68" customWidth="1"/>
    <col min="13080" max="13084" width="9.81666666666667" style="68" hidden="1" customWidth="1"/>
    <col min="13085" max="13085" width="11" style="68" customWidth="1"/>
    <col min="13086" max="13311" width="9.81666666666667" style="68"/>
    <col min="13312" max="13312" width="3.26666666666667" style="68" customWidth="1"/>
    <col min="13313" max="13313" width="3.90833333333333" style="68" customWidth="1"/>
    <col min="13314" max="13314" width="11.8166666666667" style="68" customWidth="1"/>
    <col min="13315" max="13315" width="2.54166666666667" style="68" customWidth="1"/>
    <col min="13316" max="13316" width="7.725" style="68" customWidth="1"/>
    <col min="13317" max="13317" width="11.45" style="68" customWidth="1"/>
    <col min="13318" max="13318" width="3" style="68" customWidth="1"/>
    <col min="13319" max="13319" width="8.54166666666667" style="68" customWidth="1"/>
    <col min="13320" max="13320" width="13.0916666666667" style="68" customWidth="1"/>
    <col min="13321" max="13321" width="3" style="68" customWidth="1"/>
    <col min="13322" max="13322" width="8.54166666666667" style="68" customWidth="1"/>
    <col min="13323" max="13323" width="13.725" style="68" customWidth="1"/>
    <col min="13324" max="13324" width="3" style="68" customWidth="1"/>
    <col min="13325" max="13325" width="8.81666666666667" style="68" customWidth="1"/>
    <col min="13326" max="13326" width="10.725" style="68" customWidth="1"/>
    <col min="13327" max="13327" width="3" style="68" customWidth="1"/>
    <col min="13328" max="13328" width="8.81666666666667" style="68" customWidth="1"/>
    <col min="13329" max="13329" width="9.26666666666667" style="68" customWidth="1"/>
    <col min="13330" max="13330" width="3.36666666666667" style="68" customWidth="1"/>
    <col min="13331" max="13331" width="9.26666666666667" style="68" customWidth="1"/>
    <col min="13332" max="13332" width="13.1833333333333" style="68" customWidth="1"/>
    <col min="13333" max="13333" width="11.45" style="68" customWidth="1"/>
    <col min="13334" max="13334" width="3" style="68" customWidth="1"/>
    <col min="13335" max="13335" width="8.45" style="68" customWidth="1"/>
    <col min="13336" max="13340" width="9.81666666666667" style="68" hidden="1" customWidth="1"/>
    <col min="13341" max="13341" width="11" style="68" customWidth="1"/>
    <col min="13342" max="13567" width="9.81666666666667" style="68"/>
    <col min="13568" max="13568" width="3.26666666666667" style="68" customWidth="1"/>
    <col min="13569" max="13569" width="3.90833333333333" style="68" customWidth="1"/>
    <col min="13570" max="13570" width="11.8166666666667" style="68" customWidth="1"/>
    <col min="13571" max="13571" width="2.54166666666667" style="68" customWidth="1"/>
    <col min="13572" max="13572" width="7.725" style="68" customWidth="1"/>
    <col min="13573" max="13573" width="11.45" style="68" customWidth="1"/>
    <col min="13574" max="13574" width="3" style="68" customWidth="1"/>
    <col min="13575" max="13575" width="8.54166666666667" style="68" customWidth="1"/>
    <col min="13576" max="13576" width="13.0916666666667" style="68" customWidth="1"/>
    <col min="13577" max="13577" width="3" style="68" customWidth="1"/>
    <col min="13578" max="13578" width="8.54166666666667" style="68" customWidth="1"/>
    <col min="13579" max="13579" width="13.725" style="68" customWidth="1"/>
    <col min="13580" max="13580" width="3" style="68" customWidth="1"/>
    <col min="13581" max="13581" width="8.81666666666667" style="68" customWidth="1"/>
    <col min="13582" max="13582" width="10.725" style="68" customWidth="1"/>
    <col min="13583" max="13583" width="3" style="68" customWidth="1"/>
    <col min="13584" max="13584" width="8.81666666666667" style="68" customWidth="1"/>
    <col min="13585" max="13585" width="9.26666666666667" style="68" customWidth="1"/>
    <col min="13586" max="13586" width="3.36666666666667" style="68" customWidth="1"/>
    <col min="13587" max="13587" width="9.26666666666667" style="68" customWidth="1"/>
    <col min="13588" max="13588" width="13.1833333333333" style="68" customWidth="1"/>
    <col min="13589" max="13589" width="11.45" style="68" customWidth="1"/>
    <col min="13590" max="13590" width="3" style="68" customWidth="1"/>
    <col min="13591" max="13591" width="8.45" style="68" customWidth="1"/>
    <col min="13592" max="13596" width="9.81666666666667" style="68" hidden="1" customWidth="1"/>
    <col min="13597" max="13597" width="11" style="68" customWidth="1"/>
    <col min="13598" max="13823" width="9.81666666666667" style="68"/>
    <col min="13824" max="13824" width="3.26666666666667" style="68" customWidth="1"/>
    <col min="13825" max="13825" width="3.90833333333333" style="68" customWidth="1"/>
    <col min="13826" max="13826" width="11.8166666666667" style="68" customWidth="1"/>
    <col min="13827" max="13827" width="2.54166666666667" style="68" customWidth="1"/>
    <col min="13828" max="13828" width="7.725" style="68" customWidth="1"/>
    <col min="13829" max="13829" width="11.45" style="68" customWidth="1"/>
    <col min="13830" max="13830" width="3" style="68" customWidth="1"/>
    <col min="13831" max="13831" width="8.54166666666667" style="68" customWidth="1"/>
    <col min="13832" max="13832" width="13.0916666666667" style="68" customWidth="1"/>
    <col min="13833" max="13833" width="3" style="68" customWidth="1"/>
    <col min="13834" max="13834" width="8.54166666666667" style="68" customWidth="1"/>
    <col min="13835" max="13835" width="13.725" style="68" customWidth="1"/>
    <col min="13836" max="13836" width="3" style="68" customWidth="1"/>
    <col min="13837" max="13837" width="8.81666666666667" style="68" customWidth="1"/>
    <col min="13838" max="13838" width="10.725" style="68" customWidth="1"/>
    <col min="13839" max="13839" width="3" style="68" customWidth="1"/>
    <col min="13840" max="13840" width="8.81666666666667" style="68" customWidth="1"/>
    <col min="13841" max="13841" width="9.26666666666667" style="68" customWidth="1"/>
    <col min="13842" max="13842" width="3.36666666666667" style="68" customWidth="1"/>
    <col min="13843" max="13843" width="9.26666666666667" style="68" customWidth="1"/>
    <col min="13844" max="13844" width="13.1833333333333" style="68" customWidth="1"/>
    <col min="13845" max="13845" width="11.45" style="68" customWidth="1"/>
    <col min="13846" max="13846" width="3" style="68" customWidth="1"/>
    <col min="13847" max="13847" width="8.45" style="68" customWidth="1"/>
    <col min="13848" max="13852" width="9.81666666666667" style="68" hidden="1" customWidth="1"/>
    <col min="13853" max="13853" width="11" style="68" customWidth="1"/>
    <col min="13854" max="14079" width="9.81666666666667" style="68"/>
    <col min="14080" max="14080" width="3.26666666666667" style="68" customWidth="1"/>
    <col min="14081" max="14081" width="3.90833333333333" style="68" customWidth="1"/>
    <col min="14082" max="14082" width="11.8166666666667" style="68" customWidth="1"/>
    <col min="14083" max="14083" width="2.54166666666667" style="68" customWidth="1"/>
    <col min="14084" max="14084" width="7.725" style="68" customWidth="1"/>
    <col min="14085" max="14085" width="11.45" style="68" customWidth="1"/>
    <col min="14086" max="14086" width="3" style="68" customWidth="1"/>
    <col min="14087" max="14087" width="8.54166666666667" style="68" customWidth="1"/>
    <col min="14088" max="14088" width="13.0916666666667" style="68" customWidth="1"/>
    <col min="14089" max="14089" width="3" style="68" customWidth="1"/>
    <col min="14090" max="14090" width="8.54166666666667" style="68" customWidth="1"/>
    <col min="14091" max="14091" width="13.725" style="68" customWidth="1"/>
    <col min="14092" max="14092" width="3" style="68" customWidth="1"/>
    <col min="14093" max="14093" width="8.81666666666667" style="68" customWidth="1"/>
    <col min="14094" max="14094" width="10.725" style="68" customWidth="1"/>
    <col min="14095" max="14095" width="3" style="68" customWidth="1"/>
    <col min="14096" max="14096" width="8.81666666666667" style="68" customWidth="1"/>
    <col min="14097" max="14097" width="9.26666666666667" style="68" customWidth="1"/>
    <col min="14098" max="14098" width="3.36666666666667" style="68" customWidth="1"/>
    <col min="14099" max="14099" width="9.26666666666667" style="68" customWidth="1"/>
    <col min="14100" max="14100" width="13.1833333333333" style="68" customWidth="1"/>
    <col min="14101" max="14101" width="11.45" style="68" customWidth="1"/>
    <col min="14102" max="14102" width="3" style="68" customWidth="1"/>
    <col min="14103" max="14103" width="8.45" style="68" customWidth="1"/>
    <col min="14104" max="14108" width="9.81666666666667" style="68" hidden="1" customWidth="1"/>
    <col min="14109" max="14109" width="11" style="68" customWidth="1"/>
    <col min="14110" max="14335" width="9.81666666666667" style="68"/>
    <col min="14336" max="14336" width="3.26666666666667" style="68" customWidth="1"/>
    <col min="14337" max="14337" width="3.90833333333333" style="68" customWidth="1"/>
    <col min="14338" max="14338" width="11.8166666666667" style="68" customWidth="1"/>
    <col min="14339" max="14339" width="2.54166666666667" style="68" customWidth="1"/>
    <col min="14340" max="14340" width="7.725" style="68" customWidth="1"/>
    <col min="14341" max="14341" width="11.45" style="68" customWidth="1"/>
    <col min="14342" max="14342" width="3" style="68" customWidth="1"/>
    <col min="14343" max="14343" width="8.54166666666667" style="68" customWidth="1"/>
    <col min="14344" max="14344" width="13.0916666666667" style="68" customWidth="1"/>
    <col min="14345" max="14345" width="3" style="68" customWidth="1"/>
    <col min="14346" max="14346" width="8.54166666666667" style="68" customWidth="1"/>
    <col min="14347" max="14347" width="13.725" style="68" customWidth="1"/>
    <col min="14348" max="14348" width="3" style="68" customWidth="1"/>
    <col min="14349" max="14349" width="8.81666666666667" style="68" customWidth="1"/>
    <col min="14350" max="14350" width="10.725" style="68" customWidth="1"/>
    <col min="14351" max="14351" width="3" style="68" customWidth="1"/>
    <col min="14352" max="14352" width="8.81666666666667" style="68" customWidth="1"/>
    <col min="14353" max="14353" width="9.26666666666667" style="68" customWidth="1"/>
    <col min="14354" max="14354" width="3.36666666666667" style="68" customWidth="1"/>
    <col min="14355" max="14355" width="9.26666666666667" style="68" customWidth="1"/>
    <col min="14356" max="14356" width="13.1833333333333" style="68" customWidth="1"/>
    <col min="14357" max="14357" width="11.45" style="68" customWidth="1"/>
    <col min="14358" max="14358" width="3" style="68" customWidth="1"/>
    <col min="14359" max="14359" width="8.45" style="68" customWidth="1"/>
    <col min="14360" max="14364" width="9.81666666666667" style="68" hidden="1" customWidth="1"/>
    <col min="14365" max="14365" width="11" style="68" customWidth="1"/>
    <col min="14366" max="14591" width="9.81666666666667" style="68"/>
    <col min="14592" max="14592" width="3.26666666666667" style="68" customWidth="1"/>
    <col min="14593" max="14593" width="3.90833333333333" style="68" customWidth="1"/>
    <col min="14594" max="14594" width="11.8166666666667" style="68" customWidth="1"/>
    <col min="14595" max="14595" width="2.54166666666667" style="68" customWidth="1"/>
    <col min="14596" max="14596" width="7.725" style="68" customWidth="1"/>
    <col min="14597" max="14597" width="11.45" style="68" customWidth="1"/>
    <col min="14598" max="14598" width="3" style="68" customWidth="1"/>
    <col min="14599" max="14599" width="8.54166666666667" style="68" customWidth="1"/>
    <col min="14600" max="14600" width="13.0916666666667" style="68" customWidth="1"/>
    <col min="14601" max="14601" width="3" style="68" customWidth="1"/>
    <col min="14602" max="14602" width="8.54166666666667" style="68" customWidth="1"/>
    <col min="14603" max="14603" width="13.725" style="68" customWidth="1"/>
    <col min="14604" max="14604" width="3" style="68" customWidth="1"/>
    <col min="14605" max="14605" width="8.81666666666667" style="68" customWidth="1"/>
    <col min="14606" max="14606" width="10.725" style="68" customWidth="1"/>
    <col min="14607" max="14607" width="3" style="68" customWidth="1"/>
    <col min="14608" max="14608" width="8.81666666666667" style="68" customWidth="1"/>
    <col min="14609" max="14609" width="9.26666666666667" style="68" customWidth="1"/>
    <col min="14610" max="14610" width="3.36666666666667" style="68" customWidth="1"/>
    <col min="14611" max="14611" width="9.26666666666667" style="68" customWidth="1"/>
    <col min="14612" max="14612" width="13.1833333333333" style="68" customWidth="1"/>
    <col min="14613" max="14613" width="11.45" style="68" customWidth="1"/>
    <col min="14614" max="14614" width="3" style="68" customWidth="1"/>
    <col min="14615" max="14615" width="8.45" style="68" customWidth="1"/>
    <col min="14616" max="14620" width="9.81666666666667" style="68" hidden="1" customWidth="1"/>
    <col min="14621" max="14621" width="11" style="68" customWidth="1"/>
    <col min="14622" max="14847" width="9.81666666666667" style="68"/>
    <col min="14848" max="14848" width="3.26666666666667" style="68" customWidth="1"/>
    <col min="14849" max="14849" width="3.90833333333333" style="68" customWidth="1"/>
    <col min="14850" max="14850" width="11.8166666666667" style="68" customWidth="1"/>
    <col min="14851" max="14851" width="2.54166666666667" style="68" customWidth="1"/>
    <col min="14852" max="14852" width="7.725" style="68" customWidth="1"/>
    <col min="14853" max="14853" width="11.45" style="68" customWidth="1"/>
    <col min="14854" max="14854" width="3" style="68" customWidth="1"/>
    <col min="14855" max="14855" width="8.54166666666667" style="68" customWidth="1"/>
    <col min="14856" max="14856" width="13.0916666666667" style="68" customWidth="1"/>
    <col min="14857" max="14857" width="3" style="68" customWidth="1"/>
    <col min="14858" max="14858" width="8.54166666666667" style="68" customWidth="1"/>
    <col min="14859" max="14859" width="13.725" style="68" customWidth="1"/>
    <col min="14860" max="14860" width="3" style="68" customWidth="1"/>
    <col min="14861" max="14861" width="8.81666666666667" style="68" customWidth="1"/>
    <col min="14862" max="14862" width="10.725" style="68" customWidth="1"/>
    <col min="14863" max="14863" width="3" style="68" customWidth="1"/>
    <col min="14864" max="14864" width="8.81666666666667" style="68" customWidth="1"/>
    <col min="14865" max="14865" width="9.26666666666667" style="68" customWidth="1"/>
    <col min="14866" max="14866" width="3.36666666666667" style="68" customWidth="1"/>
    <col min="14867" max="14867" width="9.26666666666667" style="68" customWidth="1"/>
    <col min="14868" max="14868" width="13.1833333333333" style="68" customWidth="1"/>
    <col min="14869" max="14869" width="11.45" style="68" customWidth="1"/>
    <col min="14870" max="14870" width="3" style="68" customWidth="1"/>
    <col min="14871" max="14871" width="8.45" style="68" customWidth="1"/>
    <col min="14872" max="14876" width="9.81666666666667" style="68" hidden="1" customWidth="1"/>
    <col min="14877" max="14877" width="11" style="68" customWidth="1"/>
    <col min="14878" max="15103" width="9.81666666666667" style="68"/>
    <col min="15104" max="15104" width="3.26666666666667" style="68" customWidth="1"/>
    <col min="15105" max="15105" width="3.90833333333333" style="68" customWidth="1"/>
    <col min="15106" max="15106" width="11.8166666666667" style="68" customWidth="1"/>
    <col min="15107" max="15107" width="2.54166666666667" style="68" customWidth="1"/>
    <col min="15108" max="15108" width="7.725" style="68" customWidth="1"/>
    <col min="15109" max="15109" width="11.45" style="68" customWidth="1"/>
    <col min="15110" max="15110" width="3" style="68" customWidth="1"/>
    <col min="15111" max="15111" width="8.54166666666667" style="68" customWidth="1"/>
    <col min="15112" max="15112" width="13.0916666666667" style="68" customWidth="1"/>
    <col min="15113" max="15113" width="3" style="68" customWidth="1"/>
    <col min="15114" max="15114" width="8.54166666666667" style="68" customWidth="1"/>
    <col min="15115" max="15115" width="13.725" style="68" customWidth="1"/>
    <col min="15116" max="15116" width="3" style="68" customWidth="1"/>
    <col min="15117" max="15117" width="8.81666666666667" style="68" customWidth="1"/>
    <col min="15118" max="15118" width="10.725" style="68" customWidth="1"/>
    <col min="15119" max="15119" width="3" style="68" customWidth="1"/>
    <col min="15120" max="15120" width="8.81666666666667" style="68" customWidth="1"/>
    <col min="15121" max="15121" width="9.26666666666667" style="68" customWidth="1"/>
    <col min="15122" max="15122" width="3.36666666666667" style="68" customWidth="1"/>
    <col min="15123" max="15123" width="9.26666666666667" style="68" customWidth="1"/>
    <col min="15124" max="15124" width="13.1833333333333" style="68" customWidth="1"/>
    <col min="15125" max="15125" width="11.45" style="68" customWidth="1"/>
    <col min="15126" max="15126" width="3" style="68" customWidth="1"/>
    <col min="15127" max="15127" width="8.45" style="68" customWidth="1"/>
    <col min="15128" max="15132" width="9.81666666666667" style="68" hidden="1" customWidth="1"/>
    <col min="15133" max="15133" width="11" style="68" customWidth="1"/>
    <col min="15134" max="15359" width="9.81666666666667" style="68"/>
    <col min="15360" max="15360" width="3.26666666666667" style="68" customWidth="1"/>
    <col min="15361" max="15361" width="3.90833333333333" style="68" customWidth="1"/>
    <col min="15362" max="15362" width="11.8166666666667" style="68" customWidth="1"/>
    <col min="15363" max="15363" width="2.54166666666667" style="68" customWidth="1"/>
    <col min="15364" max="15364" width="7.725" style="68" customWidth="1"/>
    <col min="15365" max="15365" width="11.45" style="68" customWidth="1"/>
    <col min="15366" max="15366" width="3" style="68" customWidth="1"/>
    <col min="15367" max="15367" width="8.54166666666667" style="68" customWidth="1"/>
    <col min="15368" max="15368" width="13.0916666666667" style="68" customWidth="1"/>
    <col min="15369" max="15369" width="3" style="68" customWidth="1"/>
    <col min="15370" max="15370" width="8.54166666666667" style="68" customWidth="1"/>
    <col min="15371" max="15371" width="13.725" style="68" customWidth="1"/>
    <col min="15372" max="15372" width="3" style="68" customWidth="1"/>
    <col min="15373" max="15373" width="8.81666666666667" style="68" customWidth="1"/>
    <col min="15374" max="15374" width="10.725" style="68" customWidth="1"/>
    <col min="15375" max="15375" width="3" style="68" customWidth="1"/>
    <col min="15376" max="15376" width="8.81666666666667" style="68" customWidth="1"/>
    <col min="15377" max="15377" width="9.26666666666667" style="68" customWidth="1"/>
    <col min="15378" max="15378" width="3.36666666666667" style="68" customWidth="1"/>
    <col min="15379" max="15379" width="9.26666666666667" style="68" customWidth="1"/>
    <col min="15380" max="15380" width="13.1833333333333" style="68" customWidth="1"/>
    <col min="15381" max="15381" width="11.45" style="68" customWidth="1"/>
    <col min="15382" max="15382" width="3" style="68" customWidth="1"/>
    <col min="15383" max="15383" width="8.45" style="68" customWidth="1"/>
    <col min="15384" max="15388" width="9.81666666666667" style="68" hidden="1" customWidth="1"/>
    <col min="15389" max="15389" width="11" style="68" customWidth="1"/>
    <col min="15390" max="15615" width="9.81666666666667" style="68"/>
    <col min="15616" max="15616" width="3.26666666666667" style="68" customWidth="1"/>
    <col min="15617" max="15617" width="3.90833333333333" style="68" customWidth="1"/>
    <col min="15618" max="15618" width="11.8166666666667" style="68" customWidth="1"/>
    <col min="15619" max="15619" width="2.54166666666667" style="68" customWidth="1"/>
    <col min="15620" max="15620" width="7.725" style="68" customWidth="1"/>
    <col min="15621" max="15621" width="11.45" style="68" customWidth="1"/>
    <col min="15622" max="15622" width="3" style="68" customWidth="1"/>
    <col min="15623" max="15623" width="8.54166666666667" style="68" customWidth="1"/>
    <col min="15624" max="15624" width="13.0916666666667" style="68" customWidth="1"/>
    <col min="15625" max="15625" width="3" style="68" customWidth="1"/>
    <col min="15626" max="15626" width="8.54166666666667" style="68" customWidth="1"/>
    <col min="15627" max="15627" width="13.725" style="68" customWidth="1"/>
    <col min="15628" max="15628" width="3" style="68" customWidth="1"/>
    <col min="15629" max="15629" width="8.81666666666667" style="68" customWidth="1"/>
    <col min="15630" max="15630" width="10.725" style="68" customWidth="1"/>
    <col min="15631" max="15631" width="3" style="68" customWidth="1"/>
    <col min="15632" max="15632" width="8.81666666666667" style="68" customWidth="1"/>
    <col min="15633" max="15633" width="9.26666666666667" style="68" customWidth="1"/>
    <col min="15634" max="15634" width="3.36666666666667" style="68" customWidth="1"/>
    <col min="15635" max="15635" width="9.26666666666667" style="68" customWidth="1"/>
    <col min="15636" max="15636" width="13.1833333333333" style="68" customWidth="1"/>
    <col min="15637" max="15637" width="11.45" style="68" customWidth="1"/>
    <col min="15638" max="15638" width="3" style="68" customWidth="1"/>
    <col min="15639" max="15639" width="8.45" style="68" customWidth="1"/>
    <col min="15640" max="15644" width="9.81666666666667" style="68" hidden="1" customWidth="1"/>
    <col min="15645" max="15645" width="11" style="68" customWidth="1"/>
    <col min="15646" max="15871" width="9.81666666666667" style="68"/>
    <col min="15872" max="15872" width="3.26666666666667" style="68" customWidth="1"/>
    <col min="15873" max="15873" width="3.90833333333333" style="68" customWidth="1"/>
    <col min="15874" max="15874" width="11.8166666666667" style="68" customWidth="1"/>
    <col min="15875" max="15875" width="2.54166666666667" style="68" customWidth="1"/>
    <col min="15876" max="15876" width="7.725" style="68" customWidth="1"/>
    <col min="15877" max="15877" width="11.45" style="68" customWidth="1"/>
    <col min="15878" max="15878" width="3" style="68" customWidth="1"/>
    <col min="15879" max="15879" width="8.54166666666667" style="68" customWidth="1"/>
    <col min="15880" max="15880" width="13.0916666666667" style="68" customWidth="1"/>
    <col min="15881" max="15881" width="3" style="68" customWidth="1"/>
    <col min="15882" max="15882" width="8.54166666666667" style="68" customWidth="1"/>
    <col min="15883" max="15883" width="13.725" style="68" customWidth="1"/>
    <col min="15884" max="15884" width="3" style="68" customWidth="1"/>
    <col min="15885" max="15885" width="8.81666666666667" style="68" customWidth="1"/>
    <col min="15886" max="15886" width="10.725" style="68" customWidth="1"/>
    <col min="15887" max="15887" width="3" style="68" customWidth="1"/>
    <col min="15888" max="15888" width="8.81666666666667" style="68" customWidth="1"/>
    <col min="15889" max="15889" width="9.26666666666667" style="68" customWidth="1"/>
    <col min="15890" max="15890" width="3.36666666666667" style="68" customWidth="1"/>
    <col min="15891" max="15891" width="9.26666666666667" style="68" customWidth="1"/>
    <col min="15892" max="15892" width="13.1833333333333" style="68" customWidth="1"/>
    <col min="15893" max="15893" width="11.45" style="68" customWidth="1"/>
    <col min="15894" max="15894" width="3" style="68" customWidth="1"/>
    <col min="15895" max="15895" width="8.45" style="68" customWidth="1"/>
    <col min="15896" max="15900" width="9.81666666666667" style="68" hidden="1" customWidth="1"/>
    <col min="15901" max="15901" width="11" style="68" customWidth="1"/>
    <col min="15902" max="16127" width="9.81666666666667" style="68"/>
    <col min="16128" max="16128" width="3.26666666666667" style="68" customWidth="1"/>
    <col min="16129" max="16129" width="3.90833333333333" style="68" customWidth="1"/>
    <col min="16130" max="16130" width="11.8166666666667" style="68" customWidth="1"/>
    <col min="16131" max="16131" width="2.54166666666667" style="68" customWidth="1"/>
    <col min="16132" max="16132" width="7.725" style="68" customWidth="1"/>
    <col min="16133" max="16133" width="11.45" style="68" customWidth="1"/>
    <col min="16134" max="16134" width="3" style="68" customWidth="1"/>
    <col min="16135" max="16135" width="8.54166666666667" style="68" customWidth="1"/>
    <col min="16136" max="16136" width="13.0916666666667" style="68" customWidth="1"/>
    <col min="16137" max="16137" width="3" style="68" customWidth="1"/>
    <col min="16138" max="16138" width="8.54166666666667" style="68" customWidth="1"/>
    <col min="16139" max="16139" width="13.725" style="68" customWidth="1"/>
    <col min="16140" max="16140" width="3" style="68" customWidth="1"/>
    <col min="16141" max="16141" width="8.81666666666667" style="68" customWidth="1"/>
    <col min="16142" max="16142" width="10.725" style="68" customWidth="1"/>
    <col min="16143" max="16143" width="3" style="68" customWidth="1"/>
    <col min="16144" max="16144" width="8.81666666666667" style="68" customWidth="1"/>
    <col min="16145" max="16145" width="9.26666666666667" style="68" customWidth="1"/>
    <col min="16146" max="16146" width="3.36666666666667" style="68" customWidth="1"/>
    <col min="16147" max="16147" width="9.26666666666667" style="68" customWidth="1"/>
    <col min="16148" max="16148" width="13.1833333333333" style="68" customWidth="1"/>
    <col min="16149" max="16149" width="11.45" style="68" customWidth="1"/>
    <col min="16150" max="16150" width="3" style="68" customWidth="1"/>
    <col min="16151" max="16151" width="8.45" style="68" customWidth="1"/>
    <col min="16152" max="16156" width="9.81666666666667" style="68" hidden="1" customWidth="1"/>
    <col min="16157" max="16157" width="11" style="68" customWidth="1"/>
    <col min="16158" max="16384" width="9.81666666666667" style="68"/>
  </cols>
  <sheetData>
    <row r="1" s="65" customFormat="1" ht="29.25" spans="1:24">
      <c r="A1" s="70" t="s">
        <v>603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93"/>
      <c r="O1" s="93"/>
      <c r="P1" s="93"/>
      <c r="Q1" s="93"/>
      <c r="R1" s="93"/>
      <c r="S1" s="93"/>
      <c r="T1" s="93"/>
      <c r="U1" s="93"/>
      <c r="V1" s="93"/>
      <c r="W1" s="93"/>
      <c r="X1" s="104"/>
    </row>
    <row r="2" s="65" customFormat="1"/>
    <row r="3" s="66" customFormat="1" ht="36.75" customHeight="1" spans="1:13">
      <c r="A3" s="71"/>
      <c r="B3" s="71"/>
      <c r="C3" s="72" t="s">
        <v>604</v>
      </c>
      <c r="D3" s="73"/>
      <c r="E3" s="73"/>
      <c r="F3" s="73"/>
      <c r="G3" s="74"/>
      <c r="H3" s="75" t="s">
        <v>605</v>
      </c>
      <c r="I3" s="75"/>
      <c r="J3" s="75"/>
      <c r="K3" s="75" t="s">
        <v>606</v>
      </c>
      <c r="L3" s="75" t="s">
        <v>607</v>
      </c>
      <c r="M3" s="75"/>
    </row>
    <row r="4" s="67" customFormat="1" ht="40" customHeight="1" spans="1:13">
      <c r="A4" s="76" t="s">
        <v>608</v>
      </c>
      <c r="B4" s="76" t="s">
        <v>596</v>
      </c>
      <c r="C4" s="77">
        <v>289042.987</v>
      </c>
      <c r="D4" s="78"/>
      <c r="E4" s="79"/>
      <c r="F4" s="76" t="s">
        <v>609</v>
      </c>
      <c r="G4" s="80">
        <f>(C5-C4)/C4</f>
        <v>5.74810055156259</v>
      </c>
      <c r="H4" s="81">
        <v>204620</v>
      </c>
      <c r="I4" s="76" t="s">
        <v>609</v>
      </c>
      <c r="J4" s="94">
        <f>(H5-H4)/H4</f>
        <v>-0.535579708728375</v>
      </c>
      <c r="K4" s="95">
        <f t="shared" ref="K4:K7" si="0">C4+E4+H4</f>
        <v>493662.987</v>
      </c>
      <c r="L4" s="76" t="s">
        <v>609</v>
      </c>
      <c r="M4" s="80">
        <f>(K5-K4)/K4</f>
        <v>3.14355719157855</v>
      </c>
    </row>
    <row r="5" s="67" customFormat="1" ht="40" customHeight="1" spans="1:13">
      <c r="A5" s="76"/>
      <c r="B5" s="76" t="s">
        <v>597</v>
      </c>
      <c r="C5" s="77">
        <v>1950491.14</v>
      </c>
      <c r="D5" s="78"/>
      <c r="E5" s="79"/>
      <c r="F5" s="76"/>
      <c r="G5" s="80"/>
      <c r="H5" s="81">
        <v>95029.68</v>
      </c>
      <c r="I5" s="76"/>
      <c r="J5" s="94"/>
      <c r="K5" s="95">
        <f t="shared" si="0"/>
        <v>2045520.82</v>
      </c>
      <c r="L5" s="76"/>
      <c r="M5" s="96"/>
    </row>
    <row r="6" s="67" customFormat="1" ht="40" customHeight="1" spans="1:13">
      <c r="A6" s="76" t="s">
        <v>610</v>
      </c>
      <c r="B6" s="76" t="s">
        <v>596</v>
      </c>
      <c r="C6" s="77">
        <v>4068460.96</v>
      </c>
      <c r="D6" s="78"/>
      <c r="E6" s="79"/>
      <c r="F6" s="76" t="s">
        <v>609</v>
      </c>
      <c r="G6" s="80">
        <f>(C7-C6)/C6</f>
        <v>-0.391159378361099</v>
      </c>
      <c r="H6" s="82">
        <v>218353.43</v>
      </c>
      <c r="I6" s="76" t="s">
        <v>609</v>
      </c>
      <c r="J6" s="80">
        <f>(H7-H6)/H6</f>
        <v>0.527244705979659</v>
      </c>
      <c r="K6" s="95">
        <f t="shared" si="0"/>
        <v>4286814.39</v>
      </c>
      <c r="L6" s="76" t="s">
        <v>609</v>
      </c>
      <c r="M6" s="80">
        <f>(K7-K6)/K6</f>
        <v>-0.344379493883336</v>
      </c>
    </row>
    <row r="7" s="67" customFormat="1" ht="40" customHeight="1" spans="1:13">
      <c r="A7" s="76"/>
      <c r="B7" s="76" t="s">
        <v>597</v>
      </c>
      <c r="C7" s="77">
        <v>2477044.3</v>
      </c>
      <c r="D7" s="78"/>
      <c r="E7" s="79"/>
      <c r="F7" s="76"/>
      <c r="G7" s="80"/>
      <c r="H7" s="82">
        <v>333479.12</v>
      </c>
      <c r="I7" s="76"/>
      <c r="J7" s="80"/>
      <c r="K7" s="95">
        <f t="shared" si="0"/>
        <v>2810523.42</v>
      </c>
      <c r="L7" s="76"/>
      <c r="M7" s="80"/>
    </row>
    <row r="8" s="67" customFormat="1" ht="60" customHeight="1" spans="1:15">
      <c r="A8" s="76"/>
      <c r="B8" s="76" t="s">
        <v>611</v>
      </c>
      <c r="C8" s="77">
        <v>4726000</v>
      </c>
      <c r="D8" s="78"/>
      <c r="E8" s="78"/>
      <c r="F8" s="78"/>
      <c r="G8" s="78"/>
      <c r="H8" s="78"/>
      <c r="I8" s="78"/>
      <c r="J8" s="78"/>
      <c r="K8" s="78"/>
      <c r="L8" s="97" t="s">
        <v>612</v>
      </c>
      <c r="M8" s="84">
        <f>K7/C8</f>
        <v>0.594693910283538</v>
      </c>
      <c r="O8" s="98"/>
    </row>
    <row r="9" s="67" customFormat="1" ht="32.25" customHeight="1" spans="1:13">
      <c r="A9" s="76" t="s">
        <v>58</v>
      </c>
      <c r="B9" s="76" t="s">
        <v>596</v>
      </c>
      <c r="C9" s="77">
        <v>409081.63</v>
      </c>
      <c r="D9" s="78"/>
      <c r="E9" s="78"/>
      <c r="F9" s="78"/>
      <c r="G9" s="78"/>
      <c r="H9" s="78"/>
      <c r="I9" s="78"/>
      <c r="J9" s="78"/>
      <c r="K9" s="78"/>
      <c r="L9" s="99" t="s">
        <v>609</v>
      </c>
      <c r="M9" s="84">
        <f>(C10-C9)/C9</f>
        <v>-0.158723455756251</v>
      </c>
    </row>
    <row r="10" s="67" customFormat="1" ht="30" customHeight="1" spans="1:13">
      <c r="A10" s="76"/>
      <c r="B10" s="76" t="s">
        <v>597</v>
      </c>
      <c r="C10" s="77">
        <f>工资!W3</f>
        <v>344150.78</v>
      </c>
      <c r="D10" s="78"/>
      <c r="E10" s="78"/>
      <c r="F10" s="78"/>
      <c r="G10" s="78"/>
      <c r="H10" s="78"/>
      <c r="I10" s="78"/>
      <c r="J10" s="78"/>
      <c r="K10" s="78"/>
      <c r="L10" s="100"/>
      <c r="M10" s="84"/>
    </row>
    <row r="11" s="67" customFormat="1" ht="33" customHeight="1" spans="1:15">
      <c r="A11" s="76"/>
      <c r="B11" s="76" t="s">
        <v>613</v>
      </c>
      <c r="C11" s="83" t="s">
        <v>614</v>
      </c>
      <c r="D11" s="83"/>
      <c r="E11" s="84">
        <f>C10/K5</f>
        <v>0.16824604112316</v>
      </c>
      <c r="F11" s="84"/>
      <c r="G11" s="83" t="s">
        <v>615</v>
      </c>
      <c r="H11" s="83"/>
      <c r="I11" s="83"/>
      <c r="J11" s="101">
        <f>C10/K7</f>
        <v>0.122450778225502</v>
      </c>
      <c r="K11" s="102"/>
      <c r="L11" s="103"/>
      <c r="M11" s="84"/>
      <c r="O11" s="98"/>
    </row>
    <row r="12" s="67" customFormat="1" ht="32.25" customHeight="1" spans="1:13">
      <c r="A12" s="76" t="s">
        <v>616</v>
      </c>
      <c r="B12" s="76" t="s">
        <v>596</v>
      </c>
      <c r="C12" s="77">
        <v>36660.28</v>
      </c>
      <c r="D12" s="78"/>
      <c r="E12" s="78"/>
      <c r="F12" s="78"/>
      <c r="G12" s="78"/>
      <c r="H12" s="78"/>
      <c r="I12" s="78"/>
      <c r="J12" s="78"/>
      <c r="K12" s="78"/>
      <c r="L12" s="99" t="s">
        <v>609</v>
      </c>
      <c r="M12" s="84">
        <f>(C13-C12)/C12</f>
        <v>0.314990774756767</v>
      </c>
    </row>
    <row r="13" s="67" customFormat="1" ht="30" customHeight="1" spans="1:13">
      <c r="A13" s="76"/>
      <c r="B13" s="76" t="s">
        <v>597</v>
      </c>
      <c r="C13" s="77">
        <f>工资!X3+工资!Y3+工资!Z3+工资!AA3+工资!AB3</f>
        <v>48207.93</v>
      </c>
      <c r="D13" s="78"/>
      <c r="E13" s="78"/>
      <c r="F13" s="78"/>
      <c r="G13" s="78"/>
      <c r="H13" s="78"/>
      <c r="I13" s="78"/>
      <c r="J13" s="78"/>
      <c r="K13" s="78"/>
      <c r="L13" s="100"/>
      <c r="M13" s="84"/>
    </row>
    <row r="14" s="67" customFormat="1" ht="30.75" customHeight="1" spans="1:13">
      <c r="A14" s="76"/>
      <c r="B14" s="76" t="s">
        <v>617</v>
      </c>
      <c r="C14" s="85" t="s">
        <v>618</v>
      </c>
      <c r="D14" s="84">
        <f>C13/C10</f>
        <v>0.140077933282615</v>
      </c>
      <c r="E14" s="86" t="s">
        <v>619</v>
      </c>
      <c r="F14" s="87"/>
      <c r="G14" s="84">
        <f>C13/K5</f>
        <v>0.0235675577235142</v>
      </c>
      <c r="H14" s="86" t="s">
        <v>620</v>
      </c>
      <c r="I14" s="87"/>
      <c r="J14" s="101">
        <f>C13/K7</f>
        <v>0.0171526519426762</v>
      </c>
      <c r="K14" s="102"/>
      <c r="L14" s="103"/>
      <c r="M14" s="84"/>
    </row>
    <row r="15" s="65" customFormat="1" ht="21" customHeight="1" spans="1:23">
      <c r="A15" s="88"/>
      <c r="B15" s="88"/>
      <c r="C15" s="89"/>
      <c r="D15" s="89"/>
      <c r="E15" s="89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105"/>
      <c r="R15" s="105"/>
      <c r="S15" s="105"/>
      <c r="T15" s="106"/>
      <c r="U15" s="106"/>
      <c r="V15" s="106"/>
      <c r="W15" s="106"/>
    </row>
    <row r="16" s="65" customFormat="1" spans="4:4">
      <c r="D16" s="91"/>
    </row>
    <row r="17" s="65" customFormat="1" spans="1:23">
      <c r="A17" s="92" t="s">
        <v>621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</row>
  </sheetData>
  <mergeCells count="42">
    <mergeCell ref="A1:M1"/>
    <mergeCell ref="A3:B3"/>
    <mergeCell ref="C3:G3"/>
    <mergeCell ref="H3:J3"/>
    <mergeCell ref="L3:M3"/>
    <mergeCell ref="C4:E4"/>
    <mergeCell ref="C5:E5"/>
    <mergeCell ref="C6:E6"/>
    <mergeCell ref="C7:E7"/>
    <mergeCell ref="C8:K8"/>
    <mergeCell ref="C9:K9"/>
    <mergeCell ref="C10:K10"/>
    <mergeCell ref="C11:D11"/>
    <mergeCell ref="E11:F11"/>
    <mergeCell ref="G11:I11"/>
    <mergeCell ref="J11:K11"/>
    <mergeCell ref="C12:K12"/>
    <mergeCell ref="C13:K13"/>
    <mergeCell ref="E14:F14"/>
    <mergeCell ref="H14:I14"/>
    <mergeCell ref="J14:K14"/>
    <mergeCell ref="A17:W17"/>
    <mergeCell ref="A4:A5"/>
    <mergeCell ref="A6:A8"/>
    <mergeCell ref="A9:A11"/>
    <mergeCell ref="A12:A14"/>
    <mergeCell ref="F4:F5"/>
    <mergeCell ref="F6:F7"/>
    <mergeCell ref="G4:G5"/>
    <mergeCell ref="G6:G7"/>
    <mergeCell ref="I4:I5"/>
    <mergeCell ref="I6:I7"/>
    <mergeCell ref="J4:J5"/>
    <mergeCell ref="J6:J7"/>
    <mergeCell ref="L4:L5"/>
    <mergeCell ref="L6:L7"/>
    <mergeCell ref="L9:L11"/>
    <mergeCell ref="L12:L14"/>
    <mergeCell ref="M4:M5"/>
    <mergeCell ref="M6:M7"/>
    <mergeCell ref="M9:M11"/>
    <mergeCell ref="M12:M14"/>
  </mergeCells>
  <printOptions horizontalCentered="1" verticalCentered="1"/>
  <pageMargins left="0.236111111111111" right="0" top="0.275" bottom="0.275" header="0.118055555555556" footer="0.0784722222222222"/>
  <pageSetup paperSize="9" orientation="landscape" verticalDpi="300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"/>
  <sheetViews>
    <sheetView zoomScale="70" zoomScaleNormal="70" topLeftCell="A5" workbookViewId="0">
      <selection activeCell="AG14" sqref="AG14"/>
    </sheetView>
  </sheetViews>
  <sheetFormatPr defaultColWidth="10.3666666666667" defaultRowHeight="16.5"/>
  <cols>
    <col min="1" max="1" width="15.1666666666667" style="40" customWidth="1"/>
    <col min="2" max="2" width="17.5" style="40" customWidth="1"/>
    <col min="3" max="3" width="14.0916666666667" style="40" customWidth="1"/>
    <col min="4" max="4" width="11.8166666666667" style="40" hidden="1" customWidth="1"/>
    <col min="5" max="5" width="11.9583333333333" style="42" hidden="1" customWidth="1"/>
    <col min="6" max="6" width="12.1416666666667" style="42" hidden="1" customWidth="1"/>
    <col min="7" max="7" width="11.2416666666667" style="42" hidden="1" customWidth="1"/>
    <col min="8" max="8" width="11.425" style="42" hidden="1" customWidth="1"/>
    <col min="9" max="10" width="10.3666666666667" style="42" hidden="1" customWidth="1"/>
    <col min="11" max="11" width="10.7083333333333" style="42" hidden="1" customWidth="1"/>
    <col min="12" max="12" width="9.28333333333333" style="42" hidden="1" customWidth="1"/>
    <col min="13" max="13" width="10.3666666666667" style="42" hidden="1" customWidth="1"/>
    <col min="14" max="14" width="9.36666666666667" style="42" hidden="1" customWidth="1"/>
    <col min="15" max="17" width="10.3666666666667" style="42" hidden="1" customWidth="1"/>
    <col min="18" max="18" width="12.675" style="42" hidden="1" customWidth="1"/>
    <col min="19" max="20" width="10.3666666666667" style="42" hidden="1" customWidth="1"/>
    <col min="21" max="21" width="8.75" style="42" hidden="1" customWidth="1"/>
    <col min="22" max="22" width="10.3666666666667" style="42" hidden="1" customWidth="1"/>
    <col min="23" max="23" width="8.74166666666667" style="42" hidden="1" customWidth="1"/>
    <col min="24" max="24" width="11.425" style="42" hidden="1" customWidth="1"/>
    <col min="25" max="25" width="18.5666666666667" style="42" customWidth="1"/>
    <col min="26" max="26" width="20" style="42" customWidth="1"/>
    <col min="27" max="27" width="18.5666666666667" style="42" customWidth="1"/>
    <col min="28" max="28" width="17.8583333333333" style="42" customWidth="1"/>
    <col min="29" max="29" width="17.85" style="42" customWidth="1"/>
    <col min="30" max="30" width="18.75" style="42" customWidth="1"/>
    <col min="31" max="32" width="13.2166666666667" style="42" hidden="1" customWidth="1"/>
    <col min="33" max="33" width="20.5333333333333" style="42" customWidth="1"/>
    <col min="34" max="215" width="8.75" style="40"/>
    <col min="216" max="230" width="10.3666666666667" style="40"/>
    <col min="231" max="231" width="14.45" style="40" customWidth="1"/>
    <col min="232" max="232" width="12" style="40" customWidth="1"/>
    <col min="233" max="233" width="12.6333333333333" style="40" customWidth="1"/>
    <col min="234" max="234" width="10.3666666666667" style="40"/>
    <col min="235" max="235" width="14.2666666666667" style="40" customWidth="1"/>
    <col min="236" max="236" width="12" style="40" customWidth="1"/>
    <col min="237" max="237" width="15.5416666666667" style="40" customWidth="1"/>
    <col min="238" max="238" width="16.9083333333333" style="40" customWidth="1"/>
    <col min="239" max="239" width="14" style="40" customWidth="1"/>
    <col min="240" max="240" width="14.5416666666667" style="40" customWidth="1"/>
    <col min="241" max="247" width="10.3666666666667" style="40"/>
    <col min="248" max="471" width="8.75" style="40"/>
    <col min="472" max="486" width="10.3666666666667" style="40"/>
    <col min="487" max="487" width="14.45" style="40" customWidth="1"/>
    <col min="488" max="488" width="12" style="40" customWidth="1"/>
    <col min="489" max="489" width="12.6333333333333" style="40" customWidth="1"/>
    <col min="490" max="490" width="10.3666666666667" style="40"/>
    <col min="491" max="491" width="14.2666666666667" style="40" customWidth="1"/>
    <col min="492" max="492" width="12" style="40" customWidth="1"/>
    <col min="493" max="493" width="15.5416666666667" style="40" customWidth="1"/>
    <col min="494" max="494" width="16.9083333333333" style="40" customWidth="1"/>
    <col min="495" max="495" width="14" style="40" customWidth="1"/>
    <col min="496" max="496" width="14.5416666666667" style="40" customWidth="1"/>
    <col min="497" max="503" width="10.3666666666667" style="40"/>
    <col min="504" max="727" width="8.75" style="40"/>
    <col min="728" max="742" width="10.3666666666667" style="40"/>
    <col min="743" max="743" width="14.45" style="40" customWidth="1"/>
    <col min="744" max="744" width="12" style="40" customWidth="1"/>
    <col min="745" max="745" width="12.6333333333333" style="40" customWidth="1"/>
    <col min="746" max="746" width="10.3666666666667" style="40"/>
    <col min="747" max="747" width="14.2666666666667" style="40" customWidth="1"/>
    <col min="748" max="748" width="12" style="40" customWidth="1"/>
    <col min="749" max="749" width="15.5416666666667" style="40" customWidth="1"/>
    <col min="750" max="750" width="16.9083333333333" style="40" customWidth="1"/>
    <col min="751" max="751" width="14" style="40" customWidth="1"/>
    <col min="752" max="752" width="14.5416666666667" style="40" customWidth="1"/>
    <col min="753" max="759" width="10.3666666666667" style="40"/>
    <col min="760" max="983" width="8.75" style="40"/>
    <col min="984" max="998" width="10.3666666666667" style="40"/>
    <col min="999" max="999" width="14.45" style="40" customWidth="1"/>
    <col min="1000" max="1000" width="12" style="40" customWidth="1"/>
    <col min="1001" max="1001" width="12.6333333333333" style="40" customWidth="1"/>
    <col min="1002" max="1002" width="10.3666666666667" style="40"/>
    <col min="1003" max="1003" width="14.2666666666667" style="40" customWidth="1"/>
    <col min="1004" max="1004" width="12" style="40" customWidth="1"/>
    <col min="1005" max="1005" width="15.5416666666667" style="40" customWidth="1"/>
    <col min="1006" max="1006" width="16.9083333333333" style="40" customWidth="1"/>
    <col min="1007" max="1007" width="14" style="40" customWidth="1"/>
    <col min="1008" max="1008" width="14.5416666666667" style="40" customWidth="1"/>
    <col min="1009" max="1015" width="10.3666666666667" style="40"/>
    <col min="1016" max="1239" width="8.75" style="40"/>
    <col min="1240" max="1254" width="10.3666666666667" style="40"/>
    <col min="1255" max="1255" width="14.45" style="40" customWidth="1"/>
    <col min="1256" max="1256" width="12" style="40" customWidth="1"/>
    <col min="1257" max="1257" width="12.6333333333333" style="40" customWidth="1"/>
    <col min="1258" max="1258" width="10.3666666666667" style="40"/>
    <col min="1259" max="1259" width="14.2666666666667" style="40" customWidth="1"/>
    <col min="1260" max="1260" width="12" style="40" customWidth="1"/>
    <col min="1261" max="1261" width="15.5416666666667" style="40" customWidth="1"/>
    <col min="1262" max="1262" width="16.9083333333333" style="40" customWidth="1"/>
    <col min="1263" max="1263" width="14" style="40" customWidth="1"/>
    <col min="1264" max="1264" width="14.5416666666667" style="40" customWidth="1"/>
    <col min="1265" max="1271" width="10.3666666666667" style="40"/>
    <col min="1272" max="1495" width="8.75" style="40"/>
    <col min="1496" max="1510" width="10.3666666666667" style="40"/>
    <col min="1511" max="1511" width="14.45" style="40" customWidth="1"/>
    <col min="1512" max="1512" width="12" style="40" customWidth="1"/>
    <col min="1513" max="1513" width="12.6333333333333" style="40" customWidth="1"/>
    <col min="1514" max="1514" width="10.3666666666667" style="40"/>
    <col min="1515" max="1515" width="14.2666666666667" style="40" customWidth="1"/>
    <col min="1516" max="1516" width="12" style="40" customWidth="1"/>
    <col min="1517" max="1517" width="15.5416666666667" style="40" customWidth="1"/>
    <col min="1518" max="1518" width="16.9083333333333" style="40" customWidth="1"/>
    <col min="1519" max="1519" width="14" style="40" customWidth="1"/>
    <col min="1520" max="1520" width="14.5416666666667" style="40" customWidth="1"/>
    <col min="1521" max="1527" width="10.3666666666667" style="40"/>
    <col min="1528" max="1751" width="8.75" style="40"/>
    <col min="1752" max="1766" width="10.3666666666667" style="40"/>
    <col min="1767" max="1767" width="14.45" style="40" customWidth="1"/>
    <col min="1768" max="1768" width="12" style="40" customWidth="1"/>
    <col min="1769" max="1769" width="12.6333333333333" style="40" customWidth="1"/>
    <col min="1770" max="1770" width="10.3666666666667" style="40"/>
    <col min="1771" max="1771" width="14.2666666666667" style="40" customWidth="1"/>
    <col min="1772" max="1772" width="12" style="40" customWidth="1"/>
    <col min="1773" max="1773" width="15.5416666666667" style="40" customWidth="1"/>
    <col min="1774" max="1774" width="16.9083333333333" style="40" customWidth="1"/>
    <col min="1775" max="1775" width="14" style="40" customWidth="1"/>
    <col min="1776" max="1776" width="14.5416666666667" style="40" customWidth="1"/>
    <col min="1777" max="1783" width="10.3666666666667" style="40"/>
    <col min="1784" max="2007" width="8.75" style="40"/>
    <col min="2008" max="2022" width="10.3666666666667" style="40"/>
    <col min="2023" max="2023" width="14.45" style="40" customWidth="1"/>
    <col min="2024" max="2024" width="12" style="40" customWidth="1"/>
    <col min="2025" max="2025" width="12.6333333333333" style="40" customWidth="1"/>
    <col min="2026" max="2026" width="10.3666666666667" style="40"/>
    <col min="2027" max="2027" width="14.2666666666667" style="40" customWidth="1"/>
    <col min="2028" max="2028" width="12" style="40" customWidth="1"/>
    <col min="2029" max="2029" width="15.5416666666667" style="40" customWidth="1"/>
    <col min="2030" max="2030" width="16.9083333333333" style="40" customWidth="1"/>
    <col min="2031" max="2031" width="14" style="40" customWidth="1"/>
    <col min="2032" max="2032" width="14.5416666666667" style="40" customWidth="1"/>
    <col min="2033" max="2039" width="10.3666666666667" style="40"/>
    <col min="2040" max="2263" width="8.75" style="40"/>
    <col min="2264" max="2278" width="10.3666666666667" style="40"/>
    <col min="2279" max="2279" width="14.45" style="40" customWidth="1"/>
    <col min="2280" max="2280" width="12" style="40" customWidth="1"/>
    <col min="2281" max="2281" width="12.6333333333333" style="40" customWidth="1"/>
    <col min="2282" max="2282" width="10.3666666666667" style="40"/>
    <col min="2283" max="2283" width="14.2666666666667" style="40" customWidth="1"/>
    <col min="2284" max="2284" width="12" style="40" customWidth="1"/>
    <col min="2285" max="2285" width="15.5416666666667" style="40" customWidth="1"/>
    <col min="2286" max="2286" width="16.9083333333333" style="40" customWidth="1"/>
    <col min="2287" max="2287" width="14" style="40" customWidth="1"/>
    <col min="2288" max="2288" width="14.5416666666667" style="40" customWidth="1"/>
    <col min="2289" max="2295" width="10.3666666666667" style="40"/>
    <col min="2296" max="2519" width="8.75" style="40"/>
    <col min="2520" max="2534" width="10.3666666666667" style="40"/>
    <col min="2535" max="2535" width="14.45" style="40" customWidth="1"/>
    <col min="2536" max="2536" width="12" style="40" customWidth="1"/>
    <col min="2537" max="2537" width="12.6333333333333" style="40" customWidth="1"/>
    <col min="2538" max="2538" width="10.3666666666667" style="40"/>
    <col min="2539" max="2539" width="14.2666666666667" style="40" customWidth="1"/>
    <col min="2540" max="2540" width="12" style="40" customWidth="1"/>
    <col min="2541" max="2541" width="15.5416666666667" style="40" customWidth="1"/>
    <col min="2542" max="2542" width="16.9083333333333" style="40" customWidth="1"/>
    <col min="2543" max="2543" width="14" style="40" customWidth="1"/>
    <col min="2544" max="2544" width="14.5416666666667" style="40" customWidth="1"/>
    <col min="2545" max="2551" width="10.3666666666667" style="40"/>
    <col min="2552" max="2775" width="8.75" style="40"/>
    <col min="2776" max="2790" width="10.3666666666667" style="40"/>
    <col min="2791" max="2791" width="14.45" style="40" customWidth="1"/>
    <col min="2792" max="2792" width="12" style="40" customWidth="1"/>
    <col min="2793" max="2793" width="12.6333333333333" style="40" customWidth="1"/>
    <col min="2794" max="2794" width="10.3666666666667" style="40"/>
    <col min="2795" max="2795" width="14.2666666666667" style="40" customWidth="1"/>
    <col min="2796" max="2796" width="12" style="40" customWidth="1"/>
    <col min="2797" max="2797" width="15.5416666666667" style="40" customWidth="1"/>
    <col min="2798" max="2798" width="16.9083333333333" style="40" customWidth="1"/>
    <col min="2799" max="2799" width="14" style="40" customWidth="1"/>
    <col min="2800" max="2800" width="14.5416666666667" style="40" customWidth="1"/>
    <col min="2801" max="2807" width="10.3666666666667" style="40"/>
    <col min="2808" max="3031" width="8.75" style="40"/>
    <col min="3032" max="3046" width="10.3666666666667" style="40"/>
    <col min="3047" max="3047" width="14.45" style="40" customWidth="1"/>
    <col min="3048" max="3048" width="12" style="40" customWidth="1"/>
    <col min="3049" max="3049" width="12.6333333333333" style="40" customWidth="1"/>
    <col min="3050" max="3050" width="10.3666666666667" style="40"/>
    <col min="3051" max="3051" width="14.2666666666667" style="40" customWidth="1"/>
    <col min="3052" max="3052" width="12" style="40" customWidth="1"/>
    <col min="3053" max="3053" width="15.5416666666667" style="40" customWidth="1"/>
    <col min="3054" max="3054" width="16.9083333333333" style="40" customWidth="1"/>
    <col min="3055" max="3055" width="14" style="40" customWidth="1"/>
    <col min="3056" max="3056" width="14.5416666666667" style="40" customWidth="1"/>
    <col min="3057" max="3063" width="10.3666666666667" style="40"/>
    <col min="3064" max="3287" width="8.75" style="40"/>
    <col min="3288" max="3302" width="10.3666666666667" style="40"/>
    <col min="3303" max="3303" width="14.45" style="40" customWidth="1"/>
    <col min="3304" max="3304" width="12" style="40" customWidth="1"/>
    <col min="3305" max="3305" width="12.6333333333333" style="40" customWidth="1"/>
    <col min="3306" max="3306" width="10.3666666666667" style="40"/>
    <col min="3307" max="3307" width="14.2666666666667" style="40" customWidth="1"/>
    <col min="3308" max="3308" width="12" style="40" customWidth="1"/>
    <col min="3309" max="3309" width="15.5416666666667" style="40" customWidth="1"/>
    <col min="3310" max="3310" width="16.9083333333333" style="40" customWidth="1"/>
    <col min="3311" max="3311" width="14" style="40" customWidth="1"/>
    <col min="3312" max="3312" width="14.5416666666667" style="40" customWidth="1"/>
    <col min="3313" max="3319" width="10.3666666666667" style="40"/>
    <col min="3320" max="3543" width="8.75" style="40"/>
    <col min="3544" max="3558" width="10.3666666666667" style="40"/>
    <col min="3559" max="3559" width="14.45" style="40" customWidth="1"/>
    <col min="3560" max="3560" width="12" style="40" customWidth="1"/>
    <col min="3561" max="3561" width="12.6333333333333" style="40" customWidth="1"/>
    <col min="3562" max="3562" width="10.3666666666667" style="40"/>
    <col min="3563" max="3563" width="14.2666666666667" style="40" customWidth="1"/>
    <col min="3564" max="3564" width="12" style="40" customWidth="1"/>
    <col min="3565" max="3565" width="15.5416666666667" style="40" customWidth="1"/>
    <col min="3566" max="3566" width="16.9083333333333" style="40" customWidth="1"/>
    <col min="3567" max="3567" width="14" style="40" customWidth="1"/>
    <col min="3568" max="3568" width="14.5416666666667" style="40" customWidth="1"/>
    <col min="3569" max="3575" width="10.3666666666667" style="40"/>
    <col min="3576" max="3799" width="8.75" style="40"/>
    <col min="3800" max="3814" width="10.3666666666667" style="40"/>
    <col min="3815" max="3815" width="14.45" style="40" customWidth="1"/>
    <col min="3816" max="3816" width="12" style="40" customWidth="1"/>
    <col min="3817" max="3817" width="12.6333333333333" style="40" customWidth="1"/>
    <col min="3818" max="3818" width="10.3666666666667" style="40"/>
    <col min="3819" max="3819" width="14.2666666666667" style="40" customWidth="1"/>
    <col min="3820" max="3820" width="12" style="40" customWidth="1"/>
    <col min="3821" max="3821" width="15.5416666666667" style="40" customWidth="1"/>
    <col min="3822" max="3822" width="16.9083333333333" style="40" customWidth="1"/>
    <col min="3823" max="3823" width="14" style="40" customWidth="1"/>
    <col min="3824" max="3824" width="14.5416666666667" style="40" customWidth="1"/>
    <col min="3825" max="3831" width="10.3666666666667" style="40"/>
    <col min="3832" max="4055" width="8.75" style="40"/>
    <col min="4056" max="4070" width="10.3666666666667" style="40"/>
    <col min="4071" max="4071" width="14.45" style="40" customWidth="1"/>
    <col min="4072" max="4072" width="12" style="40" customWidth="1"/>
    <col min="4073" max="4073" width="12.6333333333333" style="40" customWidth="1"/>
    <col min="4074" max="4074" width="10.3666666666667" style="40"/>
    <col min="4075" max="4075" width="14.2666666666667" style="40" customWidth="1"/>
    <col min="4076" max="4076" width="12" style="40" customWidth="1"/>
    <col min="4077" max="4077" width="15.5416666666667" style="40" customWidth="1"/>
    <col min="4078" max="4078" width="16.9083333333333" style="40" customWidth="1"/>
    <col min="4079" max="4079" width="14" style="40" customWidth="1"/>
    <col min="4080" max="4080" width="14.5416666666667" style="40" customWidth="1"/>
    <col min="4081" max="4087" width="10.3666666666667" style="40"/>
    <col min="4088" max="4311" width="8.75" style="40"/>
    <col min="4312" max="4326" width="10.3666666666667" style="40"/>
    <col min="4327" max="4327" width="14.45" style="40" customWidth="1"/>
    <col min="4328" max="4328" width="12" style="40" customWidth="1"/>
    <col min="4329" max="4329" width="12.6333333333333" style="40" customWidth="1"/>
    <col min="4330" max="4330" width="10.3666666666667" style="40"/>
    <col min="4331" max="4331" width="14.2666666666667" style="40" customWidth="1"/>
    <col min="4332" max="4332" width="12" style="40" customWidth="1"/>
    <col min="4333" max="4333" width="15.5416666666667" style="40" customWidth="1"/>
    <col min="4334" max="4334" width="16.9083333333333" style="40" customWidth="1"/>
    <col min="4335" max="4335" width="14" style="40" customWidth="1"/>
    <col min="4336" max="4336" width="14.5416666666667" style="40" customWidth="1"/>
    <col min="4337" max="4343" width="10.3666666666667" style="40"/>
    <col min="4344" max="4567" width="8.75" style="40"/>
    <col min="4568" max="4582" width="10.3666666666667" style="40"/>
    <col min="4583" max="4583" width="14.45" style="40" customWidth="1"/>
    <col min="4584" max="4584" width="12" style="40" customWidth="1"/>
    <col min="4585" max="4585" width="12.6333333333333" style="40" customWidth="1"/>
    <col min="4586" max="4586" width="10.3666666666667" style="40"/>
    <col min="4587" max="4587" width="14.2666666666667" style="40" customWidth="1"/>
    <col min="4588" max="4588" width="12" style="40" customWidth="1"/>
    <col min="4589" max="4589" width="15.5416666666667" style="40" customWidth="1"/>
    <col min="4590" max="4590" width="16.9083333333333" style="40" customWidth="1"/>
    <col min="4591" max="4591" width="14" style="40" customWidth="1"/>
    <col min="4592" max="4592" width="14.5416666666667" style="40" customWidth="1"/>
    <col min="4593" max="4599" width="10.3666666666667" style="40"/>
    <col min="4600" max="4823" width="8.75" style="40"/>
    <col min="4824" max="4838" width="10.3666666666667" style="40"/>
    <col min="4839" max="4839" width="14.45" style="40" customWidth="1"/>
    <col min="4840" max="4840" width="12" style="40" customWidth="1"/>
    <col min="4841" max="4841" width="12.6333333333333" style="40" customWidth="1"/>
    <col min="4842" max="4842" width="10.3666666666667" style="40"/>
    <col min="4843" max="4843" width="14.2666666666667" style="40" customWidth="1"/>
    <col min="4844" max="4844" width="12" style="40" customWidth="1"/>
    <col min="4845" max="4845" width="15.5416666666667" style="40" customWidth="1"/>
    <col min="4846" max="4846" width="16.9083333333333" style="40" customWidth="1"/>
    <col min="4847" max="4847" width="14" style="40" customWidth="1"/>
    <col min="4848" max="4848" width="14.5416666666667" style="40" customWidth="1"/>
    <col min="4849" max="4855" width="10.3666666666667" style="40"/>
    <col min="4856" max="5079" width="8.75" style="40"/>
    <col min="5080" max="5094" width="10.3666666666667" style="40"/>
    <col min="5095" max="5095" width="14.45" style="40" customWidth="1"/>
    <col min="5096" max="5096" width="12" style="40" customWidth="1"/>
    <col min="5097" max="5097" width="12.6333333333333" style="40" customWidth="1"/>
    <col min="5098" max="5098" width="10.3666666666667" style="40"/>
    <col min="5099" max="5099" width="14.2666666666667" style="40" customWidth="1"/>
    <col min="5100" max="5100" width="12" style="40" customWidth="1"/>
    <col min="5101" max="5101" width="15.5416666666667" style="40" customWidth="1"/>
    <col min="5102" max="5102" width="16.9083333333333" style="40" customWidth="1"/>
    <col min="5103" max="5103" width="14" style="40" customWidth="1"/>
    <col min="5104" max="5104" width="14.5416666666667" style="40" customWidth="1"/>
    <col min="5105" max="5111" width="10.3666666666667" style="40"/>
    <col min="5112" max="5335" width="8.75" style="40"/>
    <col min="5336" max="5350" width="10.3666666666667" style="40"/>
    <col min="5351" max="5351" width="14.45" style="40" customWidth="1"/>
    <col min="5352" max="5352" width="12" style="40" customWidth="1"/>
    <col min="5353" max="5353" width="12.6333333333333" style="40" customWidth="1"/>
    <col min="5354" max="5354" width="10.3666666666667" style="40"/>
    <col min="5355" max="5355" width="14.2666666666667" style="40" customWidth="1"/>
    <col min="5356" max="5356" width="12" style="40" customWidth="1"/>
    <col min="5357" max="5357" width="15.5416666666667" style="40" customWidth="1"/>
    <col min="5358" max="5358" width="16.9083333333333" style="40" customWidth="1"/>
    <col min="5359" max="5359" width="14" style="40" customWidth="1"/>
    <col min="5360" max="5360" width="14.5416666666667" style="40" customWidth="1"/>
    <col min="5361" max="5367" width="10.3666666666667" style="40"/>
    <col min="5368" max="5591" width="8.75" style="40"/>
    <col min="5592" max="5606" width="10.3666666666667" style="40"/>
    <col min="5607" max="5607" width="14.45" style="40" customWidth="1"/>
    <col min="5608" max="5608" width="12" style="40" customWidth="1"/>
    <col min="5609" max="5609" width="12.6333333333333" style="40" customWidth="1"/>
    <col min="5610" max="5610" width="10.3666666666667" style="40"/>
    <col min="5611" max="5611" width="14.2666666666667" style="40" customWidth="1"/>
    <col min="5612" max="5612" width="12" style="40" customWidth="1"/>
    <col min="5613" max="5613" width="15.5416666666667" style="40" customWidth="1"/>
    <col min="5614" max="5614" width="16.9083333333333" style="40" customWidth="1"/>
    <col min="5615" max="5615" width="14" style="40" customWidth="1"/>
    <col min="5616" max="5616" width="14.5416666666667" style="40" customWidth="1"/>
    <col min="5617" max="5623" width="10.3666666666667" style="40"/>
    <col min="5624" max="5847" width="8.75" style="40"/>
    <col min="5848" max="5862" width="10.3666666666667" style="40"/>
    <col min="5863" max="5863" width="14.45" style="40" customWidth="1"/>
    <col min="5864" max="5864" width="12" style="40" customWidth="1"/>
    <col min="5865" max="5865" width="12.6333333333333" style="40" customWidth="1"/>
    <col min="5866" max="5866" width="10.3666666666667" style="40"/>
    <col min="5867" max="5867" width="14.2666666666667" style="40" customWidth="1"/>
    <col min="5868" max="5868" width="12" style="40" customWidth="1"/>
    <col min="5869" max="5869" width="15.5416666666667" style="40" customWidth="1"/>
    <col min="5870" max="5870" width="16.9083333333333" style="40" customWidth="1"/>
    <col min="5871" max="5871" width="14" style="40" customWidth="1"/>
    <col min="5872" max="5872" width="14.5416666666667" style="40" customWidth="1"/>
    <col min="5873" max="5879" width="10.3666666666667" style="40"/>
    <col min="5880" max="6103" width="8.75" style="40"/>
    <col min="6104" max="6118" width="10.3666666666667" style="40"/>
    <col min="6119" max="6119" width="14.45" style="40" customWidth="1"/>
    <col min="6120" max="6120" width="12" style="40" customWidth="1"/>
    <col min="6121" max="6121" width="12.6333333333333" style="40" customWidth="1"/>
    <col min="6122" max="6122" width="10.3666666666667" style="40"/>
    <col min="6123" max="6123" width="14.2666666666667" style="40" customWidth="1"/>
    <col min="6124" max="6124" width="12" style="40" customWidth="1"/>
    <col min="6125" max="6125" width="15.5416666666667" style="40" customWidth="1"/>
    <col min="6126" max="6126" width="16.9083333333333" style="40" customWidth="1"/>
    <col min="6127" max="6127" width="14" style="40" customWidth="1"/>
    <col min="6128" max="6128" width="14.5416666666667" style="40" customWidth="1"/>
    <col min="6129" max="6135" width="10.3666666666667" style="40"/>
    <col min="6136" max="6359" width="8.75" style="40"/>
    <col min="6360" max="6374" width="10.3666666666667" style="40"/>
    <col min="6375" max="6375" width="14.45" style="40" customWidth="1"/>
    <col min="6376" max="6376" width="12" style="40" customWidth="1"/>
    <col min="6377" max="6377" width="12.6333333333333" style="40" customWidth="1"/>
    <col min="6378" max="6378" width="10.3666666666667" style="40"/>
    <col min="6379" max="6379" width="14.2666666666667" style="40" customWidth="1"/>
    <col min="6380" max="6380" width="12" style="40" customWidth="1"/>
    <col min="6381" max="6381" width="15.5416666666667" style="40" customWidth="1"/>
    <col min="6382" max="6382" width="16.9083333333333" style="40" customWidth="1"/>
    <col min="6383" max="6383" width="14" style="40" customWidth="1"/>
    <col min="6384" max="6384" width="14.5416666666667" style="40" customWidth="1"/>
    <col min="6385" max="6391" width="10.3666666666667" style="40"/>
    <col min="6392" max="6615" width="8.75" style="40"/>
    <col min="6616" max="6630" width="10.3666666666667" style="40"/>
    <col min="6631" max="6631" width="14.45" style="40" customWidth="1"/>
    <col min="6632" max="6632" width="12" style="40" customWidth="1"/>
    <col min="6633" max="6633" width="12.6333333333333" style="40" customWidth="1"/>
    <col min="6634" max="6634" width="10.3666666666667" style="40"/>
    <col min="6635" max="6635" width="14.2666666666667" style="40" customWidth="1"/>
    <col min="6636" max="6636" width="12" style="40" customWidth="1"/>
    <col min="6637" max="6637" width="15.5416666666667" style="40" customWidth="1"/>
    <col min="6638" max="6638" width="16.9083333333333" style="40" customWidth="1"/>
    <col min="6639" max="6639" width="14" style="40" customWidth="1"/>
    <col min="6640" max="6640" width="14.5416666666667" style="40" customWidth="1"/>
    <col min="6641" max="6647" width="10.3666666666667" style="40"/>
    <col min="6648" max="6871" width="8.75" style="40"/>
    <col min="6872" max="6886" width="10.3666666666667" style="40"/>
    <col min="6887" max="6887" width="14.45" style="40" customWidth="1"/>
    <col min="6888" max="6888" width="12" style="40" customWidth="1"/>
    <col min="6889" max="6889" width="12.6333333333333" style="40" customWidth="1"/>
    <col min="6890" max="6890" width="10.3666666666667" style="40"/>
    <col min="6891" max="6891" width="14.2666666666667" style="40" customWidth="1"/>
    <col min="6892" max="6892" width="12" style="40" customWidth="1"/>
    <col min="6893" max="6893" width="15.5416666666667" style="40" customWidth="1"/>
    <col min="6894" max="6894" width="16.9083333333333" style="40" customWidth="1"/>
    <col min="6895" max="6895" width="14" style="40" customWidth="1"/>
    <col min="6896" max="6896" width="14.5416666666667" style="40" customWidth="1"/>
    <col min="6897" max="6903" width="10.3666666666667" style="40"/>
    <col min="6904" max="7127" width="8.75" style="40"/>
    <col min="7128" max="7142" width="10.3666666666667" style="40"/>
    <col min="7143" max="7143" width="14.45" style="40" customWidth="1"/>
    <col min="7144" max="7144" width="12" style="40" customWidth="1"/>
    <col min="7145" max="7145" width="12.6333333333333" style="40" customWidth="1"/>
    <col min="7146" max="7146" width="10.3666666666667" style="40"/>
    <col min="7147" max="7147" width="14.2666666666667" style="40" customWidth="1"/>
    <col min="7148" max="7148" width="12" style="40" customWidth="1"/>
    <col min="7149" max="7149" width="15.5416666666667" style="40" customWidth="1"/>
    <col min="7150" max="7150" width="16.9083333333333" style="40" customWidth="1"/>
    <col min="7151" max="7151" width="14" style="40" customWidth="1"/>
    <col min="7152" max="7152" width="14.5416666666667" style="40" customWidth="1"/>
    <col min="7153" max="7159" width="10.3666666666667" style="40"/>
    <col min="7160" max="7383" width="8.75" style="40"/>
    <col min="7384" max="7398" width="10.3666666666667" style="40"/>
    <col min="7399" max="7399" width="14.45" style="40" customWidth="1"/>
    <col min="7400" max="7400" width="12" style="40" customWidth="1"/>
    <col min="7401" max="7401" width="12.6333333333333" style="40" customWidth="1"/>
    <col min="7402" max="7402" width="10.3666666666667" style="40"/>
    <col min="7403" max="7403" width="14.2666666666667" style="40" customWidth="1"/>
    <col min="7404" max="7404" width="12" style="40" customWidth="1"/>
    <col min="7405" max="7405" width="15.5416666666667" style="40" customWidth="1"/>
    <col min="7406" max="7406" width="16.9083333333333" style="40" customWidth="1"/>
    <col min="7407" max="7407" width="14" style="40" customWidth="1"/>
    <col min="7408" max="7408" width="14.5416666666667" style="40" customWidth="1"/>
    <col min="7409" max="7415" width="10.3666666666667" style="40"/>
    <col min="7416" max="7639" width="8.75" style="40"/>
    <col min="7640" max="7654" width="10.3666666666667" style="40"/>
    <col min="7655" max="7655" width="14.45" style="40" customWidth="1"/>
    <col min="7656" max="7656" width="12" style="40" customWidth="1"/>
    <col min="7657" max="7657" width="12.6333333333333" style="40" customWidth="1"/>
    <col min="7658" max="7658" width="10.3666666666667" style="40"/>
    <col min="7659" max="7659" width="14.2666666666667" style="40" customWidth="1"/>
    <col min="7660" max="7660" width="12" style="40" customWidth="1"/>
    <col min="7661" max="7661" width="15.5416666666667" style="40" customWidth="1"/>
    <col min="7662" max="7662" width="16.9083333333333" style="40" customWidth="1"/>
    <col min="7663" max="7663" width="14" style="40" customWidth="1"/>
    <col min="7664" max="7664" width="14.5416666666667" style="40" customWidth="1"/>
    <col min="7665" max="7671" width="10.3666666666667" style="40"/>
    <col min="7672" max="7895" width="8.75" style="40"/>
    <col min="7896" max="7910" width="10.3666666666667" style="40"/>
    <col min="7911" max="7911" width="14.45" style="40" customWidth="1"/>
    <col min="7912" max="7912" width="12" style="40" customWidth="1"/>
    <col min="7913" max="7913" width="12.6333333333333" style="40" customWidth="1"/>
    <col min="7914" max="7914" width="10.3666666666667" style="40"/>
    <col min="7915" max="7915" width="14.2666666666667" style="40" customWidth="1"/>
    <col min="7916" max="7916" width="12" style="40" customWidth="1"/>
    <col min="7917" max="7917" width="15.5416666666667" style="40" customWidth="1"/>
    <col min="7918" max="7918" width="16.9083333333333" style="40" customWidth="1"/>
    <col min="7919" max="7919" width="14" style="40" customWidth="1"/>
    <col min="7920" max="7920" width="14.5416666666667" style="40" customWidth="1"/>
    <col min="7921" max="7927" width="10.3666666666667" style="40"/>
    <col min="7928" max="8151" width="8.75" style="40"/>
    <col min="8152" max="8166" width="10.3666666666667" style="40"/>
    <col min="8167" max="8167" width="14.45" style="40" customWidth="1"/>
    <col min="8168" max="8168" width="12" style="40" customWidth="1"/>
    <col min="8169" max="8169" width="12.6333333333333" style="40" customWidth="1"/>
    <col min="8170" max="8170" width="10.3666666666667" style="40"/>
    <col min="8171" max="8171" width="14.2666666666667" style="40" customWidth="1"/>
    <col min="8172" max="8172" width="12" style="40" customWidth="1"/>
    <col min="8173" max="8173" width="15.5416666666667" style="40" customWidth="1"/>
    <col min="8174" max="8174" width="16.9083333333333" style="40" customWidth="1"/>
    <col min="8175" max="8175" width="14" style="40" customWidth="1"/>
    <col min="8176" max="8176" width="14.5416666666667" style="40" customWidth="1"/>
    <col min="8177" max="8183" width="10.3666666666667" style="40"/>
    <col min="8184" max="8407" width="8.75" style="40"/>
    <col min="8408" max="8422" width="10.3666666666667" style="40"/>
    <col min="8423" max="8423" width="14.45" style="40" customWidth="1"/>
    <col min="8424" max="8424" width="12" style="40" customWidth="1"/>
    <col min="8425" max="8425" width="12.6333333333333" style="40" customWidth="1"/>
    <col min="8426" max="8426" width="10.3666666666667" style="40"/>
    <col min="8427" max="8427" width="14.2666666666667" style="40" customWidth="1"/>
    <col min="8428" max="8428" width="12" style="40" customWidth="1"/>
    <col min="8429" max="8429" width="15.5416666666667" style="40" customWidth="1"/>
    <col min="8430" max="8430" width="16.9083333333333" style="40" customWidth="1"/>
    <col min="8431" max="8431" width="14" style="40" customWidth="1"/>
    <col min="8432" max="8432" width="14.5416666666667" style="40" customWidth="1"/>
    <col min="8433" max="8439" width="10.3666666666667" style="40"/>
    <col min="8440" max="8663" width="8.75" style="40"/>
    <col min="8664" max="8678" width="10.3666666666667" style="40"/>
    <col min="8679" max="8679" width="14.45" style="40" customWidth="1"/>
    <col min="8680" max="8680" width="12" style="40" customWidth="1"/>
    <col min="8681" max="8681" width="12.6333333333333" style="40" customWidth="1"/>
    <col min="8682" max="8682" width="10.3666666666667" style="40"/>
    <col min="8683" max="8683" width="14.2666666666667" style="40" customWidth="1"/>
    <col min="8684" max="8684" width="12" style="40" customWidth="1"/>
    <col min="8685" max="8685" width="15.5416666666667" style="40" customWidth="1"/>
    <col min="8686" max="8686" width="16.9083333333333" style="40" customWidth="1"/>
    <col min="8687" max="8687" width="14" style="40" customWidth="1"/>
    <col min="8688" max="8688" width="14.5416666666667" style="40" customWidth="1"/>
    <col min="8689" max="8695" width="10.3666666666667" style="40"/>
    <col min="8696" max="8919" width="8.75" style="40"/>
    <col min="8920" max="8934" width="10.3666666666667" style="40"/>
    <col min="8935" max="8935" width="14.45" style="40" customWidth="1"/>
    <col min="8936" max="8936" width="12" style="40" customWidth="1"/>
    <col min="8937" max="8937" width="12.6333333333333" style="40" customWidth="1"/>
    <col min="8938" max="8938" width="10.3666666666667" style="40"/>
    <col min="8939" max="8939" width="14.2666666666667" style="40" customWidth="1"/>
    <col min="8940" max="8940" width="12" style="40" customWidth="1"/>
    <col min="8941" max="8941" width="15.5416666666667" style="40" customWidth="1"/>
    <col min="8942" max="8942" width="16.9083333333333" style="40" customWidth="1"/>
    <col min="8943" max="8943" width="14" style="40" customWidth="1"/>
    <col min="8944" max="8944" width="14.5416666666667" style="40" customWidth="1"/>
    <col min="8945" max="8951" width="10.3666666666667" style="40"/>
    <col min="8952" max="9175" width="8.75" style="40"/>
    <col min="9176" max="9190" width="10.3666666666667" style="40"/>
    <col min="9191" max="9191" width="14.45" style="40" customWidth="1"/>
    <col min="9192" max="9192" width="12" style="40" customWidth="1"/>
    <col min="9193" max="9193" width="12.6333333333333" style="40" customWidth="1"/>
    <col min="9194" max="9194" width="10.3666666666667" style="40"/>
    <col min="9195" max="9195" width="14.2666666666667" style="40" customWidth="1"/>
    <col min="9196" max="9196" width="12" style="40" customWidth="1"/>
    <col min="9197" max="9197" width="15.5416666666667" style="40" customWidth="1"/>
    <col min="9198" max="9198" width="16.9083333333333" style="40" customWidth="1"/>
    <col min="9199" max="9199" width="14" style="40" customWidth="1"/>
    <col min="9200" max="9200" width="14.5416666666667" style="40" customWidth="1"/>
    <col min="9201" max="9207" width="10.3666666666667" style="40"/>
    <col min="9208" max="9431" width="8.75" style="40"/>
    <col min="9432" max="9446" width="10.3666666666667" style="40"/>
    <col min="9447" max="9447" width="14.45" style="40" customWidth="1"/>
    <col min="9448" max="9448" width="12" style="40" customWidth="1"/>
    <col min="9449" max="9449" width="12.6333333333333" style="40" customWidth="1"/>
    <col min="9450" max="9450" width="10.3666666666667" style="40"/>
    <col min="9451" max="9451" width="14.2666666666667" style="40" customWidth="1"/>
    <col min="9452" max="9452" width="12" style="40" customWidth="1"/>
    <col min="9453" max="9453" width="15.5416666666667" style="40" customWidth="1"/>
    <col min="9454" max="9454" width="16.9083333333333" style="40" customWidth="1"/>
    <col min="9455" max="9455" width="14" style="40" customWidth="1"/>
    <col min="9456" max="9456" width="14.5416666666667" style="40" customWidth="1"/>
    <col min="9457" max="9463" width="10.3666666666667" style="40"/>
    <col min="9464" max="9687" width="8.75" style="40"/>
    <col min="9688" max="9702" width="10.3666666666667" style="40"/>
    <col min="9703" max="9703" width="14.45" style="40" customWidth="1"/>
    <col min="9704" max="9704" width="12" style="40" customWidth="1"/>
    <col min="9705" max="9705" width="12.6333333333333" style="40" customWidth="1"/>
    <col min="9706" max="9706" width="10.3666666666667" style="40"/>
    <col min="9707" max="9707" width="14.2666666666667" style="40" customWidth="1"/>
    <col min="9708" max="9708" width="12" style="40" customWidth="1"/>
    <col min="9709" max="9709" width="15.5416666666667" style="40" customWidth="1"/>
    <col min="9710" max="9710" width="16.9083333333333" style="40" customWidth="1"/>
    <col min="9711" max="9711" width="14" style="40" customWidth="1"/>
    <col min="9712" max="9712" width="14.5416666666667" style="40" customWidth="1"/>
    <col min="9713" max="9719" width="10.3666666666667" style="40"/>
    <col min="9720" max="9943" width="8.75" style="40"/>
    <col min="9944" max="9958" width="10.3666666666667" style="40"/>
    <col min="9959" max="9959" width="14.45" style="40" customWidth="1"/>
    <col min="9960" max="9960" width="12" style="40" customWidth="1"/>
    <col min="9961" max="9961" width="12.6333333333333" style="40" customWidth="1"/>
    <col min="9962" max="9962" width="10.3666666666667" style="40"/>
    <col min="9963" max="9963" width="14.2666666666667" style="40" customWidth="1"/>
    <col min="9964" max="9964" width="12" style="40" customWidth="1"/>
    <col min="9965" max="9965" width="15.5416666666667" style="40" customWidth="1"/>
    <col min="9966" max="9966" width="16.9083333333333" style="40" customWidth="1"/>
    <col min="9967" max="9967" width="14" style="40" customWidth="1"/>
    <col min="9968" max="9968" width="14.5416666666667" style="40" customWidth="1"/>
    <col min="9969" max="9975" width="10.3666666666667" style="40"/>
    <col min="9976" max="10199" width="8.75" style="40"/>
    <col min="10200" max="10214" width="10.3666666666667" style="40"/>
    <col min="10215" max="10215" width="14.45" style="40" customWidth="1"/>
    <col min="10216" max="10216" width="12" style="40" customWidth="1"/>
    <col min="10217" max="10217" width="12.6333333333333" style="40" customWidth="1"/>
    <col min="10218" max="10218" width="10.3666666666667" style="40"/>
    <col min="10219" max="10219" width="14.2666666666667" style="40" customWidth="1"/>
    <col min="10220" max="10220" width="12" style="40" customWidth="1"/>
    <col min="10221" max="10221" width="15.5416666666667" style="40" customWidth="1"/>
    <col min="10222" max="10222" width="16.9083333333333" style="40" customWidth="1"/>
    <col min="10223" max="10223" width="14" style="40" customWidth="1"/>
    <col min="10224" max="10224" width="14.5416666666667" style="40" customWidth="1"/>
    <col min="10225" max="10231" width="10.3666666666667" style="40"/>
    <col min="10232" max="10455" width="8.75" style="40"/>
    <col min="10456" max="10470" width="10.3666666666667" style="40"/>
    <col min="10471" max="10471" width="14.45" style="40" customWidth="1"/>
    <col min="10472" max="10472" width="12" style="40" customWidth="1"/>
    <col min="10473" max="10473" width="12.6333333333333" style="40" customWidth="1"/>
    <col min="10474" max="10474" width="10.3666666666667" style="40"/>
    <col min="10475" max="10475" width="14.2666666666667" style="40" customWidth="1"/>
    <col min="10476" max="10476" width="12" style="40" customWidth="1"/>
    <col min="10477" max="10477" width="15.5416666666667" style="40" customWidth="1"/>
    <col min="10478" max="10478" width="16.9083333333333" style="40" customWidth="1"/>
    <col min="10479" max="10479" width="14" style="40" customWidth="1"/>
    <col min="10480" max="10480" width="14.5416666666667" style="40" customWidth="1"/>
    <col min="10481" max="10487" width="10.3666666666667" style="40"/>
    <col min="10488" max="10711" width="8.75" style="40"/>
    <col min="10712" max="10726" width="10.3666666666667" style="40"/>
    <col min="10727" max="10727" width="14.45" style="40" customWidth="1"/>
    <col min="10728" max="10728" width="12" style="40" customWidth="1"/>
    <col min="10729" max="10729" width="12.6333333333333" style="40" customWidth="1"/>
    <col min="10730" max="10730" width="10.3666666666667" style="40"/>
    <col min="10731" max="10731" width="14.2666666666667" style="40" customWidth="1"/>
    <col min="10732" max="10732" width="12" style="40" customWidth="1"/>
    <col min="10733" max="10733" width="15.5416666666667" style="40" customWidth="1"/>
    <col min="10734" max="10734" width="16.9083333333333" style="40" customWidth="1"/>
    <col min="10735" max="10735" width="14" style="40" customWidth="1"/>
    <col min="10736" max="10736" width="14.5416666666667" style="40" customWidth="1"/>
    <col min="10737" max="10743" width="10.3666666666667" style="40"/>
    <col min="10744" max="10967" width="8.75" style="40"/>
    <col min="10968" max="10982" width="10.3666666666667" style="40"/>
    <col min="10983" max="10983" width="14.45" style="40" customWidth="1"/>
    <col min="10984" max="10984" width="12" style="40" customWidth="1"/>
    <col min="10985" max="10985" width="12.6333333333333" style="40" customWidth="1"/>
    <col min="10986" max="10986" width="10.3666666666667" style="40"/>
    <col min="10987" max="10987" width="14.2666666666667" style="40" customWidth="1"/>
    <col min="10988" max="10988" width="12" style="40" customWidth="1"/>
    <col min="10989" max="10989" width="15.5416666666667" style="40" customWidth="1"/>
    <col min="10990" max="10990" width="16.9083333333333" style="40" customWidth="1"/>
    <col min="10991" max="10991" width="14" style="40" customWidth="1"/>
    <col min="10992" max="10992" width="14.5416666666667" style="40" customWidth="1"/>
    <col min="10993" max="10999" width="10.3666666666667" style="40"/>
    <col min="11000" max="11223" width="8.75" style="40"/>
    <col min="11224" max="11238" width="10.3666666666667" style="40"/>
    <col min="11239" max="11239" width="14.45" style="40" customWidth="1"/>
    <col min="11240" max="11240" width="12" style="40" customWidth="1"/>
    <col min="11241" max="11241" width="12.6333333333333" style="40" customWidth="1"/>
    <col min="11242" max="11242" width="10.3666666666667" style="40"/>
    <col min="11243" max="11243" width="14.2666666666667" style="40" customWidth="1"/>
    <col min="11244" max="11244" width="12" style="40" customWidth="1"/>
    <col min="11245" max="11245" width="15.5416666666667" style="40" customWidth="1"/>
    <col min="11246" max="11246" width="16.9083333333333" style="40" customWidth="1"/>
    <col min="11247" max="11247" width="14" style="40" customWidth="1"/>
    <col min="11248" max="11248" width="14.5416666666667" style="40" customWidth="1"/>
    <col min="11249" max="11255" width="10.3666666666667" style="40"/>
    <col min="11256" max="11479" width="8.75" style="40"/>
    <col min="11480" max="11494" width="10.3666666666667" style="40"/>
    <col min="11495" max="11495" width="14.45" style="40" customWidth="1"/>
    <col min="11496" max="11496" width="12" style="40" customWidth="1"/>
    <col min="11497" max="11497" width="12.6333333333333" style="40" customWidth="1"/>
    <col min="11498" max="11498" width="10.3666666666667" style="40"/>
    <col min="11499" max="11499" width="14.2666666666667" style="40" customWidth="1"/>
    <col min="11500" max="11500" width="12" style="40" customWidth="1"/>
    <col min="11501" max="11501" width="15.5416666666667" style="40" customWidth="1"/>
    <col min="11502" max="11502" width="16.9083333333333" style="40" customWidth="1"/>
    <col min="11503" max="11503" width="14" style="40" customWidth="1"/>
    <col min="11504" max="11504" width="14.5416666666667" style="40" customWidth="1"/>
    <col min="11505" max="11511" width="10.3666666666667" style="40"/>
    <col min="11512" max="11735" width="8.75" style="40"/>
    <col min="11736" max="11750" width="10.3666666666667" style="40"/>
    <col min="11751" max="11751" width="14.45" style="40" customWidth="1"/>
    <col min="11752" max="11752" width="12" style="40" customWidth="1"/>
    <col min="11753" max="11753" width="12.6333333333333" style="40" customWidth="1"/>
    <col min="11754" max="11754" width="10.3666666666667" style="40"/>
    <col min="11755" max="11755" width="14.2666666666667" style="40" customWidth="1"/>
    <col min="11756" max="11756" width="12" style="40" customWidth="1"/>
    <col min="11757" max="11757" width="15.5416666666667" style="40" customWidth="1"/>
    <col min="11758" max="11758" width="16.9083333333333" style="40" customWidth="1"/>
    <col min="11759" max="11759" width="14" style="40" customWidth="1"/>
    <col min="11760" max="11760" width="14.5416666666667" style="40" customWidth="1"/>
    <col min="11761" max="11767" width="10.3666666666667" style="40"/>
    <col min="11768" max="11991" width="8.75" style="40"/>
    <col min="11992" max="12006" width="10.3666666666667" style="40"/>
    <col min="12007" max="12007" width="14.45" style="40" customWidth="1"/>
    <col min="12008" max="12008" width="12" style="40" customWidth="1"/>
    <col min="12009" max="12009" width="12.6333333333333" style="40" customWidth="1"/>
    <col min="12010" max="12010" width="10.3666666666667" style="40"/>
    <col min="12011" max="12011" width="14.2666666666667" style="40" customWidth="1"/>
    <col min="12012" max="12012" width="12" style="40" customWidth="1"/>
    <col min="12013" max="12013" width="15.5416666666667" style="40" customWidth="1"/>
    <col min="12014" max="12014" width="16.9083333333333" style="40" customWidth="1"/>
    <col min="12015" max="12015" width="14" style="40" customWidth="1"/>
    <col min="12016" max="12016" width="14.5416666666667" style="40" customWidth="1"/>
    <col min="12017" max="12023" width="10.3666666666667" style="40"/>
    <col min="12024" max="12247" width="8.75" style="40"/>
    <col min="12248" max="12262" width="10.3666666666667" style="40"/>
    <col min="12263" max="12263" width="14.45" style="40" customWidth="1"/>
    <col min="12264" max="12264" width="12" style="40" customWidth="1"/>
    <col min="12265" max="12265" width="12.6333333333333" style="40" customWidth="1"/>
    <col min="12266" max="12266" width="10.3666666666667" style="40"/>
    <col min="12267" max="12267" width="14.2666666666667" style="40" customWidth="1"/>
    <col min="12268" max="12268" width="12" style="40" customWidth="1"/>
    <col min="12269" max="12269" width="15.5416666666667" style="40" customWidth="1"/>
    <col min="12270" max="12270" width="16.9083333333333" style="40" customWidth="1"/>
    <col min="12271" max="12271" width="14" style="40" customWidth="1"/>
    <col min="12272" max="12272" width="14.5416666666667" style="40" customWidth="1"/>
    <col min="12273" max="12279" width="10.3666666666667" style="40"/>
    <col min="12280" max="12503" width="8.75" style="40"/>
    <col min="12504" max="12518" width="10.3666666666667" style="40"/>
    <col min="12519" max="12519" width="14.45" style="40" customWidth="1"/>
    <col min="12520" max="12520" width="12" style="40" customWidth="1"/>
    <col min="12521" max="12521" width="12.6333333333333" style="40" customWidth="1"/>
    <col min="12522" max="12522" width="10.3666666666667" style="40"/>
    <col min="12523" max="12523" width="14.2666666666667" style="40" customWidth="1"/>
    <col min="12524" max="12524" width="12" style="40" customWidth="1"/>
    <col min="12525" max="12525" width="15.5416666666667" style="40" customWidth="1"/>
    <col min="12526" max="12526" width="16.9083333333333" style="40" customWidth="1"/>
    <col min="12527" max="12527" width="14" style="40" customWidth="1"/>
    <col min="12528" max="12528" width="14.5416666666667" style="40" customWidth="1"/>
    <col min="12529" max="12535" width="10.3666666666667" style="40"/>
    <col min="12536" max="12759" width="8.75" style="40"/>
    <col min="12760" max="12774" width="10.3666666666667" style="40"/>
    <col min="12775" max="12775" width="14.45" style="40" customWidth="1"/>
    <col min="12776" max="12776" width="12" style="40" customWidth="1"/>
    <col min="12777" max="12777" width="12.6333333333333" style="40" customWidth="1"/>
    <col min="12778" max="12778" width="10.3666666666667" style="40"/>
    <col min="12779" max="12779" width="14.2666666666667" style="40" customWidth="1"/>
    <col min="12780" max="12780" width="12" style="40" customWidth="1"/>
    <col min="12781" max="12781" width="15.5416666666667" style="40" customWidth="1"/>
    <col min="12782" max="12782" width="16.9083333333333" style="40" customWidth="1"/>
    <col min="12783" max="12783" width="14" style="40" customWidth="1"/>
    <col min="12784" max="12784" width="14.5416666666667" style="40" customWidth="1"/>
    <col min="12785" max="12791" width="10.3666666666667" style="40"/>
    <col min="12792" max="13015" width="8.75" style="40"/>
    <col min="13016" max="13030" width="10.3666666666667" style="40"/>
    <col min="13031" max="13031" width="14.45" style="40" customWidth="1"/>
    <col min="13032" max="13032" width="12" style="40" customWidth="1"/>
    <col min="13033" max="13033" width="12.6333333333333" style="40" customWidth="1"/>
    <col min="13034" max="13034" width="10.3666666666667" style="40"/>
    <col min="13035" max="13035" width="14.2666666666667" style="40" customWidth="1"/>
    <col min="13036" max="13036" width="12" style="40" customWidth="1"/>
    <col min="13037" max="13037" width="15.5416666666667" style="40" customWidth="1"/>
    <col min="13038" max="13038" width="16.9083333333333" style="40" customWidth="1"/>
    <col min="13039" max="13039" width="14" style="40" customWidth="1"/>
    <col min="13040" max="13040" width="14.5416666666667" style="40" customWidth="1"/>
    <col min="13041" max="13047" width="10.3666666666667" style="40"/>
    <col min="13048" max="13271" width="8.75" style="40"/>
    <col min="13272" max="13286" width="10.3666666666667" style="40"/>
    <col min="13287" max="13287" width="14.45" style="40" customWidth="1"/>
    <col min="13288" max="13288" width="12" style="40" customWidth="1"/>
    <col min="13289" max="13289" width="12.6333333333333" style="40" customWidth="1"/>
    <col min="13290" max="13290" width="10.3666666666667" style="40"/>
    <col min="13291" max="13291" width="14.2666666666667" style="40" customWidth="1"/>
    <col min="13292" max="13292" width="12" style="40" customWidth="1"/>
    <col min="13293" max="13293" width="15.5416666666667" style="40" customWidth="1"/>
    <col min="13294" max="13294" width="16.9083333333333" style="40" customWidth="1"/>
    <col min="13295" max="13295" width="14" style="40" customWidth="1"/>
    <col min="13296" max="13296" width="14.5416666666667" style="40" customWidth="1"/>
    <col min="13297" max="13303" width="10.3666666666667" style="40"/>
    <col min="13304" max="13527" width="8.75" style="40"/>
    <col min="13528" max="13542" width="10.3666666666667" style="40"/>
    <col min="13543" max="13543" width="14.45" style="40" customWidth="1"/>
    <col min="13544" max="13544" width="12" style="40" customWidth="1"/>
    <col min="13545" max="13545" width="12.6333333333333" style="40" customWidth="1"/>
    <col min="13546" max="13546" width="10.3666666666667" style="40"/>
    <col min="13547" max="13547" width="14.2666666666667" style="40" customWidth="1"/>
    <col min="13548" max="13548" width="12" style="40" customWidth="1"/>
    <col min="13549" max="13549" width="15.5416666666667" style="40" customWidth="1"/>
    <col min="13550" max="13550" width="16.9083333333333" style="40" customWidth="1"/>
    <col min="13551" max="13551" width="14" style="40" customWidth="1"/>
    <col min="13552" max="13552" width="14.5416666666667" style="40" customWidth="1"/>
    <col min="13553" max="13559" width="10.3666666666667" style="40"/>
    <col min="13560" max="13783" width="8.75" style="40"/>
    <col min="13784" max="13798" width="10.3666666666667" style="40"/>
    <col min="13799" max="13799" width="14.45" style="40" customWidth="1"/>
    <col min="13800" max="13800" width="12" style="40" customWidth="1"/>
    <col min="13801" max="13801" width="12.6333333333333" style="40" customWidth="1"/>
    <col min="13802" max="13802" width="10.3666666666667" style="40"/>
    <col min="13803" max="13803" width="14.2666666666667" style="40" customWidth="1"/>
    <col min="13804" max="13804" width="12" style="40" customWidth="1"/>
    <col min="13805" max="13805" width="15.5416666666667" style="40" customWidth="1"/>
    <col min="13806" max="13806" width="16.9083333333333" style="40" customWidth="1"/>
    <col min="13807" max="13807" width="14" style="40" customWidth="1"/>
    <col min="13808" max="13808" width="14.5416666666667" style="40" customWidth="1"/>
    <col min="13809" max="13815" width="10.3666666666667" style="40"/>
    <col min="13816" max="14039" width="8.75" style="40"/>
    <col min="14040" max="14054" width="10.3666666666667" style="40"/>
    <col min="14055" max="14055" width="14.45" style="40" customWidth="1"/>
    <col min="14056" max="14056" width="12" style="40" customWidth="1"/>
    <col min="14057" max="14057" width="12.6333333333333" style="40" customWidth="1"/>
    <col min="14058" max="14058" width="10.3666666666667" style="40"/>
    <col min="14059" max="14059" width="14.2666666666667" style="40" customWidth="1"/>
    <col min="14060" max="14060" width="12" style="40" customWidth="1"/>
    <col min="14061" max="14061" width="15.5416666666667" style="40" customWidth="1"/>
    <col min="14062" max="14062" width="16.9083333333333" style="40" customWidth="1"/>
    <col min="14063" max="14063" width="14" style="40" customWidth="1"/>
    <col min="14064" max="14064" width="14.5416666666667" style="40" customWidth="1"/>
    <col min="14065" max="14071" width="10.3666666666667" style="40"/>
    <col min="14072" max="14295" width="8.75" style="40"/>
    <col min="14296" max="14310" width="10.3666666666667" style="40"/>
    <col min="14311" max="14311" width="14.45" style="40" customWidth="1"/>
    <col min="14312" max="14312" width="12" style="40" customWidth="1"/>
    <col min="14313" max="14313" width="12.6333333333333" style="40" customWidth="1"/>
    <col min="14314" max="14314" width="10.3666666666667" style="40"/>
    <col min="14315" max="14315" width="14.2666666666667" style="40" customWidth="1"/>
    <col min="14316" max="14316" width="12" style="40" customWidth="1"/>
    <col min="14317" max="14317" width="15.5416666666667" style="40" customWidth="1"/>
    <col min="14318" max="14318" width="16.9083333333333" style="40" customWidth="1"/>
    <col min="14319" max="14319" width="14" style="40" customWidth="1"/>
    <col min="14320" max="14320" width="14.5416666666667" style="40" customWidth="1"/>
    <col min="14321" max="14327" width="10.3666666666667" style="40"/>
    <col min="14328" max="14551" width="8.75" style="40"/>
    <col min="14552" max="14566" width="10.3666666666667" style="40"/>
    <col min="14567" max="14567" width="14.45" style="40" customWidth="1"/>
    <col min="14568" max="14568" width="12" style="40" customWidth="1"/>
    <col min="14569" max="14569" width="12.6333333333333" style="40" customWidth="1"/>
    <col min="14570" max="14570" width="10.3666666666667" style="40"/>
    <col min="14571" max="14571" width="14.2666666666667" style="40" customWidth="1"/>
    <col min="14572" max="14572" width="12" style="40" customWidth="1"/>
    <col min="14573" max="14573" width="15.5416666666667" style="40" customWidth="1"/>
    <col min="14574" max="14574" width="16.9083333333333" style="40" customWidth="1"/>
    <col min="14575" max="14575" width="14" style="40" customWidth="1"/>
    <col min="14576" max="14576" width="14.5416666666667" style="40" customWidth="1"/>
    <col min="14577" max="14583" width="10.3666666666667" style="40"/>
    <col min="14584" max="14807" width="8.75" style="40"/>
    <col min="14808" max="14822" width="10.3666666666667" style="40"/>
    <col min="14823" max="14823" width="14.45" style="40" customWidth="1"/>
    <col min="14824" max="14824" width="12" style="40" customWidth="1"/>
    <col min="14825" max="14825" width="12.6333333333333" style="40" customWidth="1"/>
    <col min="14826" max="14826" width="10.3666666666667" style="40"/>
    <col min="14827" max="14827" width="14.2666666666667" style="40" customWidth="1"/>
    <col min="14828" max="14828" width="12" style="40" customWidth="1"/>
    <col min="14829" max="14829" width="15.5416666666667" style="40" customWidth="1"/>
    <col min="14830" max="14830" width="16.9083333333333" style="40" customWidth="1"/>
    <col min="14831" max="14831" width="14" style="40" customWidth="1"/>
    <col min="14832" max="14832" width="14.5416666666667" style="40" customWidth="1"/>
    <col min="14833" max="14839" width="10.3666666666667" style="40"/>
    <col min="14840" max="15063" width="8.75" style="40"/>
    <col min="15064" max="15078" width="10.3666666666667" style="40"/>
    <col min="15079" max="15079" width="14.45" style="40" customWidth="1"/>
    <col min="15080" max="15080" width="12" style="40" customWidth="1"/>
    <col min="15081" max="15081" width="12.6333333333333" style="40" customWidth="1"/>
    <col min="15082" max="15082" width="10.3666666666667" style="40"/>
    <col min="15083" max="15083" width="14.2666666666667" style="40" customWidth="1"/>
    <col min="15084" max="15084" width="12" style="40" customWidth="1"/>
    <col min="15085" max="15085" width="15.5416666666667" style="40" customWidth="1"/>
    <col min="15086" max="15086" width="16.9083333333333" style="40" customWidth="1"/>
    <col min="15087" max="15087" width="14" style="40" customWidth="1"/>
    <col min="15088" max="15088" width="14.5416666666667" style="40" customWidth="1"/>
    <col min="15089" max="15095" width="10.3666666666667" style="40"/>
    <col min="15096" max="15319" width="8.75" style="40"/>
    <col min="15320" max="15334" width="10.3666666666667" style="40"/>
    <col min="15335" max="15335" width="14.45" style="40" customWidth="1"/>
    <col min="15336" max="15336" width="12" style="40" customWidth="1"/>
    <col min="15337" max="15337" width="12.6333333333333" style="40" customWidth="1"/>
    <col min="15338" max="15338" width="10.3666666666667" style="40"/>
    <col min="15339" max="15339" width="14.2666666666667" style="40" customWidth="1"/>
    <col min="15340" max="15340" width="12" style="40" customWidth="1"/>
    <col min="15341" max="15341" width="15.5416666666667" style="40" customWidth="1"/>
    <col min="15342" max="15342" width="16.9083333333333" style="40" customWidth="1"/>
    <col min="15343" max="15343" width="14" style="40" customWidth="1"/>
    <col min="15344" max="15344" width="14.5416666666667" style="40" customWidth="1"/>
    <col min="15345" max="15351" width="10.3666666666667" style="40"/>
    <col min="15352" max="15575" width="8.75" style="40"/>
    <col min="15576" max="15590" width="10.3666666666667" style="40"/>
    <col min="15591" max="15591" width="14.45" style="40" customWidth="1"/>
    <col min="15592" max="15592" width="12" style="40" customWidth="1"/>
    <col min="15593" max="15593" width="12.6333333333333" style="40" customWidth="1"/>
    <col min="15594" max="15594" width="10.3666666666667" style="40"/>
    <col min="15595" max="15595" width="14.2666666666667" style="40" customWidth="1"/>
    <col min="15596" max="15596" width="12" style="40" customWidth="1"/>
    <col min="15597" max="15597" width="15.5416666666667" style="40" customWidth="1"/>
    <col min="15598" max="15598" width="16.9083333333333" style="40" customWidth="1"/>
    <col min="15599" max="15599" width="14" style="40" customWidth="1"/>
    <col min="15600" max="15600" width="14.5416666666667" style="40" customWidth="1"/>
    <col min="15601" max="15607" width="10.3666666666667" style="40"/>
    <col min="15608" max="15831" width="8.75" style="40"/>
    <col min="15832" max="15846" width="10.3666666666667" style="40"/>
    <col min="15847" max="15847" width="14.45" style="40" customWidth="1"/>
    <col min="15848" max="15848" width="12" style="40" customWidth="1"/>
    <col min="15849" max="15849" width="12.6333333333333" style="40" customWidth="1"/>
    <col min="15850" max="15850" width="10.3666666666667" style="40"/>
    <col min="15851" max="15851" width="14.2666666666667" style="40" customWidth="1"/>
    <col min="15852" max="15852" width="12" style="40" customWidth="1"/>
    <col min="15853" max="15853" width="15.5416666666667" style="40" customWidth="1"/>
    <col min="15854" max="15854" width="16.9083333333333" style="40" customWidth="1"/>
    <col min="15855" max="15855" width="14" style="40" customWidth="1"/>
    <col min="15856" max="15856" width="14.5416666666667" style="40" customWidth="1"/>
    <col min="15857" max="15863" width="10.3666666666667" style="40"/>
    <col min="15864" max="16087" width="8.75" style="40"/>
    <col min="16088" max="16102" width="10.3666666666667" style="40"/>
    <col min="16103" max="16103" width="14.45" style="40" customWidth="1"/>
    <col min="16104" max="16104" width="12" style="40" customWidth="1"/>
    <col min="16105" max="16105" width="12.6333333333333" style="40" customWidth="1"/>
    <col min="16106" max="16106" width="10.3666666666667" style="40"/>
    <col min="16107" max="16107" width="14.2666666666667" style="40" customWidth="1"/>
    <col min="16108" max="16108" width="12" style="40" customWidth="1"/>
    <col min="16109" max="16109" width="15.5416666666667" style="40" customWidth="1"/>
    <col min="16110" max="16110" width="16.9083333333333" style="40" customWidth="1"/>
    <col min="16111" max="16111" width="14" style="40" customWidth="1"/>
    <col min="16112" max="16112" width="14.5416666666667" style="40" customWidth="1"/>
    <col min="16113" max="16119" width="10.3666666666667" style="40"/>
    <col min="16120" max="16343" width="8.75" style="40"/>
    <col min="16344" max="16351" width="10.3666666666667" style="40"/>
    <col min="16352" max="16384" width="10.3666666666667" style="43"/>
  </cols>
  <sheetData>
    <row r="1" s="40" customFormat="1" ht="43" customHeight="1" spans="1:33">
      <c r="A1" s="44" t="str">
        <f>"2021年"&amp;说明!$B$7&amp;"月份工资合计表"</f>
        <v>2021年8月份工资合计表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="41" customFormat="1" ht="45" customHeight="1" spans="1:33">
      <c r="A2" s="45" t="s">
        <v>622</v>
      </c>
      <c r="B2" s="46" t="s">
        <v>623</v>
      </c>
      <c r="C2" s="46" t="s">
        <v>10</v>
      </c>
      <c r="D2" s="47" t="s">
        <v>18</v>
      </c>
      <c r="E2" s="48" t="s">
        <v>20</v>
      </c>
      <c r="F2" s="48" t="s">
        <v>21</v>
      </c>
      <c r="G2" s="48" t="s">
        <v>22</v>
      </c>
      <c r="H2" s="48" t="s">
        <v>23</v>
      </c>
      <c r="I2" s="48" t="s">
        <v>624</v>
      </c>
      <c r="J2" s="48" t="s">
        <v>24</v>
      </c>
      <c r="K2" s="48" t="s">
        <v>25</v>
      </c>
      <c r="L2" s="48" t="s">
        <v>625</v>
      </c>
      <c r="M2" s="48" t="s">
        <v>26</v>
      </c>
      <c r="N2" s="48" t="s">
        <v>626</v>
      </c>
      <c r="O2" s="48" t="s">
        <v>627</v>
      </c>
      <c r="P2" s="48" t="s">
        <v>28</v>
      </c>
      <c r="Q2" s="48" t="s">
        <v>628</v>
      </c>
      <c r="R2" s="48" t="s">
        <v>29</v>
      </c>
      <c r="S2" s="48" t="s">
        <v>32</v>
      </c>
      <c r="T2" s="48" t="s">
        <v>629</v>
      </c>
      <c r="U2" s="48" t="s">
        <v>33</v>
      </c>
      <c r="V2" s="48" t="s">
        <v>31</v>
      </c>
      <c r="W2" s="48" t="s">
        <v>630</v>
      </c>
      <c r="X2" s="48" t="s">
        <v>34</v>
      </c>
      <c r="Y2" s="48" t="s">
        <v>35</v>
      </c>
      <c r="Z2" s="48" t="s">
        <v>36</v>
      </c>
      <c r="AA2" s="48" t="s">
        <v>37</v>
      </c>
      <c r="AB2" s="48" t="s">
        <v>38</v>
      </c>
      <c r="AC2" s="48" t="s">
        <v>39</v>
      </c>
      <c r="AD2" s="48" t="s">
        <v>41</v>
      </c>
      <c r="AE2" s="48" t="s">
        <v>631</v>
      </c>
      <c r="AF2" s="48" t="s">
        <v>632</v>
      </c>
      <c r="AG2" s="48" t="s">
        <v>42</v>
      </c>
    </row>
    <row r="3" s="40" customFormat="1" ht="45" customHeight="1" spans="1:33">
      <c r="A3" s="49" t="s">
        <v>283</v>
      </c>
      <c r="B3" s="49" t="s">
        <v>290</v>
      </c>
      <c r="C3" s="49">
        <f>IF(B3="","",COUNTIF(工资!AH:AH,B3))</f>
        <v>5</v>
      </c>
      <c r="D3" s="50">
        <f>SUMIF(工资!$AH:$AH,"管理人员",工资!F:F)</f>
        <v>8950</v>
      </c>
      <c r="E3" s="50">
        <f>SUMIF(工资!$AH:$AH,"管理人员",工资!H:H)</f>
        <v>21922.0365977011</v>
      </c>
      <c r="F3" s="50">
        <f>SUMIF(工资!$AH:$AH,"管理人员",工资!I:I)</f>
        <v>6450.308</v>
      </c>
      <c r="G3" s="50">
        <f>SUMIF(工资!$AH:$AH,"管理人员",工资!J:J)</f>
        <v>0</v>
      </c>
      <c r="H3" s="50">
        <f>SUMIF(工资!$AH:$AH,"管理人员",工资!K:K)</f>
        <v>0</v>
      </c>
      <c r="I3" s="50" t="e">
        <f ca="1">SUMIF(工资!$AH:$AH,"管理人员",工资!#REF!)</f>
        <v>#REF!</v>
      </c>
      <c r="J3" s="50">
        <f>SUMIF(工资!$AH:$AH,"管理人员",工资!L:L)</f>
        <v>0</v>
      </c>
      <c r="K3" s="50">
        <f>SUMIF(工资!$AH:$AH,"管理人员",工资!M:M)</f>
        <v>0</v>
      </c>
      <c r="L3" s="50" t="e">
        <f ca="1">SUMIF(工资!$AH:$AH,"管理人员",工资!#REF!)</f>
        <v>#REF!</v>
      </c>
      <c r="M3" s="50">
        <f>SUMIF(工资!$AH:$AH,"管理人员",工资!N:N)</f>
        <v>890</v>
      </c>
      <c r="N3" s="50" t="e">
        <f ca="1">SUMIF(工资!$AH:$AH,"管理人员",工资!#REF!)</f>
        <v>#REF!</v>
      </c>
      <c r="O3" s="50" t="e">
        <f ca="1">SUMIF(工资!$AH:$AH,"管理人员",工资!#REF!)</f>
        <v>#REF!</v>
      </c>
      <c r="P3" s="16">
        <f>SUMIF(工资!$AH:$AH,"管理人员",工资!P:P)</f>
        <v>0</v>
      </c>
      <c r="Q3" s="50" t="e">
        <f ca="1">SUMIF(工资!$AH:$AH,"管理人员",工资!#REF!)</f>
        <v>#REF!</v>
      </c>
      <c r="R3" s="16">
        <f>SUMIF(工资!$AH:$AH,"管理人员",工资!Q:Q)</f>
        <v>575.58</v>
      </c>
      <c r="S3" s="50">
        <f>SUMIF(工资!$AH:$AH,"管理人员",工资!T:T)</f>
        <v>0</v>
      </c>
      <c r="T3" s="50">
        <f>SUMIF(工资!$AH:$AH,"管理人员",工资!R:R)</f>
        <v>0</v>
      </c>
      <c r="U3" s="50">
        <f>SUMIF(工资!$AH:$AH,"管理人员",工资!U:U)</f>
        <v>0</v>
      </c>
      <c r="V3" s="16">
        <f>SUMIF(工资!$AH:$AH,"管理人员",工资!S:S)</f>
        <v>-779.411764705882</v>
      </c>
      <c r="W3" s="50" t="e">
        <f ca="1">SUMIF(工资!$AH:$AH,"管理人员",工资!#REF!)</f>
        <v>#REF!</v>
      </c>
      <c r="X3" s="50">
        <f>SUMIF(工资!$AH:$AH,"管理人员",工资!V:V)</f>
        <v>0</v>
      </c>
      <c r="Y3" s="16">
        <f>SUMIF(工资!$AH:$AH,"管理人员",工资!W:W)</f>
        <v>38337.71</v>
      </c>
      <c r="Z3" s="16">
        <f>SUMIF(工资!$AH:$AH,"管理人员",工资!X:X)</f>
        <v>1448.02</v>
      </c>
      <c r="AA3" s="50">
        <f>SUMIF(工资!$AH:$AH,"管理人员",工资!Y:Y)</f>
        <v>528.48</v>
      </c>
      <c r="AB3" s="16">
        <f>SUMIF(工资!$AH:$AH,"管理人员",工资!Z:Z)</f>
        <v>65.03</v>
      </c>
      <c r="AC3" s="16">
        <f>SUMIF(工资!$AH:$AH,"管理人员",工资!AA:AA)</f>
        <v>1156</v>
      </c>
      <c r="AD3" s="16">
        <f>SUMIF(工资!$AH:$AH,"管理人员",工资!AC:AC)</f>
        <v>0</v>
      </c>
      <c r="AE3" s="16"/>
      <c r="AF3" s="16"/>
      <c r="AG3" s="16">
        <f>SUMIF(工资!$AH:$AH,"管理人员",工资!AD:AD)</f>
        <v>34618.02</v>
      </c>
    </row>
    <row r="4" s="40" customFormat="1" ht="45" customHeight="1" spans="1:33">
      <c r="A4" s="51"/>
      <c r="B4" s="51" t="s">
        <v>312</v>
      </c>
      <c r="C4" s="49">
        <f>IF(B4="","",COUNTIF(工资!AH:AH,B4))</f>
        <v>1</v>
      </c>
      <c r="D4" s="50">
        <f>SUMIF(工资!$AH:$AH,"辅助人员",工资!F:F)</f>
        <v>1790</v>
      </c>
      <c r="E4" s="50">
        <f>SUMIF(工资!$AH:$AH,"辅助人员",工资!H:H)</f>
        <v>2530</v>
      </c>
      <c r="F4" s="50">
        <f>SUMIF(工资!$AH:$AH,"辅助人员",工资!I:I)</f>
        <v>480</v>
      </c>
      <c r="G4" s="50">
        <f>SUMIF(工资!$AH:$AH,"辅助人员",工资!J:J)</f>
        <v>0</v>
      </c>
      <c r="H4" s="50">
        <f>SUMIF(工资!$AH:$AH,"辅助人员",工资!K:K)</f>
        <v>0</v>
      </c>
      <c r="I4" s="50" t="e">
        <f ca="1">SUMIF(工资!$AH:$AH,"辅助人员",工资!#REF!)</f>
        <v>#REF!</v>
      </c>
      <c r="J4" s="50">
        <f>SUMIF(工资!$AH:$AH,"辅助人员",工资!L:L)</f>
        <v>-48</v>
      </c>
      <c r="K4" s="16">
        <f>SUMIF(工资!$AH:$AH,"辅助人员",工资!M:M)</f>
        <v>115</v>
      </c>
      <c r="L4" s="50" t="e">
        <f ca="1">SUMIF(工资!$AH:$AH,"辅助人员",工资!#REF!)</f>
        <v>#REF!</v>
      </c>
      <c r="M4" s="50">
        <f>SUMIF(工资!$AH:$AH,"辅助人员",工资!N:N)</f>
        <v>0</v>
      </c>
      <c r="N4" s="50" t="e">
        <f ca="1">SUMIF(工资!$AH:$AH,"辅助人员",工资!#REF!)</f>
        <v>#REF!</v>
      </c>
      <c r="O4" s="50" t="e">
        <f ca="1">SUMIF(工资!$AH:$AH,"辅助人员",工资!#REF!)</f>
        <v>#REF!</v>
      </c>
      <c r="P4" s="16">
        <f>SUMIF(工资!$AH:$AH,"辅助人员",工资!P:P)</f>
        <v>170</v>
      </c>
      <c r="Q4" s="50" t="e">
        <f ca="1">SUMIF(工资!$AH:$AH,"辅助人员",工资!#REF!)</f>
        <v>#REF!</v>
      </c>
      <c r="R4" s="16">
        <f>SUMIF(工资!$AH:$AH,"辅助人员",工资!Q:Q)</f>
        <v>0</v>
      </c>
      <c r="S4" s="50">
        <f>SUMIF(工资!$AH:$AH,"辅助人员",工资!T:T)</f>
        <v>0</v>
      </c>
      <c r="T4" s="50">
        <f>SUMIF(工资!$AH:$AH,"辅助人员",工资!R:R)</f>
        <v>0</v>
      </c>
      <c r="U4" s="50">
        <f>SUMIF(工资!$AH:$AH,"辅助人员",工资!U:U)</f>
        <v>0</v>
      </c>
      <c r="V4" s="16">
        <f>SUMIF(工资!$AH:$AH,"辅助人员",工资!S:S)</f>
        <v>-96</v>
      </c>
      <c r="W4" s="50" t="e">
        <f ca="1">SUMIF(工资!$AH:$AH,"辅助人员",工资!#REF!)</f>
        <v>#REF!</v>
      </c>
      <c r="X4" s="50">
        <f>SUMIF(工资!$AH:$AH,"辅助人员",工资!V:V)</f>
        <v>0</v>
      </c>
      <c r="Y4" s="16">
        <f>SUMIF(工资!$AH:$AH,"辅助人员",工资!W:W)</f>
        <v>4941</v>
      </c>
      <c r="Z4" s="16">
        <f>SUMIF(工资!$AH:$AH,"辅助人员",工资!X:X)</f>
        <v>226.9</v>
      </c>
      <c r="AA4" s="50">
        <f>SUMIF(工资!$AH:$AH,"辅助人员",工资!Y:Y)</f>
        <v>104.57</v>
      </c>
      <c r="AB4" s="16">
        <f>SUMIF(工资!$AH:$AH,"辅助人员",工资!Z:Z)</f>
        <v>8.51</v>
      </c>
      <c r="AC4" s="16">
        <f>SUMIF(工资!$AH:$AH,"辅助人员",工资!AA:AA)</f>
        <v>159</v>
      </c>
      <c r="AD4" s="16">
        <f>SUMIF(工资!$AH:$AH,"辅助人员",工资!AC:AC)</f>
        <v>0</v>
      </c>
      <c r="AE4" s="16"/>
      <c r="AF4" s="16"/>
      <c r="AG4" s="16">
        <f>SUMIF(工资!$AH:$AH,"辅助人员",工资!AD:AD)</f>
        <v>4180.18</v>
      </c>
    </row>
    <row r="5" s="40" customFormat="1" ht="45" customHeight="1" spans="1:33">
      <c r="A5" s="51"/>
      <c r="B5" s="51" t="s">
        <v>457</v>
      </c>
      <c r="C5" s="49">
        <f>IF(B5="","",COUNTIF(工资!AH:AH,B5))</f>
        <v>6</v>
      </c>
      <c r="D5" s="50">
        <f>SUMIF(工资!$AH:$AH,"研发人员",工资!F:F)</f>
        <v>10740</v>
      </c>
      <c r="E5" s="16">
        <f>SUMIF(工资!$AH:$AH,"研发人员",工资!H:H)</f>
        <v>31650</v>
      </c>
      <c r="F5" s="16">
        <f>SUMIF(工资!$AH:$AH,"研发人员",工资!I:I)</f>
        <v>4710</v>
      </c>
      <c r="G5" s="50">
        <f>SUMIF(工资!$AH:$AH,"研发人员",工资!J:J)</f>
        <v>0</v>
      </c>
      <c r="H5" s="50">
        <f>SUMIF(工资!$AH:$AH,"研发人员",工资!K:K)</f>
        <v>0</v>
      </c>
      <c r="I5" s="50" t="e">
        <f ca="1">SUMIF(工资!$AH:$AH,"研发人员",工资!#REF!)</f>
        <v>#REF!</v>
      </c>
      <c r="J5" s="50">
        <f>SUMIF(工资!$AH:$AH,"研发人员",工资!L:L)</f>
        <v>-170</v>
      </c>
      <c r="K5" s="50">
        <f>SUMIF(工资!$AH:$AH,"研发人员",工资!M:M)</f>
        <v>0</v>
      </c>
      <c r="L5" s="50" t="e">
        <f ca="1">SUMIF(工资!$AH:$AH,"研发人员",工资!#REF!)</f>
        <v>#REF!</v>
      </c>
      <c r="M5" s="50">
        <f>SUMIF(工资!$AH:$AH,"研发人员",工资!N:N)</f>
        <v>440</v>
      </c>
      <c r="N5" s="50" t="e">
        <f ca="1">SUMIF(工资!$AH:$AH,"研发人员",工资!#REF!)</f>
        <v>#REF!</v>
      </c>
      <c r="O5" s="50" t="e">
        <f ca="1">SUMIF(工资!$AH:$AH,"研发人员",工资!#REF!)</f>
        <v>#REF!</v>
      </c>
      <c r="P5" s="16">
        <f>SUMIF(工资!$AH:$AH,"研发人员",工资!P:P)</f>
        <v>0</v>
      </c>
      <c r="Q5" s="50" t="e">
        <f ca="1">SUMIF(工资!$AH:$AH,"研发人员",工资!#REF!)</f>
        <v>#REF!</v>
      </c>
      <c r="R5" s="16">
        <f>SUMIF(工资!$AH:$AH,"研发人员",工资!Q:Q)</f>
        <v>0</v>
      </c>
      <c r="S5" s="50">
        <f>SUMIF(工资!$AH:$AH,"研发人员",工资!T:T)</f>
        <v>0</v>
      </c>
      <c r="T5" s="50">
        <f>SUMIF(工资!$AH:$AH,"研发人员",工资!R:R)</f>
        <v>0</v>
      </c>
      <c r="U5" s="50">
        <f>SUMIF(工资!$AH:$AH,"研发人员",工资!U:U)</f>
        <v>0</v>
      </c>
      <c r="V5" s="16">
        <f>SUMIF(工资!$AH:$AH,"研发人员",工资!S:S)</f>
        <v>0</v>
      </c>
      <c r="W5" s="50" t="e">
        <f ca="1">SUMIF(工资!$AH:$AH,"研发人员",工资!#REF!)</f>
        <v>#REF!</v>
      </c>
      <c r="X5" s="50">
        <f>SUMIF(工资!$AH:$AH,"研发人员",工资!V:V)</f>
        <v>0</v>
      </c>
      <c r="Y5" s="16">
        <f>SUMIF(工资!$AH:$AH,"研发人员",工资!W:W)</f>
        <v>47370</v>
      </c>
      <c r="Z5" s="16">
        <f>SUMIF(工资!$AH:$AH,"研发人员",工资!X:X)</f>
        <v>1377.86</v>
      </c>
      <c r="AA5" s="50">
        <f>SUMIF(工资!$AH:$AH,"研发人员",工资!Y:Y)</f>
        <v>627.42</v>
      </c>
      <c r="AB5" s="16">
        <f>SUMIF(工资!$AH:$AH,"研发人员",工资!Z:Z)</f>
        <v>51.68</v>
      </c>
      <c r="AC5" s="16">
        <f>SUMIF(工资!$AH:$AH,"研发人员",工资!AA:AA)</f>
        <v>795</v>
      </c>
      <c r="AD5" s="16">
        <f>SUMIF(工资!$AH:$AH,"研发人员",工资!AC:AC)</f>
        <v>1135.77</v>
      </c>
      <c r="AE5" s="16"/>
      <c r="AF5" s="16"/>
      <c r="AG5" s="16">
        <f>SUMIF(工资!$AH:$AH,"研发人员",工资!AD:AD)</f>
        <v>42073.07</v>
      </c>
    </row>
    <row r="6" s="40" customFormat="1" ht="45" customHeight="1" spans="1:33">
      <c r="A6" s="51"/>
      <c r="B6" s="51" t="s">
        <v>282</v>
      </c>
      <c r="C6" s="49">
        <f>IF(B6="","",COUNTIF(工资!AH:AH,B6))</f>
        <v>8</v>
      </c>
      <c r="D6" s="50">
        <f>SUMIF(工资!$AH:$AH,"制造人员",工资!F:F)</f>
        <v>14321</v>
      </c>
      <c r="E6" s="16">
        <f>SUMIF(工资!$AH:$AH,"制造人员",工资!H:H)</f>
        <v>23826.0114942529</v>
      </c>
      <c r="F6" s="16">
        <f>SUMIF(工资!$AH:$AH,"制造人员",工资!I:I)</f>
        <v>2830</v>
      </c>
      <c r="G6" s="50">
        <f>SUMIF(工资!$AH:$AH,"制造人员",工资!J:J)</f>
        <v>0</v>
      </c>
      <c r="H6" s="50">
        <f>SUMIF(工资!$AH:$AH,"制造人员",工资!K:K)</f>
        <v>0</v>
      </c>
      <c r="I6" s="50" t="e">
        <f ca="1">SUMIF(工资!$AH:$AH,"制造人员",工资!#REF!)</f>
        <v>#REF!</v>
      </c>
      <c r="J6" s="50">
        <f>SUMIF(工资!$AH:$AH,"制造人员",工资!L:L)</f>
        <v>-135</v>
      </c>
      <c r="K6" s="50">
        <f>SUMIF(工资!$AH:$AH,"制造人员",工资!M:M)</f>
        <v>0</v>
      </c>
      <c r="L6" s="50" t="e">
        <f ca="1">SUMIF(工资!$AH:$AH,"制造人员",工资!#REF!)</f>
        <v>#REF!</v>
      </c>
      <c r="M6" s="50">
        <f>SUMIF(工资!$AH:$AH,"制造人员",工资!N:N)</f>
        <v>420</v>
      </c>
      <c r="N6" s="50" t="e">
        <f ca="1">SUMIF(工资!$AH:$AH,"制造人员",工资!#REF!)</f>
        <v>#REF!</v>
      </c>
      <c r="O6" s="50" t="e">
        <f ca="1">SUMIF(工资!$AH:$AH,"制造人员",工资!#REF!)</f>
        <v>#REF!</v>
      </c>
      <c r="P6" s="16">
        <f>SUMIF(工资!$AH:$AH,"制造人员",工资!P:P)</f>
        <v>0</v>
      </c>
      <c r="Q6" s="50" t="e">
        <f ca="1">SUMIF(工资!$AH:$AH,"制造人员",工资!#REF!)</f>
        <v>#REF!</v>
      </c>
      <c r="R6" s="16">
        <f>SUMIF(工资!$AH:$AH,"制造人员",工资!Q:Q)</f>
        <v>180</v>
      </c>
      <c r="S6" s="50">
        <f>SUMIF(工资!$AH:$AH,"制造人员",工资!T:T)</f>
        <v>0</v>
      </c>
      <c r="T6" s="50">
        <f>SUMIF(工资!$AH:$AH,"制造人员",工资!R:R)</f>
        <v>0</v>
      </c>
      <c r="U6" s="50">
        <f>SUMIF(工资!$AH:$AH,"制造人员",工资!U:U)</f>
        <v>0</v>
      </c>
      <c r="V6" s="16">
        <f>SUMIF(工资!$AH:$AH,"制造人员",工资!S:S)</f>
        <v>-617.647058823529</v>
      </c>
      <c r="W6" s="50" t="e">
        <f ca="1">SUMIF(工资!$AH:$AH,"制造人员",工资!#REF!)</f>
        <v>#REF!</v>
      </c>
      <c r="X6" s="50">
        <f>SUMIF(工资!$AH:$AH,"制造人员",工资!V:V)</f>
        <v>-90</v>
      </c>
      <c r="Y6" s="16">
        <f>SUMIF(工资!$AH:$AH,"制造人员",工资!W:W)</f>
        <v>41557.35</v>
      </c>
      <c r="Z6" s="16">
        <f>SUMIF(工资!$AH:$AH,"制造人员",工资!X:X)</f>
        <v>1959.74</v>
      </c>
      <c r="AA6" s="50">
        <f>SUMIF(工资!$AH:$AH,"制造人员",工资!Y:Y)</f>
        <v>941.13</v>
      </c>
      <c r="AB6" s="16">
        <f>SUMIF(工资!$AH:$AH,"制造人员",工资!Z:Z)</f>
        <v>73.51</v>
      </c>
      <c r="AC6" s="16">
        <f>SUMIF(工资!$AH:$AH,"制造人员",工资!AA:AA)</f>
        <v>736</v>
      </c>
      <c r="AD6" s="16">
        <f>SUMIF(工资!$AH:$AH,"制造人员",工资!AC:AC)</f>
        <v>770.32</v>
      </c>
      <c r="AE6" s="16"/>
      <c r="AF6" s="16"/>
      <c r="AG6" s="16">
        <f>SUMIF(工资!$AH:$AH,"制造人员",工资!AD:AD)</f>
        <v>35951.65</v>
      </c>
    </row>
    <row r="7" s="40" customFormat="1" ht="45" customHeight="1" spans="1:33">
      <c r="A7" s="51"/>
      <c r="B7" s="51" t="s">
        <v>439</v>
      </c>
      <c r="C7" s="49">
        <f>IF(B7="","",COUNTIF(工资!AH:AH,B7))</f>
        <v>2</v>
      </c>
      <c r="D7" s="50">
        <f>SUMIF(工资!$AH:$AH,"销售人员",工资!F:F)</f>
        <v>3580</v>
      </c>
      <c r="E7" s="50">
        <f>SUMIF(工资!$AH:$AH,"销售人员",工资!H:H)</f>
        <v>5060</v>
      </c>
      <c r="F7" s="50">
        <f>SUMIF(工资!$AH:$AH,"销售人员",工资!I:I)</f>
        <v>960</v>
      </c>
      <c r="G7" s="50">
        <f>SUMIF(工资!$AH:$AH,"销售人员",工资!J:J)</f>
        <v>0</v>
      </c>
      <c r="H7" s="50">
        <f>SUMIF(工资!$AH:$AH,"销售人员",工资!K:K)</f>
        <v>0</v>
      </c>
      <c r="I7" s="50" t="e">
        <f ca="1">SUMIF(工资!$AH:$AH,"销售人员",工资!#REF!)</f>
        <v>#REF!</v>
      </c>
      <c r="J7" s="50">
        <f>SUMIF(工资!$AH:$AH,"销售人员",工资!L:L)</f>
        <v>0</v>
      </c>
      <c r="K7" s="50">
        <f>SUMIF(工资!$AH:$AH,"销售人员",工资!M:M)</f>
        <v>500</v>
      </c>
      <c r="L7" s="50" t="e">
        <f ca="1">SUMIF(工资!$AH:$AH,"销售人员",工资!#REF!)</f>
        <v>#REF!</v>
      </c>
      <c r="M7" s="50">
        <f>SUMIF(工资!$AH:$AH,"销售人员",工资!N:N)</f>
        <v>220</v>
      </c>
      <c r="N7" s="50" t="e">
        <f ca="1">SUMIF(工资!$AH:$AH,"销售人员",工资!#REF!)</f>
        <v>#REF!</v>
      </c>
      <c r="O7" s="50" t="e">
        <f ca="1">SUMIF(工资!$AH:$AH,"销售人员",工资!#REF!)</f>
        <v>#REF!</v>
      </c>
      <c r="P7" s="16">
        <f>SUMIF(工资!$AH:$AH,"销售人员",工资!P:P)</f>
        <v>0</v>
      </c>
      <c r="Q7" s="50" t="e">
        <f ca="1">SUMIF(工资!$AH:$AH,"销售人员",工资!#REF!)</f>
        <v>#REF!</v>
      </c>
      <c r="R7" s="16">
        <f>SUMIF(工资!$AH:$AH,"销售人员",工资!Q:Q)</f>
        <v>0</v>
      </c>
      <c r="S7" s="50">
        <f>SUMIF(工资!$AH:$AH,"销售人员",工资!T:T)</f>
        <v>0</v>
      </c>
      <c r="T7" s="50">
        <f>SUMIF(工资!$AH:$AH,"销售人员",工资!R:R)</f>
        <v>0</v>
      </c>
      <c r="U7" s="50">
        <f>SUMIF(工资!$AH:$AH,"销售人员",工资!U:U)</f>
        <v>0</v>
      </c>
      <c r="V7" s="16">
        <f>SUMIF(工资!$AH:$AH,"销售人员",工资!S:S)</f>
        <v>0</v>
      </c>
      <c r="W7" s="50" t="e">
        <f ca="1">SUMIF(工资!$AH:$AH,"销售人员",工资!#REF!)</f>
        <v>#REF!</v>
      </c>
      <c r="X7" s="50">
        <f>SUMIF(工资!$AH:$AH,"销售人员",工资!V:V)</f>
        <v>0</v>
      </c>
      <c r="Y7" s="16">
        <f>SUMIF(工资!$AH:$AH,"销售人员",工资!W:W)</f>
        <v>10320</v>
      </c>
      <c r="Z7" s="16">
        <f>SUMIF(工资!$AH:$AH,"销售人员",工资!X:X)</f>
        <v>655.7</v>
      </c>
      <c r="AA7" s="50">
        <f>SUMIF(工资!$AH:$AH,"销售人员",工资!Y:Y)</f>
        <v>214.77</v>
      </c>
      <c r="AB7" s="16">
        <f>SUMIF(工资!$AH:$AH,"销售人员",工资!Z:Z)</f>
        <v>35.31</v>
      </c>
      <c r="AC7" s="16">
        <f>SUMIF(工资!$AH:$AH,"销售人员",工资!AA:AA)</f>
        <v>483</v>
      </c>
      <c r="AD7" s="16">
        <f>SUMIF(工资!$AH:$AH,"销售人员",工资!AC:AC)</f>
        <v>48.42</v>
      </c>
      <c r="AE7" s="16"/>
      <c r="AF7" s="16"/>
      <c r="AG7" s="16">
        <f>SUMIF(工资!$AH:$AH,"销售人员",工资!AD:AD)</f>
        <v>8620.96</v>
      </c>
    </row>
    <row r="8" s="40" customFormat="1" ht="45" customHeight="1" spans="1:33">
      <c r="A8" s="51"/>
      <c r="B8" s="52" t="s">
        <v>321</v>
      </c>
      <c r="C8" s="49">
        <f>IF(B8="","",COUNTIF(工资!AH:AH,B8))</f>
        <v>53</v>
      </c>
      <c r="D8" s="50">
        <f>SUMIF(工资!$AH:$AH,"生产人员",工资!F:F)</f>
        <v>12530</v>
      </c>
      <c r="E8" s="50">
        <f>SUMIF(工资!$AH:$AH,"生产人员",工资!H:H)</f>
        <v>15183.2183908046</v>
      </c>
      <c r="F8" s="50">
        <f>SUMIF(工资!$AH:$AH,"生产人员",工资!I:I)</f>
        <v>4982.75</v>
      </c>
      <c r="G8" s="16">
        <f>SUMIF(工资!$AH:$AH,"生产人员",工资!J:J)</f>
        <v>114331.08</v>
      </c>
      <c r="H8" s="16">
        <f>SUMIF(工资!$AH:$AH,"生产人员",工资!K:K)</f>
        <v>6370.09</v>
      </c>
      <c r="I8" s="16" t="e">
        <f ca="1">SUMIF(工资!$AH:$AH,"生产人员",工资!#REF!)</f>
        <v>#REF!</v>
      </c>
      <c r="J8" s="16">
        <f>SUMIF(工资!$AH:$AH,"生产人员",工资!L:L)</f>
        <v>2937.05</v>
      </c>
      <c r="K8" s="16">
        <f>SUMIF(工资!$AH:$AH,"生产人员",工资!M:M)</f>
        <v>1700</v>
      </c>
      <c r="L8" s="50" t="e">
        <f ca="1">SUMIF(工资!$AH:$AH,"生产人员",工资!#REF!)</f>
        <v>#REF!</v>
      </c>
      <c r="M8" s="50">
        <f>SUMIF(工资!$AH:$AH,"生产人员",工资!N:N)</f>
        <v>2680</v>
      </c>
      <c r="N8" s="50" t="e">
        <f ca="1">SUMIF(工资!$AH:$AH,"生产人员",工资!#REF!)</f>
        <v>#REF!</v>
      </c>
      <c r="O8" s="50" t="e">
        <f ca="1">SUMIF(工资!$AH:$AH,"生产人员",工资!#REF!)</f>
        <v>#REF!</v>
      </c>
      <c r="P8" s="16">
        <f>SUMIF(工资!$AH:$AH,"生产人员",工资!P:P)</f>
        <v>90</v>
      </c>
      <c r="Q8" s="16" t="e">
        <f ca="1">SUMIF(工资!$AH:$AH,"生产人员",工资!#REF!)</f>
        <v>#REF!</v>
      </c>
      <c r="R8" s="16">
        <f>SUMIF(工资!$AH:$AH,"生产人员",工资!Q:Q)</f>
        <v>180</v>
      </c>
      <c r="S8" s="50">
        <f>SUMIF(工资!$AH:$AH,"生产人员",工资!T:T)</f>
        <v>-200</v>
      </c>
      <c r="T8" s="50">
        <f>SUMIF(工资!$AH:$AH,"生产人员",工资!R:R)</f>
        <v>0</v>
      </c>
      <c r="U8" s="50">
        <f>SUMIF(工资!$AH:$AH,"生产人员",工资!U:U)</f>
        <v>0</v>
      </c>
      <c r="V8" s="16">
        <f>SUMIF(工资!$AH:$AH,"生产人员",工资!S:S)</f>
        <v>0</v>
      </c>
      <c r="W8" s="50" t="e">
        <f ca="1">SUMIF(工资!$AH:$AH,"生产人员",工资!#REF!)</f>
        <v>#REF!</v>
      </c>
      <c r="X8" s="50">
        <f>SUMIF(工资!$AH:$AH,"生产人员",工资!V:V)</f>
        <v>-60</v>
      </c>
      <c r="Y8" s="16">
        <f>SUMIF(工资!$AH:$AH,"生产人员",工资!W:W)</f>
        <v>165089.98</v>
      </c>
      <c r="Z8" s="16">
        <f>SUMIF(工资!$AH:$AH,"生产人员",工资!X:X)</f>
        <v>11088.8</v>
      </c>
      <c r="AA8" s="16">
        <f>SUMIF(工资!$AH:$AH,"生产人员",工资!Y:Y)</f>
        <v>4914.79</v>
      </c>
      <c r="AB8" s="16">
        <f>SUMIF(工资!$AH:$AH,"生产人员",工资!Z:Z)</f>
        <v>415.92</v>
      </c>
      <c r="AC8" s="16">
        <f>SUMIF(工资!$AH:$AH,"生产人员",工资!AA:AA)</f>
        <v>4156</v>
      </c>
      <c r="AD8" s="16">
        <f>SUMIF(工资!$AH:$AH,"生产人员",工资!AC:AC)</f>
        <v>67.1</v>
      </c>
      <c r="AE8" s="16"/>
      <c r="AF8" s="16"/>
      <c r="AG8" s="16">
        <f>SUMIF(工资!$AH:$AH,"生产人员",工资!AD:AD)</f>
        <v>134354.06</v>
      </c>
    </row>
    <row r="9" s="40" customFormat="1" ht="45" customHeight="1" spans="1:33">
      <c r="A9" s="51"/>
      <c r="B9" s="52" t="s">
        <v>29</v>
      </c>
      <c r="C9" s="49">
        <f>IF(B9="","",COUNTIF(工资!AH:AH,B9))</f>
        <v>0</v>
      </c>
      <c r="D9" s="50">
        <f>SUMIF(工资!$AH:$AH,"其他",工资!F:F)</f>
        <v>0</v>
      </c>
      <c r="E9" s="50">
        <f>SUMIF(工资!$AH:$AH,"其他",工资!H:H)</f>
        <v>0</v>
      </c>
      <c r="F9" s="50">
        <f>SUMIF(工资!$AH:$AH,"其他",工资!I:I)</f>
        <v>0</v>
      </c>
      <c r="G9" s="50">
        <f>SUMIF(工资!$AH:$AH,"其他",工资!J:J)</f>
        <v>0</v>
      </c>
      <c r="H9" s="50">
        <f>SUMIF(工资!$AH:$AH,"其他",工资!K:K)</f>
        <v>0</v>
      </c>
      <c r="I9" s="50" t="e">
        <f ca="1">SUMIF(工资!$AH:$AH,"其他",工资!#REF!)</f>
        <v>#REF!</v>
      </c>
      <c r="J9" s="50">
        <f>SUMIF(工资!$AH:$AH,"其他",工资!L:L)</f>
        <v>0</v>
      </c>
      <c r="K9" s="50">
        <f>SUMIF(工资!$AH:$AH,"其他",工资!M:M)</f>
        <v>0</v>
      </c>
      <c r="L9" s="50" t="e">
        <f ca="1">SUMIF(工资!$AH:$AH,"其他",工资!#REF!)</f>
        <v>#REF!</v>
      </c>
      <c r="M9" s="50">
        <f>SUMIF(工资!$AH:$AH,"其他",工资!N:N)</f>
        <v>0</v>
      </c>
      <c r="N9" s="50" t="e">
        <f ca="1">SUMIF(工资!$AH:$AH,"其他",工资!#REF!)</f>
        <v>#REF!</v>
      </c>
      <c r="O9" s="50" t="e">
        <f ca="1">SUMIF(工资!$AH:$AH,"其他",工资!#REF!)</f>
        <v>#REF!</v>
      </c>
      <c r="P9" s="50">
        <f>SUMIF(工资!$AH:$AH,"其他",工资!P:P)</f>
        <v>0</v>
      </c>
      <c r="Q9" s="50" t="e">
        <f ca="1">SUMIF(工资!$AH:$AH,"其他",工资!#REF!)</f>
        <v>#REF!</v>
      </c>
      <c r="R9" s="50">
        <f>SUMIF(工资!$AH:$AH,"其他",工资!Q:Q)</f>
        <v>0</v>
      </c>
      <c r="S9" s="50">
        <f>SUMIF(工资!$AH:$AH,"其他",工资!T:T)</f>
        <v>0</v>
      </c>
      <c r="T9" s="50">
        <f>SUMIF(工资!$AH:$AH,"其他",工资!R:R)</f>
        <v>0</v>
      </c>
      <c r="U9" s="50">
        <f>SUMIF(工资!$AH:$AH,"其他",工资!U:U)</f>
        <v>0</v>
      </c>
      <c r="V9" s="50">
        <f>SUMIF(工资!$AH:$AH,"其他",工资!S:S)</f>
        <v>0</v>
      </c>
      <c r="W9" s="50" t="e">
        <f ca="1">SUMIF(工资!$AH:$AH,"其他",工资!#REF!)</f>
        <v>#REF!</v>
      </c>
      <c r="X9" s="50">
        <f>SUMIF(工资!$AH:$AH,"其他",工资!V:V)</f>
        <v>0</v>
      </c>
      <c r="Y9" s="50"/>
      <c r="Z9" s="50">
        <f>SUMIF(工资!$AH:$AH,"其他",工资!X:X)</f>
        <v>0</v>
      </c>
      <c r="AA9" s="50">
        <f>SUMIF(工资!$AH:$AH,"其他",工资!Y:Y)</f>
        <v>0</v>
      </c>
      <c r="AB9" s="50">
        <f>SUMIF(工资!$AH:$AH,"其他",工资!Z:Z)</f>
        <v>0</v>
      </c>
      <c r="AC9" s="50">
        <f>SUMIF(工资!$AH:$AH,"其他",工资!AA:AA)</f>
        <v>0</v>
      </c>
      <c r="AD9" s="50">
        <f>SUMIF(工资!$AH:$AH,"其他",工资!AC:AC)</f>
        <v>0</v>
      </c>
      <c r="AE9" s="50"/>
      <c r="AF9" s="50"/>
      <c r="AG9" s="50"/>
    </row>
    <row r="10" s="40" customFormat="1" ht="45" customHeight="1" spans="1:33">
      <c r="A10" s="51"/>
      <c r="B10" s="53" t="s">
        <v>62</v>
      </c>
      <c r="C10" s="49">
        <f>SUM(C3:C9)</f>
        <v>75</v>
      </c>
      <c r="D10" s="54">
        <f t="shared" ref="D10:Z10" si="0">SUM(D3:D9)</f>
        <v>51911</v>
      </c>
      <c r="E10" s="55">
        <f t="shared" ref="E10" si="1">SUM(E3:E9)</f>
        <v>100171.266482759</v>
      </c>
      <c r="F10" s="56">
        <f t="shared" si="0"/>
        <v>20413.058</v>
      </c>
      <c r="G10" s="56">
        <f t="shared" si="0"/>
        <v>114331.08</v>
      </c>
      <c r="H10" s="56">
        <f t="shared" si="0"/>
        <v>6370.09</v>
      </c>
      <c r="I10" s="56" t="e">
        <f ca="1" t="shared" si="0"/>
        <v>#REF!</v>
      </c>
      <c r="J10" s="60">
        <f t="shared" si="0"/>
        <v>2584.05</v>
      </c>
      <c r="K10" s="60">
        <f t="shared" si="0"/>
        <v>2315</v>
      </c>
      <c r="L10" s="60" t="e">
        <f ca="1" t="shared" si="0"/>
        <v>#REF!</v>
      </c>
      <c r="M10" s="60">
        <f t="shared" si="0"/>
        <v>4650</v>
      </c>
      <c r="N10" s="60" t="e">
        <f ca="1" t="shared" si="0"/>
        <v>#REF!</v>
      </c>
      <c r="O10" s="60" t="e">
        <f ca="1" t="shared" si="0"/>
        <v>#REF!</v>
      </c>
      <c r="P10" s="60">
        <f t="shared" si="0"/>
        <v>260</v>
      </c>
      <c r="Q10" s="56" t="e">
        <f ca="1" t="shared" si="0"/>
        <v>#REF!</v>
      </c>
      <c r="R10" s="56">
        <f t="shared" si="0"/>
        <v>935.58</v>
      </c>
      <c r="S10" s="60">
        <f t="shared" si="0"/>
        <v>-200</v>
      </c>
      <c r="T10" s="60">
        <f t="shared" si="0"/>
        <v>0</v>
      </c>
      <c r="U10" s="60">
        <f t="shared" si="0"/>
        <v>0</v>
      </c>
      <c r="V10" s="56">
        <f t="shared" si="0"/>
        <v>-1493.05882352941</v>
      </c>
      <c r="W10" s="60" t="e">
        <f ca="1" t="shared" si="0"/>
        <v>#REF!</v>
      </c>
      <c r="X10" s="60">
        <f t="shared" si="0"/>
        <v>-150</v>
      </c>
      <c r="Y10" s="56">
        <f t="shared" si="0"/>
        <v>307616.04</v>
      </c>
      <c r="Z10" s="56">
        <f t="shared" si="0"/>
        <v>16757.02</v>
      </c>
      <c r="AA10" s="56">
        <f t="shared" ref="AA10:AG10" si="2">SUM(AA3:AA9)</f>
        <v>7331.16</v>
      </c>
      <c r="AB10" s="56">
        <f t="shared" si="2"/>
        <v>649.96</v>
      </c>
      <c r="AC10" s="56">
        <f t="shared" si="2"/>
        <v>7485</v>
      </c>
      <c r="AD10" s="56">
        <f t="shared" si="2"/>
        <v>2021.61</v>
      </c>
      <c r="AE10" s="56">
        <f t="shared" si="2"/>
        <v>0</v>
      </c>
      <c r="AF10" s="56">
        <f t="shared" si="2"/>
        <v>0</v>
      </c>
      <c r="AG10" s="56">
        <f t="shared" si="2"/>
        <v>259797.94</v>
      </c>
    </row>
    <row r="11" s="40" customFormat="1" ht="45" customHeight="1" spans="1:33">
      <c r="A11" s="51" t="s">
        <v>400</v>
      </c>
      <c r="B11" s="52" t="s">
        <v>399</v>
      </c>
      <c r="C11" s="49">
        <f>IF(B11="","",COUNTIF(工资!AH:AH,B11))</f>
        <v>10</v>
      </c>
      <c r="D11" s="57">
        <f>SUMIF(工资!$AH:$AH,"驻外人员",工资!F:F)</f>
        <v>17170</v>
      </c>
      <c r="E11" s="58">
        <f>SUMIF(工资!$AH:$AH,"驻外人员",工资!H:H)</f>
        <v>10528.2183908046</v>
      </c>
      <c r="F11" s="57">
        <f>SUMIF(工资!$AH:$AH,"驻外人员",工资!I:I)</f>
        <v>3135</v>
      </c>
      <c r="G11" s="57">
        <f>SUMIF(工资!$AH:$AH,"驻外人员",工资!J:J)</f>
        <v>0</v>
      </c>
      <c r="H11" s="57">
        <f>SUMIF(工资!$AH:$AH,"驻外人员",工资!K:K)</f>
        <v>0</v>
      </c>
      <c r="I11" s="57" t="e">
        <f ca="1">SUMIF(工资!$AH:$AH,"驻外人员",工资!#REF!)</f>
        <v>#REF!</v>
      </c>
      <c r="J11" s="57">
        <f>SUMIF(工资!$AH:$AH,"驻外人员",工资!L:L)</f>
        <v>-65</v>
      </c>
      <c r="K11" s="57">
        <f>SUMIF(工资!$AH:$AH,"驻外人员",工资!M:M)</f>
        <v>0</v>
      </c>
      <c r="L11" s="57" t="e">
        <f ca="1">SUMIF(工资!$AH:$AH,"驻外人员",工资!#REF!)</f>
        <v>#REF!</v>
      </c>
      <c r="M11" s="57">
        <f>SUMIF(工资!$AH:$AH,"驻外人员",工资!N:N)</f>
        <v>320</v>
      </c>
      <c r="N11" s="57" t="e">
        <f ca="1">SUMIF(工资!$AH:$AH,"驻外人员",工资!#REF!)</f>
        <v>#REF!</v>
      </c>
      <c r="O11" s="57" t="e">
        <f ca="1">SUMIF(工资!$AH:$AH,"驻外人员",工资!#REF!)</f>
        <v>#REF!</v>
      </c>
      <c r="P11" s="57">
        <f>SUMIF(工资!$AH:$AH,"驻外人员",工资!P:P)</f>
        <v>1350</v>
      </c>
      <c r="Q11" s="57" t="e">
        <f ca="1">SUMIF(工资!$AH:$AH,"驻外人员",工资!#REF!)</f>
        <v>#REF!</v>
      </c>
      <c r="R11" s="58">
        <f>SUMIF(工资!$AH:$AH,"驻外人员",工资!Q:Q)</f>
        <v>0</v>
      </c>
      <c r="S11" s="57">
        <f>SUMIF(工资!$AH:$AH,"驻外人员",工资!T:T)</f>
        <v>0</v>
      </c>
      <c r="T11" s="57">
        <f>SUMIF(工资!$AH:$AH,"驻外人员",工资!R:R)</f>
        <v>0</v>
      </c>
      <c r="U11" s="57">
        <f>SUMIF(工资!$AH:$AH,"驻外人员",工资!U:U)</f>
        <v>0</v>
      </c>
      <c r="V11" s="57">
        <f>SUMIF(工资!$AH:$AH,"驻外人员",工资!S:S)</f>
        <v>0</v>
      </c>
      <c r="W11" s="57" t="e">
        <f ca="1">SUMIF(工资!$AH:$AH,"驻外人员",工资!#REF!)</f>
        <v>#REF!</v>
      </c>
      <c r="X11" s="57">
        <f>SUMIF(工资!$AH:$AH,"驻外人员",工资!V:V)</f>
        <v>0</v>
      </c>
      <c r="Y11" s="58">
        <f>SUMIF(工资!$AH:$AH,"驻外人员",工资!W:W)</f>
        <v>36534.74</v>
      </c>
      <c r="Z11" s="58">
        <f>SUMIF(工资!$AH:$AH,"驻外人员",工资!X:X)</f>
        <v>882.6</v>
      </c>
      <c r="AA11" s="58">
        <f>SUMIF(工资!$AH:$AH,"驻外人员",工资!Y:Y)</f>
        <v>319.34</v>
      </c>
      <c r="AB11" s="58">
        <f>SUMIF(工资!$AH:$AH,"驻外人员",工资!Z:Z)</f>
        <v>43.82</v>
      </c>
      <c r="AC11" s="57">
        <f>SUMIF(工资!$AH:$AH,"驻外人员",工资!AA:AA)</f>
        <v>642</v>
      </c>
      <c r="AD11" s="58">
        <f>SUMIF(工资!$AH:$AH,"驻外人员",工资!AC:AC)</f>
        <v>4.3</v>
      </c>
      <c r="AE11" s="58"/>
      <c r="AF11" s="58"/>
      <c r="AG11" s="58">
        <f>SUMIF(工资!$AH:$AH,"驻外人员",工资!AD:AD)</f>
        <v>34119</v>
      </c>
    </row>
    <row r="12" s="40" customFormat="1" ht="45" customHeight="1" spans="1:33">
      <c r="A12" s="51"/>
      <c r="B12" s="52" t="s">
        <v>633</v>
      </c>
      <c r="C12" s="49">
        <f>IF(B12="","",COUNTIF(工资!AH:AH,B12))</f>
        <v>0</v>
      </c>
      <c r="D12" s="57">
        <f>SUMIF(工资!$AH:$AH,"驻外管理",工资!F:F)</f>
        <v>0</v>
      </c>
      <c r="E12" s="58">
        <f>SUMIF(工资!$AH:$AH,"驻外管理",工资!H:H)</f>
        <v>0</v>
      </c>
      <c r="F12" s="57">
        <f>SUMIF(工资!$AH:$AH,"驻外管理",工资!I:I)</f>
        <v>0</v>
      </c>
      <c r="G12" s="57">
        <f>SUMIF(工资!$AH:$AH,"驻外管理",工资!J:J)</f>
        <v>0</v>
      </c>
      <c r="H12" s="57">
        <f>SUMIF(工资!$AH:$AH,"驻外管理",工资!K:K)</f>
        <v>0</v>
      </c>
      <c r="I12" s="57" t="e">
        <f ca="1">SUMIF(工资!$AH:$AH,"驻外管理",工资!#REF!)</f>
        <v>#REF!</v>
      </c>
      <c r="J12" s="57">
        <f>SUMIF(工资!$AH:$AH,"驻外管理",工资!L:L)</f>
        <v>0</v>
      </c>
      <c r="K12" s="57">
        <f>SUMIF(工资!$AH:$AH,"驻外管理",工资!M:M)</f>
        <v>0</v>
      </c>
      <c r="L12" s="57" t="e">
        <f ca="1">SUMIF(工资!$AH:$AH,"驻外管理",工资!#REF!)</f>
        <v>#REF!</v>
      </c>
      <c r="M12" s="57">
        <f>SUMIF(工资!$AH:$AH,"驻外管理",工资!N:N)</f>
        <v>0</v>
      </c>
      <c r="N12" s="57" t="e">
        <f ca="1">SUMIF(工资!$AH:$AH,"驻外管理",工资!#REF!)</f>
        <v>#REF!</v>
      </c>
      <c r="O12" s="57" t="e">
        <f ca="1">SUMIF(工资!$AH:$AH,"驻外管理",工资!#REF!)</f>
        <v>#REF!</v>
      </c>
      <c r="P12" s="57">
        <f>SUMIF(工资!$AH:$AH,"驻外管理",工资!P:P)</f>
        <v>0</v>
      </c>
      <c r="Q12" s="57" t="e">
        <f ca="1">SUMIF(工资!$AH:$AH,"驻外管理",工资!#REF!)</f>
        <v>#REF!</v>
      </c>
      <c r="R12" s="57">
        <f>SUMIF(工资!$AH:$AH,"驻外管理",工资!Q:Q)</f>
        <v>0</v>
      </c>
      <c r="S12" s="57">
        <f>SUMIF(工资!$AH:$AH,"驻外管理",工资!T:T)</f>
        <v>0</v>
      </c>
      <c r="T12" s="57">
        <f>SUMIF(工资!$AH:$AH,"驻外管理",工资!R:R)</f>
        <v>0</v>
      </c>
      <c r="U12" s="57">
        <f>SUMIF(工资!$AH:$AH,"驻外管理",工资!U:U)</f>
        <v>0</v>
      </c>
      <c r="V12" s="57">
        <f>SUMIF(工资!$AH:$AH,"驻外管理",工资!S:S)</f>
        <v>0</v>
      </c>
      <c r="W12" s="57" t="e">
        <f ca="1">SUMIF(工资!$AH:$AH,"驻外管理",工资!#REF!)</f>
        <v>#REF!</v>
      </c>
      <c r="X12" s="57">
        <f>SUMIF(工资!$AH:$AH,"驻外管理",工资!V:V)</f>
        <v>0</v>
      </c>
      <c r="Y12" s="57">
        <f>SUMIF(工资!$AH:$AH,"驻外管理",工资!W:W)</f>
        <v>0</v>
      </c>
      <c r="Z12" s="57">
        <f>SUMIF(工资!$AH:$AH,"驻外管理",工资!X:X)</f>
        <v>0</v>
      </c>
      <c r="AA12" s="57">
        <f>SUMIF(工资!$AH:$AH,"驻外管理",工资!Y:Y)</f>
        <v>0</v>
      </c>
      <c r="AB12" s="57">
        <f>SUMIF(工资!$AH:$AH,"驻外管理",工资!Z:Z)</f>
        <v>0</v>
      </c>
      <c r="AC12" s="57">
        <f>SUMIF(工资!$AH:$AH,"驻外管理",工资!AA:AA)</f>
        <v>0</v>
      </c>
      <c r="AD12" s="57">
        <f>SUMIF(工资!$AH:$AH,"驻外管理",工资!AC:AC)</f>
        <v>0</v>
      </c>
      <c r="AE12" s="57"/>
      <c r="AF12" s="57"/>
      <c r="AG12" s="57">
        <f>SUMIF(工资!$AH:$AH,"驻外管理",工资!AD:AD)</f>
        <v>0</v>
      </c>
    </row>
    <row r="13" s="40" customFormat="1" ht="45" customHeight="1" spans="1:33">
      <c r="A13" s="51"/>
      <c r="B13" s="53" t="s">
        <v>62</v>
      </c>
      <c r="C13" s="53">
        <f>SUM(C11:C12)</f>
        <v>10</v>
      </c>
      <c r="D13" s="54">
        <f>D11+D12</f>
        <v>17170</v>
      </c>
      <c r="E13" s="54">
        <f t="shared" ref="E13:AF13" si="3">E11+E12</f>
        <v>10528.2183908046</v>
      </c>
      <c r="F13" s="54">
        <f t="shared" si="3"/>
        <v>3135</v>
      </c>
      <c r="G13" s="54">
        <f t="shared" si="3"/>
        <v>0</v>
      </c>
      <c r="H13" s="54">
        <f t="shared" si="3"/>
        <v>0</v>
      </c>
      <c r="I13" s="54" t="e">
        <f ca="1" t="shared" si="3"/>
        <v>#REF!</v>
      </c>
      <c r="J13" s="54">
        <f t="shared" si="3"/>
        <v>-65</v>
      </c>
      <c r="K13" s="54">
        <f t="shared" si="3"/>
        <v>0</v>
      </c>
      <c r="L13" s="54" t="e">
        <f ca="1" t="shared" si="3"/>
        <v>#REF!</v>
      </c>
      <c r="M13" s="54">
        <f t="shared" si="3"/>
        <v>320</v>
      </c>
      <c r="N13" s="54" t="e">
        <f ca="1" t="shared" si="3"/>
        <v>#REF!</v>
      </c>
      <c r="O13" s="54" t="e">
        <f ca="1" t="shared" si="3"/>
        <v>#REF!</v>
      </c>
      <c r="P13" s="54">
        <f t="shared" si="3"/>
        <v>1350</v>
      </c>
      <c r="Q13" s="54" t="e">
        <f ca="1" t="shared" si="3"/>
        <v>#REF!</v>
      </c>
      <c r="R13" s="55">
        <f t="shared" si="3"/>
        <v>0</v>
      </c>
      <c r="S13" s="54">
        <f t="shared" si="3"/>
        <v>0</v>
      </c>
      <c r="T13" s="54">
        <f t="shared" si="3"/>
        <v>0</v>
      </c>
      <c r="U13" s="54">
        <f t="shared" si="3"/>
        <v>0</v>
      </c>
      <c r="V13" s="54">
        <f t="shared" si="3"/>
        <v>0</v>
      </c>
      <c r="W13" s="54" t="e">
        <f ca="1" t="shared" si="3"/>
        <v>#REF!</v>
      </c>
      <c r="X13" s="54">
        <f t="shared" si="3"/>
        <v>0</v>
      </c>
      <c r="Y13" s="55">
        <f t="shared" si="3"/>
        <v>36534.74</v>
      </c>
      <c r="Z13" s="55">
        <f t="shared" si="3"/>
        <v>882.6</v>
      </c>
      <c r="AA13" s="55">
        <f t="shared" si="3"/>
        <v>319.34</v>
      </c>
      <c r="AB13" s="55">
        <f t="shared" si="3"/>
        <v>43.82</v>
      </c>
      <c r="AC13" s="54">
        <f t="shared" si="3"/>
        <v>642</v>
      </c>
      <c r="AD13" s="55">
        <f t="shared" si="3"/>
        <v>4.3</v>
      </c>
      <c r="AE13" s="55">
        <f t="shared" si="3"/>
        <v>0</v>
      </c>
      <c r="AF13" s="55"/>
      <c r="AG13" s="55">
        <f>AG11+AG12</f>
        <v>34119</v>
      </c>
    </row>
    <row r="14" s="40" customFormat="1" ht="45" customHeight="1" spans="1:33">
      <c r="A14" s="59" t="s">
        <v>602</v>
      </c>
      <c r="B14" s="59"/>
      <c r="C14" s="59">
        <f>C10+C13</f>
        <v>85</v>
      </c>
      <c r="D14" s="54">
        <f t="shared" ref="D14:P14" si="4">D10+D13</f>
        <v>69081</v>
      </c>
      <c r="E14" s="55">
        <f t="shared" ref="E14" si="5">E10+E13</f>
        <v>110699.484873563</v>
      </c>
      <c r="F14" s="60">
        <f t="shared" si="4"/>
        <v>23548.058</v>
      </c>
      <c r="G14" s="56">
        <f t="shared" si="4"/>
        <v>114331.08</v>
      </c>
      <c r="H14" s="56">
        <f t="shared" si="4"/>
        <v>6370.09</v>
      </c>
      <c r="I14" s="56" t="e">
        <f ca="1" t="shared" si="4"/>
        <v>#REF!</v>
      </c>
      <c r="J14" s="60">
        <f t="shared" si="4"/>
        <v>2519.05</v>
      </c>
      <c r="K14" s="60">
        <f t="shared" si="4"/>
        <v>2315</v>
      </c>
      <c r="L14" s="60" t="e">
        <f ca="1" t="shared" si="4"/>
        <v>#REF!</v>
      </c>
      <c r="M14" s="60">
        <f t="shared" si="4"/>
        <v>4970</v>
      </c>
      <c r="N14" s="60" t="e">
        <f ca="1" t="shared" si="4"/>
        <v>#REF!</v>
      </c>
      <c r="O14" s="60" t="e">
        <f ca="1" t="shared" si="4"/>
        <v>#REF!</v>
      </c>
      <c r="P14" s="60">
        <f t="shared" si="4"/>
        <v>1610</v>
      </c>
      <c r="Q14" s="56" t="e">
        <f ca="1" t="shared" ref="Q14:AG14" si="6">Q10+Q13</f>
        <v>#REF!</v>
      </c>
      <c r="R14" s="56">
        <f ca="1" t="shared" si="6"/>
        <v>935.58</v>
      </c>
      <c r="S14" s="60">
        <f ca="1" t="shared" si="6"/>
        <v>-200</v>
      </c>
      <c r="T14" s="60">
        <f ca="1" t="shared" si="6"/>
        <v>0</v>
      </c>
      <c r="U14" s="60">
        <f ca="1" t="shared" si="6"/>
        <v>0</v>
      </c>
      <c r="V14" s="56">
        <f ca="1" t="shared" si="6"/>
        <v>-1493.05882352941</v>
      </c>
      <c r="W14" s="60" t="e">
        <f ca="1" t="shared" si="6"/>
        <v>#REF!</v>
      </c>
      <c r="X14" s="60">
        <f ca="1" t="shared" si="6"/>
        <v>-150</v>
      </c>
      <c r="Y14" s="56">
        <f ca="1" t="shared" si="6"/>
        <v>344150.78</v>
      </c>
      <c r="Z14" s="56">
        <f ca="1" t="shared" si="6"/>
        <v>17639.62</v>
      </c>
      <c r="AA14" s="56">
        <f ca="1" t="shared" si="6"/>
        <v>7650.5</v>
      </c>
      <c r="AB14" s="56">
        <f ca="1" t="shared" si="6"/>
        <v>693.78</v>
      </c>
      <c r="AC14" s="56">
        <f ca="1" t="shared" si="6"/>
        <v>8127</v>
      </c>
      <c r="AD14" s="56">
        <f ca="1" t="shared" si="6"/>
        <v>2025.91</v>
      </c>
      <c r="AE14" s="56">
        <f ca="1" t="shared" si="6"/>
        <v>0</v>
      </c>
      <c r="AF14" s="56">
        <f ca="1" t="shared" si="6"/>
        <v>0</v>
      </c>
      <c r="AG14" s="56">
        <f ca="1" t="shared" si="6"/>
        <v>293916.94</v>
      </c>
    </row>
    <row r="15" s="40" customFormat="1" ht="34" customHeight="1" spans="2:33">
      <c r="B15" s="61" t="s">
        <v>634</v>
      </c>
      <c r="C15" s="61"/>
      <c r="D15" s="62">
        <f>D14-工资!F3</f>
        <v>0</v>
      </c>
      <c r="E15" s="63">
        <f>E14-工资!H3</f>
        <v>0</v>
      </c>
      <c r="F15" s="63">
        <f>F14-工资!I3</f>
        <v>0</v>
      </c>
      <c r="G15" s="63">
        <f>G14-工资!J3</f>
        <v>0</v>
      </c>
      <c r="H15" s="63">
        <f>H14-工资!K3</f>
        <v>0</v>
      </c>
      <c r="I15" s="63" t="e">
        <f ca="1">I14-工资!#REF!</f>
        <v>#REF!</v>
      </c>
      <c r="J15" s="63">
        <f>J14-工资!L3</f>
        <v>0</v>
      </c>
      <c r="K15" s="63">
        <f>K14-工资!M3</f>
        <v>0</v>
      </c>
      <c r="L15" s="63" t="e">
        <f ca="1">L14-工资!#REF!</f>
        <v>#REF!</v>
      </c>
      <c r="M15" s="63">
        <f>M14-工资!N3</f>
        <v>0</v>
      </c>
      <c r="N15" s="63" t="e">
        <f ca="1">N14-工资!#REF!</f>
        <v>#REF!</v>
      </c>
      <c r="O15" s="63" t="e">
        <f ca="1">O14-工资!#REF!</f>
        <v>#REF!</v>
      </c>
      <c r="P15" s="63">
        <f>P14-工资!P3</f>
        <v>0</v>
      </c>
      <c r="Q15" s="63" t="e">
        <f ca="1">Q14-工资!#REF!</f>
        <v>#REF!</v>
      </c>
      <c r="R15" s="63">
        <f ca="1">R14-工资!Q3</f>
        <v>0</v>
      </c>
      <c r="S15" s="63">
        <f ca="1">S14-工资!T3</f>
        <v>0</v>
      </c>
      <c r="T15" s="63">
        <f ca="1">T14-工资!R3</f>
        <v>0</v>
      </c>
      <c r="U15" s="63">
        <f ca="1">U14-工资!U3</f>
        <v>0</v>
      </c>
      <c r="V15" s="63">
        <f ca="1">V14-工资!S3</f>
        <v>0</v>
      </c>
      <c r="W15" s="63" t="e">
        <f ca="1">W14-工资!#REF!</f>
        <v>#REF!</v>
      </c>
      <c r="X15" s="63">
        <f ca="1">X14-工资!V3</f>
        <v>0</v>
      </c>
      <c r="Y15" s="63">
        <f ca="1">Y14-工资!W3</f>
        <v>0</v>
      </c>
      <c r="Z15" s="63">
        <f ca="1">Z14-工资!X3</f>
        <v>0</v>
      </c>
      <c r="AA15" s="63">
        <f ca="1">AA14-工资!Y3</f>
        <v>1.00044417195022e-11</v>
      </c>
      <c r="AB15" s="63">
        <f ca="1">AB14-工资!Z3</f>
        <v>0</v>
      </c>
      <c r="AC15" s="63">
        <f ca="1">AC14-工资!AA3</f>
        <v>0</v>
      </c>
      <c r="AD15" s="63">
        <f ca="1">AD14-工资!AC3</f>
        <v>0</v>
      </c>
      <c r="AE15" s="63"/>
      <c r="AF15" s="63"/>
      <c r="AG15" s="63">
        <f ca="1">AG14-工资!AD3</f>
        <v>0</v>
      </c>
    </row>
    <row r="16" s="40" customFormat="1" ht="45" customHeight="1" spans="1:33">
      <c r="A16" s="64" t="s">
        <v>635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="40" customFormat="1" ht="30" customHeight="1" spans="5:33"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</sheetData>
  <mergeCells count="4">
    <mergeCell ref="A1:AG1"/>
    <mergeCell ref="A14:B14"/>
    <mergeCell ref="A3:A10"/>
    <mergeCell ref="A11:A13"/>
  </mergeCells>
  <printOptions horizontalCentered="1"/>
  <pageMargins left="0" right="0" top="0.313888888888889" bottom="0.313888888888889" header="0.511805555555556" footer="0.511805555555556"/>
  <pageSetup paperSize="9" scale="75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zoomScale="70" zoomScaleNormal="70" workbookViewId="0">
      <pane xSplit="1" ySplit="2" topLeftCell="B3" activePane="bottomRight" state="frozen"/>
      <selection/>
      <selection pane="topRight"/>
      <selection pane="bottomLeft"/>
      <selection pane="bottomRight" activeCell="M17" sqref="M17"/>
    </sheetView>
  </sheetViews>
  <sheetFormatPr defaultColWidth="9.81666666666667" defaultRowHeight="17.25"/>
  <cols>
    <col min="1" max="1" width="16.7833333333333" style="10" customWidth="1"/>
    <col min="2" max="2" width="18.925" style="10" customWidth="1"/>
    <col min="3" max="3" width="12.1416666666667" style="10" customWidth="1"/>
    <col min="4" max="4" width="24.5" style="10" customWidth="1"/>
    <col min="5" max="5" width="16.75" style="10" customWidth="1"/>
    <col min="6" max="6" width="11.9583333333333" style="10" customWidth="1"/>
    <col min="7" max="7" width="16.75" style="10" customWidth="1"/>
    <col min="8" max="8" width="17.5" style="10" customWidth="1"/>
    <col min="9" max="9" width="20.175" style="11" customWidth="1"/>
    <col min="10" max="10" width="40.35" style="10" customWidth="1"/>
    <col min="11" max="11" width="16.7833333333333" style="10" customWidth="1"/>
    <col min="12" max="12" width="8.45" style="10" customWidth="1"/>
    <col min="13" max="16" width="14.0916666666667" style="10" customWidth="1"/>
    <col min="17" max="17" width="12.1416666666667" style="10" customWidth="1"/>
    <col min="18" max="256" width="9.81666666666667" style="10"/>
    <col min="257" max="257" width="6.36666666666667" style="10" customWidth="1"/>
    <col min="258" max="258" width="9.81666666666667" style="10"/>
    <col min="259" max="259" width="4.90833333333333" style="10" customWidth="1"/>
    <col min="260" max="260" width="17.725" style="10" customWidth="1"/>
    <col min="261" max="261" width="18.6333333333333" style="10" customWidth="1"/>
    <col min="262" max="262" width="17.2666666666667" style="10" customWidth="1"/>
    <col min="263" max="263" width="11" style="10" customWidth="1"/>
    <col min="264" max="264" width="16.3666666666667" style="10" customWidth="1"/>
    <col min="265" max="265" width="18.0916666666667" style="10" customWidth="1"/>
    <col min="266" max="267" width="9.81666666666667" style="10" hidden="1" customWidth="1"/>
    <col min="268" max="268" width="16.3666666666667" style="10" customWidth="1"/>
    <col min="269" max="269" width="9.81666666666667" style="10"/>
    <col min="270" max="270" width="15.3666666666667" style="10" customWidth="1"/>
    <col min="271" max="512" width="9.81666666666667" style="10"/>
    <col min="513" max="513" width="6.36666666666667" style="10" customWidth="1"/>
    <col min="514" max="514" width="9.81666666666667" style="10"/>
    <col min="515" max="515" width="4.90833333333333" style="10" customWidth="1"/>
    <col min="516" max="516" width="17.725" style="10" customWidth="1"/>
    <col min="517" max="517" width="18.6333333333333" style="10" customWidth="1"/>
    <col min="518" max="518" width="17.2666666666667" style="10" customWidth="1"/>
    <col min="519" max="519" width="11" style="10" customWidth="1"/>
    <col min="520" max="520" width="16.3666666666667" style="10" customWidth="1"/>
    <col min="521" max="521" width="18.0916666666667" style="10" customWidth="1"/>
    <col min="522" max="523" width="9.81666666666667" style="10" hidden="1" customWidth="1"/>
    <col min="524" max="524" width="16.3666666666667" style="10" customWidth="1"/>
    <col min="525" max="525" width="9.81666666666667" style="10"/>
    <col min="526" max="526" width="15.3666666666667" style="10" customWidth="1"/>
    <col min="527" max="768" width="9.81666666666667" style="10"/>
    <col min="769" max="769" width="6.36666666666667" style="10" customWidth="1"/>
    <col min="770" max="770" width="9.81666666666667" style="10"/>
    <col min="771" max="771" width="4.90833333333333" style="10" customWidth="1"/>
    <col min="772" max="772" width="17.725" style="10" customWidth="1"/>
    <col min="773" max="773" width="18.6333333333333" style="10" customWidth="1"/>
    <col min="774" max="774" width="17.2666666666667" style="10" customWidth="1"/>
    <col min="775" max="775" width="11" style="10" customWidth="1"/>
    <col min="776" max="776" width="16.3666666666667" style="10" customWidth="1"/>
    <col min="777" max="777" width="18.0916666666667" style="10" customWidth="1"/>
    <col min="778" max="779" width="9.81666666666667" style="10" hidden="1" customWidth="1"/>
    <col min="780" max="780" width="16.3666666666667" style="10" customWidth="1"/>
    <col min="781" max="781" width="9.81666666666667" style="10"/>
    <col min="782" max="782" width="15.3666666666667" style="10" customWidth="1"/>
    <col min="783" max="1024" width="9.81666666666667" style="10"/>
    <col min="1025" max="1025" width="6.36666666666667" style="10" customWidth="1"/>
    <col min="1026" max="1026" width="9.81666666666667" style="10"/>
    <col min="1027" max="1027" width="4.90833333333333" style="10" customWidth="1"/>
    <col min="1028" max="1028" width="17.725" style="10" customWidth="1"/>
    <col min="1029" max="1029" width="18.6333333333333" style="10" customWidth="1"/>
    <col min="1030" max="1030" width="17.2666666666667" style="10" customWidth="1"/>
    <col min="1031" max="1031" width="11" style="10" customWidth="1"/>
    <col min="1032" max="1032" width="16.3666666666667" style="10" customWidth="1"/>
    <col min="1033" max="1033" width="18.0916666666667" style="10" customWidth="1"/>
    <col min="1034" max="1035" width="9.81666666666667" style="10" hidden="1" customWidth="1"/>
    <col min="1036" max="1036" width="16.3666666666667" style="10" customWidth="1"/>
    <col min="1037" max="1037" width="9.81666666666667" style="10"/>
    <col min="1038" max="1038" width="15.3666666666667" style="10" customWidth="1"/>
    <col min="1039" max="1280" width="9.81666666666667" style="10"/>
    <col min="1281" max="1281" width="6.36666666666667" style="10" customWidth="1"/>
    <col min="1282" max="1282" width="9.81666666666667" style="10"/>
    <col min="1283" max="1283" width="4.90833333333333" style="10" customWidth="1"/>
    <col min="1284" max="1284" width="17.725" style="10" customWidth="1"/>
    <col min="1285" max="1285" width="18.6333333333333" style="10" customWidth="1"/>
    <col min="1286" max="1286" width="17.2666666666667" style="10" customWidth="1"/>
    <col min="1287" max="1287" width="11" style="10" customWidth="1"/>
    <col min="1288" max="1288" width="16.3666666666667" style="10" customWidth="1"/>
    <col min="1289" max="1289" width="18.0916666666667" style="10" customWidth="1"/>
    <col min="1290" max="1291" width="9.81666666666667" style="10" hidden="1" customWidth="1"/>
    <col min="1292" max="1292" width="16.3666666666667" style="10" customWidth="1"/>
    <col min="1293" max="1293" width="9.81666666666667" style="10"/>
    <col min="1294" max="1294" width="15.3666666666667" style="10" customWidth="1"/>
    <col min="1295" max="1536" width="9.81666666666667" style="10"/>
    <col min="1537" max="1537" width="6.36666666666667" style="10" customWidth="1"/>
    <col min="1538" max="1538" width="9.81666666666667" style="10"/>
    <col min="1539" max="1539" width="4.90833333333333" style="10" customWidth="1"/>
    <col min="1540" max="1540" width="17.725" style="10" customWidth="1"/>
    <col min="1541" max="1541" width="18.6333333333333" style="10" customWidth="1"/>
    <col min="1542" max="1542" width="17.2666666666667" style="10" customWidth="1"/>
    <col min="1543" max="1543" width="11" style="10" customWidth="1"/>
    <col min="1544" max="1544" width="16.3666666666667" style="10" customWidth="1"/>
    <col min="1545" max="1545" width="18.0916666666667" style="10" customWidth="1"/>
    <col min="1546" max="1547" width="9.81666666666667" style="10" hidden="1" customWidth="1"/>
    <col min="1548" max="1548" width="16.3666666666667" style="10" customWidth="1"/>
    <col min="1549" max="1549" width="9.81666666666667" style="10"/>
    <col min="1550" max="1550" width="15.3666666666667" style="10" customWidth="1"/>
    <col min="1551" max="1792" width="9.81666666666667" style="10"/>
    <col min="1793" max="1793" width="6.36666666666667" style="10" customWidth="1"/>
    <col min="1794" max="1794" width="9.81666666666667" style="10"/>
    <col min="1795" max="1795" width="4.90833333333333" style="10" customWidth="1"/>
    <col min="1796" max="1796" width="17.725" style="10" customWidth="1"/>
    <col min="1797" max="1797" width="18.6333333333333" style="10" customWidth="1"/>
    <col min="1798" max="1798" width="17.2666666666667" style="10" customWidth="1"/>
    <col min="1799" max="1799" width="11" style="10" customWidth="1"/>
    <col min="1800" max="1800" width="16.3666666666667" style="10" customWidth="1"/>
    <col min="1801" max="1801" width="18.0916666666667" style="10" customWidth="1"/>
    <col min="1802" max="1803" width="9.81666666666667" style="10" hidden="1" customWidth="1"/>
    <col min="1804" max="1804" width="16.3666666666667" style="10" customWidth="1"/>
    <col min="1805" max="1805" width="9.81666666666667" style="10"/>
    <col min="1806" max="1806" width="15.3666666666667" style="10" customWidth="1"/>
    <col min="1807" max="2048" width="9.81666666666667" style="10"/>
    <col min="2049" max="2049" width="6.36666666666667" style="10" customWidth="1"/>
    <col min="2050" max="2050" width="9.81666666666667" style="10"/>
    <col min="2051" max="2051" width="4.90833333333333" style="10" customWidth="1"/>
    <col min="2052" max="2052" width="17.725" style="10" customWidth="1"/>
    <col min="2053" max="2053" width="18.6333333333333" style="10" customWidth="1"/>
    <col min="2054" max="2054" width="17.2666666666667" style="10" customWidth="1"/>
    <col min="2055" max="2055" width="11" style="10" customWidth="1"/>
    <col min="2056" max="2056" width="16.3666666666667" style="10" customWidth="1"/>
    <col min="2057" max="2057" width="18.0916666666667" style="10" customWidth="1"/>
    <col min="2058" max="2059" width="9.81666666666667" style="10" hidden="1" customWidth="1"/>
    <col min="2060" max="2060" width="16.3666666666667" style="10" customWidth="1"/>
    <col min="2061" max="2061" width="9.81666666666667" style="10"/>
    <col min="2062" max="2062" width="15.3666666666667" style="10" customWidth="1"/>
    <col min="2063" max="2304" width="9.81666666666667" style="10"/>
    <col min="2305" max="2305" width="6.36666666666667" style="10" customWidth="1"/>
    <col min="2306" max="2306" width="9.81666666666667" style="10"/>
    <col min="2307" max="2307" width="4.90833333333333" style="10" customWidth="1"/>
    <col min="2308" max="2308" width="17.725" style="10" customWidth="1"/>
    <col min="2309" max="2309" width="18.6333333333333" style="10" customWidth="1"/>
    <col min="2310" max="2310" width="17.2666666666667" style="10" customWidth="1"/>
    <col min="2311" max="2311" width="11" style="10" customWidth="1"/>
    <col min="2312" max="2312" width="16.3666666666667" style="10" customWidth="1"/>
    <col min="2313" max="2313" width="18.0916666666667" style="10" customWidth="1"/>
    <col min="2314" max="2315" width="9.81666666666667" style="10" hidden="1" customWidth="1"/>
    <col min="2316" max="2316" width="16.3666666666667" style="10" customWidth="1"/>
    <col min="2317" max="2317" width="9.81666666666667" style="10"/>
    <col min="2318" max="2318" width="15.3666666666667" style="10" customWidth="1"/>
    <col min="2319" max="2560" width="9.81666666666667" style="10"/>
    <col min="2561" max="2561" width="6.36666666666667" style="10" customWidth="1"/>
    <col min="2562" max="2562" width="9.81666666666667" style="10"/>
    <col min="2563" max="2563" width="4.90833333333333" style="10" customWidth="1"/>
    <col min="2564" max="2564" width="17.725" style="10" customWidth="1"/>
    <col min="2565" max="2565" width="18.6333333333333" style="10" customWidth="1"/>
    <col min="2566" max="2566" width="17.2666666666667" style="10" customWidth="1"/>
    <col min="2567" max="2567" width="11" style="10" customWidth="1"/>
    <col min="2568" max="2568" width="16.3666666666667" style="10" customWidth="1"/>
    <col min="2569" max="2569" width="18.0916666666667" style="10" customWidth="1"/>
    <col min="2570" max="2571" width="9.81666666666667" style="10" hidden="1" customWidth="1"/>
    <col min="2572" max="2572" width="16.3666666666667" style="10" customWidth="1"/>
    <col min="2573" max="2573" width="9.81666666666667" style="10"/>
    <col min="2574" max="2574" width="15.3666666666667" style="10" customWidth="1"/>
    <col min="2575" max="2816" width="9.81666666666667" style="10"/>
    <col min="2817" max="2817" width="6.36666666666667" style="10" customWidth="1"/>
    <col min="2818" max="2818" width="9.81666666666667" style="10"/>
    <col min="2819" max="2819" width="4.90833333333333" style="10" customWidth="1"/>
    <col min="2820" max="2820" width="17.725" style="10" customWidth="1"/>
    <col min="2821" max="2821" width="18.6333333333333" style="10" customWidth="1"/>
    <col min="2822" max="2822" width="17.2666666666667" style="10" customWidth="1"/>
    <col min="2823" max="2823" width="11" style="10" customWidth="1"/>
    <col min="2824" max="2824" width="16.3666666666667" style="10" customWidth="1"/>
    <col min="2825" max="2825" width="18.0916666666667" style="10" customWidth="1"/>
    <col min="2826" max="2827" width="9.81666666666667" style="10" hidden="1" customWidth="1"/>
    <col min="2828" max="2828" width="16.3666666666667" style="10" customWidth="1"/>
    <col min="2829" max="2829" width="9.81666666666667" style="10"/>
    <col min="2830" max="2830" width="15.3666666666667" style="10" customWidth="1"/>
    <col min="2831" max="3072" width="9.81666666666667" style="10"/>
    <col min="3073" max="3073" width="6.36666666666667" style="10" customWidth="1"/>
    <col min="3074" max="3074" width="9.81666666666667" style="10"/>
    <col min="3075" max="3075" width="4.90833333333333" style="10" customWidth="1"/>
    <col min="3076" max="3076" width="17.725" style="10" customWidth="1"/>
    <col min="3077" max="3077" width="18.6333333333333" style="10" customWidth="1"/>
    <col min="3078" max="3078" width="17.2666666666667" style="10" customWidth="1"/>
    <col min="3079" max="3079" width="11" style="10" customWidth="1"/>
    <col min="3080" max="3080" width="16.3666666666667" style="10" customWidth="1"/>
    <col min="3081" max="3081" width="18.0916666666667" style="10" customWidth="1"/>
    <col min="3082" max="3083" width="9.81666666666667" style="10" hidden="1" customWidth="1"/>
    <col min="3084" max="3084" width="16.3666666666667" style="10" customWidth="1"/>
    <col min="3085" max="3085" width="9.81666666666667" style="10"/>
    <col min="3086" max="3086" width="15.3666666666667" style="10" customWidth="1"/>
    <col min="3087" max="3328" width="9.81666666666667" style="10"/>
    <col min="3329" max="3329" width="6.36666666666667" style="10" customWidth="1"/>
    <col min="3330" max="3330" width="9.81666666666667" style="10"/>
    <col min="3331" max="3331" width="4.90833333333333" style="10" customWidth="1"/>
    <col min="3332" max="3332" width="17.725" style="10" customWidth="1"/>
    <col min="3333" max="3333" width="18.6333333333333" style="10" customWidth="1"/>
    <col min="3334" max="3334" width="17.2666666666667" style="10" customWidth="1"/>
    <col min="3335" max="3335" width="11" style="10" customWidth="1"/>
    <col min="3336" max="3336" width="16.3666666666667" style="10" customWidth="1"/>
    <col min="3337" max="3337" width="18.0916666666667" style="10" customWidth="1"/>
    <col min="3338" max="3339" width="9.81666666666667" style="10" hidden="1" customWidth="1"/>
    <col min="3340" max="3340" width="16.3666666666667" style="10" customWidth="1"/>
    <col min="3341" max="3341" width="9.81666666666667" style="10"/>
    <col min="3342" max="3342" width="15.3666666666667" style="10" customWidth="1"/>
    <col min="3343" max="3584" width="9.81666666666667" style="10"/>
    <col min="3585" max="3585" width="6.36666666666667" style="10" customWidth="1"/>
    <col min="3586" max="3586" width="9.81666666666667" style="10"/>
    <col min="3587" max="3587" width="4.90833333333333" style="10" customWidth="1"/>
    <col min="3588" max="3588" width="17.725" style="10" customWidth="1"/>
    <col min="3589" max="3589" width="18.6333333333333" style="10" customWidth="1"/>
    <col min="3590" max="3590" width="17.2666666666667" style="10" customWidth="1"/>
    <col min="3591" max="3591" width="11" style="10" customWidth="1"/>
    <col min="3592" max="3592" width="16.3666666666667" style="10" customWidth="1"/>
    <col min="3593" max="3593" width="18.0916666666667" style="10" customWidth="1"/>
    <col min="3594" max="3595" width="9.81666666666667" style="10" hidden="1" customWidth="1"/>
    <col min="3596" max="3596" width="16.3666666666667" style="10" customWidth="1"/>
    <col min="3597" max="3597" width="9.81666666666667" style="10"/>
    <col min="3598" max="3598" width="15.3666666666667" style="10" customWidth="1"/>
    <col min="3599" max="3840" width="9.81666666666667" style="10"/>
    <col min="3841" max="3841" width="6.36666666666667" style="10" customWidth="1"/>
    <col min="3842" max="3842" width="9.81666666666667" style="10"/>
    <col min="3843" max="3843" width="4.90833333333333" style="10" customWidth="1"/>
    <col min="3844" max="3844" width="17.725" style="10" customWidth="1"/>
    <col min="3845" max="3845" width="18.6333333333333" style="10" customWidth="1"/>
    <col min="3846" max="3846" width="17.2666666666667" style="10" customWidth="1"/>
    <col min="3847" max="3847" width="11" style="10" customWidth="1"/>
    <col min="3848" max="3848" width="16.3666666666667" style="10" customWidth="1"/>
    <col min="3849" max="3849" width="18.0916666666667" style="10" customWidth="1"/>
    <col min="3850" max="3851" width="9.81666666666667" style="10" hidden="1" customWidth="1"/>
    <col min="3852" max="3852" width="16.3666666666667" style="10" customWidth="1"/>
    <col min="3853" max="3853" width="9.81666666666667" style="10"/>
    <col min="3854" max="3854" width="15.3666666666667" style="10" customWidth="1"/>
    <col min="3855" max="4096" width="9.81666666666667" style="10"/>
    <col min="4097" max="4097" width="6.36666666666667" style="10" customWidth="1"/>
    <col min="4098" max="4098" width="9.81666666666667" style="10"/>
    <col min="4099" max="4099" width="4.90833333333333" style="10" customWidth="1"/>
    <col min="4100" max="4100" width="17.725" style="10" customWidth="1"/>
    <col min="4101" max="4101" width="18.6333333333333" style="10" customWidth="1"/>
    <col min="4102" max="4102" width="17.2666666666667" style="10" customWidth="1"/>
    <col min="4103" max="4103" width="11" style="10" customWidth="1"/>
    <col min="4104" max="4104" width="16.3666666666667" style="10" customWidth="1"/>
    <col min="4105" max="4105" width="18.0916666666667" style="10" customWidth="1"/>
    <col min="4106" max="4107" width="9.81666666666667" style="10" hidden="1" customWidth="1"/>
    <col min="4108" max="4108" width="16.3666666666667" style="10" customWidth="1"/>
    <col min="4109" max="4109" width="9.81666666666667" style="10"/>
    <col min="4110" max="4110" width="15.3666666666667" style="10" customWidth="1"/>
    <col min="4111" max="4352" width="9.81666666666667" style="10"/>
    <col min="4353" max="4353" width="6.36666666666667" style="10" customWidth="1"/>
    <col min="4354" max="4354" width="9.81666666666667" style="10"/>
    <col min="4355" max="4355" width="4.90833333333333" style="10" customWidth="1"/>
    <col min="4356" max="4356" width="17.725" style="10" customWidth="1"/>
    <col min="4357" max="4357" width="18.6333333333333" style="10" customWidth="1"/>
    <col min="4358" max="4358" width="17.2666666666667" style="10" customWidth="1"/>
    <col min="4359" max="4359" width="11" style="10" customWidth="1"/>
    <col min="4360" max="4360" width="16.3666666666667" style="10" customWidth="1"/>
    <col min="4361" max="4361" width="18.0916666666667" style="10" customWidth="1"/>
    <col min="4362" max="4363" width="9.81666666666667" style="10" hidden="1" customWidth="1"/>
    <col min="4364" max="4364" width="16.3666666666667" style="10" customWidth="1"/>
    <col min="4365" max="4365" width="9.81666666666667" style="10"/>
    <col min="4366" max="4366" width="15.3666666666667" style="10" customWidth="1"/>
    <col min="4367" max="4608" width="9.81666666666667" style="10"/>
    <col min="4609" max="4609" width="6.36666666666667" style="10" customWidth="1"/>
    <col min="4610" max="4610" width="9.81666666666667" style="10"/>
    <col min="4611" max="4611" width="4.90833333333333" style="10" customWidth="1"/>
    <col min="4612" max="4612" width="17.725" style="10" customWidth="1"/>
    <col min="4613" max="4613" width="18.6333333333333" style="10" customWidth="1"/>
    <col min="4614" max="4614" width="17.2666666666667" style="10" customWidth="1"/>
    <col min="4615" max="4615" width="11" style="10" customWidth="1"/>
    <col min="4616" max="4616" width="16.3666666666667" style="10" customWidth="1"/>
    <col min="4617" max="4617" width="18.0916666666667" style="10" customWidth="1"/>
    <col min="4618" max="4619" width="9.81666666666667" style="10" hidden="1" customWidth="1"/>
    <col min="4620" max="4620" width="16.3666666666667" style="10" customWidth="1"/>
    <col min="4621" max="4621" width="9.81666666666667" style="10"/>
    <col min="4622" max="4622" width="15.3666666666667" style="10" customWidth="1"/>
    <col min="4623" max="4864" width="9.81666666666667" style="10"/>
    <col min="4865" max="4865" width="6.36666666666667" style="10" customWidth="1"/>
    <col min="4866" max="4866" width="9.81666666666667" style="10"/>
    <col min="4867" max="4867" width="4.90833333333333" style="10" customWidth="1"/>
    <col min="4868" max="4868" width="17.725" style="10" customWidth="1"/>
    <col min="4869" max="4869" width="18.6333333333333" style="10" customWidth="1"/>
    <col min="4870" max="4870" width="17.2666666666667" style="10" customWidth="1"/>
    <col min="4871" max="4871" width="11" style="10" customWidth="1"/>
    <col min="4872" max="4872" width="16.3666666666667" style="10" customWidth="1"/>
    <col min="4873" max="4873" width="18.0916666666667" style="10" customWidth="1"/>
    <col min="4874" max="4875" width="9.81666666666667" style="10" hidden="1" customWidth="1"/>
    <col min="4876" max="4876" width="16.3666666666667" style="10" customWidth="1"/>
    <col min="4877" max="4877" width="9.81666666666667" style="10"/>
    <col min="4878" max="4878" width="15.3666666666667" style="10" customWidth="1"/>
    <col min="4879" max="5120" width="9.81666666666667" style="10"/>
    <col min="5121" max="5121" width="6.36666666666667" style="10" customWidth="1"/>
    <col min="5122" max="5122" width="9.81666666666667" style="10"/>
    <col min="5123" max="5123" width="4.90833333333333" style="10" customWidth="1"/>
    <col min="5124" max="5124" width="17.725" style="10" customWidth="1"/>
    <col min="5125" max="5125" width="18.6333333333333" style="10" customWidth="1"/>
    <col min="5126" max="5126" width="17.2666666666667" style="10" customWidth="1"/>
    <col min="5127" max="5127" width="11" style="10" customWidth="1"/>
    <col min="5128" max="5128" width="16.3666666666667" style="10" customWidth="1"/>
    <col min="5129" max="5129" width="18.0916666666667" style="10" customWidth="1"/>
    <col min="5130" max="5131" width="9.81666666666667" style="10" hidden="1" customWidth="1"/>
    <col min="5132" max="5132" width="16.3666666666667" style="10" customWidth="1"/>
    <col min="5133" max="5133" width="9.81666666666667" style="10"/>
    <col min="5134" max="5134" width="15.3666666666667" style="10" customWidth="1"/>
    <col min="5135" max="5376" width="9.81666666666667" style="10"/>
    <col min="5377" max="5377" width="6.36666666666667" style="10" customWidth="1"/>
    <col min="5378" max="5378" width="9.81666666666667" style="10"/>
    <col min="5379" max="5379" width="4.90833333333333" style="10" customWidth="1"/>
    <col min="5380" max="5380" width="17.725" style="10" customWidth="1"/>
    <col min="5381" max="5381" width="18.6333333333333" style="10" customWidth="1"/>
    <col min="5382" max="5382" width="17.2666666666667" style="10" customWidth="1"/>
    <col min="5383" max="5383" width="11" style="10" customWidth="1"/>
    <col min="5384" max="5384" width="16.3666666666667" style="10" customWidth="1"/>
    <col min="5385" max="5385" width="18.0916666666667" style="10" customWidth="1"/>
    <col min="5386" max="5387" width="9.81666666666667" style="10" hidden="1" customWidth="1"/>
    <col min="5388" max="5388" width="16.3666666666667" style="10" customWidth="1"/>
    <col min="5389" max="5389" width="9.81666666666667" style="10"/>
    <col min="5390" max="5390" width="15.3666666666667" style="10" customWidth="1"/>
    <col min="5391" max="5632" width="9.81666666666667" style="10"/>
    <col min="5633" max="5633" width="6.36666666666667" style="10" customWidth="1"/>
    <col min="5634" max="5634" width="9.81666666666667" style="10"/>
    <col min="5635" max="5635" width="4.90833333333333" style="10" customWidth="1"/>
    <col min="5636" max="5636" width="17.725" style="10" customWidth="1"/>
    <col min="5637" max="5637" width="18.6333333333333" style="10" customWidth="1"/>
    <col min="5638" max="5638" width="17.2666666666667" style="10" customWidth="1"/>
    <col min="5639" max="5639" width="11" style="10" customWidth="1"/>
    <col min="5640" max="5640" width="16.3666666666667" style="10" customWidth="1"/>
    <col min="5641" max="5641" width="18.0916666666667" style="10" customWidth="1"/>
    <col min="5642" max="5643" width="9.81666666666667" style="10" hidden="1" customWidth="1"/>
    <col min="5644" max="5644" width="16.3666666666667" style="10" customWidth="1"/>
    <col min="5645" max="5645" width="9.81666666666667" style="10"/>
    <col min="5646" max="5646" width="15.3666666666667" style="10" customWidth="1"/>
    <col min="5647" max="5888" width="9.81666666666667" style="10"/>
    <col min="5889" max="5889" width="6.36666666666667" style="10" customWidth="1"/>
    <col min="5890" max="5890" width="9.81666666666667" style="10"/>
    <col min="5891" max="5891" width="4.90833333333333" style="10" customWidth="1"/>
    <col min="5892" max="5892" width="17.725" style="10" customWidth="1"/>
    <col min="5893" max="5893" width="18.6333333333333" style="10" customWidth="1"/>
    <col min="5894" max="5894" width="17.2666666666667" style="10" customWidth="1"/>
    <col min="5895" max="5895" width="11" style="10" customWidth="1"/>
    <col min="5896" max="5896" width="16.3666666666667" style="10" customWidth="1"/>
    <col min="5897" max="5897" width="18.0916666666667" style="10" customWidth="1"/>
    <col min="5898" max="5899" width="9.81666666666667" style="10" hidden="1" customWidth="1"/>
    <col min="5900" max="5900" width="16.3666666666667" style="10" customWidth="1"/>
    <col min="5901" max="5901" width="9.81666666666667" style="10"/>
    <col min="5902" max="5902" width="15.3666666666667" style="10" customWidth="1"/>
    <col min="5903" max="6144" width="9.81666666666667" style="10"/>
    <col min="6145" max="6145" width="6.36666666666667" style="10" customWidth="1"/>
    <col min="6146" max="6146" width="9.81666666666667" style="10"/>
    <col min="6147" max="6147" width="4.90833333333333" style="10" customWidth="1"/>
    <col min="6148" max="6148" width="17.725" style="10" customWidth="1"/>
    <col min="6149" max="6149" width="18.6333333333333" style="10" customWidth="1"/>
    <col min="6150" max="6150" width="17.2666666666667" style="10" customWidth="1"/>
    <col min="6151" max="6151" width="11" style="10" customWidth="1"/>
    <col min="6152" max="6152" width="16.3666666666667" style="10" customWidth="1"/>
    <col min="6153" max="6153" width="18.0916666666667" style="10" customWidth="1"/>
    <col min="6154" max="6155" width="9.81666666666667" style="10" hidden="1" customWidth="1"/>
    <col min="6156" max="6156" width="16.3666666666667" style="10" customWidth="1"/>
    <col min="6157" max="6157" width="9.81666666666667" style="10"/>
    <col min="6158" max="6158" width="15.3666666666667" style="10" customWidth="1"/>
    <col min="6159" max="6400" width="9.81666666666667" style="10"/>
    <col min="6401" max="6401" width="6.36666666666667" style="10" customWidth="1"/>
    <col min="6402" max="6402" width="9.81666666666667" style="10"/>
    <col min="6403" max="6403" width="4.90833333333333" style="10" customWidth="1"/>
    <col min="6404" max="6404" width="17.725" style="10" customWidth="1"/>
    <col min="6405" max="6405" width="18.6333333333333" style="10" customWidth="1"/>
    <col min="6406" max="6406" width="17.2666666666667" style="10" customWidth="1"/>
    <col min="6407" max="6407" width="11" style="10" customWidth="1"/>
    <col min="6408" max="6408" width="16.3666666666667" style="10" customWidth="1"/>
    <col min="6409" max="6409" width="18.0916666666667" style="10" customWidth="1"/>
    <col min="6410" max="6411" width="9.81666666666667" style="10" hidden="1" customWidth="1"/>
    <col min="6412" max="6412" width="16.3666666666667" style="10" customWidth="1"/>
    <col min="6413" max="6413" width="9.81666666666667" style="10"/>
    <col min="6414" max="6414" width="15.3666666666667" style="10" customWidth="1"/>
    <col min="6415" max="6656" width="9.81666666666667" style="10"/>
    <col min="6657" max="6657" width="6.36666666666667" style="10" customWidth="1"/>
    <col min="6658" max="6658" width="9.81666666666667" style="10"/>
    <col min="6659" max="6659" width="4.90833333333333" style="10" customWidth="1"/>
    <col min="6660" max="6660" width="17.725" style="10" customWidth="1"/>
    <col min="6661" max="6661" width="18.6333333333333" style="10" customWidth="1"/>
    <col min="6662" max="6662" width="17.2666666666667" style="10" customWidth="1"/>
    <col min="6663" max="6663" width="11" style="10" customWidth="1"/>
    <col min="6664" max="6664" width="16.3666666666667" style="10" customWidth="1"/>
    <col min="6665" max="6665" width="18.0916666666667" style="10" customWidth="1"/>
    <col min="6666" max="6667" width="9.81666666666667" style="10" hidden="1" customWidth="1"/>
    <col min="6668" max="6668" width="16.3666666666667" style="10" customWidth="1"/>
    <col min="6669" max="6669" width="9.81666666666667" style="10"/>
    <col min="6670" max="6670" width="15.3666666666667" style="10" customWidth="1"/>
    <col min="6671" max="6912" width="9.81666666666667" style="10"/>
    <col min="6913" max="6913" width="6.36666666666667" style="10" customWidth="1"/>
    <col min="6914" max="6914" width="9.81666666666667" style="10"/>
    <col min="6915" max="6915" width="4.90833333333333" style="10" customWidth="1"/>
    <col min="6916" max="6916" width="17.725" style="10" customWidth="1"/>
    <col min="6917" max="6917" width="18.6333333333333" style="10" customWidth="1"/>
    <col min="6918" max="6918" width="17.2666666666667" style="10" customWidth="1"/>
    <col min="6919" max="6919" width="11" style="10" customWidth="1"/>
    <col min="6920" max="6920" width="16.3666666666667" style="10" customWidth="1"/>
    <col min="6921" max="6921" width="18.0916666666667" style="10" customWidth="1"/>
    <col min="6922" max="6923" width="9.81666666666667" style="10" hidden="1" customWidth="1"/>
    <col min="6924" max="6924" width="16.3666666666667" style="10" customWidth="1"/>
    <col min="6925" max="6925" width="9.81666666666667" style="10"/>
    <col min="6926" max="6926" width="15.3666666666667" style="10" customWidth="1"/>
    <col min="6927" max="7168" width="9.81666666666667" style="10"/>
    <col min="7169" max="7169" width="6.36666666666667" style="10" customWidth="1"/>
    <col min="7170" max="7170" width="9.81666666666667" style="10"/>
    <col min="7171" max="7171" width="4.90833333333333" style="10" customWidth="1"/>
    <col min="7172" max="7172" width="17.725" style="10" customWidth="1"/>
    <col min="7173" max="7173" width="18.6333333333333" style="10" customWidth="1"/>
    <col min="7174" max="7174" width="17.2666666666667" style="10" customWidth="1"/>
    <col min="7175" max="7175" width="11" style="10" customWidth="1"/>
    <col min="7176" max="7176" width="16.3666666666667" style="10" customWidth="1"/>
    <col min="7177" max="7177" width="18.0916666666667" style="10" customWidth="1"/>
    <col min="7178" max="7179" width="9.81666666666667" style="10" hidden="1" customWidth="1"/>
    <col min="7180" max="7180" width="16.3666666666667" style="10" customWidth="1"/>
    <col min="7181" max="7181" width="9.81666666666667" style="10"/>
    <col min="7182" max="7182" width="15.3666666666667" style="10" customWidth="1"/>
    <col min="7183" max="7424" width="9.81666666666667" style="10"/>
    <col min="7425" max="7425" width="6.36666666666667" style="10" customWidth="1"/>
    <col min="7426" max="7426" width="9.81666666666667" style="10"/>
    <col min="7427" max="7427" width="4.90833333333333" style="10" customWidth="1"/>
    <col min="7428" max="7428" width="17.725" style="10" customWidth="1"/>
    <col min="7429" max="7429" width="18.6333333333333" style="10" customWidth="1"/>
    <col min="7430" max="7430" width="17.2666666666667" style="10" customWidth="1"/>
    <col min="7431" max="7431" width="11" style="10" customWidth="1"/>
    <col min="7432" max="7432" width="16.3666666666667" style="10" customWidth="1"/>
    <col min="7433" max="7433" width="18.0916666666667" style="10" customWidth="1"/>
    <col min="7434" max="7435" width="9.81666666666667" style="10" hidden="1" customWidth="1"/>
    <col min="7436" max="7436" width="16.3666666666667" style="10" customWidth="1"/>
    <col min="7437" max="7437" width="9.81666666666667" style="10"/>
    <col min="7438" max="7438" width="15.3666666666667" style="10" customWidth="1"/>
    <col min="7439" max="7680" width="9.81666666666667" style="10"/>
    <col min="7681" max="7681" width="6.36666666666667" style="10" customWidth="1"/>
    <col min="7682" max="7682" width="9.81666666666667" style="10"/>
    <col min="7683" max="7683" width="4.90833333333333" style="10" customWidth="1"/>
    <col min="7684" max="7684" width="17.725" style="10" customWidth="1"/>
    <col min="7685" max="7685" width="18.6333333333333" style="10" customWidth="1"/>
    <col min="7686" max="7686" width="17.2666666666667" style="10" customWidth="1"/>
    <col min="7687" max="7687" width="11" style="10" customWidth="1"/>
    <col min="7688" max="7688" width="16.3666666666667" style="10" customWidth="1"/>
    <col min="7689" max="7689" width="18.0916666666667" style="10" customWidth="1"/>
    <col min="7690" max="7691" width="9.81666666666667" style="10" hidden="1" customWidth="1"/>
    <col min="7692" max="7692" width="16.3666666666667" style="10" customWidth="1"/>
    <col min="7693" max="7693" width="9.81666666666667" style="10"/>
    <col min="7694" max="7694" width="15.3666666666667" style="10" customWidth="1"/>
    <col min="7695" max="7936" width="9.81666666666667" style="10"/>
    <col min="7937" max="7937" width="6.36666666666667" style="10" customWidth="1"/>
    <col min="7938" max="7938" width="9.81666666666667" style="10"/>
    <col min="7939" max="7939" width="4.90833333333333" style="10" customWidth="1"/>
    <col min="7940" max="7940" width="17.725" style="10" customWidth="1"/>
    <col min="7941" max="7941" width="18.6333333333333" style="10" customWidth="1"/>
    <col min="7942" max="7942" width="17.2666666666667" style="10" customWidth="1"/>
    <col min="7943" max="7943" width="11" style="10" customWidth="1"/>
    <col min="7944" max="7944" width="16.3666666666667" style="10" customWidth="1"/>
    <col min="7945" max="7945" width="18.0916666666667" style="10" customWidth="1"/>
    <col min="7946" max="7947" width="9.81666666666667" style="10" hidden="1" customWidth="1"/>
    <col min="7948" max="7948" width="16.3666666666667" style="10" customWidth="1"/>
    <col min="7949" max="7949" width="9.81666666666667" style="10"/>
    <col min="7950" max="7950" width="15.3666666666667" style="10" customWidth="1"/>
    <col min="7951" max="8192" width="9.81666666666667" style="10"/>
    <col min="8193" max="8193" width="6.36666666666667" style="10" customWidth="1"/>
    <col min="8194" max="8194" width="9.81666666666667" style="10"/>
    <col min="8195" max="8195" width="4.90833333333333" style="10" customWidth="1"/>
    <col min="8196" max="8196" width="17.725" style="10" customWidth="1"/>
    <col min="8197" max="8197" width="18.6333333333333" style="10" customWidth="1"/>
    <col min="8198" max="8198" width="17.2666666666667" style="10" customWidth="1"/>
    <col min="8199" max="8199" width="11" style="10" customWidth="1"/>
    <col min="8200" max="8200" width="16.3666666666667" style="10" customWidth="1"/>
    <col min="8201" max="8201" width="18.0916666666667" style="10" customWidth="1"/>
    <col min="8202" max="8203" width="9.81666666666667" style="10" hidden="1" customWidth="1"/>
    <col min="8204" max="8204" width="16.3666666666667" style="10" customWidth="1"/>
    <col min="8205" max="8205" width="9.81666666666667" style="10"/>
    <col min="8206" max="8206" width="15.3666666666667" style="10" customWidth="1"/>
    <col min="8207" max="8448" width="9.81666666666667" style="10"/>
    <col min="8449" max="8449" width="6.36666666666667" style="10" customWidth="1"/>
    <col min="8450" max="8450" width="9.81666666666667" style="10"/>
    <col min="8451" max="8451" width="4.90833333333333" style="10" customWidth="1"/>
    <col min="8452" max="8452" width="17.725" style="10" customWidth="1"/>
    <col min="8453" max="8453" width="18.6333333333333" style="10" customWidth="1"/>
    <col min="8454" max="8454" width="17.2666666666667" style="10" customWidth="1"/>
    <col min="8455" max="8455" width="11" style="10" customWidth="1"/>
    <col min="8456" max="8456" width="16.3666666666667" style="10" customWidth="1"/>
    <col min="8457" max="8457" width="18.0916666666667" style="10" customWidth="1"/>
    <col min="8458" max="8459" width="9.81666666666667" style="10" hidden="1" customWidth="1"/>
    <col min="8460" max="8460" width="16.3666666666667" style="10" customWidth="1"/>
    <col min="8461" max="8461" width="9.81666666666667" style="10"/>
    <col min="8462" max="8462" width="15.3666666666667" style="10" customWidth="1"/>
    <col min="8463" max="8704" width="9.81666666666667" style="10"/>
    <col min="8705" max="8705" width="6.36666666666667" style="10" customWidth="1"/>
    <col min="8706" max="8706" width="9.81666666666667" style="10"/>
    <col min="8707" max="8707" width="4.90833333333333" style="10" customWidth="1"/>
    <col min="8708" max="8708" width="17.725" style="10" customWidth="1"/>
    <col min="8709" max="8709" width="18.6333333333333" style="10" customWidth="1"/>
    <col min="8710" max="8710" width="17.2666666666667" style="10" customWidth="1"/>
    <col min="8711" max="8711" width="11" style="10" customWidth="1"/>
    <col min="8712" max="8712" width="16.3666666666667" style="10" customWidth="1"/>
    <col min="8713" max="8713" width="18.0916666666667" style="10" customWidth="1"/>
    <col min="8714" max="8715" width="9.81666666666667" style="10" hidden="1" customWidth="1"/>
    <col min="8716" max="8716" width="16.3666666666667" style="10" customWidth="1"/>
    <col min="8717" max="8717" width="9.81666666666667" style="10"/>
    <col min="8718" max="8718" width="15.3666666666667" style="10" customWidth="1"/>
    <col min="8719" max="8960" width="9.81666666666667" style="10"/>
    <col min="8961" max="8961" width="6.36666666666667" style="10" customWidth="1"/>
    <col min="8962" max="8962" width="9.81666666666667" style="10"/>
    <col min="8963" max="8963" width="4.90833333333333" style="10" customWidth="1"/>
    <col min="8964" max="8964" width="17.725" style="10" customWidth="1"/>
    <col min="8965" max="8965" width="18.6333333333333" style="10" customWidth="1"/>
    <col min="8966" max="8966" width="17.2666666666667" style="10" customWidth="1"/>
    <col min="8967" max="8967" width="11" style="10" customWidth="1"/>
    <col min="8968" max="8968" width="16.3666666666667" style="10" customWidth="1"/>
    <col min="8969" max="8969" width="18.0916666666667" style="10" customWidth="1"/>
    <col min="8970" max="8971" width="9.81666666666667" style="10" hidden="1" customWidth="1"/>
    <col min="8972" max="8972" width="16.3666666666667" style="10" customWidth="1"/>
    <col min="8973" max="8973" width="9.81666666666667" style="10"/>
    <col min="8974" max="8974" width="15.3666666666667" style="10" customWidth="1"/>
    <col min="8975" max="9216" width="9.81666666666667" style="10"/>
    <col min="9217" max="9217" width="6.36666666666667" style="10" customWidth="1"/>
    <col min="9218" max="9218" width="9.81666666666667" style="10"/>
    <col min="9219" max="9219" width="4.90833333333333" style="10" customWidth="1"/>
    <col min="9220" max="9220" width="17.725" style="10" customWidth="1"/>
    <col min="9221" max="9221" width="18.6333333333333" style="10" customWidth="1"/>
    <col min="9222" max="9222" width="17.2666666666667" style="10" customWidth="1"/>
    <col min="9223" max="9223" width="11" style="10" customWidth="1"/>
    <col min="9224" max="9224" width="16.3666666666667" style="10" customWidth="1"/>
    <col min="9225" max="9225" width="18.0916666666667" style="10" customWidth="1"/>
    <col min="9226" max="9227" width="9.81666666666667" style="10" hidden="1" customWidth="1"/>
    <col min="9228" max="9228" width="16.3666666666667" style="10" customWidth="1"/>
    <col min="9229" max="9229" width="9.81666666666667" style="10"/>
    <col min="9230" max="9230" width="15.3666666666667" style="10" customWidth="1"/>
    <col min="9231" max="9472" width="9.81666666666667" style="10"/>
    <col min="9473" max="9473" width="6.36666666666667" style="10" customWidth="1"/>
    <col min="9474" max="9474" width="9.81666666666667" style="10"/>
    <col min="9475" max="9475" width="4.90833333333333" style="10" customWidth="1"/>
    <col min="9476" max="9476" width="17.725" style="10" customWidth="1"/>
    <col min="9477" max="9477" width="18.6333333333333" style="10" customWidth="1"/>
    <col min="9478" max="9478" width="17.2666666666667" style="10" customWidth="1"/>
    <col min="9479" max="9479" width="11" style="10" customWidth="1"/>
    <col min="9480" max="9480" width="16.3666666666667" style="10" customWidth="1"/>
    <col min="9481" max="9481" width="18.0916666666667" style="10" customWidth="1"/>
    <col min="9482" max="9483" width="9.81666666666667" style="10" hidden="1" customWidth="1"/>
    <col min="9484" max="9484" width="16.3666666666667" style="10" customWidth="1"/>
    <col min="9485" max="9485" width="9.81666666666667" style="10"/>
    <col min="9486" max="9486" width="15.3666666666667" style="10" customWidth="1"/>
    <col min="9487" max="9728" width="9.81666666666667" style="10"/>
    <col min="9729" max="9729" width="6.36666666666667" style="10" customWidth="1"/>
    <col min="9730" max="9730" width="9.81666666666667" style="10"/>
    <col min="9731" max="9731" width="4.90833333333333" style="10" customWidth="1"/>
    <col min="9732" max="9732" width="17.725" style="10" customWidth="1"/>
    <col min="9733" max="9733" width="18.6333333333333" style="10" customWidth="1"/>
    <col min="9734" max="9734" width="17.2666666666667" style="10" customWidth="1"/>
    <col min="9735" max="9735" width="11" style="10" customWidth="1"/>
    <col min="9736" max="9736" width="16.3666666666667" style="10" customWidth="1"/>
    <col min="9737" max="9737" width="18.0916666666667" style="10" customWidth="1"/>
    <col min="9738" max="9739" width="9.81666666666667" style="10" hidden="1" customWidth="1"/>
    <col min="9740" max="9740" width="16.3666666666667" style="10" customWidth="1"/>
    <col min="9741" max="9741" width="9.81666666666667" style="10"/>
    <col min="9742" max="9742" width="15.3666666666667" style="10" customWidth="1"/>
    <col min="9743" max="9984" width="9.81666666666667" style="10"/>
    <col min="9985" max="9985" width="6.36666666666667" style="10" customWidth="1"/>
    <col min="9986" max="9986" width="9.81666666666667" style="10"/>
    <col min="9987" max="9987" width="4.90833333333333" style="10" customWidth="1"/>
    <col min="9988" max="9988" width="17.725" style="10" customWidth="1"/>
    <col min="9989" max="9989" width="18.6333333333333" style="10" customWidth="1"/>
    <col min="9990" max="9990" width="17.2666666666667" style="10" customWidth="1"/>
    <col min="9991" max="9991" width="11" style="10" customWidth="1"/>
    <col min="9992" max="9992" width="16.3666666666667" style="10" customWidth="1"/>
    <col min="9993" max="9993" width="18.0916666666667" style="10" customWidth="1"/>
    <col min="9994" max="9995" width="9.81666666666667" style="10" hidden="1" customWidth="1"/>
    <col min="9996" max="9996" width="16.3666666666667" style="10" customWidth="1"/>
    <col min="9997" max="9997" width="9.81666666666667" style="10"/>
    <col min="9998" max="9998" width="15.3666666666667" style="10" customWidth="1"/>
    <col min="9999" max="10240" width="9.81666666666667" style="10"/>
    <col min="10241" max="10241" width="6.36666666666667" style="10" customWidth="1"/>
    <col min="10242" max="10242" width="9.81666666666667" style="10"/>
    <col min="10243" max="10243" width="4.90833333333333" style="10" customWidth="1"/>
    <col min="10244" max="10244" width="17.725" style="10" customWidth="1"/>
    <col min="10245" max="10245" width="18.6333333333333" style="10" customWidth="1"/>
    <col min="10246" max="10246" width="17.2666666666667" style="10" customWidth="1"/>
    <col min="10247" max="10247" width="11" style="10" customWidth="1"/>
    <col min="10248" max="10248" width="16.3666666666667" style="10" customWidth="1"/>
    <col min="10249" max="10249" width="18.0916666666667" style="10" customWidth="1"/>
    <col min="10250" max="10251" width="9.81666666666667" style="10" hidden="1" customWidth="1"/>
    <col min="10252" max="10252" width="16.3666666666667" style="10" customWidth="1"/>
    <col min="10253" max="10253" width="9.81666666666667" style="10"/>
    <col min="10254" max="10254" width="15.3666666666667" style="10" customWidth="1"/>
    <col min="10255" max="10496" width="9.81666666666667" style="10"/>
    <col min="10497" max="10497" width="6.36666666666667" style="10" customWidth="1"/>
    <col min="10498" max="10498" width="9.81666666666667" style="10"/>
    <col min="10499" max="10499" width="4.90833333333333" style="10" customWidth="1"/>
    <col min="10500" max="10500" width="17.725" style="10" customWidth="1"/>
    <col min="10501" max="10501" width="18.6333333333333" style="10" customWidth="1"/>
    <col min="10502" max="10502" width="17.2666666666667" style="10" customWidth="1"/>
    <col min="10503" max="10503" width="11" style="10" customWidth="1"/>
    <col min="10504" max="10504" width="16.3666666666667" style="10" customWidth="1"/>
    <col min="10505" max="10505" width="18.0916666666667" style="10" customWidth="1"/>
    <col min="10506" max="10507" width="9.81666666666667" style="10" hidden="1" customWidth="1"/>
    <col min="10508" max="10508" width="16.3666666666667" style="10" customWidth="1"/>
    <col min="10509" max="10509" width="9.81666666666667" style="10"/>
    <col min="10510" max="10510" width="15.3666666666667" style="10" customWidth="1"/>
    <col min="10511" max="10752" width="9.81666666666667" style="10"/>
    <col min="10753" max="10753" width="6.36666666666667" style="10" customWidth="1"/>
    <col min="10754" max="10754" width="9.81666666666667" style="10"/>
    <col min="10755" max="10755" width="4.90833333333333" style="10" customWidth="1"/>
    <col min="10756" max="10756" width="17.725" style="10" customWidth="1"/>
    <col min="10757" max="10757" width="18.6333333333333" style="10" customWidth="1"/>
    <col min="10758" max="10758" width="17.2666666666667" style="10" customWidth="1"/>
    <col min="10759" max="10759" width="11" style="10" customWidth="1"/>
    <col min="10760" max="10760" width="16.3666666666667" style="10" customWidth="1"/>
    <col min="10761" max="10761" width="18.0916666666667" style="10" customWidth="1"/>
    <col min="10762" max="10763" width="9.81666666666667" style="10" hidden="1" customWidth="1"/>
    <col min="10764" max="10764" width="16.3666666666667" style="10" customWidth="1"/>
    <col min="10765" max="10765" width="9.81666666666667" style="10"/>
    <col min="10766" max="10766" width="15.3666666666667" style="10" customWidth="1"/>
    <col min="10767" max="11008" width="9.81666666666667" style="10"/>
    <col min="11009" max="11009" width="6.36666666666667" style="10" customWidth="1"/>
    <col min="11010" max="11010" width="9.81666666666667" style="10"/>
    <col min="11011" max="11011" width="4.90833333333333" style="10" customWidth="1"/>
    <col min="11012" max="11012" width="17.725" style="10" customWidth="1"/>
    <col min="11013" max="11013" width="18.6333333333333" style="10" customWidth="1"/>
    <col min="11014" max="11014" width="17.2666666666667" style="10" customWidth="1"/>
    <col min="11015" max="11015" width="11" style="10" customWidth="1"/>
    <col min="11016" max="11016" width="16.3666666666667" style="10" customWidth="1"/>
    <col min="11017" max="11017" width="18.0916666666667" style="10" customWidth="1"/>
    <col min="11018" max="11019" width="9.81666666666667" style="10" hidden="1" customWidth="1"/>
    <col min="11020" max="11020" width="16.3666666666667" style="10" customWidth="1"/>
    <col min="11021" max="11021" width="9.81666666666667" style="10"/>
    <col min="11022" max="11022" width="15.3666666666667" style="10" customWidth="1"/>
    <col min="11023" max="11264" width="9.81666666666667" style="10"/>
    <col min="11265" max="11265" width="6.36666666666667" style="10" customWidth="1"/>
    <col min="11266" max="11266" width="9.81666666666667" style="10"/>
    <col min="11267" max="11267" width="4.90833333333333" style="10" customWidth="1"/>
    <col min="11268" max="11268" width="17.725" style="10" customWidth="1"/>
    <col min="11269" max="11269" width="18.6333333333333" style="10" customWidth="1"/>
    <col min="11270" max="11270" width="17.2666666666667" style="10" customWidth="1"/>
    <col min="11271" max="11271" width="11" style="10" customWidth="1"/>
    <col min="11272" max="11272" width="16.3666666666667" style="10" customWidth="1"/>
    <col min="11273" max="11273" width="18.0916666666667" style="10" customWidth="1"/>
    <col min="11274" max="11275" width="9.81666666666667" style="10" hidden="1" customWidth="1"/>
    <col min="11276" max="11276" width="16.3666666666667" style="10" customWidth="1"/>
    <col min="11277" max="11277" width="9.81666666666667" style="10"/>
    <col min="11278" max="11278" width="15.3666666666667" style="10" customWidth="1"/>
    <col min="11279" max="11520" width="9.81666666666667" style="10"/>
    <col min="11521" max="11521" width="6.36666666666667" style="10" customWidth="1"/>
    <col min="11522" max="11522" width="9.81666666666667" style="10"/>
    <col min="11523" max="11523" width="4.90833333333333" style="10" customWidth="1"/>
    <col min="11524" max="11524" width="17.725" style="10" customWidth="1"/>
    <col min="11525" max="11525" width="18.6333333333333" style="10" customWidth="1"/>
    <col min="11526" max="11526" width="17.2666666666667" style="10" customWidth="1"/>
    <col min="11527" max="11527" width="11" style="10" customWidth="1"/>
    <col min="11528" max="11528" width="16.3666666666667" style="10" customWidth="1"/>
    <col min="11529" max="11529" width="18.0916666666667" style="10" customWidth="1"/>
    <col min="11530" max="11531" width="9.81666666666667" style="10" hidden="1" customWidth="1"/>
    <col min="11532" max="11532" width="16.3666666666667" style="10" customWidth="1"/>
    <col min="11533" max="11533" width="9.81666666666667" style="10"/>
    <col min="11534" max="11534" width="15.3666666666667" style="10" customWidth="1"/>
    <col min="11535" max="11776" width="9.81666666666667" style="10"/>
    <col min="11777" max="11777" width="6.36666666666667" style="10" customWidth="1"/>
    <col min="11778" max="11778" width="9.81666666666667" style="10"/>
    <col min="11779" max="11779" width="4.90833333333333" style="10" customWidth="1"/>
    <col min="11780" max="11780" width="17.725" style="10" customWidth="1"/>
    <col min="11781" max="11781" width="18.6333333333333" style="10" customWidth="1"/>
    <col min="11782" max="11782" width="17.2666666666667" style="10" customWidth="1"/>
    <col min="11783" max="11783" width="11" style="10" customWidth="1"/>
    <col min="11784" max="11784" width="16.3666666666667" style="10" customWidth="1"/>
    <col min="11785" max="11785" width="18.0916666666667" style="10" customWidth="1"/>
    <col min="11786" max="11787" width="9.81666666666667" style="10" hidden="1" customWidth="1"/>
    <col min="11788" max="11788" width="16.3666666666667" style="10" customWidth="1"/>
    <col min="11789" max="11789" width="9.81666666666667" style="10"/>
    <col min="11790" max="11790" width="15.3666666666667" style="10" customWidth="1"/>
    <col min="11791" max="12032" width="9.81666666666667" style="10"/>
    <col min="12033" max="12033" width="6.36666666666667" style="10" customWidth="1"/>
    <col min="12034" max="12034" width="9.81666666666667" style="10"/>
    <col min="12035" max="12035" width="4.90833333333333" style="10" customWidth="1"/>
    <col min="12036" max="12036" width="17.725" style="10" customWidth="1"/>
    <col min="12037" max="12037" width="18.6333333333333" style="10" customWidth="1"/>
    <col min="12038" max="12038" width="17.2666666666667" style="10" customWidth="1"/>
    <col min="12039" max="12039" width="11" style="10" customWidth="1"/>
    <col min="12040" max="12040" width="16.3666666666667" style="10" customWidth="1"/>
    <col min="12041" max="12041" width="18.0916666666667" style="10" customWidth="1"/>
    <col min="12042" max="12043" width="9.81666666666667" style="10" hidden="1" customWidth="1"/>
    <col min="12044" max="12044" width="16.3666666666667" style="10" customWidth="1"/>
    <col min="12045" max="12045" width="9.81666666666667" style="10"/>
    <col min="12046" max="12046" width="15.3666666666667" style="10" customWidth="1"/>
    <col min="12047" max="12288" width="9.81666666666667" style="10"/>
    <col min="12289" max="12289" width="6.36666666666667" style="10" customWidth="1"/>
    <col min="12290" max="12290" width="9.81666666666667" style="10"/>
    <col min="12291" max="12291" width="4.90833333333333" style="10" customWidth="1"/>
    <col min="12292" max="12292" width="17.725" style="10" customWidth="1"/>
    <col min="12293" max="12293" width="18.6333333333333" style="10" customWidth="1"/>
    <col min="12294" max="12294" width="17.2666666666667" style="10" customWidth="1"/>
    <col min="12295" max="12295" width="11" style="10" customWidth="1"/>
    <col min="12296" max="12296" width="16.3666666666667" style="10" customWidth="1"/>
    <col min="12297" max="12297" width="18.0916666666667" style="10" customWidth="1"/>
    <col min="12298" max="12299" width="9.81666666666667" style="10" hidden="1" customWidth="1"/>
    <col min="12300" max="12300" width="16.3666666666667" style="10" customWidth="1"/>
    <col min="12301" max="12301" width="9.81666666666667" style="10"/>
    <col min="12302" max="12302" width="15.3666666666667" style="10" customWidth="1"/>
    <col min="12303" max="12544" width="9.81666666666667" style="10"/>
    <col min="12545" max="12545" width="6.36666666666667" style="10" customWidth="1"/>
    <col min="12546" max="12546" width="9.81666666666667" style="10"/>
    <col min="12547" max="12547" width="4.90833333333333" style="10" customWidth="1"/>
    <col min="12548" max="12548" width="17.725" style="10" customWidth="1"/>
    <col min="12549" max="12549" width="18.6333333333333" style="10" customWidth="1"/>
    <col min="12550" max="12550" width="17.2666666666667" style="10" customWidth="1"/>
    <col min="12551" max="12551" width="11" style="10" customWidth="1"/>
    <col min="12552" max="12552" width="16.3666666666667" style="10" customWidth="1"/>
    <col min="12553" max="12553" width="18.0916666666667" style="10" customWidth="1"/>
    <col min="12554" max="12555" width="9.81666666666667" style="10" hidden="1" customWidth="1"/>
    <col min="12556" max="12556" width="16.3666666666667" style="10" customWidth="1"/>
    <col min="12557" max="12557" width="9.81666666666667" style="10"/>
    <col min="12558" max="12558" width="15.3666666666667" style="10" customWidth="1"/>
    <col min="12559" max="12800" width="9.81666666666667" style="10"/>
    <col min="12801" max="12801" width="6.36666666666667" style="10" customWidth="1"/>
    <col min="12802" max="12802" width="9.81666666666667" style="10"/>
    <col min="12803" max="12803" width="4.90833333333333" style="10" customWidth="1"/>
    <col min="12804" max="12804" width="17.725" style="10" customWidth="1"/>
    <col min="12805" max="12805" width="18.6333333333333" style="10" customWidth="1"/>
    <col min="12806" max="12806" width="17.2666666666667" style="10" customWidth="1"/>
    <col min="12807" max="12807" width="11" style="10" customWidth="1"/>
    <col min="12808" max="12808" width="16.3666666666667" style="10" customWidth="1"/>
    <col min="12809" max="12809" width="18.0916666666667" style="10" customWidth="1"/>
    <col min="12810" max="12811" width="9.81666666666667" style="10" hidden="1" customWidth="1"/>
    <col min="12812" max="12812" width="16.3666666666667" style="10" customWidth="1"/>
    <col min="12813" max="12813" width="9.81666666666667" style="10"/>
    <col min="12814" max="12814" width="15.3666666666667" style="10" customWidth="1"/>
    <col min="12815" max="13056" width="9.81666666666667" style="10"/>
    <col min="13057" max="13057" width="6.36666666666667" style="10" customWidth="1"/>
    <col min="13058" max="13058" width="9.81666666666667" style="10"/>
    <col min="13059" max="13059" width="4.90833333333333" style="10" customWidth="1"/>
    <col min="13060" max="13060" width="17.725" style="10" customWidth="1"/>
    <col min="13061" max="13061" width="18.6333333333333" style="10" customWidth="1"/>
    <col min="13062" max="13062" width="17.2666666666667" style="10" customWidth="1"/>
    <col min="13063" max="13063" width="11" style="10" customWidth="1"/>
    <col min="13064" max="13064" width="16.3666666666667" style="10" customWidth="1"/>
    <col min="13065" max="13065" width="18.0916666666667" style="10" customWidth="1"/>
    <col min="13066" max="13067" width="9.81666666666667" style="10" hidden="1" customWidth="1"/>
    <col min="13068" max="13068" width="16.3666666666667" style="10" customWidth="1"/>
    <col min="13069" max="13069" width="9.81666666666667" style="10"/>
    <col min="13070" max="13070" width="15.3666666666667" style="10" customWidth="1"/>
    <col min="13071" max="13312" width="9.81666666666667" style="10"/>
    <col min="13313" max="13313" width="6.36666666666667" style="10" customWidth="1"/>
    <col min="13314" max="13314" width="9.81666666666667" style="10"/>
    <col min="13315" max="13315" width="4.90833333333333" style="10" customWidth="1"/>
    <col min="13316" max="13316" width="17.725" style="10" customWidth="1"/>
    <col min="13317" max="13317" width="18.6333333333333" style="10" customWidth="1"/>
    <col min="13318" max="13318" width="17.2666666666667" style="10" customWidth="1"/>
    <col min="13319" max="13319" width="11" style="10" customWidth="1"/>
    <col min="13320" max="13320" width="16.3666666666667" style="10" customWidth="1"/>
    <col min="13321" max="13321" width="18.0916666666667" style="10" customWidth="1"/>
    <col min="13322" max="13323" width="9.81666666666667" style="10" hidden="1" customWidth="1"/>
    <col min="13324" max="13324" width="16.3666666666667" style="10" customWidth="1"/>
    <col min="13325" max="13325" width="9.81666666666667" style="10"/>
    <col min="13326" max="13326" width="15.3666666666667" style="10" customWidth="1"/>
    <col min="13327" max="13568" width="9.81666666666667" style="10"/>
    <col min="13569" max="13569" width="6.36666666666667" style="10" customWidth="1"/>
    <col min="13570" max="13570" width="9.81666666666667" style="10"/>
    <col min="13571" max="13571" width="4.90833333333333" style="10" customWidth="1"/>
    <col min="13572" max="13572" width="17.725" style="10" customWidth="1"/>
    <col min="13573" max="13573" width="18.6333333333333" style="10" customWidth="1"/>
    <col min="13574" max="13574" width="17.2666666666667" style="10" customWidth="1"/>
    <col min="13575" max="13575" width="11" style="10" customWidth="1"/>
    <col min="13576" max="13576" width="16.3666666666667" style="10" customWidth="1"/>
    <col min="13577" max="13577" width="18.0916666666667" style="10" customWidth="1"/>
    <col min="13578" max="13579" width="9.81666666666667" style="10" hidden="1" customWidth="1"/>
    <col min="13580" max="13580" width="16.3666666666667" style="10" customWidth="1"/>
    <col min="13581" max="13581" width="9.81666666666667" style="10"/>
    <col min="13582" max="13582" width="15.3666666666667" style="10" customWidth="1"/>
    <col min="13583" max="13824" width="9.81666666666667" style="10"/>
    <col min="13825" max="13825" width="6.36666666666667" style="10" customWidth="1"/>
    <col min="13826" max="13826" width="9.81666666666667" style="10"/>
    <col min="13827" max="13827" width="4.90833333333333" style="10" customWidth="1"/>
    <col min="13828" max="13828" width="17.725" style="10" customWidth="1"/>
    <col min="13829" max="13829" width="18.6333333333333" style="10" customWidth="1"/>
    <col min="13830" max="13830" width="17.2666666666667" style="10" customWidth="1"/>
    <col min="13831" max="13831" width="11" style="10" customWidth="1"/>
    <col min="13832" max="13832" width="16.3666666666667" style="10" customWidth="1"/>
    <col min="13833" max="13833" width="18.0916666666667" style="10" customWidth="1"/>
    <col min="13834" max="13835" width="9.81666666666667" style="10" hidden="1" customWidth="1"/>
    <col min="13836" max="13836" width="16.3666666666667" style="10" customWidth="1"/>
    <col min="13837" max="13837" width="9.81666666666667" style="10"/>
    <col min="13838" max="13838" width="15.3666666666667" style="10" customWidth="1"/>
    <col min="13839" max="14080" width="9.81666666666667" style="10"/>
    <col min="14081" max="14081" width="6.36666666666667" style="10" customWidth="1"/>
    <col min="14082" max="14082" width="9.81666666666667" style="10"/>
    <col min="14083" max="14083" width="4.90833333333333" style="10" customWidth="1"/>
    <col min="14084" max="14084" width="17.725" style="10" customWidth="1"/>
    <col min="14085" max="14085" width="18.6333333333333" style="10" customWidth="1"/>
    <col min="14086" max="14086" width="17.2666666666667" style="10" customWidth="1"/>
    <col min="14087" max="14087" width="11" style="10" customWidth="1"/>
    <col min="14088" max="14088" width="16.3666666666667" style="10" customWidth="1"/>
    <col min="14089" max="14089" width="18.0916666666667" style="10" customWidth="1"/>
    <col min="14090" max="14091" width="9.81666666666667" style="10" hidden="1" customWidth="1"/>
    <col min="14092" max="14092" width="16.3666666666667" style="10" customWidth="1"/>
    <col min="14093" max="14093" width="9.81666666666667" style="10"/>
    <col min="14094" max="14094" width="15.3666666666667" style="10" customWidth="1"/>
    <col min="14095" max="14336" width="9.81666666666667" style="10"/>
    <col min="14337" max="14337" width="6.36666666666667" style="10" customWidth="1"/>
    <col min="14338" max="14338" width="9.81666666666667" style="10"/>
    <col min="14339" max="14339" width="4.90833333333333" style="10" customWidth="1"/>
    <col min="14340" max="14340" width="17.725" style="10" customWidth="1"/>
    <col min="14341" max="14341" width="18.6333333333333" style="10" customWidth="1"/>
    <col min="14342" max="14342" width="17.2666666666667" style="10" customWidth="1"/>
    <col min="14343" max="14343" width="11" style="10" customWidth="1"/>
    <col min="14344" max="14344" width="16.3666666666667" style="10" customWidth="1"/>
    <col min="14345" max="14345" width="18.0916666666667" style="10" customWidth="1"/>
    <col min="14346" max="14347" width="9.81666666666667" style="10" hidden="1" customWidth="1"/>
    <col min="14348" max="14348" width="16.3666666666667" style="10" customWidth="1"/>
    <col min="14349" max="14349" width="9.81666666666667" style="10"/>
    <col min="14350" max="14350" width="15.3666666666667" style="10" customWidth="1"/>
    <col min="14351" max="14592" width="9.81666666666667" style="10"/>
    <col min="14593" max="14593" width="6.36666666666667" style="10" customWidth="1"/>
    <col min="14594" max="14594" width="9.81666666666667" style="10"/>
    <col min="14595" max="14595" width="4.90833333333333" style="10" customWidth="1"/>
    <col min="14596" max="14596" width="17.725" style="10" customWidth="1"/>
    <col min="14597" max="14597" width="18.6333333333333" style="10" customWidth="1"/>
    <col min="14598" max="14598" width="17.2666666666667" style="10" customWidth="1"/>
    <col min="14599" max="14599" width="11" style="10" customWidth="1"/>
    <col min="14600" max="14600" width="16.3666666666667" style="10" customWidth="1"/>
    <col min="14601" max="14601" width="18.0916666666667" style="10" customWidth="1"/>
    <col min="14602" max="14603" width="9.81666666666667" style="10" hidden="1" customWidth="1"/>
    <col min="14604" max="14604" width="16.3666666666667" style="10" customWidth="1"/>
    <col min="14605" max="14605" width="9.81666666666667" style="10"/>
    <col min="14606" max="14606" width="15.3666666666667" style="10" customWidth="1"/>
    <col min="14607" max="14848" width="9.81666666666667" style="10"/>
    <col min="14849" max="14849" width="6.36666666666667" style="10" customWidth="1"/>
    <col min="14850" max="14850" width="9.81666666666667" style="10"/>
    <col min="14851" max="14851" width="4.90833333333333" style="10" customWidth="1"/>
    <col min="14852" max="14852" width="17.725" style="10" customWidth="1"/>
    <col min="14853" max="14853" width="18.6333333333333" style="10" customWidth="1"/>
    <col min="14854" max="14854" width="17.2666666666667" style="10" customWidth="1"/>
    <col min="14855" max="14855" width="11" style="10" customWidth="1"/>
    <col min="14856" max="14856" width="16.3666666666667" style="10" customWidth="1"/>
    <col min="14857" max="14857" width="18.0916666666667" style="10" customWidth="1"/>
    <col min="14858" max="14859" width="9.81666666666667" style="10" hidden="1" customWidth="1"/>
    <col min="14860" max="14860" width="16.3666666666667" style="10" customWidth="1"/>
    <col min="14861" max="14861" width="9.81666666666667" style="10"/>
    <col min="14862" max="14862" width="15.3666666666667" style="10" customWidth="1"/>
    <col min="14863" max="15104" width="9.81666666666667" style="10"/>
    <col min="15105" max="15105" width="6.36666666666667" style="10" customWidth="1"/>
    <col min="15106" max="15106" width="9.81666666666667" style="10"/>
    <col min="15107" max="15107" width="4.90833333333333" style="10" customWidth="1"/>
    <col min="15108" max="15108" width="17.725" style="10" customWidth="1"/>
    <col min="15109" max="15109" width="18.6333333333333" style="10" customWidth="1"/>
    <col min="15110" max="15110" width="17.2666666666667" style="10" customWidth="1"/>
    <col min="15111" max="15111" width="11" style="10" customWidth="1"/>
    <col min="15112" max="15112" width="16.3666666666667" style="10" customWidth="1"/>
    <col min="15113" max="15113" width="18.0916666666667" style="10" customWidth="1"/>
    <col min="15114" max="15115" width="9.81666666666667" style="10" hidden="1" customWidth="1"/>
    <col min="15116" max="15116" width="16.3666666666667" style="10" customWidth="1"/>
    <col min="15117" max="15117" width="9.81666666666667" style="10"/>
    <col min="15118" max="15118" width="15.3666666666667" style="10" customWidth="1"/>
    <col min="15119" max="15360" width="9.81666666666667" style="10"/>
    <col min="15361" max="15361" width="6.36666666666667" style="10" customWidth="1"/>
    <col min="15362" max="15362" width="9.81666666666667" style="10"/>
    <col min="15363" max="15363" width="4.90833333333333" style="10" customWidth="1"/>
    <col min="15364" max="15364" width="17.725" style="10" customWidth="1"/>
    <col min="15365" max="15365" width="18.6333333333333" style="10" customWidth="1"/>
    <col min="15366" max="15366" width="17.2666666666667" style="10" customWidth="1"/>
    <col min="15367" max="15367" width="11" style="10" customWidth="1"/>
    <col min="15368" max="15368" width="16.3666666666667" style="10" customWidth="1"/>
    <col min="15369" max="15369" width="18.0916666666667" style="10" customWidth="1"/>
    <col min="15370" max="15371" width="9.81666666666667" style="10" hidden="1" customWidth="1"/>
    <col min="15372" max="15372" width="16.3666666666667" style="10" customWidth="1"/>
    <col min="15373" max="15373" width="9.81666666666667" style="10"/>
    <col min="15374" max="15374" width="15.3666666666667" style="10" customWidth="1"/>
    <col min="15375" max="15616" width="9.81666666666667" style="10"/>
    <col min="15617" max="15617" width="6.36666666666667" style="10" customWidth="1"/>
    <col min="15618" max="15618" width="9.81666666666667" style="10"/>
    <col min="15619" max="15619" width="4.90833333333333" style="10" customWidth="1"/>
    <col min="15620" max="15620" width="17.725" style="10" customWidth="1"/>
    <col min="15621" max="15621" width="18.6333333333333" style="10" customWidth="1"/>
    <col min="15622" max="15622" width="17.2666666666667" style="10" customWidth="1"/>
    <col min="15623" max="15623" width="11" style="10" customWidth="1"/>
    <col min="15624" max="15624" width="16.3666666666667" style="10" customWidth="1"/>
    <col min="15625" max="15625" width="18.0916666666667" style="10" customWidth="1"/>
    <col min="15626" max="15627" width="9.81666666666667" style="10" hidden="1" customWidth="1"/>
    <col min="15628" max="15628" width="16.3666666666667" style="10" customWidth="1"/>
    <col min="15629" max="15629" width="9.81666666666667" style="10"/>
    <col min="15630" max="15630" width="15.3666666666667" style="10" customWidth="1"/>
    <col min="15631" max="15872" width="9.81666666666667" style="10"/>
    <col min="15873" max="15873" width="6.36666666666667" style="10" customWidth="1"/>
    <col min="15874" max="15874" width="9.81666666666667" style="10"/>
    <col min="15875" max="15875" width="4.90833333333333" style="10" customWidth="1"/>
    <col min="15876" max="15876" width="17.725" style="10" customWidth="1"/>
    <col min="15877" max="15877" width="18.6333333333333" style="10" customWidth="1"/>
    <col min="15878" max="15878" width="17.2666666666667" style="10" customWidth="1"/>
    <col min="15879" max="15879" width="11" style="10" customWidth="1"/>
    <col min="15880" max="15880" width="16.3666666666667" style="10" customWidth="1"/>
    <col min="15881" max="15881" width="18.0916666666667" style="10" customWidth="1"/>
    <col min="15882" max="15883" width="9.81666666666667" style="10" hidden="1" customWidth="1"/>
    <col min="15884" max="15884" width="16.3666666666667" style="10" customWidth="1"/>
    <col min="15885" max="15885" width="9.81666666666667" style="10"/>
    <col min="15886" max="15886" width="15.3666666666667" style="10" customWidth="1"/>
    <col min="15887" max="16128" width="9.81666666666667" style="10"/>
    <col min="16129" max="16129" width="6.36666666666667" style="10" customWidth="1"/>
    <col min="16130" max="16130" width="9.81666666666667" style="10"/>
    <col min="16131" max="16131" width="4.90833333333333" style="10" customWidth="1"/>
    <col min="16132" max="16132" width="17.725" style="10" customWidth="1"/>
    <col min="16133" max="16133" width="18.6333333333333" style="10" customWidth="1"/>
    <col min="16134" max="16134" width="17.2666666666667" style="10" customWidth="1"/>
    <col min="16135" max="16135" width="11" style="10" customWidth="1"/>
    <col min="16136" max="16136" width="16.3666666666667" style="10" customWidth="1"/>
    <col min="16137" max="16137" width="18.0916666666667" style="10" customWidth="1"/>
    <col min="16138" max="16139" width="9.81666666666667" style="10" hidden="1" customWidth="1"/>
    <col min="16140" max="16140" width="16.3666666666667" style="10" customWidth="1"/>
    <col min="16141" max="16141" width="9.81666666666667" style="10"/>
    <col min="16142" max="16142" width="15.3666666666667" style="10" customWidth="1"/>
    <col min="16143" max="16384" width="9.81666666666667" style="10"/>
  </cols>
  <sheetData>
    <row r="1" s="9" customFormat="1" ht="41" customHeight="1" spans="1:17">
      <c r="A1" s="12" t="str">
        <f>"2021年"&amp;说明!$B$7&amp;"月份工资按部门统计表"</f>
        <v>2021年8月份工资按部门统计表</v>
      </c>
      <c r="B1" s="12"/>
      <c r="C1" s="12"/>
      <c r="D1" s="12"/>
      <c r="E1" s="12"/>
      <c r="F1" s="12"/>
      <c r="G1" s="12"/>
      <c r="H1" s="12"/>
      <c r="I1" s="12"/>
      <c r="J1" s="12"/>
      <c r="K1" s="28"/>
      <c r="L1" s="28"/>
      <c r="M1" s="28"/>
      <c r="N1" s="28"/>
      <c r="O1" s="28"/>
      <c r="P1" s="28"/>
      <c r="Q1" s="28"/>
    </row>
    <row r="2" s="9" customFormat="1" ht="39.5" customHeight="1" spans="1:10">
      <c r="A2" s="13" t="s">
        <v>16</v>
      </c>
      <c r="B2" s="14" t="str">
        <f>说明!$B$7&amp;"月工资总额（元）"</f>
        <v>8月工资总额（元）</v>
      </c>
      <c r="C2" s="14" t="str">
        <f>说明!$B$7&amp;"月人数"</f>
        <v>8月人数</v>
      </c>
      <c r="D2" s="14" t="str">
        <f>说明!$B$7&amp;"月平均工资（元）"</f>
        <v>8月平均工资（元）</v>
      </c>
      <c r="E2" s="14" t="str">
        <f>IF((说明!$B$7-1)=0,12,(说明!$B$7-1))&amp;"月工资总额（元）"</f>
        <v>7月工资总额（元）</v>
      </c>
      <c r="F2" s="14" t="str">
        <f>IF((说明!$B$7-1)=0,12,(说明!$B$7-1))&amp;"月人数"</f>
        <v>7月人数</v>
      </c>
      <c r="G2" s="14" t="str">
        <f>IF((说明!$B$7-1)=0,12,(说明!$B$7-1))&amp;"月平均工资（元）"</f>
        <v>7月平均工资（元）</v>
      </c>
      <c r="H2" s="14" t="s">
        <v>636</v>
      </c>
      <c r="I2" s="29" t="s">
        <v>637</v>
      </c>
      <c r="J2" s="30" t="s">
        <v>638</v>
      </c>
    </row>
    <row r="3" s="9" customFormat="1" ht="36" customHeight="1" spans="1:10">
      <c r="A3" s="15" t="s">
        <v>142</v>
      </c>
      <c r="B3" s="16">
        <f>工资!W5+工资!W9+工资!W13+工资!W35</f>
        <v>27278.71</v>
      </c>
      <c r="C3" s="17">
        <f>IF(COUNTIF(工资!$AG:$AG,工资环比分析表!$A3)=0,"",COUNTIF(工资!$AG:$AG,工资环比分析表!$A3))+IF(COUNTIF(工资!$AG:$AG,工资环比分析表!$A5)=0,"",COUNTIF(工资!$AG:$AG,工资环比分析表!$A5))+IF(COUNTIF(工资!$AG:$AG,工资环比分析表!$A4)=0,"",COUNTIF(工资!$AG:$AG,工资环比分析表!$A4))</f>
        <v>4</v>
      </c>
      <c r="D3" s="16">
        <f>IF(ISERROR($B3/$C3),"",$B3/$C3)</f>
        <v>6819.6775</v>
      </c>
      <c r="E3" s="16">
        <v>27422.54</v>
      </c>
      <c r="F3" s="17">
        <v>4</v>
      </c>
      <c r="G3" s="16">
        <v>6855.635</v>
      </c>
      <c r="H3" s="18">
        <f>IF(ISERROR(D3/G3-1),"",D3/G3-1)</f>
        <v>-0.00524495542717784</v>
      </c>
      <c r="I3" s="31">
        <f>B3-E3</f>
        <v>-143.830000000002</v>
      </c>
      <c r="J3" s="32"/>
    </row>
    <row r="4" s="9" customFormat="1" ht="36" customHeight="1" spans="1:10">
      <c r="A4" s="15" t="s">
        <v>72</v>
      </c>
      <c r="B4" s="16"/>
      <c r="C4" s="17"/>
      <c r="D4" s="16"/>
      <c r="E4" s="16"/>
      <c r="F4" s="17"/>
      <c r="G4" s="16"/>
      <c r="H4" s="18"/>
      <c r="I4" s="31"/>
      <c r="J4" s="32"/>
    </row>
    <row r="5" s="9" customFormat="1" ht="36" customHeight="1" spans="1:10">
      <c r="A5" s="15" t="s">
        <v>84</v>
      </c>
      <c r="B5" s="16"/>
      <c r="C5" s="17"/>
      <c r="D5" s="16"/>
      <c r="E5" s="16"/>
      <c r="F5" s="17"/>
      <c r="G5" s="16"/>
      <c r="H5" s="18"/>
      <c r="I5" s="31"/>
      <c r="J5" s="32"/>
    </row>
    <row r="6" s="9" customFormat="1" ht="36" customHeight="1" spans="1:10">
      <c r="A6" s="15" t="s">
        <v>75</v>
      </c>
      <c r="B6" s="16">
        <f>SUMIF(工资!AG:AG,A6,工资!W:W)</f>
        <v>27380</v>
      </c>
      <c r="C6" s="17">
        <f>IF(COUNTIF(工资!$AG:$AG,工资环比分析表!$A6)=0,"",COUNTIF(工资!$AG:$AG,工资环比分析表!$A6))</f>
        <v>4</v>
      </c>
      <c r="D6" s="16">
        <f t="shared" ref="D4:D12" si="0">IF(ISERROR($B6/$C6),"",$B6/$C6)</f>
        <v>6845</v>
      </c>
      <c r="E6" s="16">
        <v>27429</v>
      </c>
      <c r="F6" s="17">
        <v>5</v>
      </c>
      <c r="G6" s="16">
        <v>5485.8</v>
      </c>
      <c r="H6" s="18">
        <f>IF(ISERROR(D6/G6-1),"",D6/G6-1)</f>
        <v>0.247766961974552</v>
      </c>
      <c r="I6" s="31">
        <f>B6-E6</f>
        <v>-49</v>
      </c>
      <c r="J6" s="32" t="s">
        <v>639</v>
      </c>
    </row>
    <row r="7" s="9" customFormat="1" ht="72" customHeight="1" spans="1:10">
      <c r="A7" s="15" t="s">
        <v>66</v>
      </c>
      <c r="B7" s="16">
        <f>SUMIF(工资!AG:AG,A7,工资!W:W)</f>
        <v>46854.74</v>
      </c>
      <c r="C7" s="17">
        <f>IF(COUNTIF(工资!$AG:$AG,工资环比分析表!$A7)=0,"",COUNTIF(工资!$AG:$AG,工资环比分析表!$A7))</f>
        <v>12</v>
      </c>
      <c r="D7" s="16">
        <f t="shared" si="0"/>
        <v>3904.56166666667</v>
      </c>
      <c r="E7" s="16">
        <v>53882.45</v>
      </c>
      <c r="F7" s="17">
        <v>14</v>
      </c>
      <c r="G7" s="16">
        <v>3848.74642857143</v>
      </c>
      <c r="H7" s="18">
        <f t="shared" ref="H3:H13" si="1">IF(ISERROR(D7/G7-1),"",D7/G7-1)</f>
        <v>0.0145021863952606</v>
      </c>
      <c r="I7" s="31">
        <f t="shared" ref="I7:I12" si="2">B7-E7</f>
        <v>-7027.71</v>
      </c>
      <c r="J7" s="33" t="s">
        <v>640</v>
      </c>
    </row>
    <row r="8" s="9" customFormat="1" ht="36" customHeight="1" spans="1:10">
      <c r="A8" s="15" t="s">
        <v>81</v>
      </c>
      <c r="B8" s="16">
        <f>SUMIF(工资!AG:AG,A8,工资!W:W)</f>
        <v>46599.1</v>
      </c>
      <c r="C8" s="17">
        <f>IF(COUNTIF(工资!$AG:$AG,工资环比分析表!$A8)=0,"",COUNTIF(工资!$AG:$AG,工资环比分析表!$A8))</f>
        <v>11</v>
      </c>
      <c r="D8" s="16">
        <f t="shared" si="0"/>
        <v>4236.28181818182</v>
      </c>
      <c r="E8" s="16">
        <v>45551</v>
      </c>
      <c r="F8" s="17">
        <v>12</v>
      </c>
      <c r="G8" s="16">
        <v>3795.91666666667</v>
      </c>
      <c r="H8" s="18">
        <f t="shared" si="1"/>
        <v>0.116010226299791</v>
      </c>
      <c r="I8" s="31">
        <f t="shared" si="2"/>
        <v>1048.1</v>
      </c>
      <c r="J8" s="32" t="s">
        <v>641</v>
      </c>
    </row>
    <row r="9" s="9" customFormat="1" ht="36" customHeight="1" spans="1:10">
      <c r="A9" s="15" t="s">
        <v>274</v>
      </c>
      <c r="B9" s="16">
        <f>SUMIF(工资!AG:AG,A9,工资!W:W)</f>
        <v>37895</v>
      </c>
      <c r="C9" s="17">
        <f>IF(COUNTIF(工资!$AG:$AG,工资环比分析表!$A9)=0,"",COUNTIF(工资!$AG:$AG,工资环比分析表!$A9))</f>
        <v>3</v>
      </c>
      <c r="D9" s="16">
        <f t="shared" si="0"/>
        <v>12631.6666666667</v>
      </c>
      <c r="E9" s="16">
        <v>40465</v>
      </c>
      <c r="F9" s="17">
        <v>4</v>
      </c>
      <c r="G9" s="16">
        <v>10116.25</v>
      </c>
      <c r="H9" s="18">
        <f t="shared" si="1"/>
        <v>0.248651097656411</v>
      </c>
      <c r="I9" s="31">
        <f t="shared" si="2"/>
        <v>-2570</v>
      </c>
      <c r="J9" s="32"/>
    </row>
    <row r="10" s="9" customFormat="1" ht="36" customHeight="1" spans="1:10">
      <c r="A10" s="15" t="s">
        <v>50</v>
      </c>
      <c r="B10" s="16">
        <f>SUMIF(工资!AG:AG,A10,工资!W:W)</f>
        <v>57177.05</v>
      </c>
      <c r="C10" s="17">
        <f>IF(COUNTIF(工资!$AG:$AG,工资环比分析表!$A10)=0,"",COUNTIF(工资!$AG:$AG,工资环比分析表!$A10))</f>
        <v>17</v>
      </c>
      <c r="D10" s="16">
        <f t="shared" si="0"/>
        <v>3363.35588235294</v>
      </c>
      <c r="E10" s="16">
        <v>88784.17</v>
      </c>
      <c r="F10" s="17">
        <v>18</v>
      </c>
      <c r="G10" s="16">
        <v>4932.45388888889</v>
      </c>
      <c r="H10" s="18">
        <f t="shared" si="1"/>
        <v>-0.318117116121568</v>
      </c>
      <c r="I10" s="31">
        <f t="shared" si="2"/>
        <v>-31607.12</v>
      </c>
      <c r="J10" s="33"/>
    </row>
    <row r="11" s="9" customFormat="1" ht="36" customHeight="1" spans="1:10">
      <c r="A11" s="15" t="s">
        <v>371</v>
      </c>
      <c r="B11" s="16">
        <f>SUMIF(工资!AG:AG,A11,工资!W:W)</f>
        <v>29969.5</v>
      </c>
      <c r="C11" s="17">
        <f>IF(COUNTIF(工资!$AG:$AG,工资环比分析表!$A11)=0,"",COUNTIF(工资!$AG:$AG,工资环比分析表!$A11))</f>
        <v>6</v>
      </c>
      <c r="D11" s="16">
        <f t="shared" si="0"/>
        <v>4994.91666666667</v>
      </c>
      <c r="E11" s="16">
        <v>29230.9</v>
      </c>
      <c r="F11" s="17">
        <v>6</v>
      </c>
      <c r="G11" s="16">
        <v>4871.81666666667</v>
      </c>
      <c r="H11" s="18">
        <f t="shared" si="1"/>
        <v>0.0252677816967655</v>
      </c>
      <c r="I11" s="31">
        <f t="shared" si="2"/>
        <v>738.599999999999</v>
      </c>
      <c r="J11" s="32" t="s">
        <v>642</v>
      </c>
    </row>
    <row r="12" s="9" customFormat="1" ht="36" customHeight="1" spans="1:10">
      <c r="A12" s="15" t="s">
        <v>325</v>
      </c>
      <c r="B12" s="16">
        <f>SUMIF(工资!AG:AG,A12,工资!W:W)</f>
        <v>70996.68</v>
      </c>
      <c r="C12" s="17">
        <f>IF(COUNTIF(工资!$AG:$AG,工资环比分析表!$A12)=0,"",COUNTIF(工资!$AG:$AG,工资环比分析表!$A12))</f>
        <v>28</v>
      </c>
      <c r="D12" s="16">
        <f t="shared" si="0"/>
        <v>2535.59571428571</v>
      </c>
      <c r="E12" s="16">
        <v>96316.57</v>
      </c>
      <c r="F12" s="17">
        <v>28</v>
      </c>
      <c r="G12" s="16">
        <v>3439.8775</v>
      </c>
      <c r="H12" s="18">
        <f t="shared" si="1"/>
        <v>-0.262881973475592</v>
      </c>
      <c r="I12" s="31">
        <f t="shared" si="2"/>
        <v>-25319.89</v>
      </c>
      <c r="J12" s="32"/>
    </row>
    <row r="13" s="9" customFormat="1" ht="36" customHeight="1" spans="1:10">
      <c r="A13" s="19" t="s">
        <v>643</v>
      </c>
      <c r="B13" s="20">
        <f>SUM(B3:B12)</f>
        <v>344150.78</v>
      </c>
      <c r="C13" s="21">
        <f>SUM(C3:C12)</f>
        <v>85</v>
      </c>
      <c r="D13" s="20">
        <f>B13/C13</f>
        <v>4048.83270588235</v>
      </c>
      <c r="E13" s="20">
        <f>SUM(E3:E12)</f>
        <v>409081.63</v>
      </c>
      <c r="F13" s="22">
        <f>SUM(F3:F12)</f>
        <v>91</v>
      </c>
      <c r="G13" s="20">
        <f>E13/F13</f>
        <v>4495.40252747253</v>
      </c>
      <c r="H13" s="23">
        <f t="shared" si="1"/>
        <v>-0.0993392291037516</v>
      </c>
      <c r="I13" s="34"/>
      <c r="J13" s="35"/>
    </row>
    <row r="14" s="9" customFormat="1" ht="28" hidden="1" customHeight="1" spans="1:17">
      <c r="A14" s="24" t="s">
        <v>644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36" t="s">
        <v>645</v>
      </c>
      <c r="Q14" s="36" t="s">
        <v>646</v>
      </c>
    </row>
    <row r="15" s="9" customFormat="1" ht="28" hidden="1" customHeight="1" spans="9:17">
      <c r="I15" s="37"/>
      <c r="P15" s="38" t="e">
        <f>E13+#REF!-INDEX(input!#REF!,说明!$B$7)</f>
        <v>#REF!</v>
      </c>
      <c r="Q15" s="38" t="e">
        <f>#REF!-工资!W3</f>
        <v>#REF!</v>
      </c>
    </row>
    <row r="16" s="9" customFormat="1" ht="12.75" customHeight="1" spans="1:17">
      <c r="A16" s="10"/>
      <c r="B16" s="10"/>
      <c r="C16" s="10"/>
      <c r="D16" s="10"/>
      <c r="E16" s="10"/>
      <c r="F16" s="10"/>
      <c r="G16" s="10"/>
      <c r="H16" s="10"/>
      <c r="I16" s="11"/>
      <c r="J16" s="10"/>
      <c r="K16" s="10"/>
      <c r="L16" s="10"/>
      <c r="M16" s="10"/>
      <c r="N16" s="10"/>
      <c r="O16" s="10"/>
      <c r="P16" s="10"/>
      <c r="Q16" s="10"/>
    </row>
    <row r="17" s="9" customFormat="1" ht="32" customHeight="1" spans="1:17">
      <c r="A17" s="25" t="s">
        <v>647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0"/>
      <c r="M17" s="10"/>
      <c r="N17" s="10"/>
      <c r="O17" s="10"/>
      <c r="P17" s="10"/>
      <c r="Q17" s="10"/>
    </row>
    <row r="18" s="9" customFormat="1" ht="22.5" hidden="1" customHeight="1" spans="1:17">
      <c r="A18" s="10"/>
      <c r="B18" s="26"/>
      <c r="C18" s="26"/>
      <c r="D18" s="26"/>
      <c r="E18" s="26"/>
      <c r="F18" s="26"/>
      <c r="G18" s="26"/>
      <c r="H18" s="26"/>
      <c r="I18" s="39"/>
      <c r="J18" s="10"/>
      <c r="K18" s="26"/>
      <c r="L18" s="10"/>
      <c r="M18" s="10"/>
      <c r="N18" s="10"/>
      <c r="O18" s="10"/>
      <c r="P18" s="10"/>
      <c r="Q18" s="10"/>
    </row>
    <row r="19" s="9" customFormat="1" hidden="1" spans="1:17">
      <c r="A19" s="10"/>
      <c r="B19" s="26">
        <v>1570831.92</v>
      </c>
      <c r="C19" s="26"/>
      <c r="D19" s="26" t="e">
        <f>C13+#REF!</f>
        <v>#REF!</v>
      </c>
      <c r="E19" s="26" t="e">
        <f>B19/D19</f>
        <v>#REF!</v>
      </c>
      <c r="F19" s="26" t="e">
        <f>(E19+E20)/2</f>
        <v>#REF!</v>
      </c>
      <c r="G19" s="26"/>
      <c r="H19" s="26"/>
      <c r="I19" s="39"/>
      <c r="J19" s="10"/>
      <c r="K19" s="10"/>
      <c r="L19" s="10"/>
      <c r="M19" s="10"/>
      <c r="N19" s="10"/>
      <c r="O19" s="10"/>
      <c r="P19" s="10"/>
      <c r="Q19" s="10"/>
    </row>
    <row r="20" hidden="1" spans="2:5">
      <c r="B20" s="10">
        <v>251932.94</v>
      </c>
      <c r="D20" s="10">
        <v>88</v>
      </c>
      <c r="E20" s="10">
        <f>B20/D20</f>
        <v>2862.87431818182</v>
      </c>
    </row>
    <row r="21" hidden="1" spans="2:5">
      <c r="B21" s="10">
        <f>SUM(B19:B20)</f>
        <v>1822764.86</v>
      </c>
      <c r="D21" s="10" t="e">
        <f>SUM(D19:D20)</f>
        <v>#REF!</v>
      </c>
      <c r="E21" s="10" t="e">
        <f>B21/D21</f>
        <v>#REF!</v>
      </c>
    </row>
    <row r="22" hidden="1"/>
    <row r="23" hidden="1"/>
    <row r="24" ht="18.75" hidden="1" spans="4:4">
      <c r="D24" s="27" t="s">
        <v>648</v>
      </c>
    </row>
    <row r="25" ht="18.75" hidden="1" spans="4:4">
      <c r="D25" s="27" t="s">
        <v>649</v>
      </c>
    </row>
    <row r="26" hidden="1"/>
  </sheetData>
  <mergeCells count="11">
    <mergeCell ref="A1:J1"/>
    <mergeCell ref="A17:K17"/>
    <mergeCell ref="B3:B5"/>
    <mergeCell ref="C3:C5"/>
    <mergeCell ref="D3:D5"/>
    <mergeCell ref="E3:E5"/>
    <mergeCell ref="F3:F5"/>
    <mergeCell ref="G3:G5"/>
    <mergeCell ref="H3:H5"/>
    <mergeCell ref="I3:I5"/>
    <mergeCell ref="J3:J5"/>
  </mergeCells>
  <pageMargins left="0.236111111111111" right="0.0784722222222222" top="0.393055555555556" bottom="0.275" header="0.236111111111111" footer="0.156944444444444"/>
  <pageSetup paperSize="9" scale="75" orientation="landscape" verticalDpi="300"/>
  <headerFooter alignWithMargins="0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topLeftCell="A7" workbookViewId="0">
      <selection activeCell="P35" sqref="P35"/>
    </sheetView>
  </sheetViews>
  <sheetFormatPr defaultColWidth="8.875" defaultRowHeight="13.5"/>
  <cols>
    <col min="1" max="1" width="6" style="2" customWidth="1"/>
    <col min="2" max="2" width="9.875" style="3" customWidth="1"/>
    <col min="3" max="3" width="7.875" style="1" customWidth="1"/>
    <col min="4" max="4" width="9.5" style="1" customWidth="1"/>
    <col min="5" max="5" width="15.875" style="1" customWidth="1"/>
    <col min="6" max="6" width="7.875" style="1" customWidth="1"/>
    <col min="7" max="8" width="8.875" style="1" customWidth="1"/>
    <col min="9" max="9" width="10.875" style="1"/>
    <col min="10" max="10" width="17.25" style="1"/>
    <col min="11" max="11" width="10.875" style="1"/>
    <col min="12" max="12" width="8.5" style="1"/>
    <col min="13" max="13" width="17.25" style="1"/>
    <col min="14" max="16378" width="8.875" style="1" customWidth="1"/>
    <col min="16379" max="16384" width="8.875" style="1"/>
  </cols>
  <sheetData>
    <row r="1" spans="1:6">
      <c r="A1" s="4" t="s">
        <v>4</v>
      </c>
      <c r="B1" s="5" t="s">
        <v>35</v>
      </c>
      <c r="C1" s="1" t="s">
        <v>650</v>
      </c>
      <c r="D1" s="1" t="s">
        <v>651</v>
      </c>
      <c r="E1" s="1" t="s">
        <v>652</v>
      </c>
      <c r="F1" s="1" t="s">
        <v>653</v>
      </c>
    </row>
    <row r="2" s="1" customFormat="1" ht="12" spans="1:6">
      <c r="A2" s="6" t="s">
        <v>64</v>
      </c>
      <c r="B2" s="7">
        <v>6129.74</v>
      </c>
      <c r="C2" s="8" t="str">
        <f>VLOOKUP(A2,员工基本信息!B:J,9,0)</f>
        <v>销售费用</v>
      </c>
      <c r="D2" s="8" t="str">
        <f>VLOOKUP(A2,员工基本信息!B:M,12,0)</f>
        <v>间接成本</v>
      </c>
      <c r="E2" s="8" t="str">
        <f>VLOOKUP(A2,员工基本信息!B:L,11,0)</f>
        <v>销售费用+销售</v>
      </c>
      <c r="F2" s="8"/>
    </row>
    <row r="3" s="1" customFormat="1" ht="12" spans="1:6">
      <c r="A3" s="6" t="s">
        <v>70</v>
      </c>
      <c r="B3" s="7">
        <v>4941</v>
      </c>
      <c r="C3" s="8" t="str">
        <f>VLOOKUP(A3,员工基本信息!B:J,9,0)</f>
        <v>管理费用</v>
      </c>
      <c r="D3" s="8" t="str">
        <f>VLOOKUP(A3,员工基本信息!B:M,12,0)</f>
        <v>间接成本</v>
      </c>
      <c r="E3" s="8" t="str">
        <f>VLOOKUP(A3,员工基本信息!B:L,11,0)</f>
        <v>管理费用+综合</v>
      </c>
      <c r="F3" s="8"/>
    </row>
    <row r="4" s="1" customFormat="1" ht="12" spans="1:6">
      <c r="A4" s="6" t="s">
        <v>73</v>
      </c>
      <c r="B4" s="7">
        <v>3600</v>
      </c>
      <c r="C4" s="8" t="str">
        <f>VLOOKUP(A4,员工基本信息!B:J,9,0)</f>
        <v>研发费用</v>
      </c>
      <c r="D4" s="8" t="str">
        <f>VLOOKUP(A4,员工基本信息!B:M,12,0)</f>
        <v>间接成本</v>
      </c>
      <c r="E4" s="8" t="str">
        <f>VLOOKUP(A4,员工基本信息!B:L,11,0)</f>
        <v>研发费用+质量</v>
      </c>
      <c r="F4" s="8"/>
    </row>
    <row r="5" s="1" customFormat="1" ht="12" spans="1:6">
      <c r="A5" s="6" t="s">
        <v>76</v>
      </c>
      <c r="B5" s="7">
        <v>6235</v>
      </c>
      <c r="C5" s="8" t="str">
        <f>VLOOKUP(A5,员工基本信息!B:J,9,0)</f>
        <v>生产成本</v>
      </c>
      <c r="D5" s="8" t="str">
        <f>VLOOKUP(A5,员工基本信息!B:M,12,0)</f>
        <v>直接成本</v>
      </c>
      <c r="E5" s="8" t="str">
        <f>VLOOKUP(A5,员工基本信息!B:L,11,0)</f>
        <v>生产成本+注塑</v>
      </c>
      <c r="F5" s="8"/>
    </row>
    <row r="6" s="1" customFormat="1" ht="12" spans="1:6">
      <c r="A6" s="6" t="s">
        <v>79</v>
      </c>
      <c r="B6" s="7">
        <v>2866.75</v>
      </c>
      <c r="C6" s="8" t="str">
        <f>VLOOKUP(A6,员工基本信息!B:J,9,0)</f>
        <v>制造费用</v>
      </c>
      <c r="D6" s="8" t="str">
        <f>VLOOKUP(A6,员工基本信息!B:M,12,0)</f>
        <v>间接成本</v>
      </c>
      <c r="E6" s="8" t="str">
        <f>VLOOKUP(A6,员工基本信息!B:L,11,0)</f>
        <v>制造费用+组装</v>
      </c>
      <c r="F6" s="8"/>
    </row>
    <row r="7" spans="1:6">
      <c r="A7" s="6" t="s">
        <v>82</v>
      </c>
      <c r="B7" s="7">
        <v>4520.59</v>
      </c>
      <c r="C7" s="8" t="str">
        <f>VLOOKUP(A7,员工基本信息!B:J,9,0)</f>
        <v>管理费用</v>
      </c>
      <c r="D7" s="8" t="str">
        <f>VLOOKUP(A7,员工基本信息!B:M,12,0)</f>
        <v>间接成本</v>
      </c>
      <c r="E7" s="8" t="str">
        <f>VLOOKUP(A7,员工基本信息!B:L,11,0)</f>
        <v>管理费用+财务</v>
      </c>
      <c r="F7" s="8"/>
    </row>
    <row r="8" spans="1:10">
      <c r="A8" s="6" t="s">
        <v>85</v>
      </c>
      <c r="B8" s="7">
        <v>5640</v>
      </c>
      <c r="C8" s="8" t="str">
        <f>VLOOKUP(A8,员工基本信息!B:J,9,0)</f>
        <v>研发费用</v>
      </c>
      <c r="D8" s="8" t="str">
        <f>VLOOKUP(A8,员工基本信息!B:M,12,0)</f>
        <v>间接成本</v>
      </c>
      <c r="E8" s="8" t="str">
        <f>VLOOKUP(A8,员工基本信息!B:L,11,0)</f>
        <v>研发费用+质量</v>
      </c>
      <c r="F8" s="8"/>
      <c r="I8"/>
      <c r="J8"/>
    </row>
    <row r="9" spans="1:10">
      <c r="A9" s="6" t="s">
        <v>87</v>
      </c>
      <c r="B9" s="7">
        <v>5140</v>
      </c>
      <c r="C9" s="8" t="str">
        <f>VLOOKUP(A9,员工基本信息!B:J,9,0)</f>
        <v>研发费用</v>
      </c>
      <c r="D9" s="8" t="str">
        <f>VLOOKUP(A9,员工基本信息!B:M,12,0)</f>
        <v>间接成本</v>
      </c>
      <c r="E9" s="8" t="str">
        <f>VLOOKUP(A9,员工基本信息!B:L,11,0)</f>
        <v>研发费用+质量</v>
      </c>
      <c r="F9" s="8"/>
      <c r="I9"/>
      <c r="J9"/>
    </row>
    <row r="10" spans="1:10">
      <c r="A10" s="6" t="s">
        <v>89</v>
      </c>
      <c r="B10" s="7">
        <v>13000</v>
      </c>
      <c r="C10" s="8" t="str">
        <f>VLOOKUP(A10,员工基本信息!B:J,9,0)</f>
        <v>研发费用</v>
      </c>
      <c r="D10" s="8" t="str">
        <f>VLOOKUP(A10,员工基本信息!B:M,12,0)</f>
        <v>间接成本</v>
      </c>
      <c r="E10" s="8" t="str">
        <f>VLOOKUP(A10,员工基本信息!B:L,11,0)</f>
        <v>研发费用+质量</v>
      </c>
      <c r="F10" s="8"/>
      <c r="I10"/>
      <c r="J10"/>
    </row>
    <row r="11" spans="1:11">
      <c r="A11" s="6" t="s">
        <v>91</v>
      </c>
      <c r="B11" s="7">
        <v>5500</v>
      </c>
      <c r="C11" s="8" t="str">
        <f>VLOOKUP(A11,员工基本信息!B:J,9,0)</f>
        <v>管理费用</v>
      </c>
      <c r="D11" s="8" t="str">
        <f>VLOOKUP(A11,员工基本信息!B:M,12,0)</f>
        <v>间接成本</v>
      </c>
      <c r="E11" s="8" t="str">
        <f>VLOOKUP(A11,员工基本信息!B:L,11,0)</f>
        <v>管理费用+综合</v>
      </c>
      <c r="F11" s="8"/>
      <c r="I11"/>
      <c r="J11"/>
      <c r="K11"/>
    </row>
    <row r="12" spans="1:10">
      <c r="A12" s="6" t="s">
        <v>94</v>
      </c>
      <c r="B12" s="7">
        <v>8340</v>
      </c>
      <c r="C12" s="8" t="str">
        <f>VLOOKUP(A12,员工基本信息!B:J,9,0)</f>
        <v>管理费用</v>
      </c>
      <c r="D12" s="8" t="str">
        <f>VLOOKUP(A12,员工基本信息!B:M,12,0)</f>
        <v>间接成本</v>
      </c>
      <c r="E12" s="8" t="str">
        <f>VLOOKUP(A12,员工基本信息!B:L,11,0)</f>
        <v>管理费用+生管</v>
      </c>
      <c r="F12" s="8"/>
      <c r="I12"/>
      <c r="J12"/>
    </row>
    <row r="13" spans="1:13">
      <c r="A13" s="6" t="s">
        <v>96</v>
      </c>
      <c r="B13" s="7">
        <v>7140</v>
      </c>
      <c r="C13" s="8" t="str">
        <f>VLOOKUP(A13,员工基本信息!B:J,9,0)</f>
        <v>制造费用</v>
      </c>
      <c r="D13" s="8" t="str">
        <f>VLOOKUP(A13,员工基本信息!B:M,12,0)</f>
        <v>间接成本</v>
      </c>
      <c r="E13" s="8" t="str">
        <f>VLOOKUP(A13,员工基本信息!B:L,11,0)</f>
        <v>制造费用+组装</v>
      </c>
      <c r="F13" s="8"/>
      <c r="I13" t="s">
        <v>650</v>
      </c>
      <c r="J13" t="s">
        <v>654</v>
      </c>
      <c r="K13"/>
      <c r="L13"/>
      <c r="M13"/>
    </row>
    <row r="14" spans="1:13">
      <c r="A14" s="6" t="s">
        <v>98</v>
      </c>
      <c r="B14" s="7">
        <v>3060</v>
      </c>
      <c r="C14" s="8" t="str">
        <f>VLOOKUP(A14,员工基本信息!B:J,9,0)</f>
        <v>研发费用</v>
      </c>
      <c r="D14" s="8" t="str">
        <f>VLOOKUP(A14,员工基本信息!B:M,12,0)</f>
        <v>间接成本</v>
      </c>
      <c r="E14" s="8" t="str">
        <f>VLOOKUP(A14,员工基本信息!B:L,11,0)</f>
        <v>研发费用+生管</v>
      </c>
      <c r="F14" s="8"/>
      <c r="I14" t="s">
        <v>287</v>
      </c>
      <c r="J14">
        <v>43278.71</v>
      </c>
      <c r="K14"/>
      <c r="L14"/>
      <c r="M14"/>
    </row>
    <row r="15" spans="1:13">
      <c r="A15" s="6" t="s">
        <v>100</v>
      </c>
      <c r="B15" s="7">
        <v>4550</v>
      </c>
      <c r="C15" s="8" t="str">
        <f>VLOOKUP(A15,员工基本信息!B:J,9,0)</f>
        <v>制造费用</v>
      </c>
      <c r="D15" s="8" t="str">
        <f>VLOOKUP(A15,员工基本信息!B:M,12,0)</f>
        <v>间接成本</v>
      </c>
      <c r="E15" s="8" t="str">
        <f>VLOOKUP(A15,员工基本信息!B:L,11,0)</f>
        <v>制造费用+组装</v>
      </c>
      <c r="F15" s="8"/>
      <c r="I15" t="s">
        <v>318</v>
      </c>
      <c r="J15">
        <v>151966.38</v>
      </c>
      <c r="K15"/>
      <c r="L15"/>
      <c r="M15"/>
    </row>
    <row r="16" spans="1:13">
      <c r="A16" s="6" t="s">
        <v>102</v>
      </c>
      <c r="B16" s="7">
        <v>3520</v>
      </c>
      <c r="C16" s="8" t="str">
        <f>VLOOKUP(A16,员工基本信息!B:J,9,0)</f>
        <v>制造费用</v>
      </c>
      <c r="D16" s="8" t="str">
        <f>VLOOKUP(A16,员工基本信息!B:M,12,0)</f>
        <v>间接成本</v>
      </c>
      <c r="E16" s="8" t="str">
        <f>VLOOKUP(A16,员工基本信息!B:L,11,0)</f>
        <v>制造费用+组装</v>
      </c>
      <c r="F16" s="8"/>
      <c r="I16" t="s">
        <v>396</v>
      </c>
      <c r="J16">
        <v>46854.74</v>
      </c>
      <c r="K16"/>
      <c r="L16"/>
      <c r="M16"/>
    </row>
    <row r="17" spans="1:13">
      <c r="A17" s="6" t="s">
        <v>104</v>
      </c>
      <c r="B17" s="7">
        <v>4080</v>
      </c>
      <c r="C17" s="8" t="str">
        <f>VLOOKUP(A17,员工基本信息!B:J,9,0)</f>
        <v>制造费用</v>
      </c>
      <c r="D17" s="8" t="str">
        <f>VLOOKUP(A17,员工基本信息!B:M,12,0)</f>
        <v>间接成本</v>
      </c>
      <c r="E17" s="8" t="str">
        <f>VLOOKUP(A17,员工基本信息!B:L,11,0)</f>
        <v>制造费用+喷涂</v>
      </c>
      <c r="F17" s="8"/>
      <c r="I17" t="s">
        <v>455</v>
      </c>
      <c r="J17">
        <v>47370</v>
      </c>
      <c r="K17"/>
      <c r="L17"/>
      <c r="M17"/>
    </row>
    <row r="18" spans="1:13">
      <c r="A18" s="6" t="s">
        <v>106</v>
      </c>
      <c r="B18" s="7">
        <v>3640</v>
      </c>
      <c r="C18" s="8" t="str">
        <f>VLOOKUP(A18,员工基本信息!B:J,9,0)</f>
        <v>制造费用</v>
      </c>
      <c r="D18" s="8" t="str">
        <f>VLOOKUP(A18,员工基本信息!B:M,12,0)</f>
        <v>间接成本</v>
      </c>
      <c r="E18" s="8" t="str">
        <f>VLOOKUP(A18,员工基本信息!B:L,11,0)</f>
        <v>制造费用+注塑</v>
      </c>
      <c r="F18" s="8"/>
      <c r="I18" t="s">
        <v>278</v>
      </c>
      <c r="J18">
        <v>48504.1</v>
      </c>
      <c r="K18"/>
      <c r="L18"/>
      <c r="M18"/>
    </row>
    <row r="19" spans="1:13">
      <c r="A19" s="6" t="s">
        <v>109</v>
      </c>
      <c r="B19" s="7">
        <v>2882.35</v>
      </c>
      <c r="C19" s="8" t="str">
        <f>VLOOKUP(A19,员工基本信息!B:J,9,0)</f>
        <v>制造费用</v>
      </c>
      <c r="D19" s="8" t="str">
        <f>VLOOKUP(A19,员工基本信息!B:M,12,0)</f>
        <v>间接成本</v>
      </c>
      <c r="E19" s="8" t="str">
        <f>VLOOKUP(A19,员工基本信息!B:L,11,0)</f>
        <v>制造费用+组装</v>
      </c>
      <c r="F19" s="8"/>
      <c r="I19" t="s">
        <v>655</v>
      </c>
      <c r="J19">
        <v>6176.85</v>
      </c>
      <c r="K19"/>
      <c r="L19"/>
      <c r="M19"/>
    </row>
    <row r="20" spans="1:13">
      <c r="A20" s="6" t="s">
        <v>111</v>
      </c>
      <c r="B20" s="7">
        <v>3520</v>
      </c>
      <c r="C20" s="8" t="str">
        <f>VLOOKUP(A20,员工基本信息!B:J,9,0)</f>
        <v>制造费用</v>
      </c>
      <c r="D20" s="8" t="str">
        <f>VLOOKUP(A20,员工基本信息!B:M,12,0)</f>
        <v>直接成本</v>
      </c>
      <c r="E20" s="8" t="str">
        <f>VLOOKUP(A20,员工基本信息!B:L,11,0)</f>
        <v>制造费用+注塑</v>
      </c>
      <c r="F20" s="8"/>
      <c r="I20" t="s">
        <v>656</v>
      </c>
      <c r="J20">
        <v>344150.78</v>
      </c>
      <c r="K20"/>
      <c r="L20"/>
      <c r="M20"/>
    </row>
    <row r="21" spans="1:13">
      <c r="A21" s="6" t="s">
        <v>113</v>
      </c>
      <c r="B21" s="7">
        <v>3000</v>
      </c>
      <c r="C21" s="8" t="str">
        <f>VLOOKUP(A21,员工基本信息!B:J,9,0)</f>
        <v>制造费用</v>
      </c>
      <c r="D21" s="8" t="str">
        <f>VLOOKUP(A21,员工基本信息!B:M,12,0)</f>
        <v>间接成本</v>
      </c>
      <c r="E21" s="8" t="str">
        <f>VLOOKUP(A21,员工基本信息!B:L,11,0)</f>
        <v>制造费用+注塑</v>
      </c>
      <c r="F21" s="8"/>
      <c r="I21"/>
      <c r="J21"/>
      <c r="K21"/>
      <c r="L21"/>
      <c r="M21"/>
    </row>
    <row r="22" spans="1:13">
      <c r="A22" s="6" t="s">
        <v>115</v>
      </c>
      <c r="B22" s="7">
        <v>7180</v>
      </c>
      <c r="C22" s="8" t="str">
        <f>VLOOKUP(A22,员工基本信息!B:J,9,0)</f>
        <v>销售费用</v>
      </c>
      <c r="D22" s="8" t="str">
        <f>VLOOKUP(A22,员工基本信息!B:M,12,0)</f>
        <v>间接成本</v>
      </c>
      <c r="E22" s="8" t="str">
        <f>VLOOKUP(A22,员工基本信息!B:L,11,0)</f>
        <v>销售费用+销售</v>
      </c>
      <c r="F22" s="8"/>
      <c r="I22"/>
      <c r="J22"/>
      <c r="K22"/>
      <c r="L22"/>
      <c r="M22"/>
    </row>
    <row r="23" spans="1:13">
      <c r="A23" s="6" t="s">
        <v>117</v>
      </c>
      <c r="B23" s="7">
        <v>7745</v>
      </c>
      <c r="C23" s="8" t="str">
        <f>VLOOKUP(A23,员工基本信息!B:J,9,0)</f>
        <v>销售费用</v>
      </c>
      <c r="D23" s="8" t="str">
        <f>VLOOKUP(A23,员工基本信息!B:M,12,0)</f>
        <v>间接成本</v>
      </c>
      <c r="E23" s="8" t="str">
        <f>VLOOKUP(A23,员工基本信息!B:L,11,0)</f>
        <v>销售费用+销售</v>
      </c>
      <c r="F23" s="8"/>
      <c r="I23"/>
      <c r="J23"/>
      <c r="K23"/>
      <c r="L23"/>
      <c r="M23"/>
    </row>
    <row r="24" spans="1:13">
      <c r="A24" s="6" t="s">
        <v>119</v>
      </c>
      <c r="B24" s="7">
        <v>3140</v>
      </c>
      <c r="C24" s="8" t="str">
        <f>VLOOKUP(A24,员工基本信息!B:J,9,0)</f>
        <v>销售费用</v>
      </c>
      <c r="D24" s="8" t="str">
        <f>VLOOKUP(A24,员工基本信息!B:M,12,0)</f>
        <v>间接成本</v>
      </c>
      <c r="E24" s="8" t="str">
        <f>VLOOKUP(A24,员工基本信息!B:L,11,0)</f>
        <v>销售费用+销售</v>
      </c>
      <c r="F24" s="8"/>
      <c r="I24"/>
      <c r="J24"/>
      <c r="K24"/>
      <c r="L24"/>
      <c r="M24"/>
    </row>
    <row r="25" spans="1:13">
      <c r="A25" s="6" t="s">
        <v>121</v>
      </c>
      <c r="B25" s="7">
        <v>2860</v>
      </c>
      <c r="C25" s="8" t="str">
        <f>VLOOKUP(A25,员工基本信息!B:J,9,0)</f>
        <v>销售费用</v>
      </c>
      <c r="D25" s="8" t="str">
        <f>VLOOKUP(A25,员工基本信息!B:M,12,0)</f>
        <v>间接成本</v>
      </c>
      <c r="E25" s="8" t="str">
        <f>VLOOKUP(A25,员工基本信息!B:L,11,0)</f>
        <v>销售费用+销售</v>
      </c>
      <c r="F25" s="8"/>
      <c r="I25" t="s">
        <v>651</v>
      </c>
      <c r="J25" t="s">
        <v>654</v>
      </c>
      <c r="K25"/>
      <c r="L25"/>
      <c r="M25"/>
    </row>
    <row r="26" spans="1:13">
      <c r="A26" s="6" t="s">
        <v>123</v>
      </c>
      <c r="B26" s="7">
        <v>3800</v>
      </c>
      <c r="C26" s="8" t="str">
        <f>VLOOKUP(A26,员工基本信息!B:J,9,0)</f>
        <v>销售费用</v>
      </c>
      <c r="D26" s="8" t="str">
        <f>VLOOKUP(A26,员工基本信息!B:M,12,0)</f>
        <v>不计入成本</v>
      </c>
      <c r="E26" s="8" t="str">
        <f>VLOOKUP(A26,员工基本信息!B:L,11,0)</f>
        <v>销售费用+销售</v>
      </c>
      <c r="F26" s="8"/>
      <c r="I26" t="s">
        <v>403</v>
      </c>
      <c r="J26">
        <v>19800</v>
      </c>
      <c r="K26"/>
      <c r="L26"/>
      <c r="M26"/>
    </row>
    <row r="27" spans="1:13">
      <c r="A27" s="6" t="s">
        <v>127</v>
      </c>
      <c r="B27" s="7">
        <v>3700</v>
      </c>
      <c r="C27" s="8" t="str">
        <f>VLOOKUP(A27,员工基本信息!B:J,9,0)</f>
        <v>销售费用</v>
      </c>
      <c r="D27" s="8" t="str">
        <f>VLOOKUP(A27,员工基本信息!B:M,12,0)</f>
        <v>不计入成本</v>
      </c>
      <c r="E27" s="8" t="str">
        <f>VLOOKUP(A27,员工基本信息!B:L,11,0)</f>
        <v>销售费用+销售</v>
      </c>
      <c r="F27" s="8"/>
      <c r="I27" t="s">
        <v>281</v>
      </c>
      <c r="J27">
        <v>162687.55</v>
      </c>
      <c r="K27"/>
      <c r="L27"/>
      <c r="M27"/>
    </row>
    <row r="28" spans="1:13">
      <c r="A28" s="6" t="s">
        <v>129</v>
      </c>
      <c r="B28" s="7">
        <v>4000</v>
      </c>
      <c r="C28" s="8" t="str">
        <f>VLOOKUP(A28,员工基本信息!B:J,9,0)</f>
        <v>销售费用</v>
      </c>
      <c r="D28" s="8" t="str">
        <f>VLOOKUP(A28,员工基本信息!B:M,12,0)</f>
        <v>不计入成本</v>
      </c>
      <c r="E28" s="8" t="str">
        <f>VLOOKUP(A28,员工基本信息!B:L,11,0)</f>
        <v>销售费用+销售</v>
      </c>
      <c r="F28" s="8"/>
      <c r="I28" t="s">
        <v>320</v>
      </c>
      <c r="J28">
        <v>155486.38</v>
      </c>
      <c r="K28"/>
      <c r="L28"/>
      <c r="M28"/>
    </row>
    <row r="29" spans="1:13">
      <c r="A29" s="6" t="s">
        <v>131</v>
      </c>
      <c r="B29" s="7">
        <v>3000</v>
      </c>
      <c r="C29" s="8" t="str">
        <f>VLOOKUP(A29,员工基本信息!B:J,9,0)</f>
        <v>销售费用</v>
      </c>
      <c r="D29" s="8" t="str">
        <f>VLOOKUP(A29,员工基本信息!B:M,12,0)</f>
        <v>不计入成本</v>
      </c>
      <c r="E29" s="8" t="str">
        <f>VLOOKUP(A29,员工基本信息!B:L,11,0)</f>
        <v>销售费用+销售</v>
      </c>
      <c r="F29" s="8"/>
      <c r="I29" t="s">
        <v>655</v>
      </c>
      <c r="J29">
        <v>6176.85</v>
      </c>
      <c r="K29"/>
      <c r="L29"/>
      <c r="M29"/>
    </row>
    <row r="30" spans="1:13">
      <c r="A30" s="6" t="s">
        <v>133</v>
      </c>
      <c r="B30" s="7">
        <v>2500</v>
      </c>
      <c r="C30" s="8" t="str">
        <f>VLOOKUP(A30,员工基本信息!B:J,9,0)</f>
        <v>销售费用</v>
      </c>
      <c r="D30" s="8" t="str">
        <f>VLOOKUP(A30,员工基本信息!B:M,12,0)</f>
        <v>不计入成本</v>
      </c>
      <c r="E30" s="8" t="str">
        <f>VLOOKUP(A30,员工基本信息!B:L,11,0)</f>
        <v>销售费用+销售</v>
      </c>
      <c r="F30" s="8"/>
      <c r="I30" t="s">
        <v>656</v>
      </c>
      <c r="J30">
        <v>344150.78</v>
      </c>
      <c r="K30"/>
      <c r="L30"/>
      <c r="M30"/>
    </row>
    <row r="31" spans="1:13">
      <c r="A31" s="6" t="s">
        <v>135</v>
      </c>
      <c r="B31" s="7">
        <v>2000</v>
      </c>
      <c r="C31" s="8" t="str">
        <f>VLOOKUP(A31,员工基本信息!B:J,9,0)</f>
        <v>销售费用</v>
      </c>
      <c r="D31" s="8" t="str">
        <f>VLOOKUP(A31,员工基本信息!B:M,12,0)</f>
        <v>不计入成本</v>
      </c>
      <c r="E31" s="8" t="str">
        <f>VLOOKUP(A31,员工基本信息!B:L,11,0)</f>
        <v>销售费用+销售</v>
      </c>
      <c r="F31" s="8"/>
      <c r="I31"/>
      <c r="J31"/>
      <c r="K31"/>
      <c r="L31"/>
      <c r="M31"/>
    </row>
    <row r="32" spans="1:13">
      <c r="A32" s="6" t="s">
        <v>137</v>
      </c>
      <c r="B32" s="7">
        <v>800</v>
      </c>
      <c r="C32" s="8" t="str">
        <f>VLOOKUP(A32,员工基本信息!B:J,9,0)</f>
        <v>销售费用</v>
      </c>
      <c r="D32" s="8" t="str">
        <f>VLOOKUP(A32,员工基本信息!B:M,12,0)</f>
        <v>不计入成本</v>
      </c>
      <c r="E32" s="8" t="str">
        <f>VLOOKUP(A32,员工基本信息!B:L,11,0)</f>
        <v>销售费用+销售</v>
      </c>
      <c r="F32" s="8"/>
      <c r="I32"/>
      <c r="J32"/>
      <c r="K32"/>
      <c r="L32"/>
      <c r="M32"/>
    </row>
    <row r="33" spans="1:13">
      <c r="A33" s="6" t="s">
        <v>140</v>
      </c>
      <c r="B33" s="7">
        <v>12317.12</v>
      </c>
      <c r="C33" s="8" t="str">
        <f>VLOOKUP(A33,员工基本信息!B:J,9,0)</f>
        <v>管理费用</v>
      </c>
      <c r="D33" s="8" t="str">
        <f>VLOOKUP(A33,员工基本信息!B:M,12,0)</f>
        <v>间接成本</v>
      </c>
      <c r="E33" s="8" t="str">
        <f>VLOOKUP(A33,员工基本信息!B:L,11,0)</f>
        <v>管理费用+运营</v>
      </c>
      <c r="F33" s="8"/>
      <c r="I33"/>
      <c r="J33"/>
      <c r="K33"/>
      <c r="L33"/>
      <c r="M33"/>
    </row>
    <row r="34" spans="1:13">
      <c r="A34" s="6" t="s">
        <v>143</v>
      </c>
      <c r="B34" s="7">
        <v>7660</v>
      </c>
      <c r="C34" s="8" t="str">
        <f>VLOOKUP(A34,员工基本信息!B:J,9,0)</f>
        <v>管理费用</v>
      </c>
      <c r="D34" s="8" t="str">
        <f>VLOOKUP(A34,员工基本信息!B:M,12,0)</f>
        <v>间接成本</v>
      </c>
      <c r="E34" s="8" t="str">
        <f>VLOOKUP(A34,员工基本信息!B:L,11,0)</f>
        <v>管理费用+制造</v>
      </c>
      <c r="F34" s="8"/>
      <c r="I34"/>
      <c r="J34"/>
      <c r="K34"/>
      <c r="L34"/>
      <c r="M34"/>
    </row>
    <row r="35" spans="1:13">
      <c r="A35" s="6" t="s">
        <v>146</v>
      </c>
      <c r="B35" s="7">
        <v>13305</v>
      </c>
      <c r="C35" s="8" t="str">
        <f>VLOOKUP(A35,员工基本信息!B:J,9,0)</f>
        <v>制造费用</v>
      </c>
      <c r="D35" s="8" t="str">
        <f>VLOOKUP(A35,员工基本信息!B:M,12,0)</f>
        <v>间接成本</v>
      </c>
      <c r="E35" s="8" t="str">
        <f>VLOOKUP(A35,员工基本信息!B:L,11,0)</f>
        <v>制造费用+组装</v>
      </c>
      <c r="F35" s="8"/>
      <c r="I35"/>
      <c r="J35"/>
      <c r="K35"/>
      <c r="L35"/>
      <c r="M35"/>
    </row>
    <row r="36" spans="1:13">
      <c r="A36" s="6" t="s">
        <v>148</v>
      </c>
      <c r="B36" s="7">
        <v>16930</v>
      </c>
      <c r="C36" s="8" t="str">
        <f>VLOOKUP(A36,员工基本信息!B:J,9,0)</f>
        <v>研发费用</v>
      </c>
      <c r="D36" s="8" t="str">
        <f>VLOOKUP(A36,员工基本信息!B:M,12,0)</f>
        <v>间接成本</v>
      </c>
      <c r="E36" s="8" t="str">
        <f>VLOOKUP(A36,员工基本信息!B:L,11,0)</f>
        <v>研发费用+制造科室</v>
      </c>
      <c r="F36" s="8"/>
      <c r="I36"/>
      <c r="J36"/>
      <c r="K36"/>
      <c r="L36"/>
      <c r="M36"/>
    </row>
    <row r="37" spans="1:13">
      <c r="A37" s="6" t="s">
        <v>150</v>
      </c>
      <c r="B37" s="7">
        <v>7520</v>
      </c>
      <c r="C37" s="8" t="str">
        <f>VLOOKUP(A37,员工基本信息!B:J,9,0)</f>
        <v>生产成本</v>
      </c>
      <c r="D37" s="8" t="str">
        <f>VLOOKUP(A37,员工基本信息!B:M,12,0)</f>
        <v>直接成本</v>
      </c>
      <c r="E37" s="8" t="str">
        <f>VLOOKUP(A37,员工基本信息!B:L,11,0)</f>
        <v>生产成本+喷涂</v>
      </c>
      <c r="F37" s="8"/>
      <c r="I37"/>
      <c r="J37"/>
      <c r="K37"/>
      <c r="L37"/>
      <c r="M37"/>
    </row>
    <row r="38" spans="1:13">
      <c r="A38" s="6" t="s">
        <v>153</v>
      </c>
      <c r="B38" s="7">
        <v>7600</v>
      </c>
      <c r="C38" s="8" t="str">
        <f>VLOOKUP(A38,员工基本信息!B:J,9,0)</f>
        <v>生产成本</v>
      </c>
      <c r="D38" s="8" t="str">
        <f>VLOOKUP(A38,员工基本信息!B:M,12,0)</f>
        <v>直接成本</v>
      </c>
      <c r="E38" s="8" t="str">
        <f>VLOOKUP(A38,员工基本信息!B:L,11,0)</f>
        <v>生产成本+喷涂</v>
      </c>
      <c r="F38" s="8"/>
      <c r="I38"/>
      <c r="J38"/>
      <c r="K38"/>
      <c r="L38"/>
      <c r="M38"/>
    </row>
    <row r="39" spans="1:13">
      <c r="A39" s="6" t="s">
        <v>155</v>
      </c>
      <c r="B39" s="7">
        <v>5840</v>
      </c>
      <c r="C39" s="8" t="str">
        <f>VLOOKUP(A39,员工基本信息!B:J,9,0)</f>
        <v>生产成本</v>
      </c>
      <c r="D39" s="8" t="str">
        <f>VLOOKUP(A39,员工基本信息!B:M,12,0)</f>
        <v>直接成本</v>
      </c>
      <c r="E39" s="8" t="str">
        <f>VLOOKUP(A39,员工基本信息!B:L,11,0)</f>
        <v>生产成本+注塑</v>
      </c>
      <c r="F39" s="8"/>
      <c r="I39"/>
      <c r="J39"/>
      <c r="K39"/>
      <c r="L39"/>
      <c r="M39"/>
    </row>
    <row r="40" spans="1:13">
      <c r="A40" s="6" t="s">
        <v>157</v>
      </c>
      <c r="B40" s="7">
        <v>4465</v>
      </c>
      <c r="C40" s="8" t="str">
        <f>VLOOKUP(A40,员工基本信息!B:J,9,0)</f>
        <v>生产成本</v>
      </c>
      <c r="D40" s="8" t="str">
        <f>VLOOKUP(A40,员工基本信息!B:M,12,0)</f>
        <v>直接成本</v>
      </c>
      <c r="E40" s="8" t="str">
        <f>VLOOKUP(A40,员工基本信息!B:L,11,0)</f>
        <v>生产成本+组装</v>
      </c>
      <c r="F40" s="8"/>
      <c r="I40"/>
      <c r="J40"/>
      <c r="K40"/>
      <c r="L40"/>
      <c r="M40"/>
    </row>
    <row r="41" spans="1:13">
      <c r="A41" s="6" t="s">
        <v>163</v>
      </c>
      <c r="B41" s="7">
        <v>3993.95</v>
      </c>
      <c r="C41" s="8" t="str">
        <f>VLOOKUP(A41,员工基本信息!B:J,9,0)</f>
        <v>生产成本</v>
      </c>
      <c r="D41" s="8" t="str">
        <f>VLOOKUP(A41,员工基本信息!B:M,12,0)</f>
        <v>直接成本</v>
      </c>
      <c r="E41" s="8" t="str">
        <f>VLOOKUP(A41,员工基本信息!B:L,11,0)</f>
        <v>生产成本+喷涂</v>
      </c>
      <c r="F41" s="8"/>
      <c r="I41"/>
      <c r="J41"/>
      <c r="K41"/>
      <c r="L41"/>
      <c r="M41"/>
    </row>
    <row r="42" spans="1:13">
      <c r="A42" s="6" t="s">
        <v>166</v>
      </c>
      <c r="B42" s="7">
        <v>4022.55</v>
      </c>
      <c r="C42" s="8" t="str">
        <f>VLOOKUP(A42,员工基本信息!B:J,9,0)</f>
        <v>生产成本</v>
      </c>
      <c r="D42" s="8" t="str">
        <f>VLOOKUP(A42,员工基本信息!B:M,12,0)</f>
        <v>直接成本</v>
      </c>
      <c r="E42" s="8" t="str">
        <f>VLOOKUP(A42,员工基本信息!B:L,11,0)</f>
        <v>生产成本+喷涂</v>
      </c>
      <c r="F42" s="8"/>
      <c r="I42"/>
      <c r="J42"/>
      <c r="K42"/>
      <c r="L42"/>
      <c r="M42"/>
    </row>
    <row r="43" spans="1:13">
      <c r="A43" s="6" t="s">
        <v>168</v>
      </c>
      <c r="B43" s="7">
        <v>3751.5</v>
      </c>
      <c r="C43" s="8" t="str">
        <f>VLOOKUP(A43,员工基本信息!B:J,9,0)</f>
        <v>生产成本</v>
      </c>
      <c r="D43" s="8" t="str">
        <f>VLOOKUP(A43,员工基本信息!B:M,12,0)</f>
        <v>直接成本</v>
      </c>
      <c r="E43" s="8" t="str">
        <f>VLOOKUP(A43,员工基本信息!B:L,11,0)</f>
        <v>生产成本+喷涂</v>
      </c>
      <c r="F43" s="8"/>
      <c r="I43"/>
      <c r="J43"/>
      <c r="K43"/>
      <c r="L43"/>
      <c r="M43"/>
    </row>
    <row r="44" spans="1:13">
      <c r="A44" s="6" t="s">
        <v>170</v>
      </c>
      <c r="B44" s="7">
        <v>3081.5</v>
      </c>
      <c r="C44" s="8" t="str">
        <f>VLOOKUP(A44,员工基本信息!B:J,9,0)</f>
        <v>生产成本</v>
      </c>
      <c r="D44" s="8" t="str">
        <f>VLOOKUP(A44,员工基本信息!B:M,12,0)</f>
        <v>直接成本</v>
      </c>
      <c r="E44" s="8" t="str">
        <f>VLOOKUP(A44,员工基本信息!B:L,11,0)</f>
        <v>生产成本+喷涂</v>
      </c>
      <c r="F44" s="8"/>
      <c r="I44"/>
      <c r="J44"/>
      <c r="K44"/>
      <c r="L44"/>
      <c r="M44"/>
    </row>
    <row r="45" spans="1:13">
      <c r="A45" s="6" t="s">
        <v>172</v>
      </c>
      <c r="B45" s="7">
        <v>3730</v>
      </c>
      <c r="C45" s="8" t="str">
        <f>VLOOKUP(A45,员工基本信息!B:J,9,0)</f>
        <v>生产成本</v>
      </c>
      <c r="D45" s="8" t="str">
        <f>VLOOKUP(A45,员工基本信息!B:M,12,0)</f>
        <v>直接成本</v>
      </c>
      <c r="E45" s="8" t="str">
        <f>VLOOKUP(A45,员工基本信息!B:L,11,0)</f>
        <v>生产成本+注塑</v>
      </c>
      <c r="F45" s="8"/>
      <c r="I45"/>
      <c r="J45"/>
      <c r="K45"/>
      <c r="L45"/>
      <c r="M45"/>
    </row>
    <row r="46" spans="1:13">
      <c r="A46" s="6" t="s">
        <v>175</v>
      </c>
      <c r="B46" s="7">
        <v>3690</v>
      </c>
      <c r="C46" s="8" t="str">
        <f>VLOOKUP(A46,员工基本信息!B:J,9,0)</f>
        <v>生产成本</v>
      </c>
      <c r="D46" s="8" t="str">
        <f>VLOOKUP(A46,员工基本信息!B:M,12,0)</f>
        <v>直接成本</v>
      </c>
      <c r="E46" s="8" t="str">
        <f>VLOOKUP(A46,员工基本信息!B:L,11,0)</f>
        <v>生产成本+注塑</v>
      </c>
      <c r="F46" s="8"/>
      <c r="I46"/>
      <c r="J46"/>
      <c r="K46"/>
      <c r="L46"/>
      <c r="M46"/>
    </row>
    <row r="47" spans="1:13">
      <c r="A47" s="6" t="s">
        <v>177</v>
      </c>
      <c r="B47" s="7">
        <v>4352.5</v>
      </c>
      <c r="C47" s="8" t="str">
        <f>VLOOKUP(A47,员工基本信息!B:J,9,0)</f>
        <v>生产成本</v>
      </c>
      <c r="D47" s="8" t="str">
        <f>VLOOKUP(A47,员工基本信息!B:M,12,0)</f>
        <v>直接成本</v>
      </c>
      <c r="E47" s="8" t="str">
        <f>VLOOKUP(A47,员工基本信息!B:L,11,0)</f>
        <v>生产成本+注塑</v>
      </c>
      <c r="F47" s="8"/>
      <c r="I47"/>
      <c r="J47"/>
      <c r="K47"/>
      <c r="L47"/>
      <c r="M47"/>
    </row>
    <row r="48" spans="1:13">
      <c r="A48" s="6" t="s">
        <v>179</v>
      </c>
      <c r="B48" s="7">
        <v>3435</v>
      </c>
      <c r="C48" s="8" t="str">
        <f>VLOOKUP(A48,员工基本信息!B:J,9,0)</f>
        <v>生产成本</v>
      </c>
      <c r="D48" s="8" t="str">
        <f>VLOOKUP(A48,员工基本信息!B:M,12,0)</f>
        <v>直接成本</v>
      </c>
      <c r="E48" s="8" t="str">
        <f>VLOOKUP(A48,员工基本信息!B:L,11,0)</f>
        <v>生产成本+注塑</v>
      </c>
      <c r="F48" s="8"/>
      <c r="I48"/>
      <c r="J48"/>
      <c r="K48"/>
      <c r="L48"/>
      <c r="M48"/>
    </row>
    <row r="49" spans="1:13">
      <c r="A49" s="6" t="s">
        <v>181</v>
      </c>
      <c r="B49" s="7">
        <v>180</v>
      </c>
      <c r="C49" s="8" t="str">
        <f>VLOOKUP(A49,员工基本信息!B:J,9,0)</f>
        <v>生产成本</v>
      </c>
      <c r="D49" s="8" t="str">
        <f>VLOOKUP(A49,员工基本信息!B:M,12,0)</f>
        <v>直接成本</v>
      </c>
      <c r="E49" s="8" t="str">
        <f>VLOOKUP(A49,员工基本信息!B:L,11,0)</f>
        <v>生产成本+注塑</v>
      </c>
      <c r="F49" s="8"/>
      <c r="I49"/>
      <c r="J49"/>
      <c r="K49"/>
      <c r="L49"/>
      <c r="M49"/>
    </row>
    <row r="50" spans="1:13">
      <c r="A50" s="6" t="s">
        <v>183</v>
      </c>
      <c r="B50" s="7">
        <v>3942.5</v>
      </c>
      <c r="C50" s="8" t="str">
        <f>VLOOKUP(A50,员工基本信息!B:J,9,0)</f>
        <v>生产成本</v>
      </c>
      <c r="D50" s="8" t="str">
        <f>VLOOKUP(A50,员工基本信息!B:M,12,0)</f>
        <v>直接成本</v>
      </c>
      <c r="E50" s="8" t="str">
        <f>VLOOKUP(A50,员工基本信息!B:L,11,0)</f>
        <v>生产成本+注塑</v>
      </c>
      <c r="F50" s="8"/>
      <c r="I50"/>
      <c r="J50"/>
      <c r="K50"/>
      <c r="L50"/>
      <c r="M50"/>
    </row>
    <row r="51" spans="1:13">
      <c r="A51" s="6" t="s">
        <v>185</v>
      </c>
      <c r="B51" s="7">
        <v>4835</v>
      </c>
      <c r="C51" s="8" t="str">
        <f>VLOOKUP(A51,员工基本信息!B:J,9,0)</f>
        <v>生产成本</v>
      </c>
      <c r="D51" s="8" t="str">
        <f>VLOOKUP(A51,员工基本信息!B:M,12,0)</f>
        <v>直接成本</v>
      </c>
      <c r="E51" s="8" t="str">
        <f>VLOOKUP(A51,员工基本信息!B:L,11,0)</f>
        <v>生产成本+注塑</v>
      </c>
      <c r="F51" s="8"/>
      <c r="I51"/>
      <c r="J51"/>
      <c r="K51"/>
      <c r="L51"/>
      <c r="M51"/>
    </row>
    <row r="52" spans="1:13">
      <c r="A52" s="6" t="s">
        <v>188</v>
      </c>
      <c r="B52" s="7">
        <v>4862.5</v>
      </c>
      <c r="C52" s="8" t="str">
        <f>VLOOKUP(A52,员工基本信息!B:J,9,0)</f>
        <v>生产成本</v>
      </c>
      <c r="D52" s="8" t="str">
        <f>VLOOKUP(A52,员工基本信息!B:M,12,0)</f>
        <v>直接成本</v>
      </c>
      <c r="E52" s="8" t="str">
        <f>VLOOKUP(A52,员工基本信息!B:L,11,0)</f>
        <v>生产成本+注塑</v>
      </c>
      <c r="F52" s="8"/>
      <c r="I52"/>
      <c r="J52"/>
      <c r="K52"/>
      <c r="L52"/>
      <c r="M52"/>
    </row>
    <row r="53" spans="1:13">
      <c r="A53" s="6" t="s">
        <v>190</v>
      </c>
      <c r="B53" s="7">
        <v>3320</v>
      </c>
      <c r="C53" s="8" t="str">
        <f>VLOOKUP(A53,员工基本信息!B:J,9,0)</f>
        <v>生产成本</v>
      </c>
      <c r="D53" s="8" t="str">
        <f>VLOOKUP(A53,员工基本信息!B:M,12,0)</f>
        <v>直接成本</v>
      </c>
      <c r="E53" s="8" t="str">
        <f>VLOOKUP(A53,员工基本信息!B:L,11,0)</f>
        <v>生产成本+注塑</v>
      </c>
      <c r="F53" s="8"/>
      <c r="I53"/>
      <c r="J53"/>
      <c r="K53"/>
      <c r="L53"/>
      <c r="M53"/>
    </row>
    <row r="54" spans="1:13">
      <c r="A54" s="6" t="s">
        <v>192</v>
      </c>
      <c r="B54" s="7">
        <v>720</v>
      </c>
      <c r="C54" s="8" t="str">
        <f>VLOOKUP(A54,员工基本信息!B:J,9,0)</f>
        <v>生产成本</v>
      </c>
      <c r="D54" s="8" t="str">
        <f>VLOOKUP(A54,员工基本信息!B:M,12,0)</f>
        <v>直接成本</v>
      </c>
      <c r="E54" s="8" t="str">
        <f>VLOOKUP(A54,员工基本信息!B:L,11,0)</f>
        <v>生产成本+注塑</v>
      </c>
      <c r="F54" s="8"/>
      <c r="I54"/>
      <c r="J54"/>
      <c r="K54"/>
      <c r="L54"/>
      <c r="M54"/>
    </row>
    <row r="55" spans="1:13">
      <c r="A55" s="6" t="s">
        <v>194</v>
      </c>
      <c r="B55" s="7">
        <v>785</v>
      </c>
      <c r="C55" s="8" t="str">
        <f>VLOOKUP(A55,员工基本信息!B:J,9,0)</f>
        <v>生产成本</v>
      </c>
      <c r="D55" s="8" t="str">
        <f>VLOOKUP(A55,员工基本信息!B:M,12,0)</f>
        <v>直接成本</v>
      </c>
      <c r="E55" s="8" t="str">
        <f>VLOOKUP(A55,员工基本信息!B:L,11,0)</f>
        <v>生产成本+注塑</v>
      </c>
      <c r="F55" s="8"/>
      <c r="I55"/>
      <c r="J55"/>
      <c r="K55"/>
      <c r="L55"/>
      <c r="M55"/>
    </row>
    <row r="56" spans="1:13">
      <c r="A56" s="6" t="s">
        <v>196</v>
      </c>
      <c r="B56" s="7">
        <v>3722.5</v>
      </c>
      <c r="C56" s="8" t="str">
        <f>VLOOKUP(A56,员工基本信息!B:J,9,0)</f>
        <v>生产成本</v>
      </c>
      <c r="D56" s="8" t="str">
        <f>VLOOKUP(A56,员工基本信息!B:M,12,0)</f>
        <v>直接成本</v>
      </c>
      <c r="E56" s="8" t="str">
        <f>VLOOKUP(A56,员工基本信息!B:L,11,0)</f>
        <v>生产成本+注塑</v>
      </c>
      <c r="F56" s="8"/>
      <c r="I56"/>
      <c r="J56"/>
      <c r="K56"/>
      <c r="L56"/>
      <c r="M56"/>
    </row>
    <row r="57" spans="1:13">
      <c r="A57" s="6" t="s">
        <v>198</v>
      </c>
      <c r="B57" s="7">
        <v>3000</v>
      </c>
      <c r="C57" s="8" t="str">
        <f>VLOOKUP(A57,员工基本信息!B:J,9,0)</f>
        <v>生产成本</v>
      </c>
      <c r="D57" s="8" t="str">
        <f>VLOOKUP(A57,员工基本信息!B:M,12,0)</f>
        <v>直接成本</v>
      </c>
      <c r="E57" s="8" t="str">
        <f>VLOOKUP(A57,员工基本信息!B:L,11,0)</f>
        <v>生产成本+注塑</v>
      </c>
      <c r="F57" s="8"/>
      <c r="I57"/>
      <c r="J57"/>
      <c r="K57"/>
      <c r="L57"/>
      <c r="M57"/>
    </row>
    <row r="58" spans="1:13">
      <c r="A58" s="6" t="s">
        <v>201</v>
      </c>
      <c r="B58" s="7">
        <v>3787.05</v>
      </c>
      <c r="C58" s="8" t="str">
        <f>VLOOKUP(A58,员工基本信息!B:J,9,0)</f>
        <v>生产成本</v>
      </c>
      <c r="D58" s="8" t="str">
        <f>VLOOKUP(A58,员工基本信息!B:M,12,0)</f>
        <v>直接成本</v>
      </c>
      <c r="E58" s="8" t="str">
        <f>VLOOKUP(A58,员工基本信息!B:L,11,0)</f>
        <v>生产成本+注塑</v>
      </c>
      <c r="F58" s="8"/>
      <c r="I58"/>
      <c r="J58"/>
      <c r="K58"/>
      <c r="L58"/>
      <c r="M58"/>
    </row>
    <row r="59" spans="1:10">
      <c r="A59" s="6" t="s">
        <v>204</v>
      </c>
      <c r="B59" s="7">
        <v>740</v>
      </c>
      <c r="C59" s="8" t="str">
        <f>VLOOKUP(A59,员工基本信息!B:J,9,0)</f>
        <v>生产成本</v>
      </c>
      <c r="D59" s="8" t="str">
        <f>VLOOKUP(A59,员工基本信息!B:M,12,0)</f>
        <v>直接成本</v>
      </c>
      <c r="E59" s="8" t="str">
        <f>VLOOKUP(A59,员工基本信息!B:L,11,0)</f>
        <v>生产成本+注塑</v>
      </c>
      <c r="F59" s="8"/>
      <c r="I59"/>
      <c r="J59"/>
    </row>
    <row r="60" spans="1:10">
      <c r="A60" s="6" t="s">
        <v>206</v>
      </c>
      <c r="B60" s="7">
        <v>2967.1</v>
      </c>
      <c r="C60" s="8" t="str">
        <f>VLOOKUP(A60,员工基本信息!B:J,9,0)</f>
        <v>生产成本</v>
      </c>
      <c r="D60" s="8" t="str">
        <f>VLOOKUP(A60,员工基本信息!B:M,12,0)</f>
        <v>直接成本</v>
      </c>
      <c r="E60" s="8" t="str">
        <f>VLOOKUP(A60,员工基本信息!B:L,11,0)</f>
        <v>生产成本+组装</v>
      </c>
      <c r="F60" s="8"/>
      <c r="I60"/>
      <c r="J60"/>
    </row>
    <row r="61" spans="1:10">
      <c r="A61" s="6" t="s">
        <v>209</v>
      </c>
      <c r="B61" s="7">
        <v>1858.01</v>
      </c>
      <c r="C61" s="8" t="str">
        <f>VLOOKUP(A61,员工基本信息!B:J,9,0)</f>
        <v>生产成本</v>
      </c>
      <c r="D61" s="8" t="str">
        <f>VLOOKUP(A61,员工基本信息!B:M,12,0)</f>
        <v>直接成本</v>
      </c>
      <c r="E61" s="8" t="str">
        <f>VLOOKUP(A61,员工基本信息!B:L,11,0)</f>
        <v>生产成本+组装</v>
      </c>
      <c r="F61" s="8"/>
      <c r="I61"/>
      <c r="J61"/>
    </row>
    <row r="62" spans="1:10">
      <c r="A62" s="6" t="s">
        <v>211</v>
      </c>
      <c r="B62" s="7">
        <v>1769.63</v>
      </c>
      <c r="C62" s="8" t="str">
        <f>VLOOKUP(A62,员工基本信息!B:J,9,0)</f>
        <v>生产成本</v>
      </c>
      <c r="D62" s="8" t="str">
        <f>VLOOKUP(A62,员工基本信息!B:M,12,0)</f>
        <v>直接成本</v>
      </c>
      <c r="E62" s="8" t="str">
        <f>VLOOKUP(A62,员工基本信息!B:L,11,0)</f>
        <v>生产成本+组装</v>
      </c>
      <c r="F62" s="8"/>
      <c r="I62"/>
      <c r="J62"/>
    </row>
    <row r="63" spans="1:10">
      <c r="A63" s="6" t="s">
        <v>213</v>
      </c>
      <c r="B63" s="7">
        <v>1783.1</v>
      </c>
      <c r="C63" s="8" t="str">
        <f>VLOOKUP(A63,员工基本信息!B:J,9,0)</f>
        <v>生产成本</v>
      </c>
      <c r="D63" s="8" t="str">
        <f>VLOOKUP(A63,员工基本信息!B:M,12,0)</f>
        <v>直接成本</v>
      </c>
      <c r="E63" s="8" t="str">
        <f>VLOOKUP(A63,员工基本信息!B:L,11,0)</f>
        <v>生产成本+组装</v>
      </c>
      <c r="F63" s="8"/>
      <c r="I63"/>
      <c r="J63"/>
    </row>
    <row r="64" spans="1:10">
      <c r="A64" s="6" t="s">
        <v>215</v>
      </c>
      <c r="B64" s="7">
        <v>1814.35</v>
      </c>
      <c r="C64" s="8" t="str">
        <f>VLOOKUP(A64,员工基本信息!B:J,9,0)</f>
        <v>生产成本</v>
      </c>
      <c r="D64" s="8" t="str">
        <f>VLOOKUP(A64,员工基本信息!B:M,12,0)</f>
        <v>直接成本</v>
      </c>
      <c r="E64" s="8" t="str">
        <f>VLOOKUP(A64,员工基本信息!B:L,11,0)</f>
        <v>生产成本+组装</v>
      </c>
      <c r="F64" s="8"/>
      <c r="I64"/>
      <c r="J64"/>
    </row>
    <row r="65" spans="1:10">
      <c r="A65" s="6" t="s">
        <v>217</v>
      </c>
      <c r="B65" s="7">
        <v>2254.25</v>
      </c>
      <c r="C65" s="8" t="str">
        <f>VLOOKUP(A65,员工基本信息!B:J,9,0)</f>
        <v>生产成本</v>
      </c>
      <c r="D65" s="8" t="str">
        <f>VLOOKUP(A65,员工基本信息!B:M,12,0)</f>
        <v>直接成本</v>
      </c>
      <c r="E65" s="8" t="str">
        <f>VLOOKUP(A65,员工基本信息!B:L,11,0)</f>
        <v>生产成本+组装</v>
      </c>
      <c r="F65" s="8"/>
      <c r="I65"/>
      <c r="J65"/>
    </row>
    <row r="66" spans="1:10">
      <c r="A66" s="6" t="s">
        <v>219</v>
      </c>
      <c r="B66" s="7">
        <v>2697.05</v>
      </c>
      <c r="C66" s="8" t="str">
        <f>VLOOKUP(A66,员工基本信息!B:J,9,0)</f>
        <v>生产成本</v>
      </c>
      <c r="D66" s="8" t="str">
        <f>VLOOKUP(A66,员工基本信息!B:M,12,0)</f>
        <v>直接成本</v>
      </c>
      <c r="E66" s="8" t="str">
        <f>VLOOKUP(A66,员工基本信息!B:L,11,0)</f>
        <v>生产成本+组装</v>
      </c>
      <c r="F66" s="8"/>
      <c r="I66"/>
      <c r="J66"/>
    </row>
    <row r="67" spans="1:10">
      <c r="A67" s="6" t="s">
        <v>221</v>
      </c>
      <c r="B67" s="7">
        <v>3874.6</v>
      </c>
      <c r="C67" s="8" t="str">
        <f>VLOOKUP(A67,员工基本信息!B:J,9,0)</f>
        <v>生产成本</v>
      </c>
      <c r="D67" s="8" t="str">
        <f>VLOOKUP(A67,员工基本信息!B:M,12,0)</f>
        <v>直接成本</v>
      </c>
      <c r="E67" s="8" t="str">
        <f>VLOOKUP(A67,员工基本信息!B:L,11,0)</f>
        <v>生产成本+组装</v>
      </c>
      <c r="F67" s="8"/>
      <c r="I67"/>
      <c r="J67"/>
    </row>
    <row r="68" spans="1:10">
      <c r="A68" s="6" t="s">
        <v>224</v>
      </c>
      <c r="B68" s="7">
        <v>3393.9</v>
      </c>
      <c r="C68" s="8" t="str">
        <f>VLOOKUP(A68,员工基本信息!B:J,9,0)</f>
        <v>生产成本</v>
      </c>
      <c r="D68" s="8" t="str">
        <f>VLOOKUP(A68,员工基本信息!B:M,12,0)</f>
        <v>直接成本</v>
      </c>
      <c r="E68" s="8" t="str">
        <f>VLOOKUP(A68,员工基本信息!B:L,11,0)</f>
        <v>生产成本+组装</v>
      </c>
      <c r="F68" s="8"/>
      <c r="I68"/>
      <c r="J68"/>
    </row>
    <row r="69" spans="1:10">
      <c r="A69" s="6" t="s">
        <v>226</v>
      </c>
      <c r="B69" s="7">
        <v>2984.7</v>
      </c>
      <c r="C69" s="8" t="str">
        <f>VLOOKUP(A69,员工基本信息!B:J,9,0)</f>
        <v>生产成本</v>
      </c>
      <c r="D69" s="8" t="str">
        <f>VLOOKUP(A69,员工基本信息!B:M,12,0)</f>
        <v>直接成本</v>
      </c>
      <c r="E69" s="8" t="str">
        <f>VLOOKUP(A69,员工基本信息!B:L,11,0)</f>
        <v>生产成本+组装</v>
      </c>
      <c r="F69" s="8"/>
      <c r="I69"/>
      <c r="J69"/>
    </row>
    <row r="70" spans="1:10">
      <c r="A70" s="6" t="s">
        <v>228</v>
      </c>
      <c r="B70" s="7">
        <v>3012.6</v>
      </c>
      <c r="C70" s="8" t="str">
        <f>VLOOKUP(A70,员工基本信息!B:J,9,0)</f>
        <v>生产成本</v>
      </c>
      <c r="D70" s="8" t="str">
        <f>VLOOKUP(A70,员工基本信息!B:M,12,0)</f>
        <v>直接成本</v>
      </c>
      <c r="E70" s="8" t="str">
        <f>VLOOKUP(A70,员工基本信息!B:L,11,0)</f>
        <v>生产成本+组装</v>
      </c>
      <c r="F70" s="8"/>
      <c r="I70"/>
      <c r="J70"/>
    </row>
    <row r="71" spans="1:10">
      <c r="A71" s="6" t="s">
        <v>230</v>
      </c>
      <c r="B71" s="7">
        <v>3126.6</v>
      </c>
      <c r="C71" s="8" t="str">
        <f>VLOOKUP(A71,员工基本信息!B:J,9,0)</f>
        <v>生产成本</v>
      </c>
      <c r="D71" s="8" t="str">
        <f>VLOOKUP(A71,员工基本信息!B:M,12,0)</f>
        <v>直接成本</v>
      </c>
      <c r="E71" s="8" t="str">
        <f>VLOOKUP(A71,员工基本信息!B:L,11,0)</f>
        <v>生产成本+组装</v>
      </c>
      <c r="F71" s="8"/>
      <c r="I71"/>
      <c r="J71"/>
    </row>
    <row r="72" spans="1:10">
      <c r="A72" s="6" t="s">
        <v>233</v>
      </c>
      <c r="B72" s="7">
        <v>2896.4</v>
      </c>
      <c r="C72" s="8" t="str">
        <f>VLOOKUP(A72,员工基本信息!B:J,9,0)</f>
        <v>生产成本</v>
      </c>
      <c r="D72" s="8" t="str">
        <f>VLOOKUP(A72,员工基本信息!B:M,12,0)</f>
        <v>直接成本</v>
      </c>
      <c r="E72" s="8" t="str">
        <f>VLOOKUP(A72,员工基本信息!B:L,11,0)</f>
        <v>生产成本+组装</v>
      </c>
      <c r="F72" s="8"/>
      <c r="I72"/>
      <c r="J72"/>
    </row>
    <row r="73" spans="1:10">
      <c r="A73" s="6" t="s">
        <v>235</v>
      </c>
      <c r="B73" s="7">
        <v>3012.9</v>
      </c>
      <c r="C73" s="8" t="str">
        <f>VLOOKUP(A73,员工基本信息!B:J,9,0)</f>
        <v>生产成本</v>
      </c>
      <c r="D73" s="8" t="str">
        <f>VLOOKUP(A73,员工基本信息!B:M,12,0)</f>
        <v>直接成本</v>
      </c>
      <c r="E73" s="8" t="str">
        <f>VLOOKUP(A73,员工基本信息!B:L,11,0)</f>
        <v>生产成本+组装</v>
      </c>
      <c r="F73" s="8"/>
      <c r="I73"/>
      <c r="J73"/>
    </row>
    <row r="74" spans="1:10">
      <c r="A74" s="6" t="s">
        <v>237</v>
      </c>
      <c r="B74" s="7">
        <v>2970.1</v>
      </c>
      <c r="C74" s="8" t="str">
        <f>VLOOKUP(A74,员工基本信息!B:J,9,0)</f>
        <v>生产成本</v>
      </c>
      <c r="D74" s="8" t="str">
        <f>VLOOKUP(A74,员工基本信息!B:M,12,0)</f>
        <v>直接成本</v>
      </c>
      <c r="E74" s="8" t="str">
        <f>VLOOKUP(A74,员工基本信息!B:L,11,0)</f>
        <v>生产成本+组装</v>
      </c>
      <c r="F74" s="8"/>
      <c r="I74"/>
      <c r="J74"/>
    </row>
    <row r="75" spans="1:10">
      <c r="A75" s="6" t="s">
        <v>239</v>
      </c>
      <c r="B75" s="7">
        <v>2919.1</v>
      </c>
      <c r="C75" s="8" t="str">
        <f>VLOOKUP(A75,员工基本信息!B:J,9,0)</f>
        <v>生产成本</v>
      </c>
      <c r="D75" s="8" t="str">
        <f>VLOOKUP(A75,员工基本信息!B:M,12,0)</f>
        <v>直接成本</v>
      </c>
      <c r="E75" s="8" t="str">
        <f>VLOOKUP(A75,员工基本信息!B:L,11,0)</f>
        <v>生产成本+组装</v>
      </c>
      <c r="F75" s="8"/>
      <c r="I75"/>
      <c r="J75"/>
    </row>
    <row r="76" spans="1:10">
      <c r="A76" s="6" t="s">
        <v>241</v>
      </c>
      <c r="B76" s="7">
        <v>2604.99</v>
      </c>
      <c r="C76" s="8" t="str">
        <f>VLOOKUP(A76,员工基本信息!B:J,9,0)</f>
        <v>生产成本</v>
      </c>
      <c r="D76" s="8" t="str">
        <f>VLOOKUP(A76,员工基本信息!B:M,12,0)</f>
        <v>直接成本</v>
      </c>
      <c r="E76" s="8" t="str">
        <f>VLOOKUP(A76,员工基本信息!B:L,11,0)</f>
        <v>生产成本+组装</v>
      </c>
      <c r="F76" s="8"/>
      <c r="I76"/>
      <c r="J76"/>
    </row>
    <row r="77" spans="1:10">
      <c r="A77" s="6" t="s">
        <v>243</v>
      </c>
      <c r="B77" s="7">
        <v>2352.32</v>
      </c>
      <c r="C77" s="8" t="str">
        <f>VLOOKUP(A77,员工基本信息!B:J,9,0)</f>
        <v>生产成本</v>
      </c>
      <c r="D77" s="8" t="str">
        <f>VLOOKUP(A77,员工基本信息!B:M,12,0)</f>
        <v>直接成本</v>
      </c>
      <c r="E77" s="8" t="str">
        <f>VLOOKUP(A77,员工基本信息!B:L,11,0)</f>
        <v>生产成本+组装</v>
      </c>
      <c r="F77" s="8"/>
      <c r="I77" s="8"/>
      <c r="J77" s="8"/>
    </row>
    <row r="78" spans="1:6">
      <c r="A78" s="6" t="s">
        <v>245</v>
      </c>
      <c r="B78" s="7">
        <v>1966.35</v>
      </c>
      <c r="C78" s="8" t="str">
        <f>VLOOKUP(A78,员工基本信息!B:J,9,0)</f>
        <v>生产成本</v>
      </c>
      <c r="D78" s="8" t="str">
        <f>VLOOKUP(A78,员工基本信息!B:M,12,0)</f>
        <v>直接成本</v>
      </c>
      <c r="E78" s="8" t="str">
        <f>VLOOKUP(A78,员工基本信息!B:L,11,0)</f>
        <v>生产成本+组装</v>
      </c>
      <c r="F78" s="8"/>
    </row>
    <row r="79" spans="1:6">
      <c r="A79" s="6" t="s">
        <v>247</v>
      </c>
      <c r="B79" s="7">
        <v>1950.04</v>
      </c>
      <c r="C79" s="8" t="str">
        <f>VLOOKUP(A79,员工基本信息!B:J,9,0)</f>
        <v>生产成本</v>
      </c>
      <c r="D79" s="8" t="str">
        <f>VLOOKUP(A79,员工基本信息!B:M,12,0)</f>
        <v>直接成本</v>
      </c>
      <c r="E79" s="8" t="str">
        <f>VLOOKUP(A79,员工基本信息!B:L,11,0)</f>
        <v>生产成本+组装</v>
      </c>
      <c r="F79" s="8"/>
    </row>
    <row r="80" spans="1:6">
      <c r="A80" s="6" t="s">
        <v>249</v>
      </c>
      <c r="B80" s="7">
        <v>1614.55</v>
      </c>
      <c r="C80" s="8" t="str">
        <f>VLOOKUP(A80,员工基本信息!B:J,9,0)</f>
        <v>生产成本</v>
      </c>
      <c r="D80" s="8" t="str">
        <f>VLOOKUP(A80,员工基本信息!B:M,12,0)</f>
        <v>直接成本</v>
      </c>
      <c r="E80" s="8" t="str">
        <f>VLOOKUP(A80,员工基本信息!B:L,11,0)</f>
        <v>生产成本+组装</v>
      </c>
      <c r="F80" s="8"/>
    </row>
    <row r="81" spans="1:6">
      <c r="A81" s="6" t="s">
        <v>251</v>
      </c>
      <c r="B81" s="7">
        <v>2918.6</v>
      </c>
      <c r="C81" s="8" t="str">
        <f>VLOOKUP(A81,员工基本信息!B:J,9,0)</f>
        <v>生产成本</v>
      </c>
      <c r="D81" s="8" t="str">
        <f>VLOOKUP(A81,员工基本信息!B:M,12,0)</f>
        <v>直接成本</v>
      </c>
      <c r="E81" s="8" t="str">
        <f>VLOOKUP(A81,员工基本信息!B:L,11,0)</f>
        <v>生产成本+组装</v>
      </c>
      <c r="F81" s="8"/>
    </row>
    <row r="82" spans="1:6">
      <c r="A82" s="6" t="s">
        <v>253</v>
      </c>
      <c r="B82" s="7">
        <v>1889.25</v>
      </c>
      <c r="C82" s="8" t="str">
        <f>VLOOKUP(A82,员工基本信息!B:J,9,0)</f>
        <v>生产成本</v>
      </c>
      <c r="D82" s="8" t="str">
        <f>VLOOKUP(A82,员工基本信息!B:M,12,0)</f>
        <v>直接成本</v>
      </c>
      <c r="E82" s="8" t="str">
        <f>VLOOKUP(A82,员工基本信息!B:L,11,0)</f>
        <v>生产成本+组装</v>
      </c>
      <c r="F82" s="8"/>
    </row>
    <row r="83" spans="1:6">
      <c r="A83" s="6" t="s">
        <v>255</v>
      </c>
      <c r="B83" s="7">
        <v>1724.34</v>
      </c>
      <c r="C83" s="8" t="str">
        <f>VLOOKUP(A83,员工基本信息!B:J,9,0)</f>
        <v>生产成本</v>
      </c>
      <c r="D83" s="8" t="str">
        <f>VLOOKUP(A83,员工基本信息!B:M,12,0)</f>
        <v>直接成本</v>
      </c>
      <c r="E83" s="8" t="str">
        <f>VLOOKUP(A83,员工基本信息!B:L,11,0)</f>
        <v>生产成本+组装</v>
      </c>
      <c r="F83" s="8"/>
    </row>
    <row r="84" spans="1:2">
      <c r="A84" s="6" t="s">
        <v>257</v>
      </c>
      <c r="B84" s="7">
        <v>2845</v>
      </c>
    </row>
    <row r="85" spans="1:2">
      <c r="A85" s="6" t="s">
        <v>259</v>
      </c>
      <c r="B85" s="7">
        <v>1823.09</v>
      </c>
    </row>
    <row r="86" spans="1:2">
      <c r="A86" s="6" t="s">
        <v>261</v>
      </c>
      <c r="B86" s="7">
        <v>1508.76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workbookViewId="0">
      <pane xSplit="1" ySplit="1" topLeftCell="B77" activePane="bottomRight" state="frozen"/>
      <selection/>
      <selection pane="topRight"/>
      <selection pane="bottomLeft"/>
      <selection pane="bottomRight" activeCell="G103" sqref="G103"/>
    </sheetView>
  </sheetViews>
  <sheetFormatPr defaultColWidth="9.18333333333333" defaultRowHeight="12"/>
  <cols>
    <col min="1" max="1" width="6.25" style="273" customWidth="1"/>
    <col min="2" max="2" width="8.5" style="274" customWidth="1"/>
    <col min="3" max="3" width="23" style="273" customWidth="1"/>
    <col min="4" max="4" width="10.125" style="275" customWidth="1"/>
    <col min="5" max="5" width="9.18333333333333" style="273" customWidth="1"/>
    <col min="6" max="6" width="17.875" style="276" customWidth="1"/>
    <col min="7" max="7" width="12.625" style="276" customWidth="1"/>
    <col min="8" max="9" width="9.18333333333333" style="276"/>
    <col min="10" max="10" width="10.125" style="276"/>
    <col min="11" max="11" width="9.18333333333333" style="276"/>
    <col min="12" max="12" width="12" style="276"/>
    <col min="13" max="251" width="9.18333333333333" style="276"/>
    <col min="252" max="252" width="5.725" style="276" customWidth="1"/>
    <col min="253" max="253" width="26.725" style="276" customWidth="1"/>
    <col min="254" max="254" width="10.8166666666667" style="276" customWidth="1"/>
    <col min="255" max="255" width="13" style="276" customWidth="1"/>
    <col min="256" max="256" width="9.18333333333333" style="276" customWidth="1"/>
    <col min="257" max="507" width="9.18333333333333" style="276"/>
    <col min="508" max="508" width="5.725" style="276" customWidth="1"/>
    <col min="509" max="509" width="26.725" style="276" customWidth="1"/>
    <col min="510" max="510" width="10.8166666666667" style="276" customWidth="1"/>
    <col min="511" max="511" width="13" style="276" customWidth="1"/>
    <col min="512" max="512" width="9.18333333333333" style="276" customWidth="1"/>
    <col min="513" max="763" width="9.18333333333333" style="276"/>
    <col min="764" max="764" width="5.725" style="276" customWidth="1"/>
    <col min="765" max="765" width="26.725" style="276" customWidth="1"/>
    <col min="766" max="766" width="10.8166666666667" style="276" customWidth="1"/>
    <col min="767" max="767" width="13" style="276" customWidth="1"/>
    <col min="768" max="768" width="9.18333333333333" style="276" customWidth="1"/>
    <col min="769" max="1019" width="9.18333333333333" style="276"/>
    <col min="1020" max="1020" width="5.725" style="276" customWidth="1"/>
    <col min="1021" max="1021" width="26.725" style="276" customWidth="1"/>
    <col min="1022" max="1022" width="10.8166666666667" style="276" customWidth="1"/>
    <col min="1023" max="1023" width="13" style="276" customWidth="1"/>
    <col min="1024" max="1024" width="9.18333333333333" style="276" customWidth="1"/>
    <col min="1025" max="1275" width="9.18333333333333" style="276"/>
    <col min="1276" max="1276" width="5.725" style="276" customWidth="1"/>
    <col min="1277" max="1277" width="26.725" style="276" customWidth="1"/>
    <col min="1278" max="1278" width="10.8166666666667" style="276" customWidth="1"/>
    <col min="1279" max="1279" width="13" style="276" customWidth="1"/>
    <col min="1280" max="1280" width="9.18333333333333" style="276" customWidth="1"/>
    <col min="1281" max="1531" width="9.18333333333333" style="276"/>
    <col min="1532" max="1532" width="5.725" style="276" customWidth="1"/>
    <col min="1533" max="1533" width="26.725" style="276" customWidth="1"/>
    <col min="1534" max="1534" width="10.8166666666667" style="276" customWidth="1"/>
    <col min="1535" max="1535" width="13" style="276" customWidth="1"/>
    <col min="1536" max="1536" width="9.18333333333333" style="276" customWidth="1"/>
    <col min="1537" max="1787" width="9.18333333333333" style="276"/>
    <col min="1788" max="1788" width="5.725" style="276" customWidth="1"/>
    <col min="1789" max="1789" width="26.725" style="276" customWidth="1"/>
    <col min="1790" max="1790" width="10.8166666666667" style="276" customWidth="1"/>
    <col min="1791" max="1791" width="13" style="276" customWidth="1"/>
    <col min="1792" max="1792" width="9.18333333333333" style="276" customWidth="1"/>
    <col min="1793" max="2043" width="9.18333333333333" style="276"/>
    <col min="2044" max="2044" width="5.725" style="276" customWidth="1"/>
    <col min="2045" max="2045" width="26.725" style="276" customWidth="1"/>
    <col min="2046" max="2046" width="10.8166666666667" style="276" customWidth="1"/>
    <col min="2047" max="2047" width="13" style="276" customWidth="1"/>
    <col min="2048" max="2048" width="9.18333333333333" style="276" customWidth="1"/>
    <col min="2049" max="2299" width="9.18333333333333" style="276"/>
    <col min="2300" max="2300" width="5.725" style="276" customWidth="1"/>
    <col min="2301" max="2301" width="26.725" style="276" customWidth="1"/>
    <col min="2302" max="2302" width="10.8166666666667" style="276" customWidth="1"/>
    <col min="2303" max="2303" width="13" style="276" customWidth="1"/>
    <col min="2304" max="2304" width="9.18333333333333" style="276" customWidth="1"/>
    <col min="2305" max="2555" width="9.18333333333333" style="276"/>
    <col min="2556" max="2556" width="5.725" style="276" customWidth="1"/>
    <col min="2557" max="2557" width="26.725" style="276" customWidth="1"/>
    <col min="2558" max="2558" width="10.8166666666667" style="276" customWidth="1"/>
    <col min="2559" max="2559" width="13" style="276" customWidth="1"/>
    <col min="2560" max="2560" width="9.18333333333333" style="276" customWidth="1"/>
    <col min="2561" max="2811" width="9.18333333333333" style="276"/>
    <col min="2812" max="2812" width="5.725" style="276" customWidth="1"/>
    <col min="2813" max="2813" width="26.725" style="276" customWidth="1"/>
    <col min="2814" max="2814" width="10.8166666666667" style="276" customWidth="1"/>
    <col min="2815" max="2815" width="13" style="276" customWidth="1"/>
    <col min="2816" max="2816" width="9.18333333333333" style="276" customWidth="1"/>
    <col min="2817" max="3067" width="9.18333333333333" style="276"/>
    <col min="3068" max="3068" width="5.725" style="276" customWidth="1"/>
    <col min="3069" max="3069" width="26.725" style="276" customWidth="1"/>
    <col min="3070" max="3070" width="10.8166666666667" style="276" customWidth="1"/>
    <col min="3071" max="3071" width="13" style="276" customWidth="1"/>
    <col min="3072" max="3072" width="9.18333333333333" style="276" customWidth="1"/>
    <col min="3073" max="3323" width="9.18333333333333" style="276"/>
    <col min="3324" max="3324" width="5.725" style="276" customWidth="1"/>
    <col min="3325" max="3325" width="26.725" style="276" customWidth="1"/>
    <col min="3326" max="3326" width="10.8166666666667" style="276" customWidth="1"/>
    <col min="3327" max="3327" width="13" style="276" customWidth="1"/>
    <col min="3328" max="3328" width="9.18333333333333" style="276" customWidth="1"/>
    <col min="3329" max="3579" width="9.18333333333333" style="276"/>
    <col min="3580" max="3580" width="5.725" style="276" customWidth="1"/>
    <col min="3581" max="3581" width="26.725" style="276" customWidth="1"/>
    <col min="3582" max="3582" width="10.8166666666667" style="276" customWidth="1"/>
    <col min="3583" max="3583" width="13" style="276" customWidth="1"/>
    <col min="3584" max="3584" width="9.18333333333333" style="276" customWidth="1"/>
    <col min="3585" max="3835" width="9.18333333333333" style="276"/>
    <col min="3836" max="3836" width="5.725" style="276" customWidth="1"/>
    <col min="3837" max="3837" width="26.725" style="276" customWidth="1"/>
    <col min="3838" max="3838" width="10.8166666666667" style="276" customWidth="1"/>
    <col min="3839" max="3839" width="13" style="276" customWidth="1"/>
    <col min="3840" max="3840" width="9.18333333333333" style="276" customWidth="1"/>
    <col min="3841" max="4091" width="9.18333333333333" style="276"/>
    <col min="4092" max="4092" width="5.725" style="276" customWidth="1"/>
    <col min="4093" max="4093" width="26.725" style="276" customWidth="1"/>
    <col min="4094" max="4094" width="10.8166666666667" style="276" customWidth="1"/>
    <col min="4095" max="4095" width="13" style="276" customWidth="1"/>
    <col min="4096" max="4096" width="9.18333333333333" style="276" customWidth="1"/>
    <col min="4097" max="4347" width="9.18333333333333" style="276"/>
    <col min="4348" max="4348" width="5.725" style="276" customWidth="1"/>
    <col min="4349" max="4349" width="26.725" style="276" customWidth="1"/>
    <col min="4350" max="4350" width="10.8166666666667" style="276" customWidth="1"/>
    <col min="4351" max="4351" width="13" style="276" customWidth="1"/>
    <col min="4352" max="4352" width="9.18333333333333" style="276" customWidth="1"/>
    <col min="4353" max="4603" width="9.18333333333333" style="276"/>
    <col min="4604" max="4604" width="5.725" style="276" customWidth="1"/>
    <col min="4605" max="4605" width="26.725" style="276" customWidth="1"/>
    <col min="4606" max="4606" width="10.8166666666667" style="276" customWidth="1"/>
    <col min="4607" max="4607" width="13" style="276" customWidth="1"/>
    <col min="4608" max="4608" width="9.18333333333333" style="276" customWidth="1"/>
    <col min="4609" max="4859" width="9.18333333333333" style="276"/>
    <col min="4860" max="4860" width="5.725" style="276" customWidth="1"/>
    <col min="4861" max="4861" width="26.725" style="276" customWidth="1"/>
    <col min="4862" max="4862" width="10.8166666666667" style="276" customWidth="1"/>
    <col min="4863" max="4863" width="13" style="276" customWidth="1"/>
    <col min="4864" max="4864" width="9.18333333333333" style="276" customWidth="1"/>
    <col min="4865" max="5115" width="9.18333333333333" style="276"/>
    <col min="5116" max="5116" width="5.725" style="276" customWidth="1"/>
    <col min="5117" max="5117" width="26.725" style="276" customWidth="1"/>
    <col min="5118" max="5118" width="10.8166666666667" style="276" customWidth="1"/>
    <col min="5119" max="5119" width="13" style="276" customWidth="1"/>
    <col min="5120" max="5120" width="9.18333333333333" style="276" customWidth="1"/>
    <col min="5121" max="5371" width="9.18333333333333" style="276"/>
    <col min="5372" max="5372" width="5.725" style="276" customWidth="1"/>
    <col min="5373" max="5373" width="26.725" style="276" customWidth="1"/>
    <col min="5374" max="5374" width="10.8166666666667" style="276" customWidth="1"/>
    <col min="5375" max="5375" width="13" style="276" customWidth="1"/>
    <col min="5376" max="5376" width="9.18333333333333" style="276" customWidth="1"/>
    <col min="5377" max="5627" width="9.18333333333333" style="276"/>
    <col min="5628" max="5628" width="5.725" style="276" customWidth="1"/>
    <col min="5629" max="5629" width="26.725" style="276" customWidth="1"/>
    <col min="5630" max="5630" width="10.8166666666667" style="276" customWidth="1"/>
    <col min="5631" max="5631" width="13" style="276" customWidth="1"/>
    <col min="5632" max="5632" width="9.18333333333333" style="276" customWidth="1"/>
    <col min="5633" max="5883" width="9.18333333333333" style="276"/>
    <col min="5884" max="5884" width="5.725" style="276" customWidth="1"/>
    <col min="5885" max="5885" width="26.725" style="276" customWidth="1"/>
    <col min="5886" max="5886" width="10.8166666666667" style="276" customWidth="1"/>
    <col min="5887" max="5887" width="13" style="276" customWidth="1"/>
    <col min="5888" max="5888" width="9.18333333333333" style="276" customWidth="1"/>
    <col min="5889" max="6139" width="9.18333333333333" style="276"/>
    <col min="6140" max="6140" width="5.725" style="276" customWidth="1"/>
    <col min="6141" max="6141" width="26.725" style="276" customWidth="1"/>
    <col min="6142" max="6142" width="10.8166666666667" style="276" customWidth="1"/>
    <col min="6143" max="6143" width="13" style="276" customWidth="1"/>
    <col min="6144" max="6144" width="9.18333333333333" style="276" customWidth="1"/>
    <col min="6145" max="6395" width="9.18333333333333" style="276"/>
    <col min="6396" max="6396" width="5.725" style="276" customWidth="1"/>
    <col min="6397" max="6397" width="26.725" style="276" customWidth="1"/>
    <col min="6398" max="6398" width="10.8166666666667" style="276" customWidth="1"/>
    <col min="6399" max="6399" width="13" style="276" customWidth="1"/>
    <col min="6400" max="6400" width="9.18333333333333" style="276" customWidth="1"/>
    <col min="6401" max="6651" width="9.18333333333333" style="276"/>
    <col min="6652" max="6652" width="5.725" style="276" customWidth="1"/>
    <col min="6653" max="6653" width="26.725" style="276" customWidth="1"/>
    <col min="6654" max="6654" width="10.8166666666667" style="276" customWidth="1"/>
    <col min="6655" max="6655" width="13" style="276" customWidth="1"/>
    <col min="6656" max="6656" width="9.18333333333333" style="276" customWidth="1"/>
    <col min="6657" max="6907" width="9.18333333333333" style="276"/>
    <col min="6908" max="6908" width="5.725" style="276" customWidth="1"/>
    <col min="6909" max="6909" width="26.725" style="276" customWidth="1"/>
    <col min="6910" max="6910" width="10.8166666666667" style="276" customWidth="1"/>
    <col min="6911" max="6911" width="13" style="276" customWidth="1"/>
    <col min="6912" max="6912" width="9.18333333333333" style="276" customWidth="1"/>
    <col min="6913" max="7163" width="9.18333333333333" style="276"/>
    <col min="7164" max="7164" width="5.725" style="276" customWidth="1"/>
    <col min="7165" max="7165" width="26.725" style="276" customWidth="1"/>
    <col min="7166" max="7166" width="10.8166666666667" style="276" customWidth="1"/>
    <col min="7167" max="7167" width="13" style="276" customWidth="1"/>
    <col min="7168" max="7168" width="9.18333333333333" style="276" customWidth="1"/>
    <col min="7169" max="7419" width="9.18333333333333" style="276"/>
    <col min="7420" max="7420" width="5.725" style="276" customWidth="1"/>
    <col min="7421" max="7421" width="26.725" style="276" customWidth="1"/>
    <col min="7422" max="7422" width="10.8166666666667" style="276" customWidth="1"/>
    <col min="7423" max="7423" width="13" style="276" customWidth="1"/>
    <col min="7424" max="7424" width="9.18333333333333" style="276" customWidth="1"/>
    <col min="7425" max="7675" width="9.18333333333333" style="276"/>
    <col min="7676" max="7676" width="5.725" style="276" customWidth="1"/>
    <col min="7677" max="7677" width="26.725" style="276" customWidth="1"/>
    <col min="7678" max="7678" width="10.8166666666667" style="276" customWidth="1"/>
    <col min="7679" max="7679" width="13" style="276" customWidth="1"/>
    <col min="7680" max="7680" width="9.18333333333333" style="276" customWidth="1"/>
    <col min="7681" max="7931" width="9.18333333333333" style="276"/>
    <col min="7932" max="7932" width="5.725" style="276" customWidth="1"/>
    <col min="7933" max="7933" width="26.725" style="276" customWidth="1"/>
    <col min="7934" max="7934" width="10.8166666666667" style="276" customWidth="1"/>
    <col min="7935" max="7935" width="13" style="276" customWidth="1"/>
    <col min="7936" max="7936" width="9.18333333333333" style="276" customWidth="1"/>
    <col min="7937" max="8187" width="9.18333333333333" style="276"/>
    <col min="8188" max="8188" width="5.725" style="276" customWidth="1"/>
    <col min="8189" max="8189" width="26.725" style="276" customWidth="1"/>
    <col min="8190" max="8190" width="10.8166666666667" style="276" customWidth="1"/>
    <col min="8191" max="8191" width="13" style="276" customWidth="1"/>
    <col min="8192" max="8192" width="9.18333333333333" style="276" customWidth="1"/>
    <col min="8193" max="8443" width="9.18333333333333" style="276"/>
    <col min="8444" max="8444" width="5.725" style="276" customWidth="1"/>
    <col min="8445" max="8445" width="26.725" style="276" customWidth="1"/>
    <col min="8446" max="8446" width="10.8166666666667" style="276" customWidth="1"/>
    <col min="8447" max="8447" width="13" style="276" customWidth="1"/>
    <col min="8448" max="8448" width="9.18333333333333" style="276" customWidth="1"/>
    <col min="8449" max="8699" width="9.18333333333333" style="276"/>
    <col min="8700" max="8700" width="5.725" style="276" customWidth="1"/>
    <col min="8701" max="8701" width="26.725" style="276" customWidth="1"/>
    <col min="8702" max="8702" width="10.8166666666667" style="276" customWidth="1"/>
    <col min="8703" max="8703" width="13" style="276" customWidth="1"/>
    <col min="8704" max="8704" width="9.18333333333333" style="276" customWidth="1"/>
    <col min="8705" max="8955" width="9.18333333333333" style="276"/>
    <col min="8956" max="8956" width="5.725" style="276" customWidth="1"/>
    <col min="8957" max="8957" width="26.725" style="276" customWidth="1"/>
    <col min="8958" max="8958" width="10.8166666666667" style="276" customWidth="1"/>
    <col min="8959" max="8959" width="13" style="276" customWidth="1"/>
    <col min="8960" max="8960" width="9.18333333333333" style="276" customWidth="1"/>
    <col min="8961" max="9211" width="9.18333333333333" style="276"/>
    <col min="9212" max="9212" width="5.725" style="276" customWidth="1"/>
    <col min="9213" max="9213" width="26.725" style="276" customWidth="1"/>
    <col min="9214" max="9214" width="10.8166666666667" style="276" customWidth="1"/>
    <col min="9215" max="9215" width="13" style="276" customWidth="1"/>
    <col min="9216" max="9216" width="9.18333333333333" style="276" customWidth="1"/>
    <col min="9217" max="9467" width="9.18333333333333" style="276"/>
    <col min="9468" max="9468" width="5.725" style="276" customWidth="1"/>
    <col min="9469" max="9469" width="26.725" style="276" customWidth="1"/>
    <col min="9470" max="9470" width="10.8166666666667" style="276" customWidth="1"/>
    <col min="9471" max="9471" width="13" style="276" customWidth="1"/>
    <col min="9472" max="9472" width="9.18333333333333" style="276" customWidth="1"/>
    <col min="9473" max="9723" width="9.18333333333333" style="276"/>
    <col min="9724" max="9724" width="5.725" style="276" customWidth="1"/>
    <col min="9725" max="9725" width="26.725" style="276" customWidth="1"/>
    <col min="9726" max="9726" width="10.8166666666667" style="276" customWidth="1"/>
    <col min="9727" max="9727" width="13" style="276" customWidth="1"/>
    <col min="9728" max="9728" width="9.18333333333333" style="276" customWidth="1"/>
    <col min="9729" max="9979" width="9.18333333333333" style="276"/>
    <col min="9980" max="9980" width="5.725" style="276" customWidth="1"/>
    <col min="9981" max="9981" width="26.725" style="276" customWidth="1"/>
    <col min="9982" max="9982" width="10.8166666666667" style="276" customWidth="1"/>
    <col min="9983" max="9983" width="13" style="276" customWidth="1"/>
    <col min="9984" max="9984" width="9.18333333333333" style="276" customWidth="1"/>
    <col min="9985" max="10235" width="9.18333333333333" style="276"/>
    <col min="10236" max="10236" width="5.725" style="276" customWidth="1"/>
    <col min="10237" max="10237" width="26.725" style="276" customWidth="1"/>
    <col min="10238" max="10238" width="10.8166666666667" style="276" customWidth="1"/>
    <col min="10239" max="10239" width="13" style="276" customWidth="1"/>
    <col min="10240" max="10240" width="9.18333333333333" style="276" customWidth="1"/>
    <col min="10241" max="10491" width="9.18333333333333" style="276"/>
    <col min="10492" max="10492" width="5.725" style="276" customWidth="1"/>
    <col min="10493" max="10493" width="26.725" style="276" customWidth="1"/>
    <col min="10494" max="10494" width="10.8166666666667" style="276" customWidth="1"/>
    <col min="10495" max="10495" width="13" style="276" customWidth="1"/>
    <col min="10496" max="10496" width="9.18333333333333" style="276" customWidth="1"/>
    <col min="10497" max="10747" width="9.18333333333333" style="276"/>
    <col min="10748" max="10748" width="5.725" style="276" customWidth="1"/>
    <col min="10749" max="10749" width="26.725" style="276" customWidth="1"/>
    <col min="10750" max="10750" width="10.8166666666667" style="276" customWidth="1"/>
    <col min="10751" max="10751" width="13" style="276" customWidth="1"/>
    <col min="10752" max="10752" width="9.18333333333333" style="276" customWidth="1"/>
    <col min="10753" max="11003" width="9.18333333333333" style="276"/>
    <col min="11004" max="11004" width="5.725" style="276" customWidth="1"/>
    <col min="11005" max="11005" width="26.725" style="276" customWidth="1"/>
    <col min="11006" max="11006" width="10.8166666666667" style="276" customWidth="1"/>
    <col min="11007" max="11007" width="13" style="276" customWidth="1"/>
    <col min="11008" max="11008" width="9.18333333333333" style="276" customWidth="1"/>
    <col min="11009" max="11259" width="9.18333333333333" style="276"/>
    <col min="11260" max="11260" width="5.725" style="276" customWidth="1"/>
    <col min="11261" max="11261" width="26.725" style="276" customWidth="1"/>
    <col min="11262" max="11262" width="10.8166666666667" style="276" customWidth="1"/>
    <col min="11263" max="11263" width="13" style="276" customWidth="1"/>
    <col min="11264" max="11264" width="9.18333333333333" style="276" customWidth="1"/>
    <col min="11265" max="11515" width="9.18333333333333" style="276"/>
    <col min="11516" max="11516" width="5.725" style="276" customWidth="1"/>
    <col min="11517" max="11517" width="26.725" style="276" customWidth="1"/>
    <col min="11518" max="11518" width="10.8166666666667" style="276" customWidth="1"/>
    <col min="11519" max="11519" width="13" style="276" customWidth="1"/>
    <col min="11520" max="11520" width="9.18333333333333" style="276" customWidth="1"/>
    <col min="11521" max="11771" width="9.18333333333333" style="276"/>
    <col min="11772" max="11772" width="5.725" style="276" customWidth="1"/>
    <col min="11773" max="11773" width="26.725" style="276" customWidth="1"/>
    <col min="11774" max="11774" width="10.8166666666667" style="276" customWidth="1"/>
    <col min="11775" max="11775" width="13" style="276" customWidth="1"/>
    <col min="11776" max="11776" width="9.18333333333333" style="276" customWidth="1"/>
    <col min="11777" max="12027" width="9.18333333333333" style="276"/>
    <col min="12028" max="12028" width="5.725" style="276" customWidth="1"/>
    <col min="12029" max="12029" width="26.725" style="276" customWidth="1"/>
    <col min="12030" max="12030" width="10.8166666666667" style="276" customWidth="1"/>
    <col min="12031" max="12031" width="13" style="276" customWidth="1"/>
    <col min="12032" max="12032" width="9.18333333333333" style="276" customWidth="1"/>
    <col min="12033" max="12283" width="9.18333333333333" style="276"/>
    <col min="12284" max="12284" width="5.725" style="276" customWidth="1"/>
    <col min="12285" max="12285" width="26.725" style="276" customWidth="1"/>
    <col min="12286" max="12286" width="10.8166666666667" style="276" customWidth="1"/>
    <col min="12287" max="12287" width="13" style="276" customWidth="1"/>
    <col min="12288" max="12288" width="9.18333333333333" style="276" customWidth="1"/>
    <col min="12289" max="12539" width="9.18333333333333" style="276"/>
    <col min="12540" max="12540" width="5.725" style="276" customWidth="1"/>
    <col min="12541" max="12541" width="26.725" style="276" customWidth="1"/>
    <col min="12542" max="12542" width="10.8166666666667" style="276" customWidth="1"/>
    <col min="12543" max="12543" width="13" style="276" customWidth="1"/>
    <col min="12544" max="12544" width="9.18333333333333" style="276" customWidth="1"/>
    <col min="12545" max="12795" width="9.18333333333333" style="276"/>
    <col min="12796" max="12796" width="5.725" style="276" customWidth="1"/>
    <col min="12797" max="12797" width="26.725" style="276" customWidth="1"/>
    <col min="12798" max="12798" width="10.8166666666667" style="276" customWidth="1"/>
    <col min="12799" max="12799" width="13" style="276" customWidth="1"/>
    <col min="12800" max="12800" width="9.18333333333333" style="276" customWidth="1"/>
    <col min="12801" max="13051" width="9.18333333333333" style="276"/>
    <col min="13052" max="13052" width="5.725" style="276" customWidth="1"/>
    <col min="13053" max="13053" width="26.725" style="276" customWidth="1"/>
    <col min="13054" max="13054" width="10.8166666666667" style="276" customWidth="1"/>
    <col min="13055" max="13055" width="13" style="276" customWidth="1"/>
    <col min="13056" max="13056" width="9.18333333333333" style="276" customWidth="1"/>
    <col min="13057" max="13307" width="9.18333333333333" style="276"/>
    <col min="13308" max="13308" width="5.725" style="276" customWidth="1"/>
    <col min="13309" max="13309" width="26.725" style="276" customWidth="1"/>
    <col min="13310" max="13310" width="10.8166666666667" style="276" customWidth="1"/>
    <col min="13311" max="13311" width="13" style="276" customWidth="1"/>
    <col min="13312" max="13312" width="9.18333333333333" style="276" customWidth="1"/>
    <col min="13313" max="13563" width="9.18333333333333" style="276"/>
    <col min="13564" max="13564" width="5.725" style="276" customWidth="1"/>
    <col min="13565" max="13565" width="26.725" style="276" customWidth="1"/>
    <col min="13566" max="13566" width="10.8166666666667" style="276" customWidth="1"/>
    <col min="13567" max="13567" width="13" style="276" customWidth="1"/>
    <col min="13568" max="13568" width="9.18333333333333" style="276" customWidth="1"/>
    <col min="13569" max="13819" width="9.18333333333333" style="276"/>
    <col min="13820" max="13820" width="5.725" style="276" customWidth="1"/>
    <col min="13821" max="13821" width="26.725" style="276" customWidth="1"/>
    <col min="13822" max="13822" width="10.8166666666667" style="276" customWidth="1"/>
    <col min="13823" max="13823" width="13" style="276" customWidth="1"/>
    <col min="13824" max="13824" width="9.18333333333333" style="276" customWidth="1"/>
    <col min="13825" max="14075" width="9.18333333333333" style="276"/>
    <col min="14076" max="14076" width="5.725" style="276" customWidth="1"/>
    <col min="14077" max="14077" width="26.725" style="276" customWidth="1"/>
    <col min="14078" max="14078" width="10.8166666666667" style="276" customWidth="1"/>
    <col min="14079" max="14079" width="13" style="276" customWidth="1"/>
    <col min="14080" max="14080" width="9.18333333333333" style="276" customWidth="1"/>
    <col min="14081" max="14331" width="9.18333333333333" style="276"/>
    <col min="14332" max="14332" width="5.725" style="276" customWidth="1"/>
    <col min="14333" max="14333" width="26.725" style="276" customWidth="1"/>
    <col min="14334" max="14334" width="10.8166666666667" style="276" customWidth="1"/>
    <col min="14335" max="14335" width="13" style="276" customWidth="1"/>
    <col min="14336" max="14336" width="9.18333333333333" style="276" customWidth="1"/>
    <col min="14337" max="14587" width="9.18333333333333" style="276"/>
    <col min="14588" max="14588" width="5.725" style="276" customWidth="1"/>
    <col min="14589" max="14589" width="26.725" style="276" customWidth="1"/>
    <col min="14590" max="14590" width="10.8166666666667" style="276" customWidth="1"/>
    <col min="14591" max="14591" width="13" style="276" customWidth="1"/>
    <col min="14592" max="14592" width="9.18333333333333" style="276" customWidth="1"/>
    <col min="14593" max="14843" width="9.18333333333333" style="276"/>
    <col min="14844" max="14844" width="5.725" style="276" customWidth="1"/>
    <col min="14845" max="14845" width="26.725" style="276" customWidth="1"/>
    <col min="14846" max="14846" width="10.8166666666667" style="276" customWidth="1"/>
    <col min="14847" max="14847" width="13" style="276" customWidth="1"/>
    <col min="14848" max="14848" width="9.18333333333333" style="276" customWidth="1"/>
    <col min="14849" max="15099" width="9.18333333333333" style="276"/>
    <col min="15100" max="15100" width="5.725" style="276" customWidth="1"/>
    <col min="15101" max="15101" width="26.725" style="276" customWidth="1"/>
    <col min="15102" max="15102" width="10.8166666666667" style="276" customWidth="1"/>
    <col min="15103" max="15103" width="13" style="276" customWidth="1"/>
    <col min="15104" max="15104" width="9.18333333333333" style="276" customWidth="1"/>
    <col min="15105" max="15355" width="9.18333333333333" style="276"/>
    <col min="15356" max="15356" width="5.725" style="276" customWidth="1"/>
    <col min="15357" max="15357" width="26.725" style="276" customWidth="1"/>
    <col min="15358" max="15358" width="10.8166666666667" style="276" customWidth="1"/>
    <col min="15359" max="15359" width="13" style="276" customWidth="1"/>
    <col min="15360" max="15360" width="9.18333333333333" style="276" customWidth="1"/>
    <col min="15361" max="15611" width="9.18333333333333" style="276"/>
    <col min="15612" max="15612" width="5.725" style="276" customWidth="1"/>
    <col min="15613" max="15613" width="26.725" style="276" customWidth="1"/>
    <col min="15614" max="15614" width="10.8166666666667" style="276" customWidth="1"/>
    <col min="15615" max="15615" width="13" style="276" customWidth="1"/>
    <col min="15616" max="15616" width="9.18333333333333" style="276" customWidth="1"/>
    <col min="15617" max="15867" width="9.18333333333333" style="276"/>
    <col min="15868" max="15868" width="5.725" style="276" customWidth="1"/>
    <col min="15869" max="15869" width="26.725" style="276" customWidth="1"/>
    <col min="15870" max="15870" width="10.8166666666667" style="276" customWidth="1"/>
    <col min="15871" max="15871" width="13" style="276" customWidth="1"/>
    <col min="15872" max="15872" width="9.18333333333333" style="276" customWidth="1"/>
    <col min="15873" max="16123" width="9.18333333333333" style="276"/>
    <col min="16124" max="16124" width="5.725" style="276" customWidth="1"/>
    <col min="16125" max="16125" width="26.725" style="276" customWidth="1"/>
    <col min="16126" max="16126" width="10.8166666666667" style="276" customWidth="1"/>
    <col min="16127" max="16127" width="13" style="276" customWidth="1"/>
    <col min="16128" max="16128" width="9.18333333333333" style="276" customWidth="1"/>
    <col min="16129" max="16384" width="9.18333333333333" style="276"/>
  </cols>
  <sheetData>
    <row r="1" spans="1:11">
      <c r="A1" s="277" t="s">
        <v>3</v>
      </c>
      <c r="B1" s="278" t="s">
        <v>4</v>
      </c>
      <c r="C1" s="277" t="s">
        <v>5</v>
      </c>
      <c r="D1" s="277" t="s">
        <v>6</v>
      </c>
      <c r="E1" s="277" t="s">
        <v>7</v>
      </c>
      <c r="F1" s="276" t="s">
        <v>8</v>
      </c>
      <c r="G1" s="276" t="e">
        <f>SUM($D:$D)-工资!AD3</f>
        <v>#REF!</v>
      </c>
      <c r="I1" s="284"/>
      <c r="J1" s="285" t="s">
        <v>9</v>
      </c>
      <c r="K1" s="285" t="s">
        <v>10</v>
      </c>
    </row>
    <row r="2" ht="12.75" spans="1:11">
      <c r="A2" s="279">
        <f t="shared" ref="A2:A65" si="0">ROW()-1</f>
        <v>1</v>
      </c>
      <c r="B2" s="161" t="str">
        <f>本月员工姓名!B2</f>
        <v>崔海龙</v>
      </c>
      <c r="C2" s="280" t="str">
        <f>VLOOKUP(B2,员工基本信息!B:Q,16,0)</f>
        <v>6227000012080794298</v>
      </c>
      <c r="D2" s="281">
        <f>VLOOKUP(B2,工资!B:AD,28,0)</f>
        <v>0</v>
      </c>
      <c r="E2" s="281" t="str">
        <f>VLOOKUP(B2,工资!B:AJ,34,0)</f>
        <v>6227000012080794298</v>
      </c>
      <c r="F2" s="282" t="str">
        <f>VLOOKUP(B2,员工基本信息!B:C,2,0)</f>
        <v>370923198707152838</v>
      </c>
      <c r="I2" s="285" t="s">
        <v>11</v>
      </c>
      <c r="J2" s="286">
        <f>SUMIF(E:E,I2,D:D)</f>
        <v>0</v>
      </c>
      <c r="K2" s="284">
        <f>COUNTIF(E:E,I2)</f>
        <v>0</v>
      </c>
    </row>
    <row r="3" ht="12.75" spans="1:11">
      <c r="A3" s="279">
        <f t="shared" si="0"/>
        <v>2</v>
      </c>
      <c r="B3" s="161" t="str">
        <f>本月员工姓名!B3</f>
        <v>陈阔</v>
      </c>
      <c r="C3" s="280" t="str">
        <f>VLOOKUP(B3,员工基本信息!B:Q,16,0)</f>
        <v>6214220101205379820</v>
      </c>
      <c r="D3" s="281">
        <f>VLOOKUP(B3,工资!B:AD,28,0)</f>
        <v>0</v>
      </c>
      <c r="E3" s="281" t="str">
        <f>VLOOKUP(B3,工资!B:AJ,34,0)</f>
        <v>6214220101205379820</v>
      </c>
      <c r="F3" s="282" t="str">
        <f>VLOOKUP(B3,员工基本信息!B:C,2,0)</f>
        <v>132930199202050532</v>
      </c>
      <c r="I3" s="285" t="s">
        <v>12</v>
      </c>
      <c r="J3" s="286">
        <f>SUMIF(E:E,I3,D:D)</f>
        <v>0</v>
      </c>
      <c r="K3" s="284">
        <f>COUNTIF(E:E,I3)</f>
        <v>0</v>
      </c>
    </row>
    <row r="4" ht="12.75" spans="1:11">
      <c r="A4" s="279">
        <f t="shared" si="0"/>
        <v>3</v>
      </c>
      <c r="B4" s="161" t="str">
        <f>本月员工姓名!B4</f>
        <v>王金言</v>
      </c>
      <c r="C4" s="280" t="str">
        <f>VLOOKUP(B4,员工基本信息!B:Q,16,0)</f>
        <v>6214220101205975205</v>
      </c>
      <c r="D4" s="281">
        <f>VLOOKUP(B4,工资!B:AD,28,0)</f>
        <v>0</v>
      </c>
      <c r="E4" s="281" t="str">
        <f>VLOOKUP(B4,工资!B:AJ,34,0)</f>
        <v>6214220101205975205</v>
      </c>
      <c r="F4" s="282" t="str">
        <f>VLOOKUP(B4,员工基本信息!B:C,2,0)</f>
        <v>132930198811144310</v>
      </c>
      <c r="I4" s="285" t="s">
        <v>13</v>
      </c>
      <c r="J4" s="286">
        <f>SUMIF(E:E,I4,D:D)</f>
        <v>0</v>
      </c>
      <c r="K4" s="284">
        <f>COUNTIF(E:E,I4)</f>
        <v>0</v>
      </c>
    </row>
    <row r="5" ht="12.75" spans="1:11">
      <c r="A5" s="279">
        <f t="shared" si="0"/>
        <v>4</v>
      </c>
      <c r="B5" s="161" t="str">
        <f>本月员工姓名!B5</f>
        <v>张博赟</v>
      </c>
      <c r="C5" s="280" t="str">
        <f>VLOOKUP(B5,员工基本信息!B:Q,16,0)</f>
        <v>6214220101205384721</v>
      </c>
      <c r="D5" s="281">
        <f>VLOOKUP(B5,工资!B:AD,28,0)</f>
        <v>0</v>
      </c>
      <c r="E5" s="281" t="str">
        <f>VLOOKUP(B5,工资!B:AJ,34,0)</f>
        <v>6214220101205384721</v>
      </c>
      <c r="F5" s="282" t="str">
        <f>VLOOKUP(B5,员工基本信息!B:C,2,0)</f>
        <v>130983199409292214</v>
      </c>
      <c r="I5" s="284"/>
      <c r="J5" s="284">
        <f>SUM(J1:J4)</f>
        <v>0</v>
      </c>
      <c r="K5" s="284"/>
    </row>
    <row r="6" ht="12.75" spans="1:6">
      <c r="A6" s="279">
        <f t="shared" si="0"/>
        <v>5</v>
      </c>
      <c r="B6" s="161" t="str">
        <f>本月员工姓名!B6</f>
        <v>张俊新</v>
      </c>
      <c r="C6" s="280" t="str">
        <f>VLOOKUP(B6,员工基本信息!B:Q,16,0)</f>
        <v>6214220101205384739</v>
      </c>
      <c r="D6" s="281">
        <f>VLOOKUP(B6,工资!B:AD,28,0)</f>
        <v>0</v>
      </c>
      <c r="E6" s="281" t="str">
        <f>VLOOKUP(B6,工资!B:AJ,34,0)</f>
        <v>6214220101205384739</v>
      </c>
      <c r="F6" s="282" t="str">
        <f>VLOOKUP(B6,员工基本信息!B:C,2,0)</f>
        <v>132930196701291812</v>
      </c>
    </row>
    <row r="7" ht="12.75" spans="1:6">
      <c r="A7" s="279">
        <f t="shared" si="0"/>
        <v>6</v>
      </c>
      <c r="B7" s="161" t="str">
        <f>本月员工姓名!B7</f>
        <v>李芳慧</v>
      </c>
      <c r="C7" s="280" t="str">
        <f>VLOOKUP(B7,员工基本信息!B:Q,16,0)</f>
        <v>6214220101208884388</v>
      </c>
      <c r="D7" s="281">
        <f>VLOOKUP(B7,工资!B:AD,28,0)</f>
        <v>0</v>
      </c>
      <c r="E7" s="281" t="str">
        <f>VLOOKUP(B7,工资!B:AJ,34,0)</f>
        <v>6214220101208884388</v>
      </c>
      <c r="F7" s="282" t="str">
        <f>VLOOKUP(B7,员工基本信息!B:C,2,0)</f>
        <v>130983199111042220</v>
      </c>
    </row>
    <row r="8" ht="12.75" spans="1:6">
      <c r="A8" s="279">
        <f t="shared" si="0"/>
        <v>7</v>
      </c>
      <c r="B8" s="161" t="str">
        <f>本月员工姓名!B8</f>
        <v>胡希港</v>
      </c>
      <c r="C8" s="280" t="str">
        <f>VLOOKUP(B8,员工基本信息!B:Q,16,0)</f>
        <v>6214220101205386312</v>
      </c>
      <c r="D8" s="281">
        <f>VLOOKUP(B8,工资!B:AD,28,0)</f>
        <v>0</v>
      </c>
      <c r="E8" s="281" t="str">
        <f>VLOOKUP(B8,工资!B:AJ,34,0)</f>
        <v>6214220101205386312</v>
      </c>
      <c r="F8" s="282" t="str">
        <f>VLOOKUP(B8,员工基本信息!B:C,2,0)</f>
        <v>130983199706292413</v>
      </c>
    </row>
    <row r="9" ht="12.75" spans="1:6">
      <c r="A9" s="279">
        <f t="shared" si="0"/>
        <v>8</v>
      </c>
      <c r="B9" s="161" t="str">
        <f>本月员工姓名!B9</f>
        <v>田健</v>
      </c>
      <c r="C9" s="280" t="str">
        <f>VLOOKUP(B9,员工基本信息!B:Q,16,0)</f>
        <v>6214220101205490593</v>
      </c>
      <c r="D9" s="281">
        <f>VLOOKUP(B9,工资!B:AD,28,0)</f>
        <v>0</v>
      </c>
      <c r="E9" s="281" t="str">
        <f>VLOOKUP(B9,工资!B:AJ,34,0)</f>
        <v>6214220101205490593</v>
      </c>
      <c r="F9" s="282" t="str">
        <f>VLOOKUP(B9,员工基本信息!B:C,2,0)</f>
        <v>130927198905212716</v>
      </c>
    </row>
    <row r="10" ht="12.75" spans="1:6">
      <c r="A10" s="279">
        <f t="shared" si="0"/>
        <v>9</v>
      </c>
      <c r="B10" s="161" t="str">
        <f>本月员工姓名!B10</f>
        <v>宋连利</v>
      </c>
      <c r="C10" s="280" t="str">
        <f>VLOOKUP(B10,员工基本信息!B:Q,16,0)</f>
        <v>6214220101207778219</v>
      </c>
      <c r="D10" s="281">
        <f>VLOOKUP(B10,工资!B:AD,28,0)</f>
        <v>402.95</v>
      </c>
      <c r="E10" s="281" t="str">
        <f>VLOOKUP(B10,工资!B:AJ,34,0)</f>
        <v>6214220101207778219</v>
      </c>
      <c r="F10" s="282" t="str">
        <f>VLOOKUP(B10,员工基本信息!B:C,2,0)</f>
        <v>120225198105034672</v>
      </c>
    </row>
    <row r="11" ht="12.75" spans="1:6">
      <c r="A11" s="279">
        <f t="shared" si="0"/>
        <v>10</v>
      </c>
      <c r="B11" s="161" t="str">
        <f>本月员工姓名!B11</f>
        <v>牟群</v>
      </c>
      <c r="C11" s="280" t="str">
        <f>VLOOKUP(B11,员工基本信息!B:Q,16,0)</f>
        <v>6214220126200026472</v>
      </c>
      <c r="D11" s="281">
        <f>VLOOKUP(B11,工资!B:AD,28,0)</f>
        <v>0</v>
      </c>
      <c r="E11" s="281" t="str">
        <f>VLOOKUP(B11,工资!B:AJ,34,0)</f>
        <v>6214220126200026472</v>
      </c>
      <c r="F11" s="282" t="str">
        <f>VLOOKUP(B11,员工基本信息!B:C,2,0)</f>
        <v>132930198710064725</v>
      </c>
    </row>
    <row r="12" ht="12.75" spans="1:6">
      <c r="A12" s="279">
        <f t="shared" si="0"/>
        <v>11</v>
      </c>
      <c r="B12" s="161" t="str">
        <f>本月员工姓名!B12</f>
        <v>许嘉辉</v>
      </c>
      <c r="C12" s="280" t="str">
        <f>VLOOKUP(B12,员工基本信息!B:Q,16,0)</f>
        <v>6214220101205279384</v>
      </c>
      <c r="D12" s="281">
        <f>VLOOKUP(B12,工资!B:AD,28,0)</f>
        <v>0</v>
      </c>
      <c r="E12" s="281" t="str">
        <f>VLOOKUP(B12,工资!B:AJ,34,0)</f>
        <v>6214220101205279384</v>
      </c>
      <c r="F12" s="282" t="str">
        <f>VLOOKUP(B12,员工基本信息!B:C,2,0)</f>
        <v>13092419820326351x</v>
      </c>
    </row>
    <row r="13" ht="12.75" spans="1:6">
      <c r="A13" s="279">
        <f t="shared" si="0"/>
        <v>12</v>
      </c>
      <c r="B13" s="161" t="str">
        <f>本月员工姓名!B13</f>
        <v>孙沛霖</v>
      </c>
      <c r="C13" s="280" t="str">
        <f>VLOOKUP(B13,员工基本信息!B:Q,16,0)</f>
        <v>6214220101205384762</v>
      </c>
      <c r="D13" s="281">
        <f>VLOOKUP(B13,工资!B:AD,28,0)</f>
        <v>0</v>
      </c>
      <c r="E13" s="281" t="str">
        <f>VLOOKUP(B13,工资!B:AJ,34,0)</f>
        <v>6214220101205384762</v>
      </c>
      <c r="F13" s="282" t="str">
        <f>VLOOKUP(B13,员工基本信息!B:C,2,0)</f>
        <v>13293019811207531X</v>
      </c>
    </row>
    <row r="14" ht="12.75" spans="1:6">
      <c r="A14" s="279">
        <f t="shared" si="0"/>
        <v>13</v>
      </c>
      <c r="B14" s="161" t="str">
        <f>本月员工姓名!B14</f>
        <v>张琳</v>
      </c>
      <c r="C14" s="280" t="str">
        <f>VLOOKUP(B14,员工基本信息!B:Q,16,0)</f>
        <v>6214220101205537971</v>
      </c>
      <c r="D14" s="281">
        <f>VLOOKUP(B14,工资!B:AD,28,0)</f>
        <v>0</v>
      </c>
      <c r="E14" s="281" t="str">
        <f>VLOOKUP(B14,工资!B:AJ,34,0)</f>
        <v>6214220101205537971</v>
      </c>
      <c r="F14" s="282" t="str">
        <f>VLOOKUP(B14,员工基本信息!B:C,2,0)</f>
        <v>130921198012143022</v>
      </c>
    </row>
    <row r="15" ht="12.75" spans="1:11">
      <c r="A15" s="279">
        <f t="shared" si="0"/>
        <v>14</v>
      </c>
      <c r="B15" s="161" t="str">
        <f>本月员工姓名!B15</f>
        <v>张强</v>
      </c>
      <c r="C15" s="280" t="str">
        <f>VLOOKUP(B15,员工基本信息!B:Q,16,0)</f>
        <v>6214220106200295707</v>
      </c>
      <c r="D15" s="281">
        <f>VLOOKUP(B15,工资!B:AD,28,0)</f>
        <v>0</v>
      </c>
      <c r="E15" s="281" t="str">
        <f>VLOOKUP(B15,工资!B:AJ,34,0)</f>
        <v>6214220106200295707</v>
      </c>
      <c r="F15" s="282" t="str">
        <f>VLOOKUP(B15,员工基本信息!B:C,2,0)</f>
        <v>130983199710275536</v>
      </c>
      <c r="H15" s="283"/>
      <c r="K15" s="283"/>
    </row>
    <row r="16" ht="12.75" spans="1:6">
      <c r="A16" s="279">
        <f t="shared" si="0"/>
        <v>15</v>
      </c>
      <c r="B16" s="161" t="str">
        <f>本月员工姓名!B16</f>
        <v>齐静</v>
      </c>
      <c r="C16" s="280" t="str">
        <f>VLOOKUP(B16,员工基本信息!B:Q,16,0)</f>
        <v>6214220101208529173</v>
      </c>
      <c r="D16" s="281">
        <f>VLOOKUP(B16,工资!B:AD,28,0)</f>
        <v>0</v>
      </c>
      <c r="E16" s="281" t="str">
        <f>VLOOKUP(B16,工资!B:AJ,34,0)</f>
        <v>6214220101208529173</v>
      </c>
      <c r="F16" s="282" t="str">
        <f>VLOOKUP(B16,员工基本信息!B:C,2,0)</f>
        <v>130983199405140328</v>
      </c>
    </row>
    <row r="17" ht="12.75" spans="1:6">
      <c r="A17" s="279">
        <f t="shared" si="0"/>
        <v>16</v>
      </c>
      <c r="B17" s="161" t="str">
        <f>本月员工姓名!B17</f>
        <v>白艳焕</v>
      </c>
      <c r="C17" s="280" t="str">
        <f>VLOOKUP(B17,员工基本信息!B:Q,16,0)</f>
        <v>6214220101205492920</v>
      </c>
      <c r="D17" s="281">
        <f>VLOOKUP(B17,工资!B:AD,28,0)</f>
        <v>0</v>
      </c>
      <c r="E17" s="281" t="str">
        <f>VLOOKUP(B17,工资!B:AJ,34,0)</f>
        <v>6214220101205492920</v>
      </c>
      <c r="F17" s="282" t="str">
        <f>VLOOKUP(B17,员工基本信息!B:C,2,0)</f>
        <v>132930198004252227</v>
      </c>
    </row>
    <row r="18" ht="12.75" spans="1:6">
      <c r="A18" s="279">
        <f t="shared" si="0"/>
        <v>17</v>
      </c>
      <c r="B18" s="161" t="str">
        <f>本月员工姓名!B18</f>
        <v>赵真真</v>
      </c>
      <c r="C18" s="280" t="str">
        <f>VLOOKUP(B18,员工基本信息!B:Q,16,0)</f>
        <v>6214220101209100016</v>
      </c>
      <c r="D18" s="281">
        <f>VLOOKUP(B18,工资!B:AD,28,0)</f>
        <v>0</v>
      </c>
      <c r="E18" s="281" t="str">
        <f>VLOOKUP(B18,工资!B:AJ,34,0)</f>
        <v>6214220101209100016</v>
      </c>
      <c r="F18" s="282" t="str">
        <f>VLOOKUP(B18,员工基本信息!B:C,2,0)</f>
        <v>130983198810080926</v>
      </c>
    </row>
    <row r="19" ht="12.75" spans="1:6">
      <c r="A19" s="279">
        <f t="shared" si="0"/>
        <v>18</v>
      </c>
      <c r="B19" s="161" t="str">
        <f>本月员工姓名!B19</f>
        <v>张巧慧</v>
      </c>
      <c r="C19" s="280" t="str">
        <f>VLOOKUP(B19,员工基本信息!B:Q,16,0)</f>
        <v>6214220101209130948</v>
      </c>
      <c r="D19" s="281">
        <f>VLOOKUP(B19,工资!B:AD,28,0)</f>
        <v>0</v>
      </c>
      <c r="E19" s="281" t="str">
        <f>VLOOKUP(B19,工资!B:AJ,34,0)</f>
        <v>6214220101209130948</v>
      </c>
      <c r="F19" s="282" t="str">
        <f>VLOOKUP(B19,员工基本信息!B:C,2,0)</f>
        <v>130924198906184244</v>
      </c>
    </row>
    <row r="20" ht="12.75" spans="1:6">
      <c r="A20" s="279">
        <f t="shared" si="0"/>
        <v>19</v>
      </c>
      <c r="B20" s="161" t="str">
        <f>本月员工姓名!B20</f>
        <v>刘小雪</v>
      </c>
      <c r="C20" s="280" t="str">
        <f>VLOOKUP(B20,员工基本信息!B:Q,16,0)</f>
        <v>6214220101208659855</v>
      </c>
      <c r="D20" s="281">
        <f>VLOOKUP(B20,工资!B:AD,28,0)</f>
        <v>0</v>
      </c>
      <c r="E20" s="281" t="str">
        <f>VLOOKUP(B20,工资!B:AJ,34,0)</f>
        <v>6214220101208659855</v>
      </c>
      <c r="F20" s="282" t="str">
        <f>VLOOKUP(B20,员工基本信息!B:C,2,0)</f>
        <v>13092419911205424X</v>
      </c>
    </row>
    <row r="21" ht="12.75" spans="1:6">
      <c r="A21" s="279">
        <f t="shared" si="0"/>
        <v>20</v>
      </c>
      <c r="B21" s="161" t="str">
        <f>本月员工姓名!B21</f>
        <v>李梦同</v>
      </c>
      <c r="C21" s="280" t="str">
        <f>VLOOKUP(B21,员工基本信息!B:Q,16,0)</f>
        <v>6214220101207840159</v>
      </c>
      <c r="D21" s="281">
        <f>VLOOKUP(B21,工资!B:AD,28,0)</f>
        <v>0</v>
      </c>
      <c r="E21" s="281" t="str">
        <f>VLOOKUP(B21,工资!B:AJ,34,0)</f>
        <v>6214220101207840159</v>
      </c>
      <c r="F21" s="282" t="str">
        <f>VLOOKUP(B21,员工基本信息!B:C,2,0)</f>
        <v>132930199612020520</v>
      </c>
    </row>
    <row r="22" ht="12.75" spans="1:6">
      <c r="A22" s="279">
        <f t="shared" si="0"/>
        <v>21</v>
      </c>
      <c r="B22" s="161" t="str">
        <f>本月员工姓名!B22</f>
        <v>张馀林</v>
      </c>
      <c r="C22" s="280" t="str">
        <f>VLOOKUP(B22,员工基本信息!B:Q,16,0)</f>
        <v>6214220101208650110</v>
      </c>
      <c r="D22" s="281">
        <f>VLOOKUP(B22,工资!B:AD,28,0)</f>
        <v>48.42</v>
      </c>
      <c r="E22" s="281" t="str">
        <f>VLOOKUP(B22,工资!B:AJ,34,0)</f>
        <v>6214220101208650110</v>
      </c>
      <c r="F22" s="282" t="str">
        <f>VLOOKUP(B22,员工基本信息!B:C,2,0)</f>
        <v>130924199207164214</v>
      </c>
    </row>
    <row r="23" ht="12.75" spans="1:6">
      <c r="A23" s="279">
        <f t="shared" si="0"/>
        <v>22</v>
      </c>
      <c r="B23" s="161" t="str">
        <f>本月员工姓名!B23</f>
        <v>于磊磊</v>
      </c>
      <c r="C23" s="280" t="str">
        <f>VLOOKUP(B23,员工基本信息!B:Q,16,0)</f>
        <v>6217000010054470128</v>
      </c>
      <c r="D23" s="281">
        <f>VLOOKUP(B23,工资!B:AD,28,0)</f>
        <v>4.3</v>
      </c>
      <c r="E23" s="281" t="str">
        <f>VLOOKUP(B23,工资!B:AJ,34,0)</f>
        <v>6217000010054470128</v>
      </c>
      <c r="F23" s="282" t="str">
        <f>VLOOKUP(B23,员工基本信息!B:C,2,0)</f>
        <v>133030198101315498</v>
      </c>
    </row>
    <row r="24" ht="12.75" spans="1:6">
      <c r="A24" s="279">
        <f t="shared" si="0"/>
        <v>23</v>
      </c>
      <c r="B24" s="161" t="str">
        <f>本月员工姓名!B24</f>
        <v>陈晓晴</v>
      </c>
      <c r="C24" s="280" t="str">
        <f>VLOOKUP(B24,员工基本信息!B:Q,16,0)</f>
        <v>6214220101206471220</v>
      </c>
      <c r="D24" s="281">
        <f>VLOOKUP(B24,工资!B:AD,28,0)</f>
        <v>0</v>
      </c>
      <c r="E24" s="281" t="str">
        <f>VLOOKUP(B24,工资!B:AJ,34,0)</f>
        <v>6214220101206471220</v>
      </c>
      <c r="F24" s="282" t="str">
        <f>VLOOKUP(B24,员工基本信息!B:C,2,0)</f>
        <v>130983199305180023</v>
      </c>
    </row>
    <row r="25" ht="12.75" spans="1:6">
      <c r="A25" s="279">
        <f t="shared" si="0"/>
        <v>24</v>
      </c>
      <c r="B25" s="161" t="str">
        <f>本月员工姓名!B25</f>
        <v>崔鑫</v>
      </c>
      <c r="C25" s="280" t="str">
        <f>VLOOKUP(B25,员工基本信息!B:Q,16,0)</f>
        <v>6236682200001442388</v>
      </c>
      <c r="D25" s="281">
        <f>VLOOKUP(B25,工资!B:AD,28,0)</f>
        <v>0</v>
      </c>
      <c r="E25" s="281" t="str">
        <f>VLOOKUP(B25,工资!B:AJ,34,0)</f>
        <v>6236682200001442388</v>
      </c>
      <c r="F25" s="282" t="str">
        <f>VLOOKUP(B25,员工基本信息!B:C,2,0)</f>
        <v>370782199611121627</v>
      </c>
    </row>
    <row r="26" ht="12.75" spans="1:6">
      <c r="A26" s="279">
        <f t="shared" si="0"/>
        <v>25</v>
      </c>
      <c r="B26" s="161" t="str">
        <f>本月员工姓名!B26</f>
        <v>初会勇</v>
      </c>
      <c r="C26" s="280" t="str">
        <f>VLOOKUP(B26,员工基本信息!B:Q,16,0)</f>
        <v>6227002201604698972</v>
      </c>
      <c r="D26" s="281">
        <f>VLOOKUP(B26,工资!B:AD,28,0)</f>
        <v>0</v>
      </c>
      <c r="E26" s="281" t="str">
        <f>VLOOKUP(B26,工资!B:AJ,34,0)</f>
        <v>6227002201604698972</v>
      </c>
      <c r="F26" s="282" t="str">
        <f>VLOOKUP(B26,员工基本信息!B:C,2,0)</f>
        <v>370728197001283496</v>
      </c>
    </row>
    <row r="27" ht="12.75" spans="1:6">
      <c r="A27" s="279">
        <f t="shared" si="0"/>
        <v>26</v>
      </c>
      <c r="B27" s="161" t="str">
        <f>本月员工姓名!B27</f>
        <v>王砚兵</v>
      </c>
      <c r="C27" s="280" t="str">
        <f>VLOOKUP(B27,员工基本信息!B:Q,16,0)</f>
        <v>6217002200029235759</v>
      </c>
      <c r="D27" s="281">
        <f>VLOOKUP(B27,工资!B:AD,28,0)</f>
        <v>0</v>
      </c>
      <c r="E27" s="281" t="str">
        <f>VLOOKUP(B27,工资!B:AJ,34,0)</f>
        <v>6217002200029235759</v>
      </c>
      <c r="F27" s="282" t="str">
        <f>VLOOKUP(B27,员工基本信息!B:C,2,0)</f>
        <v>370728197103050212</v>
      </c>
    </row>
    <row r="28" ht="12.75" spans="1:6">
      <c r="A28" s="279">
        <f t="shared" si="0"/>
        <v>27</v>
      </c>
      <c r="B28" s="161" t="str">
        <f>本月员工姓名!B28</f>
        <v>赵洪升</v>
      </c>
      <c r="C28" s="280" t="str">
        <f>VLOOKUP(B28,员工基本信息!B:Q,16,0)</f>
        <v>6227002240062513216</v>
      </c>
      <c r="D28" s="281">
        <f>VLOOKUP(B28,工资!B:AD,28,0)</f>
        <v>0</v>
      </c>
      <c r="E28" s="281" t="str">
        <f>VLOOKUP(B28,工资!B:AJ,34,0)</f>
        <v>6227002240062513216</v>
      </c>
      <c r="F28" s="282" t="str">
        <f>VLOOKUP(B28,员工基本信息!B:C,2,0)</f>
        <v>371121198109251515</v>
      </c>
    </row>
    <row r="29" ht="12.75" spans="1:6">
      <c r="A29" s="279">
        <f t="shared" si="0"/>
        <v>28</v>
      </c>
      <c r="B29" s="161" t="str">
        <f>本月员工姓名!B29</f>
        <v>王克杰</v>
      </c>
      <c r="C29" s="280" t="str">
        <f>VLOOKUP(B29,员工基本信息!B:Q,16,0)</f>
        <v>6217002340038860138</v>
      </c>
      <c r="D29" s="281">
        <f>VLOOKUP(B29,工资!B:AD,28,0)</f>
        <v>0</v>
      </c>
      <c r="E29" s="281" t="str">
        <f>VLOOKUP(B29,工资!B:AJ,34,0)</f>
        <v>6217002340038860138</v>
      </c>
      <c r="F29" s="282" t="str">
        <f>VLOOKUP(B29,员工基本信息!B:C,2,0)</f>
        <v>370983198801063395</v>
      </c>
    </row>
    <row r="30" ht="12.75" spans="1:6">
      <c r="A30" s="279">
        <f t="shared" si="0"/>
        <v>29</v>
      </c>
      <c r="B30" s="161" t="str">
        <f>本月员工姓名!B30</f>
        <v>芦建军</v>
      </c>
      <c r="C30" s="280" t="str">
        <f>VLOOKUP(B30,员工基本信息!B:Q,16,0)</f>
        <v>6230942340001917523</v>
      </c>
      <c r="D30" s="281">
        <f>VLOOKUP(B30,工资!B:AD,28,0)</f>
        <v>0</v>
      </c>
      <c r="E30" s="281" t="str">
        <f>VLOOKUP(B30,工资!B:AJ,34,0)</f>
        <v>6230942340001917523</v>
      </c>
      <c r="F30" s="282" t="str">
        <f>VLOOKUP(B30,员工基本信息!B:C,2,0)</f>
        <v>370122196808177197</v>
      </c>
    </row>
    <row r="31" ht="12.75" spans="1:6">
      <c r="A31" s="279">
        <f t="shared" si="0"/>
        <v>30</v>
      </c>
      <c r="B31" s="161" t="str">
        <f>本月员工姓名!B31</f>
        <v>万传志</v>
      </c>
      <c r="C31" s="280" t="str">
        <f>VLOOKUP(B31,员工基本信息!B:Q,16,0)</f>
        <v>6217001700010230116</v>
      </c>
      <c r="D31" s="281">
        <f>VLOOKUP(B31,工资!B:AD,28,0)</f>
        <v>0</v>
      </c>
      <c r="E31" s="281" t="str">
        <f>VLOOKUP(B31,工资!B:AJ,34,0)</f>
        <v>6217001700010230116</v>
      </c>
      <c r="F31" s="282" t="str">
        <f>VLOOKUP(B31,员工基本信息!B:C,2,0)</f>
        <v>340505195712201215</v>
      </c>
    </row>
    <row r="32" ht="12.75" spans="1:6">
      <c r="A32" s="279">
        <f t="shared" si="0"/>
        <v>31</v>
      </c>
      <c r="B32" s="161" t="str">
        <f>本月员工姓名!B32</f>
        <v>张镁凤</v>
      </c>
      <c r="C32" s="280" t="str">
        <f>VLOOKUP(B32,员工基本信息!B:Q,16,0)</f>
        <v>6217002040006120958</v>
      </c>
      <c r="D32" s="281">
        <f>VLOOKUP(B32,工资!B:AD,28,0)</f>
        <v>0</v>
      </c>
      <c r="E32" s="281" t="str">
        <f>VLOOKUP(B32,工资!B:AJ,34,0)</f>
        <v>6217002040006120958</v>
      </c>
      <c r="F32" s="282" t="str">
        <f>VLOOKUP(B32,员工基本信息!B:C,2,0)</f>
        <v>360202198603173042</v>
      </c>
    </row>
    <row r="33" ht="12.75" spans="1:6">
      <c r="A33" s="279">
        <f t="shared" si="0"/>
        <v>32</v>
      </c>
      <c r="B33" s="161" t="str">
        <f>本月员工姓名!B33</f>
        <v>李伟</v>
      </c>
      <c r="C33" s="280" t="str">
        <f>VLOOKUP(B33,员工基本信息!B:Q,16,0)</f>
        <v>6214220101207762775</v>
      </c>
      <c r="D33" s="281">
        <f>VLOOKUP(B33,工资!B:AD,28,0)</f>
        <v>0</v>
      </c>
      <c r="E33" s="281" t="str">
        <f>VLOOKUP(B33,工资!B:AJ,34,0)</f>
        <v>6214220101207762775</v>
      </c>
      <c r="F33" s="282" t="str">
        <f>VLOOKUP(B33,员工基本信息!B:C,2,0)</f>
        <v>130903198411290318</v>
      </c>
    </row>
    <row r="34" ht="12.75" spans="1:6">
      <c r="A34" s="279">
        <f t="shared" si="0"/>
        <v>33</v>
      </c>
      <c r="B34" s="161" t="str">
        <f>本月员工姓名!B34</f>
        <v>张亚霖</v>
      </c>
      <c r="C34" s="280" t="str">
        <f>VLOOKUP(B34,员工基本信息!B:Q,16,0)</f>
        <v>6214220101205382683</v>
      </c>
      <c r="D34" s="281">
        <f>VLOOKUP(B34,工资!B:AD,28,0)</f>
        <v>0</v>
      </c>
      <c r="E34" s="281" t="str">
        <f>VLOOKUP(B34,工资!B:AJ,34,0)</f>
        <v>6214220101205382683</v>
      </c>
      <c r="F34" s="282" t="str">
        <f>VLOOKUP(B34,员工基本信息!B:C,2,0)</f>
        <v>132930199002011811</v>
      </c>
    </row>
    <row r="35" ht="12.75" spans="1:6">
      <c r="A35" s="279">
        <f t="shared" si="0"/>
        <v>34</v>
      </c>
      <c r="B35" s="161" t="str">
        <f>本月员工姓名!B35</f>
        <v>李贵林</v>
      </c>
      <c r="C35" s="280" t="str">
        <f>VLOOKUP(B35,员工基本信息!B:Q,16,0)</f>
        <v>6217855000046935714</v>
      </c>
      <c r="D35" s="281">
        <f>VLOOKUP(B35,工资!B:AD,28,0)</f>
        <v>770.32</v>
      </c>
      <c r="E35" s="281" t="str">
        <f>VLOOKUP(B35,工资!B:AJ,34,0)</f>
        <v>6217855000046935714</v>
      </c>
      <c r="F35" s="282" t="str">
        <f>VLOOKUP(B35,员工基本信息!B:C,2,0)</f>
        <v>372324198709253216</v>
      </c>
    </row>
    <row r="36" ht="12.75" spans="1:6">
      <c r="A36" s="279">
        <f t="shared" si="0"/>
        <v>35</v>
      </c>
      <c r="B36" s="161" t="str">
        <f>本月员工姓名!B36</f>
        <v>赵化胜</v>
      </c>
      <c r="C36" s="280" t="str">
        <f>VLOOKUP(B36,员工基本信息!B:Q,16,0)</f>
        <v>6214220101206208879</v>
      </c>
      <c r="D36" s="281">
        <f>VLOOKUP(B36,工资!B:AD,28,0)</f>
        <v>732.82</v>
      </c>
      <c r="E36" s="281" t="str">
        <f>VLOOKUP(B36,工资!B:AJ,34,0)</f>
        <v>6214220101206208879</v>
      </c>
      <c r="F36" s="282" t="str">
        <f>VLOOKUP(B36,员工基本信息!B:C,2,0)</f>
        <v>37292219820802479X</v>
      </c>
    </row>
    <row r="37" ht="12.75" spans="1:6">
      <c r="A37" s="279">
        <f t="shared" si="0"/>
        <v>36</v>
      </c>
      <c r="B37" s="161" t="str">
        <f>本月员工姓名!B37</f>
        <v>李泉林</v>
      </c>
      <c r="C37" s="280" t="str">
        <f>VLOOKUP(B37,员工基本信息!B:Q,16,0)</f>
        <v>6214220101207603417</v>
      </c>
      <c r="D37" s="281">
        <f>VLOOKUP(B37,工资!B:AD,28,0)</f>
        <v>0</v>
      </c>
      <c r="E37" s="281" t="str">
        <f>VLOOKUP(B37,工资!B:AJ,34,0)</f>
        <v>6214220101207603417</v>
      </c>
      <c r="F37" s="282" t="str">
        <f>VLOOKUP(B37,员工基本信息!B:C,2,0)</f>
        <v>37232419780708321X</v>
      </c>
    </row>
    <row r="38" ht="12.75" spans="1:6">
      <c r="A38" s="279">
        <f t="shared" si="0"/>
        <v>37</v>
      </c>
      <c r="B38" s="161" t="str">
        <f>本月员工姓名!B38</f>
        <v>古帅</v>
      </c>
      <c r="C38" s="280" t="str">
        <f>VLOOKUP(B38,员工基本信息!B:Q,16,0)</f>
        <v>6214220101206056856</v>
      </c>
      <c r="D38" s="281">
        <f>VLOOKUP(B38,工资!B:AD,28,0)</f>
        <v>59.95</v>
      </c>
      <c r="E38" s="281" t="str">
        <f>VLOOKUP(B38,工资!B:AJ,34,0)</f>
        <v>6214220101206056856</v>
      </c>
      <c r="F38" s="282" t="str">
        <f>VLOOKUP(B38,员工基本信息!B:C,2,0)</f>
        <v>130626199101032615</v>
      </c>
    </row>
    <row r="39" ht="12.75" spans="1:6">
      <c r="A39" s="279">
        <f t="shared" si="0"/>
        <v>38</v>
      </c>
      <c r="B39" s="161" t="str">
        <f>本月员工姓名!B39</f>
        <v>褚文吉</v>
      </c>
      <c r="C39" s="280" t="str">
        <f>VLOOKUP(B39,员工基本信息!B:Q,16,0)</f>
        <v>6214220101205943203</v>
      </c>
      <c r="D39" s="281">
        <f>VLOOKUP(B39,工资!B:AD,28,0)</f>
        <v>7.15</v>
      </c>
      <c r="E39" s="281" t="str">
        <f>VLOOKUP(B39,工资!B:AJ,34,0)</f>
        <v>6214220101205943203</v>
      </c>
      <c r="F39" s="282" t="str">
        <f>VLOOKUP(B39,员工基本信息!B:C,2,0)</f>
        <v>130983198503111817</v>
      </c>
    </row>
    <row r="40" ht="12.75" spans="1:6">
      <c r="A40" s="279">
        <f t="shared" si="0"/>
        <v>39</v>
      </c>
      <c r="B40" s="161" t="str">
        <f>本月员工姓名!B40</f>
        <v>刘柏林</v>
      </c>
      <c r="C40" s="280" t="str">
        <f>VLOOKUP(B40,员工基本信息!B:Q,16,0)</f>
        <v>6214220101205382121</v>
      </c>
      <c r="D40" s="281">
        <f>VLOOKUP(B40,工资!B:AD,28,0)</f>
        <v>0</v>
      </c>
      <c r="E40" s="281" t="str">
        <f>VLOOKUP(B40,工资!B:AJ,34,0)</f>
        <v>6214220101205382121</v>
      </c>
      <c r="F40" s="282" t="str">
        <f>VLOOKUP(B40,员工基本信息!B:C,2,0)</f>
        <v>132930199409233512</v>
      </c>
    </row>
    <row r="41" ht="12.75" spans="1:6">
      <c r="A41" s="279">
        <f t="shared" si="0"/>
        <v>40</v>
      </c>
      <c r="B41" s="161" t="str">
        <f>本月员工姓名!B41</f>
        <v>王朋</v>
      </c>
      <c r="C41" s="280" t="str">
        <f>VLOOKUP(B41,员工基本信息!B:Q,16,0)</f>
        <v>6214220101205943765</v>
      </c>
      <c r="D41" s="281">
        <f>VLOOKUP(B41,工资!B:AD,28,0)</f>
        <v>0</v>
      </c>
      <c r="E41" s="281" t="str">
        <f>VLOOKUP(B41,工资!B:AJ,34,0)</f>
        <v>6214220101205943765</v>
      </c>
      <c r="F41" s="282" t="str">
        <f>VLOOKUP(B41,员工基本信息!B:C,2,0)</f>
        <v>130983199403201617</v>
      </c>
    </row>
    <row r="42" ht="12.75" spans="1:6">
      <c r="A42" s="279">
        <f t="shared" si="0"/>
        <v>41</v>
      </c>
      <c r="B42" s="161" t="str">
        <f>本月员工姓名!B42</f>
        <v>王冠文</v>
      </c>
      <c r="C42" s="280" t="str">
        <f>VLOOKUP(B42,员工基本信息!B:Q,16,0)</f>
        <v>6214220101205538235</v>
      </c>
      <c r="D42" s="281">
        <f>VLOOKUP(B42,工资!B:AD,28,0)</f>
        <v>0</v>
      </c>
      <c r="E42" s="281" t="str">
        <f>VLOOKUP(B42,工资!B:AJ,34,0)</f>
        <v>6214220101205538235</v>
      </c>
      <c r="F42" s="282" t="str">
        <f>VLOOKUP(B42,员工基本信息!B:C,2,0)</f>
        <v>130983199611302818</v>
      </c>
    </row>
    <row r="43" ht="12.75" spans="1:6">
      <c r="A43" s="279">
        <f t="shared" si="0"/>
        <v>42</v>
      </c>
      <c r="B43" s="161" t="str">
        <f>本月员工姓名!B43</f>
        <v>滕红玲</v>
      </c>
      <c r="C43" s="280" t="str">
        <f>VLOOKUP(B43,员工基本信息!B:Q,16,0)</f>
        <v>6214220101206057979</v>
      </c>
      <c r="D43" s="281">
        <f>VLOOKUP(B43,工资!B:AD,28,0)</f>
        <v>0</v>
      </c>
      <c r="E43" s="281" t="str">
        <f>VLOOKUP(B43,工资!B:AJ,34,0)</f>
        <v>6214220101206057979</v>
      </c>
      <c r="F43" s="282" t="str">
        <f>VLOOKUP(B43,员工基本信息!B:C,2,0)</f>
        <v>132930197910072426</v>
      </c>
    </row>
    <row r="44" ht="12.75" spans="1:6">
      <c r="A44" s="279">
        <f t="shared" si="0"/>
        <v>43</v>
      </c>
      <c r="B44" s="161" t="str">
        <f>本月员工姓名!B44</f>
        <v>刘洪荣</v>
      </c>
      <c r="C44" s="280" t="str">
        <f>VLOOKUP(B44,员工基本信息!B:Q,16,0)</f>
        <v>6214220101206057672</v>
      </c>
      <c r="D44" s="281">
        <f>VLOOKUP(B44,工资!B:AD,28,0)</f>
        <v>0</v>
      </c>
      <c r="E44" s="281" t="str">
        <f>VLOOKUP(B44,工资!B:AJ,34,0)</f>
        <v>6214220101206057672</v>
      </c>
      <c r="F44" s="282" t="str">
        <f>VLOOKUP(B44,员工基本信息!B:C,2,0)</f>
        <v>132930197704042445</v>
      </c>
    </row>
    <row r="45" ht="12.75" spans="1:6">
      <c r="A45" s="279">
        <f t="shared" si="0"/>
        <v>44</v>
      </c>
      <c r="B45" s="161" t="str">
        <f>本月员工姓名!B45</f>
        <v>白丽霞</v>
      </c>
      <c r="C45" s="280" t="str">
        <f>VLOOKUP(B45,员工基本信息!B:Q,16,0)</f>
        <v>6214220101206034580</v>
      </c>
      <c r="D45" s="281">
        <f>VLOOKUP(B45,工资!B:AD,28,0)</f>
        <v>0</v>
      </c>
      <c r="E45" s="281" t="str">
        <f>VLOOKUP(B45,工资!B:AJ,34,0)</f>
        <v>6214220101206034580</v>
      </c>
      <c r="F45" s="282" t="str">
        <f>VLOOKUP(B45,员工基本信息!B:C,2,0)</f>
        <v>132930198105155020</v>
      </c>
    </row>
    <row r="46" ht="12.75" spans="1:6">
      <c r="A46" s="279">
        <f t="shared" si="0"/>
        <v>45</v>
      </c>
      <c r="B46" s="161" t="str">
        <f>本月员工姓名!B46</f>
        <v>邓海旺</v>
      </c>
      <c r="C46" s="280" t="str">
        <f>VLOOKUP(B46,员工基本信息!B:Q,16,0)</f>
        <v>6214220126200027736</v>
      </c>
      <c r="D46" s="281">
        <f>VLOOKUP(B46,工资!B:AD,28,0)</f>
        <v>0</v>
      </c>
      <c r="E46" s="281" t="str">
        <f>VLOOKUP(B46,工资!B:AJ,34,0)</f>
        <v>6214220126200027736</v>
      </c>
      <c r="F46" s="282" t="str">
        <f>VLOOKUP(B46,员工基本信息!B:C,2,0)</f>
        <v>13098319971108167x</v>
      </c>
    </row>
    <row r="47" ht="12.75" spans="1:6">
      <c r="A47" s="279">
        <f t="shared" si="0"/>
        <v>46</v>
      </c>
      <c r="B47" s="161" t="str">
        <f>本月员工姓名!B47</f>
        <v>高建芳</v>
      </c>
      <c r="C47" s="280" t="str">
        <f>VLOOKUP(B47,员工基本信息!B:Q,16,0)</f>
        <v>6214220101208886086</v>
      </c>
      <c r="D47" s="281">
        <f>VLOOKUP(B47,工资!B:AD,28,0)</f>
        <v>0</v>
      </c>
      <c r="E47" s="281" t="str">
        <f>VLOOKUP(B47,工资!B:AJ,34,0)</f>
        <v>6214220101208886086</v>
      </c>
      <c r="F47" s="282" t="str">
        <f>VLOOKUP(B47,员工基本信息!B:C,2,0)</f>
        <v>130924198011184227</v>
      </c>
    </row>
    <row r="48" ht="12.75" spans="1:6">
      <c r="A48" s="279">
        <f t="shared" si="0"/>
        <v>47</v>
      </c>
      <c r="B48" s="161" t="str">
        <f>本月员工姓名!B48</f>
        <v>吴金凤</v>
      </c>
      <c r="C48" s="280" t="str">
        <f>VLOOKUP(B48,员工基本信息!B:Q,16,0)</f>
        <v>6214220101208763525</v>
      </c>
      <c r="D48" s="281">
        <f>VLOOKUP(B48,工资!B:AD,28,0)</f>
        <v>0</v>
      </c>
      <c r="E48" s="281" t="str">
        <f>VLOOKUP(B48,工资!B:AJ,34,0)</f>
        <v>6214220101208763525</v>
      </c>
      <c r="F48" s="282" t="str">
        <f>VLOOKUP(B48,员工基本信息!B:C,2,0)</f>
        <v>132934198102141526</v>
      </c>
    </row>
    <row r="49" ht="12.75" spans="1:6">
      <c r="A49" s="279">
        <f t="shared" si="0"/>
        <v>48</v>
      </c>
      <c r="B49" s="161" t="str">
        <f>本月员工姓名!B49</f>
        <v>许志飞</v>
      </c>
      <c r="C49" s="280" t="str">
        <f>VLOOKUP(B49,员工基本信息!B:Q,16,0)</f>
        <v>6214220126200086724</v>
      </c>
      <c r="D49" s="281">
        <f>VLOOKUP(B49,工资!B:AD,28,0)</f>
        <v>0</v>
      </c>
      <c r="E49" s="281" t="str">
        <f>VLOOKUP(B49,工资!B:AJ,34,0)</f>
        <v>6214220126200086724</v>
      </c>
      <c r="F49" s="282" t="str">
        <f>VLOOKUP(B49,员工基本信息!B:C,2,0)</f>
        <v>130924200302083514</v>
      </c>
    </row>
    <row r="50" ht="12.75" spans="1:6">
      <c r="A50" s="279">
        <f t="shared" si="0"/>
        <v>49</v>
      </c>
      <c r="B50" s="161" t="str">
        <f>本月员工姓名!B50</f>
        <v>张占利</v>
      </c>
      <c r="C50" s="280" t="str">
        <f>VLOOKUP(B50,员工基本信息!B:Q,16,0)</f>
        <v>6214220101208765496</v>
      </c>
      <c r="D50" s="281">
        <f>VLOOKUP(B50,工资!B:AD,28,0)</f>
        <v>0</v>
      </c>
      <c r="E50" s="281" t="str">
        <f>VLOOKUP(B50,工资!B:AJ,34,0)</f>
        <v>6214220101208765496</v>
      </c>
      <c r="F50" s="282" t="str">
        <f>VLOOKUP(B50,员工基本信息!B:C,2,0)</f>
        <v>13293419750911092x</v>
      </c>
    </row>
    <row r="51" ht="12.75" spans="1:6">
      <c r="A51" s="279">
        <f t="shared" si="0"/>
        <v>50</v>
      </c>
      <c r="B51" s="161" t="str">
        <f>本月员工姓名!B51</f>
        <v>杨宝亮</v>
      </c>
      <c r="C51" s="280" t="str">
        <f>VLOOKUP(B51,员工基本信息!B:Q,16,0)</f>
        <v>6214220101204642715</v>
      </c>
      <c r="D51" s="281">
        <f>VLOOKUP(B51,工资!B:AD,28,0)</f>
        <v>0</v>
      </c>
      <c r="E51" s="281" t="str">
        <f>VLOOKUP(B51,工资!B:AJ,34,0)</f>
        <v>6214220101204642715</v>
      </c>
      <c r="F51" s="282" t="str">
        <f>VLOOKUP(B51,员工基本信息!B:C,2,0)</f>
        <v>132934198205293514</v>
      </c>
    </row>
    <row r="52" ht="12.75" spans="1:6">
      <c r="A52" s="279">
        <f t="shared" si="0"/>
        <v>51</v>
      </c>
      <c r="B52" s="161" t="str">
        <f>本月员工姓名!B52</f>
        <v>刘宝臣</v>
      </c>
      <c r="C52" s="280" t="str">
        <f>VLOOKUP(B52,员工基本信息!B:Q,16,0)</f>
        <v>6214220101206209380</v>
      </c>
      <c r="D52" s="281">
        <f>VLOOKUP(B52,工资!B:AD,28,0)</f>
        <v>0</v>
      </c>
      <c r="E52" s="281" t="str">
        <f>VLOOKUP(B52,工资!B:AJ,34,0)</f>
        <v>6214220101206209380</v>
      </c>
      <c r="F52" s="282" t="str">
        <f>VLOOKUP(B52,员工基本信息!B:C,2,0)</f>
        <v>130924199905103216</v>
      </c>
    </row>
    <row r="53" ht="12.75" spans="1:6">
      <c r="A53" s="279">
        <f t="shared" si="0"/>
        <v>52</v>
      </c>
      <c r="B53" s="161" t="str">
        <f>本月员工姓名!B53</f>
        <v>刘贺</v>
      </c>
      <c r="C53" s="280" t="str">
        <f>VLOOKUP(B53,员工基本信息!B:Q,16,0)</f>
        <v>6214220101208651233</v>
      </c>
      <c r="D53" s="281">
        <f>VLOOKUP(B53,工资!B:AD,28,0)</f>
        <v>0</v>
      </c>
      <c r="E53" s="281" t="str">
        <f>VLOOKUP(B53,工资!B:AJ,34,0)</f>
        <v>6214220101208651233</v>
      </c>
      <c r="F53" s="282" t="str">
        <f>VLOOKUP(B53,员工基本信息!B:C,2,0)</f>
        <v>220821198701024826</v>
      </c>
    </row>
    <row r="54" ht="12.75" spans="1:6">
      <c r="A54" s="279">
        <f t="shared" si="0"/>
        <v>53</v>
      </c>
      <c r="B54" s="161" t="str">
        <f>本月员工姓名!B54</f>
        <v>王金来</v>
      </c>
      <c r="C54" s="280" t="str">
        <f>VLOOKUP(B54,员工基本信息!B:Q,16,0)</f>
        <v>6214220101209098459</v>
      </c>
      <c r="D54" s="281">
        <f>VLOOKUP(B54,工资!B:AD,28,0)</f>
        <v>0</v>
      </c>
      <c r="E54" s="281" t="str">
        <f>VLOOKUP(B54,工资!B:AJ,34,0)</f>
        <v>6214220101209098459</v>
      </c>
      <c r="F54" s="282" t="str">
        <f>VLOOKUP(B54,员工基本信息!B:C,2,0)</f>
        <v>130983198703063936</v>
      </c>
    </row>
    <row r="55" ht="12.75" spans="1:6">
      <c r="A55" s="279">
        <f t="shared" si="0"/>
        <v>54</v>
      </c>
      <c r="B55" s="161" t="str">
        <f>本月员工姓名!B55</f>
        <v>韩胜利</v>
      </c>
      <c r="C55" s="280" t="str">
        <f>VLOOKUP(B55,员工基本信息!B:Q,16,0)</f>
        <v>6214220101209132456</v>
      </c>
      <c r="D55" s="281">
        <f>VLOOKUP(B55,工资!B:AD,28,0)</f>
        <v>0</v>
      </c>
      <c r="E55" s="281" t="str">
        <f>VLOOKUP(B55,工资!B:AJ,34,0)</f>
        <v>6214220101209132456</v>
      </c>
      <c r="F55" s="282" t="str">
        <f>VLOOKUP(B55,员工基本信息!B:C,2,0)</f>
        <v>220581198111061213</v>
      </c>
    </row>
    <row r="56" ht="12.75" spans="1:6">
      <c r="A56" s="279">
        <f t="shared" si="0"/>
        <v>55</v>
      </c>
      <c r="B56" s="161" t="str">
        <f>本月员工姓名!B56</f>
        <v>郑艳红</v>
      </c>
      <c r="C56" s="280" t="str">
        <f>VLOOKUP(B56,员工基本信息!B:Q,16,0)</f>
        <v>6214220101209130716</v>
      </c>
      <c r="D56" s="281">
        <f>VLOOKUP(B56,工资!B:AD,28,0)</f>
        <v>0</v>
      </c>
      <c r="E56" s="281" t="str">
        <f>VLOOKUP(B56,工资!B:AJ,34,0)</f>
        <v>6214220101209130716</v>
      </c>
      <c r="F56" s="282" t="str">
        <f>VLOOKUP(B56,员工基本信息!B:C,2,0)</f>
        <v>132930198111202823</v>
      </c>
    </row>
    <row r="57" ht="12.75" spans="1:6">
      <c r="A57" s="279">
        <f t="shared" si="0"/>
        <v>56</v>
      </c>
      <c r="B57" s="161" t="str">
        <f>本月员工姓名!B57</f>
        <v>田高峰</v>
      </c>
      <c r="C57" s="295" t="str">
        <f>VLOOKUP(B57,员工基本信息!B:Q,16,0)</f>
        <v>6214220101209474247</v>
      </c>
      <c r="D57" s="281">
        <f>VLOOKUP(B57,工资!B:AD,28,0)</f>
        <v>0</v>
      </c>
      <c r="E57" s="296" t="str">
        <f>VLOOKUP(B57,工资!B:AJ,34,0)</f>
        <v>6214220101209474247</v>
      </c>
      <c r="F57" s="282" t="str">
        <f>VLOOKUP(B57,员工基本信息!B:C,2,0)</f>
        <v>132930199202191116</v>
      </c>
    </row>
    <row r="58" ht="12.75" spans="1:6">
      <c r="A58" s="279">
        <f t="shared" si="0"/>
        <v>57</v>
      </c>
      <c r="B58" s="161" t="str">
        <f>本月员工姓名!B58</f>
        <v>胡占伟</v>
      </c>
      <c r="C58" s="280" t="str">
        <f>VLOOKUP(B58,员工基本信息!B:Q,16,0)</f>
        <v>6214220101205939607</v>
      </c>
      <c r="D58" s="281">
        <f>VLOOKUP(B58,工资!B:AD,28,0)</f>
        <v>0</v>
      </c>
      <c r="E58" s="281" t="str">
        <f>VLOOKUP(B58,工资!B:AJ,34,0)</f>
        <v>6214220101205939607</v>
      </c>
      <c r="F58" s="282" t="str">
        <f>VLOOKUP(B58,员工基本信息!B:C,2,0)</f>
        <v>13293019940201371X</v>
      </c>
    </row>
    <row r="59" ht="12.75" spans="1:6">
      <c r="A59" s="279">
        <f t="shared" si="0"/>
        <v>58</v>
      </c>
      <c r="B59" s="161" t="str">
        <f>本月员工姓名!B59</f>
        <v>赵云香</v>
      </c>
      <c r="C59" s="280" t="str">
        <f>VLOOKUP(B59,员工基本信息!B:Q,16,0)</f>
        <v>6214220101209250670</v>
      </c>
      <c r="D59" s="281">
        <f>VLOOKUP(B59,工资!B:AD,28,0)</f>
        <v>0</v>
      </c>
      <c r="E59" s="281" t="str">
        <f>VLOOKUP(B59,工资!B:AJ,34,0)</f>
        <v>6214220101209250670</v>
      </c>
      <c r="F59" s="282" t="str">
        <f>VLOOKUP(B59,员工基本信息!B:C,2,0)</f>
        <v>132930197209050085</v>
      </c>
    </row>
    <row r="60" ht="12.75" spans="1:6">
      <c r="A60" s="279">
        <f t="shared" si="0"/>
        <v>59</v>
      </c>
      <c r="B60" s="161" t="str">
        <f>本月员工姓名!B60</f>
        <v>刘瑜</v>
      </c>
      <c r="C60" s="280" t="str">
        <f>VLOOKUP(B60,员工基本信息!B:Q,16,0)</f>
        <v>6214220101209042457</v>
      </c>
      <c r="D60" s="281">
        <f>VLOOKUP(B60,工资!B:AD,28,0)</f>
        <v>0</v>
      </c>
      <c r="E60" s="281" t="str">
        <f>VLOOKUP(B60,工资!B:AJ,34,0)</f>
        <v>6214220101209042457</v>
      </c>
      <c r="F60" s="282" t="str">
        <f>VLOOKUP(B60,员工基本信息!B:C,2,0)</f>
        <v>13098319860907142X</v>
      </c>
    </row>
    <row r="61" ht="12.75" spans="1:6">
      <c r="A61" s="279">
        <f t="shared" si="0"/>
        <v>60</v>
      </c>
      <c r="B61" s="161" t="str">
        <f>本月员工姓名!B61</f>
        <v>滕志勇</v>
      </c>
      <c r="C61" s="280" t="str">
        <f>VLOOKUP(B61,员工基本信息!B:Q,16,0)</f>
        <v>6214220101204683792</v>
      </c>
      <c r="D61" s="281">
        <f>VLOOKUP(B61,工资!B:AD,28,0)</f>
        <v>0</v>
      </c>
      <c r="E61" s="296" t="str">
        <f>VLOOKUP(B61,工资!B:AJ,34,0)</f>
        <v>6214220101208531302</v>
      </c>
      <c r="F61" s="282" t="str">
        <f>VLOOKUP(B61,员工基本信息!B:C,2,0)</f>
        <v>130983199909282418</v>
      </c>
    </row>
    <row r="62" ht="12.75" spans="1:6">
      <c r="A62" s="279">
        <f t="shared" si="0"/>
        <v>61</v>
      </c>
      <c r="B62" s="161" t="str">
        <f>本月员工姓名!B62</f>
        <v>白月</v>
      </c>
      <c r="C62" s="280" t="str">
        <f>VLOOKUP(B62,员工基本信息!B:Q,16,0)</f>
        <v>6214220101208598814</v>
      </c>
      <c r="D62" s="281">
        <f>VLOOKUP(B62,工资!B:AD,28,0)</f>
        <v>0</v>
      </c>
      <c r="E62" s="281" t="str">
        <f>VLOOKUP(B62,工资!B:AJ,34,0)</f>
        <v>6214220101208598814</v>
      </c>
      <c r="F62" s="282" t="str">
        <f>VLOOKUP(B62,员工基本信息!B:C,2,0)</f>
        <v>132930197709123543</v>
      </c>
    </row>
    <row r="63" ht="12.75" spans="1:6">
      <c r="A63" s="279">
        <f t="shared" si="0"/>
        <v>62</v>
      </c>
      <c r="B63" s="161" t="str">
        <f>本月员工姓名!B63</f>
        <v>陈淑贞</v>
      </c>
      <c r="C63" s="280" t="str">
        <f>VLOOKUP(B63,员工基本信息!B:Q,16,0)</f>
        <v>6214220101209042408</v>
      </c>
      <c r="D63" s="281">
        <f>VLOOKUP(B63,工资!B:AD,28,0)</f>
        <v>0</v>
      </c>
      <c r="E63" s="296" t="str">
        <f>VLOOKUP(B63,工资!B:AJ,34,0)</f>
        <v>6214220101208651233</v>
      </c>
      <c r="F63" s="282" t="str">
        <f>VLOOKUP(B63,员工基本信息!B:C,2,0)</f>
        <v>132930198012132225</v>
      </c>
    </row>
    <row r="64" ht="12.75" spans="1:6">
      <c r="A64" s="279">
        <f t="shared" si="0"/>
        <v>63</v>
      </c>
      <c r="B64" s="161" t="str">
        <f>本月员工姓名!B64</f>
        <v>滕令驹</v>
      </c>
      <c r="C64" s="280" t="str">
        <f>VLOOKUP(B64,员工基本信息!B:Q,16,0)</f>
        <v>6214220101204683388</v>
      </c>
      <c r="D64" s="281">
        <f>VLOOKUP(B64,工资!B:AD,28,0)</f>
        <v>0</v>
      </c>
      <c r="E64" s="296" t="str">
        <f>VLOOKUP(B64,工资!B:AJ,34,0)</f>
        <v>6214220101208535423</v>
      </c>
      <c r="F64" s="282" t="str">
        <f>VLOOKUP(B64,员工基本信息!B:C,2,0)</f>
        <v>130921199502202018</v>
      </c>
    </row>
    <row r="65" ht="12.75" spans="1:6">
      <c r="A65" s="279">
        <f t="shared" si="0"/>
        <v>64</v>
      </c>
      <c r="B65" s="161" t="str">
        <f>本月员工姓名!B65</f>
        <v>曹延祥</v>
      </c>
      <c r="C65" s="280" t="str">
        <f>VLOOKUP(B65,员工基本信息!B:Q,16,0)</f>
        <v>6214220101205379184</v>
      </c>
      <c r="D65" s="281">
        <f>VLOOKUP(B65,工资!B:AD,28,0)</f>
        <v>0</v>
      </c>
      <c r="E65" s="281" t="str">
        <f>VLOOKUP(B65,工资!B:AJ,34,0)</f>
        <v>6214220101205379184</v>
      </c>
      <c r="F65" s="282" t="str">
        <f>VLOOKUP(B65,员工基本信息!B:C,2,0)</f>
        <v>132930197510085535</v>
      </c>
    </row>
    <row r="66" ht="12.75" spans="1:6">
      <c r="A66" s="279">
        <f t="shared" ref="A66:A92" si="1">ROW()-1</f>
        <v>65</v>
      </c>
      <c r="B66" s="161" t="str">
        <f>本月员工姓名!B66</f>
        <v>张猛</v>
      </c>
      <c r="C66" s="280" t="str">
        <f>VLOOKUP(B66,员工基本信息!B:Q,16,0)</f>
        <v>6214220101205490098</v>
      </c>
      <c r="D66" s="281">
        <f>VLOOKUP(B66,工资!B:AD,28,0)</f>
        <v>0</v>
      </c>
      <c r="E66" s="281" t="str">
        <f>VLOOKUP(B66,工资!B:AJ,34,0)</f>
        <v>6214220101205490098</v>
      </c>
      <c r="F66" s="282" t="str">
        <f>VLOOKUP(B66,员工基本信息!B:C,2,0)</f>
        <v>130983199810300516</v>
      </c>
    </row>
    <row r="67" ht="12.75" spans="1:6">
      <c r="A67" s="279">
        <f t="shared" si="1"/>
        <v>66</v>
      </c>
      <c r="B67" s="161" t="str">
        <f>本月员工姓名!B67</f>
        <v>王秀翠</v>
      </c>
      <c r="C67" s="280" t="str">
        <f>VLOOKUP(B67,员工基本信息!B:Q,16,0)</f>
        <v>6214220101205385330</v>
      </c>
      <c r="D67" s="281">
        <f>VLOOKUP(B67,工资!B:AD,28,0)</f>
        <v>0</v>
      </c>
      <c r="E67" s="281" t="str">
        <f>VLOOKUP(B67,工资!B:AJ,34,0)</f>
        <v>6214220101205385330</v>
      </c>
      <c r="F67" s="282" t="str">
        <f>VLOOKUP(B67,员工基本信息!B:C,2,0)</f>
        <v>132930198203281629</v>
      </c>
    </row>
    <row r="68" ht="12.75" spans="1:6">
      <c r="A68" s="279">
        <f t="shared" si="1"/>
        <v>67</v>
      </c>
      <c r="B68" s="161" t="str">
        <f>本月员工姓名!B68</f>
        <v>刘海凤</v>
      </c>
      <c r="C68" s="280" t="str">
        <f>VLOOKUP(B68,员工基本信息!B:Q,16,0)</f>
        <v>6214220101205378657</v>
      </c>
      <c r="D68" s="281">
        <f>VLOOKUP(B68,工资!B:AD,28,0)</f>
        <v>0</v>
      </c>
      <c r="E68" s="281" t="str">
        <f>VLOOKUP(B68,工资!B:AJ,34,0)</f>
        <v>6214220101205378657</v>
      </c>
      <c r="F68" s="282" t="str">
        <f>VLOOKUP(B68,员工基本信息!B:C,2,0)</f>
        <v>132930197710082240</v>
      </c>
    </row>
    <row r="69" ht="12.75" spans="1:6">
      <c r="A69" s="279">
        <f t="shared" si="1"/>
        <v>68</v>
      </c>
      <c r="B69" s="161" t="str">
        <f>本月员工姓名!B69</f>
        <v>张静</v>
      </c>
      <c r="C69" s="280" t="str">
        <f>VLOOKUP(B69,员工基本信息!B:Q,16,0)</f>
        <v>6214220101205266308</v>
      </c>
      <c r="D69" s="281">
        <f>VLOOKUP(B69,工资!B:AD,28,0)</f>
        <v>0</v>
      </c>
      <c r="E69" s="281" t="str">
        <f>VLOOKUP(B69,工资!B:AJ,34,0)</f>
        <v>6214220101205266308</v>
      </c>
      <c r="F69" s="282" t="str">
        <f>VLOOKUP(B69,员工基本信息!B:C,2,0)</f>
        <v>132930198111021627</v>
      </c>
    </row>
    <row r="70" ht="12.75" spans="1:6">
      <c r="A70" s="279">
        <f t="shared" si="1"/>
        <v>69</v>
      </c>
      <c r="B70" s="161" t="str">
        <f>本月员工姓名!B70</f>
        <v>刘芹</v>
      </c>
      <c r="C70" s="280" t="str">
        <f>VLOOKUP(B70,员工基本信息!B:Q,16,0)</f>
        <v>6214220101205491393</v>
      </c>
      <c r="D70" s="281">
        <f>VLOOKUP(B70,工资!B:AD,28,0)</f>
        <v>0</v>
      </c>
      <c r="E70" s="281" t="str">
        <f>VLOOKUP(B70,工资!B:AJ,34,0)</f>
        <v>6214220101205491393</v>
      </c>
      <c r="F70" s="282" t="str">
        <f>VLOOKUP(B70,员工基本信息!B:C,2,0)</f>
        <v>132930198602103520</v>
      </c>
    </row>
    <row r="71" ht="12.75" spans="1:6">
      <c r="A71" s="279">
        <f t="shared" si="1"/>
        <v>70</v>
      </c>
      <c r="B71" s="161" t="str">
        <f>本月员工姓名!B71</f>
        <v>姚秀玲</v>
      </c>
      <c r="C71" s="280" t="str">
        <f>VLOOKUP(B71,员工基本信息!B:Q,16,0)</f>
        <v>6214220101205378640</v>
      </c>
      <c r="D71" s="281">
        <f>VLOOKUP(B71,工资!B:AD,28,0)</f>
        <v>0</v>
      </c>
      <c r="E71" s="281" t="str">
        <f>VLOOKUP(B71,工资!B:AJ,34,0)</f>
        <v>6214220101205378640</v>
      </c>
      <c r="F71" s="282" t="str">
        <f>VLOOKUP(B71,员工基本信息!B:C,2,0)</f>
        <v>130983198403012221</v>
      </c>
    </row>
    <row r="72" ht="12.75" spans="1:6">
      <c r="A72" s="279">
        <f t="shared" si="1"/>
        <v>71</v>
      </c>
      <c r="B72" s="161" t="str">
        <f>本月员工姓名!B72</f>
        <v>孙桂平</v>
      </c>
      <c r="C72" s="280" t="str">
        <f>VLOOKUP(B72,员工基本信息!B:Q,16,0)</f>
        <v>6214220101205386361</v>
      </c>
      <c r="D72" s="281">
        <f>VLOOKUP(B72,工资!B:AD,28,0)</f>
        <v>0</v>
      </c>
      <c r="E72" s="281" t="str">
        <f>VLOOKUP(B72,工资!B:AJ,34,0)</f>
        <v>6214220101205386361</v>
      </c>
      <c r="F72" s="282" t="str">
        <f>VLOOKUP(B72,员工基本信息!B:C,2,0)</f>
        <v>130983198402051421</v>
      </c>
    </row>
    <row r="73" ht="12.75" spans="1:6">
      <c r="A73" s="279">
        <f t="shared" si="1"/>
        <v>72</v>
      </c>
      <c r="B73" s="161" t="str">
        <f>本月员工姓名!B73</f>
        <v>李跃茹</v>
      </c>
      <c r="C73" s="280" t="str">
        <f>VLOOKUP(B73,员工基本信息!B:Q,16,0)</f>
        <v>6214220101205379671</v>
      </c>
      <c r="D73" s="281">
        <f>VLOOKUP(B73,工资!B:AD,28,0)</f>
        <v>0</v>
      </c>
      <c r="E73" s="281" t="str">
        <f>VLOOKUP(B73,工资!B:AJ,34,0)</f>
        <v>6214220101205379671</v>
      </c>
      <c r="F73" s="282" t="str">
        <f>VLOOKUP(B73,员工基本信息!B:C,2,0)</f>
        <v>132930198206270722</v>
      </c>
    </row>
    <row r="74" ht="12.75" spans="1:10">
      <c r="A74" s="279">
        <f t="shared" si="1"/>
        <v>73</v>
      </c>
      <c r="B74" s="161" t="str">
        <f>本月员工姓名!B74</f>
        <v>刘二平</v>
      </c>
      <c r="C74" s="280" t="str">
        <f>VLOOKUP(B74,员工基本信息!B:Q,16,0)</f>
        <v>6214220101205378665</v>
      </c>
      <c r="D74" s="281">
        <f>VLOOKUP(B74,工资!B:AD,28,0)</f>
        <v>0</v>
      </c>
      <c r="E74" s="281" t="str">
        <f>VLOOKUP(B74,工资!B:AJ,34,0)</f>
        <v>6214220101205378665</v>
      </c>
      <c r="F74" s="282" t="str">
        <f>VLOOKUP(B74,员工基本信息!B:C,2,0)</f>
        <v>130983198401251421</v>
      </c>
      <c r="I74" s="283"/>
      <c r="J74" s="287"/>
    </row>
    <row r="75" ht="12.75" spans="1:10">
      <c r="A75" s="279">
        <f t="shared" si="1"/>
        <v>74</v>
      </c>
      <c r="B75" s="161" t="str">
        <f>本月员工姓名!B75</f>
        <v>齐迁菲</v>
      </c>
      <c r="C75" s="280" t="str">
        <f>VLOOKUP(B75,员工基本信息!B:Q,16,0)</f>
        <v>6214220101206920432</v>
      </c>
      <c r="D75" s="281">
        <f>VLOOKUP(B75,工资!B:AD,28,0)</f>
        <v>0</v>
      </c>
      <c r="E75" s="281" t="str">
        <f>VLOOKUP(B75,工资!B:AJ,34,0)</f>
        <v>6214220101206920432</v>
      </c>
      <c r="F75" s="282" t="str">
        <f>VLOOKUP(B75,员工基本信息!B:C,2,0)</f>
        <v>130924198908123541</v>
      </c>
      <c r="I75" s="283"/>
      <c r="J75" s="287"/>
    </row>
    <row r="76" customHeight="1" spans="1:6">
      <c r="A76" s="279">
        <f t="shared" si="1"/>
        <v>75</v>
      </c>
      <c r="B76" s="161" t="str">
        <f>本月员工姓名!B76</f>
        <v>董广新</v>
      </c>
      <c r="C76" s="280" t="str">
        <f>VLOOKUP(B76,员工基本信息!B:Q,16,0)</f>
        <v>6214220101207778243</v>
      </c>
      <c r="D76" s="281">
        <f>VLOOKUP(B76,工资!B:AD,28,0)</f>
        <v>0</v>
      </c>
      <c r="E76" s="281" t="str">
        <f>VLOOKUP(B76,工资!B:AJ,34,0)</f>
        <v>6214220101207778243</v>
      </c>
      <c r="F76" s="282" t="str">
        <f>VLOOKUP(B76,员工基本信息!B:C,2,0)</f>
        <v>130983199604133016</v>
      </c>
    </row>
    <row r="77" ht="12.75" spans="1:6">
      <c r="A77" s="279">
        <f t="shared" si="1"/>
        <v>76</v>
      </c>
      <c r="B77" s="161" t="str">
        <f>本月员工姓名!B77</f>
        <v>高换清</v>
      </c>
      <c r="C77" s="280" t="str">
        <f>VLOOKUP(B77,员工基本信息!B:Q,16,0)</f>
        <v>6214220101205385199</v>
      </c>
      <c r="D77" s="281">
        <f>VLOOKUP(B77,工资!B:AD,28,0)</f>
        <v>0</v>
      </c>
      <c r="E77" s="281" t="str">
        <f>VLOOKUP(B77,工资!B:AJ,34,0)</f>
        <v>6214220101205385199</v>
      </c>
      <c r="F77" s="282" t="str">
        <f>VLOOKUP(B77,员工基本信息!B:C,2,0)</f>
        <v>130930198801133923</v>
      </c>
    </row>
    <row r="78" ht="12.75" spans="1:6">
      <c r="A78" s="279">
        <f t="shared" si="1"/>
        <v>77</v>
      </c>
      <c r="B78" s="161" t="str">
        <f>本月员工姓名!B78</f>
        <v>张立霞</v>
      </c>
      <c r="C78" s="280" t="str">
        <f>VLOOKUP(B78,员工基本信息!B:Q,16,0)</f>
        <v>6214220101205942197</v>
      </c>
      <c r="D78" s="281">
        <f>VLOOKUP(B78,工资!B:AD,28,0)</f>
        <v>0</v>
      </c>
      <c r="E78" s="281" t="str">
        <f>VLOOKUP(B78,工资!B:AJ,34,0)</f>
        <v>6214220101205942197</v>
      </c>
      <c r="F78" s="282" t="str">
        <f>VLOOKUP(B78,员工基本信息!B:C,2,0)</f>
        <v>130983198407232221</v>
      </c>
    </row>
    <row r="79" ht="12.75" spans="1:6">
      <c r="A79" s="279">
        <f t="shared" si="1"/>
        <v>78</v>
      </c>
      <c r="B79" s="161" t="str">
        <f>本月员工姓名!B79</f>
        <v>邓淑荣</v>
      </c>
      <c r="C79" s="280" t="str">
        <f>VLOOKUP(B79,员工基本信息!B:Q,16,0)</f>
        <v>6214220101205383178</v>
      </c>
      <c r="D79" s="281">
        <f>VLOOKUP(B79,工资!B:AD,28,0)</f>
        <v>0</v>
      </c>
      <c r="E79" s="281" t="str">
        <f>VLOOKUP(B79,工资!B:AJ,34,0)</f>
        <v>6214220101205383178</v>
      </c>
      <c r="F79" s="282" t="str">
        <f>VLOOKUP(B79,员工基本信息!B:C,2,0)</f>
        <v>132930197706291621</v>
      </c>
    </row>
    <row r="80" ht="12.75" spans="1:10">
      <c r="A80" s="279">
        <f t="shared" si="1"/>
        <v>79</v>
      </c>
      <c r="B80" s="161" t="str">
        <f>本月员工姓名!B80</f>
        <v>李春花</v>
      </c>
      <c r="C80" s="280" t="str">
        <f>VLOOKUP(B80,员工基本信息!B:Q,16,0)</f>
        <v>6214220101205385280</v>
      </c>
      <c r="D80" s="281">
        <f>VLOOKUP(B80,工资!B:AD,28,0)</f>
        <v>0</v>
      </c>
      <c r="E80" s="281" t="str">
        <f>VLOOKUP(B80,工资!B:AJ,34,0)</f>
        <v>6214220101205385280</v>
      </c>
      <c r="F80" s="282" t="str">
        <f>VLOOKUP(B80,员工基本信息!B:C,2,0)</f>
        <v>132930197907180928</v>
      </c>
      <c r="I80" s="287"/>
      <c r="J80" s="287"/>
    </row>
    <row r="81" ht="12.75" spans="1:12">
      <c r="A81" s="279">
        <f t="shared" si="1"/>
        <v>80</v>
      </c>
      <c r="B81" s="161" t="str">
        <f>本月员工姓名!B81</f>
        <v>张爽</v>
      </c>
      <c r="C81" s="280" t="str">
        <f>VLOOKUP(B81,员工基本信息!B:Q,16,0)</f>
        <v>6214220101207778854</v>
      </c>
      <c r="D81" s="281">
        <f>VLOOKUP(B81,工资!B:AD,28,0)</f>
        <v>0</v>
      </c>
      <c r="E81" s="281" t="str">
        <f>VLOOKUP(B81,工资!B:AJ,34,0)</f>
        <v>6214220101207778854</v>
      </c>
      <c r="F81" s="282" t="str">
        <f>VLOOKUP(B81,员工基本信息!B:C,2,0)</f>
        <v>130930198803203323</v>
      </c>
      <c r="K81" s="287"/>
      <c r="L81" s="287"/>
    </row>
    <row r="82" ht="12.75" spans="1:6">
      <c r="A82" s="279">
        <f t="shared" si="1"/>
        <v>81</v>
      </c>
      <c r="B82" s="161" t="str">
        <f>本月员工姓名!B82</f>
        <v>李勇</v>
      </c>
      <c r="C82" s="280" t="str">
        <f>VLOOKUP(B82,员工基本信息!B:Q,16,0)</f>
        <v>6214220101205786669</v>
      </c>
      <c r="D82" s="281">
        <f>VLOOKUP(B82,工资!B:AD,28,0)</f>
        <v>0</v>
      </c>
      <c r="E82" s="281" t="str">
        <f>VLOOKUP(B82,工资!B:AJ,34,0)</f>
        <v>6214220101205786669</v>
      </c>
      <c r="F82" s="282" t="str">
        <f>VLOOKUP(B82,员工基本信息!B:C,2,0)</f>
        <v>130930199703143911</v>
      </c>
    </row>
    <row r="83" ht="12.75" spans="1:6">
      <c r="A83" s="279">
        <f t="shared" si="1"/>
        <v>82</v>
      </c>
      <c r="B83" s="161" t="str">
        <f>本月员工姓名!B83</f>
        <v>许龙涛</v>
      </c>
      <c r="C83" s="280" t="str">
        <f>VLOOKUP(B83,员工基本信息!B:Q,16,0)</f>
        <v>6214220101207475477</v>
      </c>
      <c r="D83" s="281">
        <f>VLOOKUP(B83,工资!B:AD,28,0)</f>
        <v>0</v>
      </c>
      <c r="E83" s="281" t="str">
        <f>VLOOKUP(B83,工资!B:AJ,34,0)</f>
        <v>6214220101207475477</v>
      </c>
      <c r="F83" s="282" t="str">
        <f>VLOOKUP(B83,员工基本信息!B:C,2,0)</f>
        <v>130930200004123319</v>
      </c>
    </row>
    <row r="84" ht="12.75" spans="1:6">
      <c r="A84" s="279">
        <f t="shared" si="1"/>
        <v>83</v>
      </c>
      <c r="B84" s="161" t="str">
        <f>本月员工姓名!B84</f>
        <v>康淑玲</v>
      </c>
      <c r="C84" s="280" t="str">
        <f>VLOOKUP(B84,员工基本信息!B:Q,16,0)</f>
        <v>6214220101207603573</v>
      </c>
      <c r="D84" s="281">
        <f>VLOOKUP(B84,工资!B:AD,28,0)</f>
        <v>0</v>
      </c>
      <c r="E84" s="281" t="str">
        <f>VLOOKUP(B84,工资!B:AJ,34,0)</f>
        <v>6214220101207603573</v>
      </c>
      <c r="F84" s="282" t="str">
        <f>VLOOKUP(B84,员工基本信息!B:C,2,0)</f>
        <v>130983199101045022</v>
      </c>
    </row>
    <row r="85" ht="12.75" spans="1:6">
      <c r="A85" s="279">
        <f t="shared" si="1"/>
        <v>84</v>
      </c>
      <c r="B85" s="161" t="str">
        <f>本月员工姓名!B85</f>
        <v>邓竣译</v>
      </c>
      <c r="C85" s="295" t="str">
        <f>VLOOKUP(B85,员工基本信息!B:Q,16,0)</f>
        <v>6214220101209303529</v>
      </c>
      <c r="D85" s="281">
        <f>VLOOKUP(B85,工资!B:AD,28,0)</f>
        <v>0</v>
      </c>
      <c r="E85" s="296" t="str">
        <f>VLOOKUP(B85,工资!B:AJ,34,0)</f>
        <v>6214220101209303529</v>
      </c>
      <c r="F85" s="282" t="str">
        <f>VLOOKUP(B85,员工基本信息!B:C,2,0)</f>
        <v>130983200002201611</v>
      </c>
    </row>
    <row r="86" ht="12.75" spans="1:6">
      <c r="A86" s="279">
        <f t="shared" si="1"/>
        <v>85</v>
      </c>
      <c r="B86" s="161" t="str">
        <f>本月员工姓名!B86</f>
        <v>李冲冲</v>
      </c>
      <c r="C86" s="280" t="str">
        <f>VLOOKUP(B86,员工基本信息!B:Q,16,0)</f>
        <v>6214220101208176801</v>
      </c>
      <c r="D86" s="281">
        <f>VLOOKUP(B86,工资!B:AD,28,0)</f>
        <v>0</v>
      </c>
      <c r="E86" s="281" t="str">
        <f>VLOOKUP(B86,工资!B:AJ,34,0)</f>
        <v>6214220101208176801</v>
      </c>
      <c r="F86" s="282" t="str">
        <f>VLOOKUP(B86,员工基本信息!B:C,2,0)</f>
        <v>13098319930310537X</v>
      </c>
    </row>
    <row r="87" ht="12.75" spans="1:6">
      <c r="A87" s="279">
        <f t="shared" si="1"/>
        <v>86</v>
      </c>
      <c r="B87" s="161" t="e">
        <f>本月员工姓名!#REF!</f>
        <v>#REF!</v>
      </c>
      <c r="C87" s="280" t="e">
        <f>VLOOKUP(B87,员工基本信息!B:Q,16,0)</f>
        <v>#REF!</v>
      </c>
      <c r="D87" s="281" t="e">
        <f>VLOOKUP(B87,工资!B:AD,28,0)</f>
        <v>#REF!</v>
      </c>
      <c r="E87" s="281" t="e">
        <f>VLOOKUP(B87,工资!B:AJ,34,0)</f>
        <v>#REF!</v>
      </c>
      <c r="F87" s="282" t="e">
        <f>VLOOKUP(B87,员工基本信息!B:C,2,0)</f>
        <v>#REF!</v>
      </c>
    </row>
    <row r="88" ht="12.75" spans="1:10">
      <c r="A88" s="279">
        <f t="shared" si="1"/>
        <v>87</v>
      </c>
      <c r="B88" s="161" t="e">
        <f>本月员工姓名!#REF!</f>
        <v>#REF!</v>
      </c>
      <c r="C88" s="280" t="e">
        <f>VLOOKUP(B88,员工基本信息!B:Q,16,0)</f>
        <v>#REF!</v>
      </c>
      <c r="D88" s="281" t="e">
        <f>VLOOKUP(B88,工资!B:AD,28,0)</f>
        <v>#REF!</v>
      </c>
      <c r="E88" s="281" t="e">
        <f>VLOOKUP(B88,工资!B:AJ,34,0)</f>
        <v>#REF!</v>
      </c>
      <c r="F88" s="282" t="e">
        <f>VLOOKUP(B88,员工基本信息!B:C,2,0)</f>
        <v>#REF!</v>
      </c>
      <c r="I88" s="287"/>
      <c r="J88" s="287"/>
    </row>
    <row r="89" ht="12.75" spans="1:6">
      <c r="A89" s="279">
        <f t="shared" si="1"/>
        <v>88</v>
      </c>
      <c r="B89" s="161" t="e">
        <f>本月员工姓名!#REF!</f>
        <v>#REF!</v>
      </c>
      <c r="C89" s="280" t="e">
        <f>VLOOKUP(B89,员工基本信息!B:Q,16,0)</f>
        <v>#REF!</v>
      </c>
      <c r="D89" s="281" t="e">
        <f>VLOOKUP(B89,工资!B:AD,28,0)</f>
        <v>#REF!</v>
      </c>
      <c r="E89" s="281" t="e">
        <f>VLOOKUP(B89,工资!B:AJ,34,0)</f>
        <v>#REF!</v>
      </c>
      <c r="F89" s="282" t="e">
        <f>VLOOKUP(B89,员工基本信息!B:C,2,0)</f>
        <v>#REF!</v>
      </c>
    </row>
    <row r="90" ht="12.75" spans="1:6">
      <c r="A90" s="279">
        <f t="shared" si="1"/>
        <v>89</v>
      </c>
      <c r="B90" s="161" t="e">
        <f>本月员工姓名!#REF!</f>
        <v>#REF!</v>
      </c>
      <c r="C90" s="280" t="e">
        <f>VLOOKUP(B90,员工基本信息!B:Q,16,0)</f>
        <v>#REF!</v>
      </c>
      <c r="D90" s="281" t="e">
        <f>VLOOKUP(B90,工资!B:AD,28,0)</f>
        <v>#REF!</v>
      </c>
      <c r="E90" s="281" t="e">
        <f>VLOOKUP(B90,工资!B:AJ,34,0)</f>
        <v>#REF!</v>
      </c>
      <c r="F90" s="282" t="e">
        <f>VLOOKUP(B90,员工基本信息!B:C,2,0)</f>
        <v>#REF!</v>
      </c>
    </row>
    <row r="91" ht="12.75" spans="1:6">
      <c r="A91" s="279">
        <f t="shared" si="1"/>
        <v>90</v>
      </c>
      <c r="B91" s="161" t="e">
        <f>本月员工姓名!#REF!</f>
        <v>#REF!</v>
      </c>
      <c r="C91" s="280" t="e">
        <f>VLOOKUP(B91,员工基本信息!B:Q,16,0)</f>
        <v>#REF!</v>
      </c>
      <c r="D91" s="281" t="e">
        <f>VLOOKUP(B91,工资!B:AD,28,0)</f>
        <v>#REF!</v>
      </c>
      <c r="E91" s="281" t="e">
        <f>VLOOKUP(B91,工资!B:AJ,34,0)</f>
        <v>#REF!</v>
      </c>
      <c r="F91" s="282" t="e">
        <f>VLOOKUP(B91,员工基本信息!B:C,2,0)</f>
        <v>#REF!</v>
      </c>
    </row>
    <row r="92" ht="12.75" spans="1:6">
      <c r="A92" s="279">
        <f t="shared" si="1"/>
        <v>91</v>
      </c>
      <c r="B92" s="161" t="e">
        <f>本月员工姓名!#REF!</f>
        <v>#REF!</v>
      </c>
      <c r="C92" s="280" t="e">
        <f>VLOOKUP(B92,员工基本信息!B:Q,16,0)</f>
        <v>#REF!</v>
      </c>
      <c r="D92" s="281" t="e">
        <f>VLOOKUP(B92,工资!B:AD,28,0)</f>
        <v>#REF!</v>
      </c>
      <c r="E92" s="281" t="e">
        <f>VLOOKUP(B92,工资!B:AJ,34,0)</f>
        <v>#REF!</v>
      </c>
      <c r="F92" s="282" t="e">
        <f>VLOOKUP(B92,员工基本信息!B:C,2,0)</f>
        <v>#REF!</v>
      </c>
    </row>
  </sheetData>
  <autoFilter ref="A1:L92">
    <sortState ref="A1:L92">
      <sortCondition ref="E1"/>
    </sortState>
    <extLst/>
  </autoFilter>
  <pageMargins left="0.75" right="0.75" top="1" bottom="1" header="0.5" footer="0.5"/>
  <pageSetup paperSize="1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8"/>
  <sheetViews>
    <sheetView tabSelected="1" workbookViewId="0">
      <pane xSplit="2" ySplit="3" topLeftCell="T20" activePane="bottomRight" state="frozen"/>
      <selection/>
      <selection pane="topRight"/>
      <selection pane="bottomLeft"/>
      <selection pane="bottomRight" activeCell="AF29" sqref="AF29"/>
    </sheetView>
  </sheetViews>
  <sheetFormatPr defaultColWidth="9" defaultRowHeight="25" customHeight="1"/>
  <cols>
    <col min="1" max="1" width="4.125" style="251" customWidth="1"/>
    <col min="2" max="2" width="6" style="2" customWidth="1"/>
    <col min="3" max="3" width="16.25" style="252" customWidth="1"/>
    <col min="4" max="4" width="16" style="252" customWidth="1"/>
    <col min="5" max="5" width="19.625" style="252" customWidth="1"/>
    <col min="6" max="7" width="9" style="253" customWidth="1"/>
    <col min="8" max="8" width="9.875" style="254" customWidth="1"/>
    <col min="9" max="9" width="9" style="254" customWidth="1"/>
    <col min="10" max="10" width="9.875" style="255" customWidth="1"/>
    <col min="11" max="11" width="9" style="255" customWidth="1"/>
    <col min="12" max="12" width="8.75" style="255" customWidth="1"/>
    <col min="13" max="13" width="9" style="255" customWidth="1"/>
    <col min="14" max="14" width="9.875" style="256" customWidth="1"/>
    <col min="15" max="15" width="9.625" style="3" customWidth="1"/>
    <col min="16" max="17" width="8.125" style="3" customWidth="1"/>
    <col min="18" max="18" width="6.625" style="3" customWidth="1"/>
    <col min="19" max="19" width="9" style="3" customWidth="1"/>
    <col min="20" max="20" width="7.625" style="3" customWidth="1"/>
    <col min="21" max="22" width="10.375" style="3" customWidth="1"/>
    <col min="23" max="23" width="9.875" style="3" customWidth="1"/>
    <col min="24" max="24" width="9" style="3" customWidth="1"/>
    <col min="25" max="25" width="8.125" style="3" customWidth="1"/>
    <col min="26" max="26" width="9.875" style="3" customWidth="1"/>
    <col min="27" max="28" width="9" style="3" customWidth="1"/>
    <col min="29" max="29" width="10.625" style="3" customWidth="1"/>
    <col min="30" max="30" width="10.875" style="3" customWidth="1"/>
    <col min="31" max="31" width="17.125" style="257" customWidth="1"/>
    <col min="32" max="32" width="8.875" style="258" customWidth="1"/>
    <col min="33" max="33" width="12.125" style="258" customWidth="1"/>
    <col min="34" max="34" width="7.375" style="258" customWidth="1"/>
    <col min="35" max="35" width="16.25" style="258" customWidth="1"/>
    <col min="36" max="36" width="5.5" style="258" customWidth="1"/>
    <col min="37" max="37" width="7.375" style="258" customWidth="1"/>
    <col min="38" max="16384" width="9" style="252"/>
  </cols>
  <sheetData>
    <row r="1" s="4" customFormat="1" ht="27" customHeight="1" spans="1:35">
      <c r="A1" s="259" t="s">
        <v>14</v>
      </c>
      <c r="B1" s="4" t="s">
        <v>4</v>
      </c>
      <c r="C1" s="4" t="s">
        <v>15</v>
      </c>
      <c r="D1" s="4" t="s">
        <v>16</v>
      </c>
      <c r="E1" s="4" t="s">
        <v>17</v>
      </c>
      <c r="F1" s="260" t="s">
        <v>18</v>
      </c>
      <c r="G1" s="260" t="s">
        <v>19</v>
      </c>
      <c r="H1" s="5" t="s">
        <v>20</v>
      </c>
      <c r="I1" s="5" t="s">
        <v>21</v>
      </c>
      <c r="J1" s="5" t="s">
        <v>22</v>
      </c>
      <c r="K1" s="5" t="s">
        <v>23</v>
      </c>
      <c r="L1" s="5" t="s">
        <v>24</v>
      </c>
      <c r="M1" s="5" t="s">
        <v>25</v>
      </c>
      <c r="N1" s="5" t="s">
        <v>26</v>
      </c>
      <c r="O1" s="5" t="s">
        <v>27</v>
      </c>
      <c r="P1" s="5" t="s">
        <v>28</v>
      </c>
      <c r="Q1" s="5" t="s">
        <v>29</v>
      </c>
      <c r="R1" s="5" t="s">
        <v>30</v>
      </c>
      <c r="S1" s="5" t="s">
        <v>31</v>
      </c>
      <c r="T1" s="5" t="s">
        <v>32</v>
      </c>
      <c r="U1" s="5" t="s">
        <v>33</v>
      </c>
      <c r="V1" s="5" t="s">
        <v>34</v>
      </c>
      <c r="W1" s="5" t="s">
        <v>35</v>
      </c>
      <c r="X1" s="5" t="s">
        <v>36</v>
      </c>
      <c r="Y1" s="5" t="s">
        <v>37</v>
      </c>
      <c r="Z1" s="5" t="s">
        <v>38</v>
      </c>
      <c r="AA1" s="5" t="s">
        <v>39</v>
      </c>
      <c r="AB1" s="5" t="s">
        <v>40</v>
      </c>
      <c r="AC1" s="5" t="s">
        <v>41</v>
      </c>
      <c r="AD1" s="5" t="s">
        <v>42</v>
      </c>
      <c r="AE1" s="5" t="s">
        <v>43</v>
      </c>
      <c r="AF1" s="4" t="s">
        <v>44</v>
      </c>
      <c r="AG1" s="4" t="s">
        <v>45</v>
      </c>
      <c r="AH1" s="4" t="s">
        <v>46</v>
      </c>
      <c r="AI1" s="270"/>
    </row>
    <row r="2" s="248" customFormat="1" ht="27" customHeight="1" spans="1:34">
      <c r="A2" s="261"/>
      <c r="B2" s="262" t="s">
        <v>8</v>
      </c>
      <c r="C2" s="262"/>
      <c r="D2" s="262"/>
      <c r="E2" s="262"/>
      <c r="F2" s="263">
        <f>SUM(非生产人员工资!I:I)-F3</f>
        <v>0</v>
      </c>
      <c r="G2" s="263">
        <f>SUM(非生产人员工资!J:J)-G3</f>
        <v>0</v>
      </c>
      <c r="H2" s="263">
        <f>SUM(非生产人员工资!K:K)-H3</f>
        <v>0</v>
      </c>
      <c r="I2" s="263">
        <f>SUM(非生产人员工资!L:L)-I3</f>
        <v>0</v>
      </c>
      <c r="J2" s="263">
        <f>SUM(生产人员工资!I:I)-J3</f>
        <v>0</v>
      </c>
      <c r="K2" s="263">
        <f>SUM(生产人员工资!J:J)-K3</f>
        <v>0</v>
      </c>
      <c r="L2" s="263">
        <f>SUM(非生产人员工资!N:N)+SUM(生产人员工资!K:K)-L3</f>
        <v>0</v>
      </c>
      <c r="M2" s="263">
        <f>SUM(非生产人员工资!O:O)+SUM(生产人员工资!L:L)-M3</f>
        <v>0</v>
      </c>
      <c r="N2" s="263">
        <f>SUM(非生产人员工资!P:P)+SUM(生产人员工资!M:M)-N3</f>
        <v>0</v>
      </c>
      <c r="O2" s="263">
        <f>SUM(非生产人员工资!Q:Q)+SUM(生产人员工资!N:N)-O3</f>
        <v>0</v>
      </c>
      <c r="P2" s="263">
        <f>SUM(非生产人员工资!R:R)+SUM(生产人员工资!O:O)-P3</f>
        <v>0</v>
      </c>
      <c r="Q2" s="263">
        <f>SUM(非生产人员工资!S:S)+SUM(生产人员工资!P:P)-Q3</f>
        <v>0</v>
      </c>
      <c r="R2" s="263">
        <f>SUM(非生产人员工资!T:T)+SUM(生产人员工资!Q:Q)-R3</f>
        <v>0</v>
      </c>
      <c r="S2" s="263">
        <f>SUM(非生产人员工资!U:U)+SUM(生产人员工资!R:R)-S3</f>
        <v>0</v>
      </c>
      <c r="T2" s="263">
        <f>SUM(非生产人员工资!V:V)+SUM(生产人员工资!R:R)-T3</f>
        <v>0</v>
      </c>
      <c r="U2" s="263">
        <f>SUM(非生产人员工资!W:W)+SUM(生产人员工资!S:S)-U3</f>
        <v>0</v>
      </c>
      <c r="V2" s="263">
        <f>SUM(非生产人员工资!X:X)+SUM(生产人员工资!T:T)-V3</f>
        <v>0</v>
      </c>
      <c r="W2" s="263">
        <f>SUM(非生产人员工资!Y:Y)+SUM(生产人员工资!U:U)-W3</f>
        <v>0</v>
      </c>
      <c r="X2" s="263">
        <f>SUM(非生产人员工资!Z:Z)+SUM(生产人员工资!V:V)-X3</f>
        <v>0</v>
      </c>
      <c r="Y2" s="263">
        <f>ROUND(SUM(非生产人员工资!AA:AA)+SUM(生产人员工资!W:W)-Y3,2)</f>
        <v>0</v>
      </c>
      <c r="Z2" s="263">
        <f>SUM(非生产人员工资!AB:AB)+SUM(生产人员工资!X:X)-Z3</f>
        <v>0</v>
      </c>
      <c r="AA2" s="263">
        <f>SUM(非生产人员工资!AC:AC)+SUM(生产人员工资!Y:Y)-AA3</f>
        <v>0</v>
      </c>
      <c r="AB2" s="263"/>
      <c r="AC2" s="263">
        <f>SUM(非生产人员工资!AF:AF)+SUM(生产人员工资!AB:AB)-AC3</f>
        <v>0</v>
      </c>
      <c r="AD2" s="263">
        <f>SUM(非生产人员工资!AG:AG)+SUM(生产人员工资!AC:AC)-AD3</f>
        <v>0</v>
      </c>
      <c r="AE2" s="268"/>
      <c r="AF2" s="268"/>
      <c r="AG2" s="268"/>
      <c r="AH2" s="268"/>
    </row>
    <row r="3" s="248" customFormat="1" ht="27" customHeight="1" spans="1:36">
      <c r="A3" s="261"/>
      <c r="B3" s="262" t="s">
        <v>47</v>
      </c>
      <c r="C3" s="262"/>
      <c r="D3" s="262"/>
      <c r="E3" s="262"/>
      <c r="F3" s="263">
        <f>SUM(F4:F88)</f>
        <v>69081</v>
      </c>
      <c r="G3" s="263">
        <f t="shared" ref="G3:AD3" si="0">SUM(G4:G88)</f>
        <v>9114.48850574712</v>
      </c>
      <c r="H3" s="263">
        <f t="shared" si="0"/>
        <v>110699.484873563</v>
      </c>
      <c r="I3" s="263">
        <f t="shared" si="0"/>
        <v>23548.058</v>
      </c>
      <c r="J3" s="263">
        <f t="shared" si="0"/>
        <v>114331.08</v>
      </c>
      <c r="K3" s="263">
        <f t="shared" si="0"/>
        <v>6370.09</v>
      </c>
      <c r="L3" s="263">
        <f t="shared" si="0"/>
        <v>2519.05</v>
      </c>
      <c r="M3" s="263">
        <f t="shared" si="0"/>
        <v>2315</v>
      </c>
      <c r="N3" s="263">
        <f t="shared" si="0"/>
        <v>4970</v>
      </c>
      <c r="O3" s="263">
        <f t="shared" si="0"/>
        <v>500</v>
      </c>
      <c r="P3" s="263">
        <f t="shared" si="0"/>
        <v>1610</v>
      </c>
      <c r="Q3" s="263">
        <f t="shared" si="0"/>
        <v>935.58</v>
      </c>
      <c r="R3" s="263">
        <f t="shared" si="0"/>
        <v>0</v>
      </c>
      <c r="S3" s="263">
        <f t="shared" si="0"/>
        <v>-1493.05882352941</v>
      </c>
      <c r="T3" s="263">
        <f t="shared" si="0"/>
        <v>-200</v>
      </c>
      <c r="U3" s="263">
        <f t="shared" si="0"/>
        <v>0</v>
      </c>
      <c r="V3" s="263">
        <f t="shared" si="0"/>
        <v>-150</v>
      </c>
      <c r="W3" s="263">
        <f t="shared" si="0"/>
        <v>344150.78</v>
      </c>
      <c r="X3" s="263">
        <f t="shared" si="0"/>
        <v>17639.62</v>
      </c>
      <c r="Y3" s="263">
        <f t="shared" si="0"/>
        <v>7650.49999999999</v>
      </c>
      <c r="Z3" s="263">
        <f t="shared" si="0"/>
        <v>693.78</v>
      </c>
      <c r="AA3" s="263">
        <f t="shared" si="0"/>
        <v>8127</v>
      </c>
      <c r="AB3" s="263">
        <f t="shared" si="0"/>
        <v>14097.03</v>
      </c>
      <c r="AC3" s="263">
        <f t="shared" si="0"/>
        <v>2025.91</v>
      </c>
      <c r="AD3" s="263">
        <f t="shared" si="0"/>
        <v>293916.94</v>
      </c>
      <c r="AE3" s="268"/>
      <c r="AF3" s="268"/>
      <c r="AG3" s="268"/>
      <c r="AH3" s="268"/>
      <c r="AI3" s="248" t="s">
        <v>48</v>
      </c>
      <c r="AJ3" s="248" t="s">
        <v>49</v>
      </c>
    </row>
    <row r="4" s="249" customFormat="1" ht="27" customHeight="1" spans="1:37">
      <c r="A4" s="264">
        <v>1</v>
      </c>
      <c r="B4" s="6" t="str">
        <f>本月员工姓名!B2</f>
        <v>崔海龙</v>
      </c>
      <c r="C4" s="265" t="str">
        <f>VLOOKUP($B4,员工基本信息!$B:$I,2,FALSE)</f>
        <v>370923198707152838</v>
      </c>
      <c r="D4" s="266" t="str">
        <f>VLOOKUP($B4,员工基本信息!$B:$I,4,FALSE)</f>
        <v>销售服务科</v>
      </c>
      <c r="E4" s="266" t="str">
        <f>VLOOKUP($B4,员工基本信息!$B:$I,5,FALSE)</f>
        <v>戴姆勒服务（驻外）</v>
      </c>
      <c r="F4" s="267">
        <f>IF(ISERROR(VLOOKUP($C4,非生产人员工资!C:I,7,FALSE)),0,VLOOKUP($C4,非生产人员工资!C:I,7,FALSE))</f>
        <v>2050</v>
      </c>
      <c r="G4" s="267">
        <f>IF(ISERROR(VLOOKUP($C4,非生产人员工资!C:J,8,0)),0,VLOOKUP($C4,非生产人员工资!C:J,8,FALSE))</f>
        <v>2279.74137931034</v>
      </c>
      <c r="H4" s="7">
        <f>IF(ISERROR(VLOOKUP($C4,非生产人员工资!C:K,9,FALSE)),0,VLOOKUP($C4,非生产人员工资!C:K,9,FALSE))</f>
        <v>695</v>
      </c>
      <c r="I4" s="7">
        <f>IF(ISERROR(VLOOKUP($C4,非生产人员工资!C:L,10,FALSE)),0,VLOOKUP($C4,非生产人员工资!C:L,10,FALSE))</f>
        <v>305</v>
      </c>
      <c r="J4" s="7">
        <f>IF(ISERROR(VLOOKUP($C4,生产人员工资!C:I,7,FALSE)),0,VLOOKUP($C4,生产人员工资!C:I,7,FALSE))</f>
        <v>0</v>
      </c>
      <c r="K4" s="7">
        <f>IF(ISERROR(VLOOKUP($C4,生产人员工资!C:J,8,FALSE)),0,VLOOKUP($C4,生产人员工资!C:J,8,FALSE))</f>
        <v>0</v>
      </c>
      <c r="L4" s="7" t="str">
        <f>IF(ISERROR(IF(ISERROR(VLOOKUP($C4,非生产人员工资!C:N,12,FALSE)),VLOOKUP($C4,生产人员工资!C:K,9,FALSE),VLOOKUP($C4,非生产人员工资!C:N,12,FALSE))),0,IF(ISERROR(VLOOKUP($C4,非生产人员工资!C:N,12,FALSE)),VLOOKUP($C4,生产人员工资!C:K,9,FALSE),VLOOKUP($C4,非生产人员工资!C:N,12,FALSE)))</f>
        <v>0.00</v>
      </c>
      <c r="M4" s="7" t="str">
        <f>IF(ISERROR(IF(ISERROR(VLOOKUP($C4,非生产人员工资!$C:$O,13,FALSE)),VLOOKUP($C4,生产人员工资!$C:$L,10,FALSE),VLOOKUP($C4,非生产人员工资!$C:$O,13,FALSE))),0,IF(ISERROR(VLOOKUP($C4,非生产人员工资!$C:$O,13,FALSE)),VLOOKUP($C4,生产人员工资!$C:$L,10,FALSE),VLOOKUP($C4,非生产人员工资!$C:$O,13,FALSE)))</f>
        <v>0.00</v>
      </c>
      <c r="N4" s="7" t="str">
        <f>IF(ISERROR(IF(ISERROR(VLOOKUP($C4,非生产人员工资!$C:$P,14,FALSE)),VLOOKUP($C4,生产人员工资!$C:$M,11,FALSE),VLOOKUP($C4,非生产人员工资!$C:$P,14,FALSE))),0,IF(ISERROR(VLOOKUP($C4,非生产人员工资!$C:$P,14,FALSE)),VLOOKUP($C4,生产人员工资!$C:$M,11,FALSE),VLOOKUP($C4,非生产人员工资!$C:$P,14,FALSE)))</f>
        <v>0.00</v>
      </c>
      <c r="O4" s="7">
        <f>IF(ISERROR(IF(ISERROR(VLOOKUP($C4,非生产人员工资!C:Q,15,FALSE)),VLOOKUP($C4,生产人员工资!C:N,12,FALSE),VLOOKUP($C4,非生产人员工资!C:Q,15,FALSE))),0,IF(ISERROR(VLOOKUP($C4,非生产人员工资!C:Q,15,FALSE)),VLOOKUP($C4,生产人员工资!C:N,12,FALSE),VLOOKUP($C4,非生产人员工资!C:Q,15,FALSE)))</f>
        <v>500</v>
      </c>
      <c r="P4" s="7">
        <f>IF(ISERROR(IF(ISERROR(VLOOKUP($C4,非生产人员工资!C:R,16,FALSE)),VLOOKUP($C4,生产人员工资!C:O,13,FALSE),VLOOKUP($C4,非生产人员工资!C:R,16,FALSE))),0,IF(ISERROR(VLOOKUP($C4,非生产人员工资!C:R,16,FALSE)),VLOOKUP($C4,生产人员工资!C:O,13,FALSE),VLOOKUP($C4,非生产人员工资!C:R,16,FALSE)))</f>
        <v>300</v>
      </c>
      <c r="Q4" s="7" t="str">
        <f>IF(ISERROR(IF(ISERROR(VLOOKUP($C4,非生产人员工资!C:S,17,FALSE)),VLOOKUP($C4,生产人员工资!C:P,14,FALSE),VLOOKUP($C4,非生产人员工资!C:S,17,FALSE))),0,IF(ISERROR(VLOOKUP($C4,非生产人员工资!C:S,17,FALSE)),VLOOKUP($C4,生产人员工资!C:P,14,FALSE),VLOOKUP($C4,非生产人员工资!C:S,17,FALSE)))</f>
        <v>0.00</v>
      </c>
      <c r="R4" s="7" t="str">
        <f>IF(ISERROR(IF(ISERROR(VLOOKUP($C4,非生产人员工资!C:T,18,FALSE)),VLOOKUP($C4,生产人员工资!C:Q,15,FALSE),VLOOKUP($C4,非生产人员工资!C:T,18,FALSE))),0,IF(ISERROR(VLOOKUP($C4,非生产人员工资!C:T,18,FALSE)),VLOOKUP($C4,生产人员工资!C:Q,15,FALSE),VLOOKUP($C4,非生产人员工资!C:T,18,FALSE)))</f>
        <v>0.00</v>
      </c>
      <c r="S4" s="7">
        <f>IF(ISERROR(VLOOKUP($C4,非生产人员工资!C:U,19,FALSE)),0,VLOOKUP($C4,非生产人员工资!C:U,19,FALSE))</f>
        <v>0</v>
      </c>
      <c r="T4" s="7" t="str">
        <f>IF(ISERROR(IF(ISERROR(VLOOKUP($C4,非生产人员工资!C:V,20,FALSE)),VLOOKUP($C4,生产人员工资!C:R,16,FALSE),VLOOKUP($C4,非生产人员工资!C:V,20,FALSE))),0,IF(ISERROR(VLOOKUP($C4,非生产人员工资!C:V,20,FALSE)),VLOOKUP($C4,生产人员工资!$C:$R,16,FALSE),VLOOKUP($C4,非生产人员工资!C:V,20,FALSE)))</f>
        <v>0.00</v>
      </c>
      <c r="U4" s="7" t="str">
        <f>IF(ISERROR(IF(ISERROR(VLOOKUP($C4,非生产人员工资!C:W,21,FALSE)),VLOOKUP($C4,生产人员工资!C:S,17,FALSE),VLOOKUP($C4,非生产人员工资!C:W,21,FALSE))),0,IF(ISERROR(VLOOKUP($C4,非生产人员工资!C:W,21,FALSE)),VLOOKUP($C4,生产人员工资!C:S,17,FALSE),VLOOKUP($C4,非生产人员工资!C:W,21,FALSE)))</f>
        <v>0</v>
      </c>
      <c r="V4" s="7" t="str">
        <f>IF(ISERROR(IF(ISERROR(VLOOKUP($C4,非生产人员工资!C:X,22,FALSE)),VLOOKUP($C4,生产人员工资!C:T,18,FALSE),VLOOKUP($C4,非生产人员工资!C:X,22,FALSE))),0,IF(ISERROR(VLOOKUP($C4,非生产人员工资!C:X,22,FALSE)),VLOOKUP($C4,生产人员工资!C:T,18,FALSE),VLOOKUP($C4,非生产人员工资!C:X,22,FALSE)))</f>
        <v>0.00</v>
      </c>
      <c r="W4" s="7">
        <f>ROUND(SUM(F4:R4)+S4+T4+U4+V4,2)</f>
        <v>6129.74</v>
      </c>
      <c r="X4" s="7">
        <f>IF(ISERROR(IF(ISERROR(VLOOKUP($C4,非生产人员工资!C:Z,24,FALSE)),VLOOKUP($C4,生产人员工资!C:V,20,FALSE),VLOOKUP($C4,非生产人员工资!$C:$Z,24,FALSE))),0,IF(ISERROR(VLOOKUP($C4,非生产人员工资!$C:$Z,24,FALSE)),VLOOKUP($C4,生产人员工资!$C:$V,20,FALSE),VLOOKUP($C4,非生产人员工资!$C:$Z,24,FALSE)))</f>
        <v>428.8</v>
      </c>
      <c r="Y4" s="7">
        <f>IF(ISERROR(IF(ISERROR(VLOOKUP($C4,非生产人员工资!C:AA,25,FALSE)),VLOOKUP($C4,生产人员工资!C:W,21,FALSE),VLOOKUP($C4,非生产人员工资!C:AA,25,FALSE))),0,IF(ISERROR(VLOOKUP($C4,非生产人员工资!C:AA,25,FALSE)),VLOOKUP($C4,生产人员工资!C:W,21,FALSE),VLOOKUP($C4,非生产人员工资!C:AA,25,FALSE)))</f>
        <v>110.2</v>
      </c>
      <c r="Z4" s="7">
        <f>IF(ISERROR(IF(ISERROR(VLOOKUP($C4,非生产人员工资!C:AB,26,FALSE)),VLOOKUP($C4,生产人员工资!C:X,22,FALSE),VLOOKUP($C4,非生产人员工资!C:AB,26,FALSE))),0,IF(ISERROR(VLOOKUP($C4,非生产人员工资!C:AB,26,FALSE)),VLOOKUP($C4,生产人员工资!C:X,22,FALSE),VLOOKUP($C4,非生产人员工资!C:AB,26,FALSE)))</f>
        <v>26.8</v>
      </c>
      <c r="AA4" s="7">
        <f>IF(ISERROR(IF(ISERROR(VLOOKUP($C4,非生产人员工资!C:AC,27,FALSE)),VLOOKUP($C4,生产人员工资!C:Y,23,FALSE),VLOOKUP($C4,非生产人员工资!C:AC,27,FALSE))),0,IF(ISERROR(VLOOKUP($C4,非生产人员工资!C:AC,27,FALSE)),VLOOKUP($C4,生产人员工资!C:Y,23,FALSE),VLOOKUP($C4,非生产人员工资!C:AC,27,FALSE)))</f>
        <v>324</v>
      </c>
      <c r="AB4" s="7">
        <f>IF(ISERROR(IF(ISERROR(VLOOKUP($C4,非生产人员工资!C:AD,28,FALSE)),VLOOKUP($C4,生产人员工资!C:Z,24,FALSE),VLOOKUP($C4,非生产人员工资!C:AD,28,FALSE))),0,IF(ISERROR(VLOOKUP($C4,非生产人员工资!C:AD,28,FALSE)),VLOOKUP($C4,生产人员工资!C:Z,24,FALSE),VLOOKUP($C4,非生产人员工资!C:AD,28,FALSE)))</f>
        <v>0</v>
      </c>
      <c r="AC4" s="269">
        <f>ROUND(IF(ISERROR(IF(ISERROR(VLOOKUP($C4,非生产人员工资!C:AF,30,FALSE)),VLOOKUP($C4,生产人员工资!C:AB,26,0),VLOOKUP($C4,非生产人员工资!C:AF,30,FALSE))),0,IF(ISERROR(VLOOKUP($C4,非生产人员工资!C:AF,30,FALSE)),VLOOKUP($C4,生产人员工资!C:AB,26,0),VLOOKUP($C4,非生产人员工资!C:AF,30,FALSE))),2)</f>
        <v>0</v>
      </c>
      <c r="AD4" s="269">
        <f>ROUND(W4-SUM(X4:AC4),2)</f>
        <v>5239.94</v>
      </c>
      <c r="AE4" s="269" t="str">
        <f>VLOOKUP($C4,员工基本信息!$C:$N,10,FALSE)</f>
        <v>销售费用+销售</v>
      </c>
      <c r="AF4" s="265" t="str">
        <f>VLOOKUP($C4,员工基本信息!$C:$O,11,FALSE)</f>
        <v>间接成本</v>
      </c>
      <c r="AG4" s="265" t="str">
        <f>VLOOKUP($C4,员工基本信息!$C:$O,12,FALSE)</f>
        <v>销售服务科</v>
      </c>
      <c r="AH4" s="265" t="str">
        <f>VLOOKUP($C4,员工基本信息!$C:$O,13,FALSE)</f>
        <v>驻外人员</v>
      </c>
      <c r="AI4" s="249" t="str">
        <f>VLOOKUP($B4,员工基本信息!$B:$S,16,FALSE)</f>
        <v>6227000012080794298</v>
      </c>
      <c r="AJ4" s="249" t="str">
        <f>VLOOKUP($B4,员工基本信息!$B:$S,18,FALSE)</f>
        <v>建行</v>
      </c>
      <c r="AK4" s="249" t="str">
        <f>VLOOKUP(C4,员工基本信息!$C:$M,11,0)</f>
        <v>间接成本</v>
      </c>
    </row>
    <row r="5" s="249" customFormat="1" ht="27" customHeight="1" spans="1:37">
      <c r="A5" s="264">
        <v>2</v>
      </c>
      <c r="B5" s="6" t="str">
        <f>本月员工姓名!B3</f>
        <v>陈阔</v>
      </c>
      <c r="C5" s="265" t="str">
        <f>VLOOKUP($B5,员工基本信息!$B:$I,2,FALSE)</f>
        <v>132930199202050532</v>
      </c>
      <c r="D5" s="266" t="str">
        <f>VLOOKUP($B5,员工基本信息!$B:$I,4,FALSE)</f>
        <v>综合管理部</v>
      </c>
      <c r="E5" s="266" t="str">
        <f>VLOOKUP($B5,员工基本信息!$B:$I,5,FALSE)</f>
        <v>厨师</v>
      </c>
      <c r="F5" s="267">
        <f>IF(ISERROR(VLOOKUP($C5,非生产人员工资!C:I,7,FALSE)),0,VLOOKUP($C5,非生产人员工资!C:I,7,FALSE))</f>
        <v>1790</v>
      </c>
      <c r="G5" s="267">
        <f>IF(ISERROR(VLOOKUP($C5,非生产人员工资!C:J,8,0)),0,VLOOKUP($C5,非生产人员工资!C:J,8,FALSE))</f>
        <v>0</v>
      </c>
      <c r="H5" s="7">
        <f>IF(ISERROR(VLOOKUP($C5,非生产人员工资!C:K,9,FALSE)),0,VLOOKUP($C5,非生产人员工资!C:K,9,FALSE))</f>
        <v>2530</v>
      </c>
      <c r="I5" s="7">
        <f>IF(ISERROR(VLOOKUP($C5,非生产人员工资!C:L,10,FALSE)),0,VLOOKUP($C5,非生产人员工资!C:L,10,FALSE))</f>
        <v>480</v>
      </c>
      <c r="J5" s="7">
        <f>IF(ISERROR(VLOOKUP($C5,生产人员工资!C:I,7,FALSE)),0,VLOOKUP($C5,生产人员工资!C:I,7,FALSE))</f>
        <v>0</v>
      </c>
      <c r="K5" s="7">
        <f>IF(ISERROR(VLOOKUP($C5,生产人员工资!C:J,8,FALSE)),0,VLOOKUP($C5,生产人员工资!C:J,8,FALSE))</f>
        <v>0</v>
      </c>
      <c r="L5" s="7">
        <f>IF(ISERROR(IF(ISERROR(VLOOKUP($C5,非生产人员工资!C:N,12,FALSE)),VLOOKUP($C5,生产人员工资!C:K,9,FALSE),VLOOKUP($C5,非生产人员工资!C:N,12,FALSE))),0,IF(ISERROR(VLOOKUP($C5,非生产人员工资!C:N,12,FALSE)),VLOOKUP($C5,生产人员工资!C:K,9,FALSE),VLOOKUP($C5,非生产人员工资!C:N,12,FALSE)))</f>
        <v>-48</v>
      </c>
      <c r="M5" s="7">
        <f>IF(ISERROR(IF(ISERROR(VLOOKUP($C5,非生产人员工资!$C:$O,13,FALSE)),VLOOKUP($C5,生产人员工资!$C:$L,10,FALSE),VLOOKUP($C5,非生产人员工资!$C:$O,13,FALSE))),0,IF(ISERROR(VLOOKUP($C5,非生产人员工资!$C:$O,13,FALSE)),VLOOKUP($C5,生产人员工资!$C:$L,10,FALSE),VLOOKUP($C5,非生产人员工资!$C:$O,13,FALSE)))</f>
        <v>115</v>
      </c>
      <c r="N5" s="7" t="str">
        <f>IF(ISERROR(IF(ISERROR(VLOOKUP($C5,非生产人员工资!$C:$P,14,FALSE)),VLOOKUP($C5,生产人员工资!$C:$M,11,FALSE),VLOOKUP($C5,非生产人员工资!$C:$P,14,FALSE))),0,IF(ISERROR(VLOOKUP($C5,非生产人员工资!$C:$P,14,FALSE)),VLOOKUP($C5,生产人员工资!$C:$M,11,FALSE),VLOOKUP($C5,非生产人员工资!$C:$P,14,FALSE)))</f>
        <v>0.00</v>
      </c>
      <c r="O5" s="7" t="str">
        <f>IF(ISERROR(IF(ISERROR(VLOOKUP($C5,非生产人员工资!C:Q,15,FALSE)),VLOOKUP($C5,生产人员工资!C:N,12,FALSE),VLOOKUP($C5,非生产人员工资!C:Q,15,FALSE))),0,IF(ISERROR(VLOOKUP($C5,非生产人员工资!C:Q,15,FALSE)),VLOOKUP($C5,生产人员工资!C:N,12,FALSE),VLOOKUP($C5,非生产人员工资!C:Q,15,FALSE)))</f>
        <v>0.00</v>
      </c>
      <c r="P5" s="7">
        <f>IF(ISERROR(IF(ISERROR(VLOOKUP($C5,非生产人员工资!C:R,16,FALSE)),VLOOKUP($C5,生产人员工资!C:O,13,FALSE),VLOOKUP($C5,非生产人员工资!C:R,16,FALSE))),0,IF(ISERROR(VLOOKUP($C5,非生产人员工资!C:R,16,FALSE)),VLOOKUP($C5,生产人员工资!C:O,13,FALSE),VLOOKUP($C5,非生产人员工资!C:R,16,FALSE)))</f>
        <v>170</v>
      </c>
      <c r="Q5" s="7" t="str">
        <f>IF(ISERROR(IF(ISERROR(VLOOKUP($C5,非生产人员工资!C:S,17,FALSE)),VLOOKUP($C5,生产人员工资!C:P,14,FALSE),VLOOKUP($C5,非生产人员工资!C:S,17,FALSE))),0,IF(ISERROR(VLOOKUP($C5,非生产人员工资!C:S,17,FALSE)),VLOOKUP($C5,生产人员工资!C:P,14,FALSE),VLOOKUP($C5,非生产人员工资!C:S,17,FALSE)))</f>
        <v>0.00</v>
      </c>
      <c r="R5" s="7" t="str">
        <f>IF(ISERROR(IF(ISERROR(VLOOKUP($C5,非生产人员工资!C:T,18,FALSE)),VLOOKUP($C5,生产人员工资!C:Q,15,FALSE),VLOOKUP($C5,非生产人员工资!C:T,18,FALSE))),0,IF(ISERROR(VLOOKUP($C5,非生产人员工资!C:T,18,FALSE)),VLOOKUP($C5,生产人员工资!C:Q,15,FALSE),VLOOKUP($C5,非生产人员工资!C:T,18,FALSE)))</f>
        <v>0.00</v>
      </c>
      <c r="S5" s="7">
        <f>IF(ISERROR(VLOOKUP($C5,非生产人员工资!C:U,19,FALSE)),0,VLOOKUP($C5,非生产人员工资!C:U,19,FALSE))</f>
        <v>-96</v>
      </c>
      <c r="T5" s="7" t="str">
        <f>IF(ISERROR(IF(ISERROR(VLOOKUP($C5,非生产人员工资!C:V,20,FALSE)),VLOOKUP($C5,生产人员工资!C:R,16,FALSE),VLOOKUP($C5,非生产人员工资!C:V,20,FALSE))),0,IF(ISERROR(VLOOKUP($C5,非生产人员工资!C:V,20,FALSE)),VLOOKUP($C5,生产人员工资!$C:$R,16,FALSE),VLOOKUP($C5,非生产人员工资!C:V,20,FALSE)))</f>
        <v>0.00</v>
      </c>
      <c r="U5" s="7" t="str">
        <f>IF(ISERROR(IF(ISERROR(VLOOKUP($C5,非生产人员工资!C:W,21,FALSE)),VLOOKUP($C5,生产人员工资!C:S,17,FALSE),VLOOKUP($C5,非生产人员工资!C:W,21,FALSE))),0,IF(ISERROR(VLOOKUP($C5,非生产人员工资!C:W,21,FALSE)),VLOOKUP($C5,生产人员工资!C:S,17,FALSE),VLOOKUP($C5,非生产人员工资!C:W,21,FALSE)))</f>
        <v>0</v>
      </c>
      <c r="V5" s="7" t="str">
        <f>IF(ISERROR(IF(ISERROR(VLOOKUP($C5,非生产人员工资!C:X,22,FALSE)),VLOOKUP($C5,生产人员工资!C:T,18,FALSE),VLOOKUP($C5,非生产人员工资!C:X,22,FALSE))),0,IF(ISERROR(VLOOKUP($C5,非生产人员工资!C:X,22,FALSE)),VLOOKUP($C5,生产人员工资!C:T,18,FALSE),VLOOKUP($C5,非生产人员工资!C:X,22,FALSE)))</f>
        <v>0.00</v>
      </c>
      <c r="W5" s="7">
        <f t="shared" ref="W5:W36" si="1">ROUND(SUM(F5:R5)+S5+T5+U5+V5,2)</f>
        <v>4941</v>
      </c>
      <c r="X5" s="7">
        <f>IF(ISERROR(IF(ISERROR(VLOOKUP($C5,非生产人员工资!C:Z,24,FALSE)),VLOOKUP($C5,生产人员工资!C:V,20,FALSE),VLOOKUP($C5,非生产人员工资!$C:$Z,24,FALSE))),0,IF(ISERROR(VLOOKUP($C5,非生产人员工资!$C:$Z,24,FALSE)),VLOOKUP($C5,生产人员工资!$C:$V,20,FALSE),VLOOKUP($C5,非生产人员工资!$C:$Z,24,FALSE)))</f>
        <v>226.9</v>
      </c>
      <c r="Y5" s="7">
        <f>IF(ISERROR(IF(ISERROR(VLOOKUP($C5,非生产人员工资!C:AA,25,FALSE)),VLOOKUP($C5,生产人员工资!C:W,21,FALSE),VLOOKUP($C5,非生产人员工资!C:AA,25,FALSE))),0,IF(ISERROR(VLOOKUP($C5,非生产人员工资!C:AA,25,FALSE)),VLOOKUP($C5,生产人员工资!C:W,21,FALSE),VLOOKUP($C5,非生产人员工资!C:AA,25,FALSE)))</f>
        <v>104.57</v>
      </c>
      <c r="Z5" s="7">
        <f>IF(ISERROR(IF(ISERROR(VLOOKUP($C5,非生产人员工资!C:AB,26,FALSE)),VLOOKUP($C5,生产人员工资!C:X,22,FALSE),VLOOKUP($C5,非生产人员工资!C:AB,26,FALSE))),0,IF(ISERROR(VLOOKUP($C5,非生产人员工资!C:AB,26,FALSE)),VLOOKUP($C5,生产人员工资!C:X,22,FALSE),VLOOKUP($C5,非生产人员工资!C:AB,26,FALSE)))</f>
        <v>8.51</v>
      </c>
      <c r="AA5" s="7">
        <f>IF(ISERROR(IF(ISERROR(VLOOKUP($C5,非生产人员工资!C:AC,27,FALSE)),VLOOKUP($C5,生产人员工资!C:Y,23,FALSE),VLOOKUP($C5,非生产人员工资!C:AC,27,FALSE))),0,IF(ISERROR(VLOOKUP($C5,非生产人员工资!C:AC,27,FALSE)),VLOOKUP($C5,生产人员工资!C:Y,23,FALSE),VLOOKUP($C5,非生产人员工资!C:AC,27,FALSE)))</f>
        <v>159</v>
      </c>
      <c r="AB5" s="7">
        <f>IF(ISERROR(IF(ISERROR(VLOOKUP($C5,非生产人员工资!C:AD,28,FALSE)),VLOOKUP($C5,生产人员工资!C:Z,24,FALSE),VLOOKUP($C5,非生产人员工资!C:AD,28,FALSE))),0,IF(ISERROR(VLOOKUP($C5,非生产人员工资!C:AD,28,FALSE)),VLOOKUP($C5,生产人员工资!C:Z,24,FALSE),VLOOKUP($C5,非生产人员工资!C:AD,28,FALSE)))</f>
        <v>261.84</v>
      </c>
      <c r="AC5" s="269">
        <f>ROUND(IF(ISERROR(IF(ISERROR(VLOOKUP($C5,非生产人员工资!C:AF,30,FALSE)),VLOOKUP($C5,生产人员工资!C:AB,26,0),VLOOKUP($C5,非生产人员工资!C:AF,30,FALSE))),0,IF(ISERROR(VLOOKUP($C5,非生产人员工资!C:AF,30,FALSE)),VLOOKUP($C5,生产人员工资!C:AB,26,0),VLOOKUP($C5,非生产人员工资!C:AF,30,FALSE))),2)</f>
        <v>0</v>
      </c>
      <c r="AD5" s="269">
        <f t="shared" ref="AD4:AD67" si="2">ROUND(W5-SUM(X5:AC5),2)</f>
        <v>4180.18</v>
      </c>
      <c r="AE5" s="269" t="str">
        <f>VLOOKUP($C5,员工基本信息!$C:$N,10,FALSE)</f>
        <v>管理费用+综合</v>
      </c>
      <c r="AF5" s="265" t="str">
        <f>VLOOKUP($C5,员工基本信息!$C:$O,11,FALSE)</f>
        <v>间接成本</v>
      </c>
      <c r="AG5" s="265" t="str">
        <f>VLOOKUP($C5,员工基本信息!$C:$O,12,FALSE)</f>
        <v>综合管理科</v>
      </c>
      <c r="AH5" s="265" t="str">
        <f>VLOOKUP($C5,员工基本信息!$C:$O,13,FALSE)</f>
        <v>辅助人员</v>
      </c>
      <c r="AI5" s="249" t="str">
        <f>VLOOKUP($B5,员工基本信息!$B:$S,16,FALSE)</f>
        <v>6214220101205379820</v>
      </c>
      <c r="AJ5" s="249" t="str">
        <f>VLOOKUP($B5,员工基本信息!$B:$S,18,FALSE)</f>
        <v>沧州</v>
      </c>
      <c r="AK5" s="249" t="str">
        <f>VLOOKUP(C5,员工基本信息!$C:$M,11,0)</f>
        <v>间接成本</v>
      </c>
    </row>
    <row r="6" s="250" customFormat="1" customHeight="1" spans="1:37">
      <c r="A6" s="264">
        <v>3</v>
      </c>
      <c r="B6" s="6" t="str">
        <f>本月员工姓名!B4</f>
        <v>王金言</v>
      </c>
      <c r="C6" s="265" t="str">
        <f>VLOOKUP($B6,员工基本信息!$B:$I,2,FALSE)</f>
        <v>132930198811144310</v>
      </c>
      <c r="D6" s="266" t="str">
        <f>VLOOKUP($B6,员工基本信息!$B:$I,4,FALSE)</f>
        <v>技术质量科</v>
      </c>
      <c r="E6" s="266" t="str">
        <f>VLOOKUP($B6,员工基本信息!$B:$I,5,FALSE)</f>
        <v>检验员</v>
      </c>
      <c r="F6" s="267">
        <f>IF(ISERROR(VLOOKUP($C6,非生产人员工资!C:I,7,FALSE)),0,VLOOKUP($C6,非生产人员工资!C:I,7,FALSE))</f>
        <v>1790</v>
      </c>
      <c r="G6" s="267">
        <f>IF(ISERROR(VLOOKUP($C6,非生产人员工资!C:J,8,0)),0,VLOOKUP($C6,非生产人员工资!C:J,8,FALSE))</f>
        <v>0</v>
      </c>
      <c r="H6" s="7">
        <f>IF(ISERROR(VLOOKUP($C6,非生产人员工资!C:K,9,FALSE)),0,VLOOKUP($C6,非生产人员工资!C:K,9,FALSE))</f>
        <v>1450</v>
      </c>
      <c r="I6" s="7">
        <f>IF(ISERROR(VLOOKUP($C6,非生产人员工资!C:L,10,FALSE)),0,VLOOKUP($C6,非生产人员工资!C:L,10,FALSE))</f>
        <v>360</v>
      </c>
      <c r="J6" s="7">
        <f>IF(ISERROR(VLOOKUP($C6,生产人员工资!C:I,7,FALSE)),0,VLOOKUP($C6,生产人员工资!C:I,7,FALSE))</f>
        <v>0</v>
      </c>
      <c r="K6" s="7">
        <f>IF(ISERROR(VLOOKUP($C6,生产人员工资!C:J,8,FALSE)),0,VLOOKUP($C6,生产人员工资!C:J,8,FALSE))</f>
        <v>0</v>
      </c>
      <c r="L6" s="7" t="str">
        <f>IF(ISERROR(IF(ISERROR(VLOOKUP($C6,非生产人员工资!C:N,12,FALSE)),VLOOKUP($C6,生产人员工资!C:K,9,FALSE),VLOOKUP($C6,非生产人员工资!C:N,12,FALSE))),0,IF(ISERROR(VLOOKUP($C6,非生产人员工资!C:N,12,FALSE)),VLOOKUP($C6,生产人员工资!C:K,9,FALSE),VLOOKUP($C6,非生产人员工资!C:N,12,FALSE)))</f>
        <v>0.00</v>
      </c>
      <c r="M6" s="7" t="str">
        <f>IF(ISERROR(IF(ISERROR(VLOOKUP($C6,非生产人员工资!$C:$O,13,FALSE)),VLOOKUP($C6,生产人员工资!$C:$L,10,FALSE),VLOOKUP($C6,非生产人员工资!$C:$O,13,FALSE))),0,IF(ISERROR(VLOOKUP($C6,非生产人员工资!$C:$O,13,FALSE)),VLOOKUP($C6,生产人员工资!$C:$L,10,FALSE),VLOOKUP($C6,非生产人员工资!$C:$O,13,FALSE)))</f>
        <v>0.00</v>
      </c>
      <c r="N6" s="7" t="str">
        <f>IF(ISERROR(IF(ISERROR(VLOOKUP($C6,非生产人员工资!$C:$P,14,FALSE)),VLOOKUP($C6,生产人员工资!$C:$M,11,FALSE),VLOOKUP($C6,非生产人员工资!$C:$P,14,FALSE))),0,IF(ISERROR(VLOOKUP($C6,非生产人员工资!$C:$P,14,FALSE)),VLOOKUP($C6,生产人员工资!$C:$M,11,FALSE),VLOOKUP($C6,非生产人员工资!$C:$P,14,FALSE)))</f>
        <v>0.00</v>
      </c>
      <c r="O6" s="7" t="str">
        <f>IF(ISERROR(IF(ISERROR(VLOOKUP($C6,非生产人员工资!C:Q,15,FALSE)),VLOOKUP($C6,生产人员工资!C:N,12,FALSE),VLOOKUP($C6,非生产人员工资!C:Q,15,FALSE))),0,IF(ISERROR(VLOOKUP($C6,非生产人员工资!C:Q,15,FALSE)),VLOOKUP($C6,生产人员工资!C:N,12,FALSE),VLOOKUP($C6,非生产人员工资!C:Q,15,FALSE)))</f>
        <v>0.00</v>
      </c>
      <c r="P6" s="7" t="str">
        <f>IF(ISERROR(IF(ISERROR(VLOOKUP($C6,非生产人员工资!C:R,16,FALSE)),VLOOKUP($C6,生产人员工资!C:O,13,FALSE),VLOOKUP($C6,非生产人员工资!C:R,16,FALSE))),0,IF(ISERROR(VLOOKUP($C6,非生产人员工资!C:R,16,FALSE)),VLOOKUP($C6,生产人员工资!C:O,13,FALSE),VLOOKUP($C6,非生产人员工资!C:R,16,FALSE)))</f>
        <v>0.00</v>
      </c>
      <c r="Q6" s="7" t="str">
        <f>IF(ISERROR(IF(ISERROR(VLOOKUP($C6,非生产人员工资!C:S,17,FALSE)),VLOOKUP($C6,生产人员工资!C:P,14,FALSE),VLOOKUP($C6,非生产人员工资!C:S,17,FALSE))),0,IF(ISERROR(VLOOKUP($C6,非生产人员工资!C:S,17,FALSE)),VLOOKUP($C6,生产人员工资!C:P,14,FALSE),VLOOKUP($C6,非生产人员工资!C:S,17,FALSE)))</f>
        <v>0.00</v>
      </c>
      <c r="R6" s="7" t="str">
        <f>IF(ISERROR(IF(ISERROR(VLOOKUP($C6,非生产人员工资!C:T,18,FALSE)),VLOOKUP($C6,生产人员工资!C:Q,15,FALSE),VLOOKUP($C6,非生产人员工资!C:T,18,FALSE))),0,IF(ISERROR(VLOOKUP($C6,非生产人员工资!C:T,18,FALSE)),VLOOKUP($C6,生产人员工资!C:Q,15,FALSE),VLOOKUP($C6,非生产人员工资!C:T,18,FALSE)))</f>
        <v>0.00</v>
      </c>
      <c r="S6" s="7">
        <f>IF(ISERROR(VLOOKUP($C6,非生产人员工资!C:U,19,FALSE)),0,VLOOKUP($C6,非生产人员工资!C:U,19,FALSE))</f>
        <v>0</v>
      </c>
      <c r="T6" s="7" t="str">
        <f>IF(ISERROR(IF(ISERROR(VLOOKUP($C6,非生产人员工资!C:V,20,FALSE)),VLOOKUP($C6,生产人员工资!C:R,16,FALSE),VLOOKUP($C6,非生产人员工资!C:V,20,FALSE))),0,IF(ISERROR(VLOOKUP($C6,非生产人员工资!C:V,20,FALSE)),VLOOKUP($C6,生产人员工资!$C:$R,16,FALSE),VLOOKUP($C6,非生产人员工资!C:V,20,FALSE)))</f>
        <v>0.00</v>
      </c>
      <c r="U6" s="7" t="str">
        <f>IF(ISERROR(IF(ISERROR(VLOOKUP($C6,非生产人员工资!C:W,21,FALSE)),VLOOKUP($C6,生产人员工资!C:S,17,FALSE),VLOOKUP($C6,非生产人员工资!C:W,21,FALSE))),0,IF(ISERROR(VLOOKUP($C6,非生产人员工资!C:W,21,FALSE)),VLOOKUP($C6,生产人员工资!C:S,17,FALSE),VLOOKUP($C6,非生产人员工资!C:W,21,FALSE)))</f>
        <v>0</v>
      </c>
      <c r="V6" s="7" t="str">
        <f>IF(ISERROR(IF(ISERROR(VLOOKUP($C6,非生产人员工资!C:X,22,FALSE)),VLOOKUP($C6,生产人员工资!C:T,18,FALSE),VLOOKUP($C6,非生产人员工资!C:X,22,FALSE))),0,IF(ISERROR(VLOOKUP($C6,非生产人员工资!C:X,22,FALSE)),VLOOKUP($C6,生产人员工资!C:T,18,FALSE),VLOOKUP($C6,非生产人员工资!C:X,22,FALSE)))</f>
        <v>0.00</v>
      </c>
      <c r="W6" s="7">
        <f t="shared" si="1"/>
        <v>3600</v>
      </c>
      <c r="X6" s="7">
        <f>IF(ISERROR(IF(ISERROR(VLOOKUP($C6,非生产人员工资!C:Z,24,FALSE)),VLOOKUP($C6,生产人员工资!C:V,20,FALSE),VLOOKUP($C6,非生产人员工资!$C:$Z,24,FALSE))),0,IF(ISERROR(VLOOKUP($C6,非生产人员工资!$C:$Z,24,FALSE)),VLOOKUP($C6,生产人员工资!$C:$V,20,FALSE),VLOOKUP($C6,非生产人员工资!$C:$Z,24,FALSE)))</f>
        <v>243.36</v>
      </c>
      <c r="Y6" s="7">
        <f>IF(ISERROR(IF(ISERROR(VLOOKUP($C6,非生产人员工资!C:AA,25,FALSE)),VLOOKUP($C6,生产人员工资!C:W,21,FALSE),VLOOKUP($C6,非生产人员工资!C:AA,25,FALSE))),0,IF(ISERROR(VLOOKUP($C6,非生产人员工资!C:AA,25,FALSE)),VLOOKUP($C6,生产人员工资!C:W,21,FALSE),VLOOKUP($C6,非生产人员工资!C:AA,25,FALSE)))</f>
        <v>104.57</v>
      </c>
      <c r="Z6" s="7">
        <f>IF(ISERROR(IF(ISERROR(VLOOKUP($C6,非生产人员工资!C:AB,26,FALSE)),VLOOKUP($C6,生产人员工资!C:X,22,FALSE),VLOOKUP($C6,非生产人员工资!C:AB,26,FALSE))),0,IF(ISERROR(VLOOKUP($C6,非生产人员工资!C:AB,26,FALSE)),VLOOKUP($C6,生产人员工资!C:X,22,FALSE),VLOOKUP($C6,非生产人员工资!C:AB,26,FALSE)))</f>
        <v>9.13</v>
      </c>
      <c r="AA6" s="7">
        <f>IF(ISERROR(IF(ISERROR(VLOOKUP($C6,非生产人员工资!C:AC,27,FALSE)),VLOOKUP($C6,生产人员工资!C:Y,23,FALSE),VLOOKUP($C6,非生产人员工资!C:AC,27,FALSE))),0,IF(ISERROR(VLOOKUP($C6,非生产人员工资!C:AC,27,FALSE)),VLOOKUP($C6,生产人员工资!C:Y,23,FALSE),VLOOKUP($C6,非生产人员工资!C:AC,27,FALSE)))</f>
        <v>0</v>
      </c>
      <c r="AB6" s="7">
        <f>IF(ISERROR(IF(ISERROR(VLOOKUP($C6,非生产人员工资!C:AD,28,FALSE)),VLOOKUP($C6,生产人员工资!C:Z,24,FALSE),VLOOKUP($C6,非生产人员工资!C:AD,28,FALSE))),0,IF(ISERROR(VLOOKUP($C6,非生产人员工资!C:AD,28,FALSE)),VLOOKUP($C6,生产人员工资!C:Z,24,FALSE),VLOOKUP($C6,非生产人员工资!C:AD,28,FALSE)))</f>
        <v>0</v>
      </c>
      <c r="AC6" s="269">
        <f>ROUND(IF(ISERROR(IF(ISERROR(VLOOKUP($C6,非生产人员工资!C:AF,30,FALSE)),VLOOKUP($C6,生产人员工资!C:AB,26,0),VLOOKUP($C6,非生产人员工资!C:AF,30,FALSE))),0,IF(ISERROR(VLOOKUP($C6,非生产人员工资!C:AF,30,FALSE)),VLOOKUP($C6,生产人员工资!C:AB,26,0),VLOOKUP($C6,非生产人员工资!C:AF,30,FALSE))),2)</f>
        <v>0</v>
      </c>
      <c r="AD6" s="269">
        <f t="shared" si="2"/>
        <v>3242.94</v>
      </c>
      <c r="AE6" s="269" t="str">
        <f>VLOOKUP($C6,员工基本信息!$C:$N,10,FALSE)</f>
        <v>研发费用+质量</v>
      </c>
      <c r="AF6" s="265" t="str">
        <f>VLOOKUP($C6,员工基本信息!$C:$O,11,FALSE)</f>
        <v>间接成本</v>
      </c>
      <c r="AG6" s="265" t="str">
        <f>VLOOKUP($C6,员工基本信息!$C:$O,12,FALSE)</f>
        <v>技术质量科</v>
      </c>
      <c r="AH6" s="265" t="str">
        <f>VLOOKUP($C6,员工基本信息!$C:$O,13,FALSE)</f>
        <v>研发人员</v>
      </c>
      <c r="AI6" s="249" t="str">
        <f>VLOOKUP($B6,员工基本信息!$B:$S,16,FALSE)</f>
        <v>6214220101205975205</v>
      </c>
      <c r="AJ6" s="249" t="str">
        <f>VLOOKUP($B6,员工基本信息!$B:$S,18,FALSE)</f>
        <v>沧州</v>
      </c>
      <c r="AK6" s="249" t="str">
        <f>VLOOKUP(C6,员工基本信息!$C:$M,11,0)</f>
        <v>间接成本</v>
      </c>
    </row>
    <row r="7" s="250" customFormat="1" customHeight="1" spans="1:37">
      <c r="A7" s="264">
        <v>4</v>
      </c>
      <c r="B7" s="6" t="str">
        <f>本月员工姓名!B5</f>
        <v>张博赟</v>
      </c>
      <c r="C7" s="265" t="str">
        <f>VLOOKUP($B7,员工基本信息!$B:$I,2,FALSE)</f>
        <v>130983199409292214</v>
      </c>
      <c r="D7" s="266" t="str">
        <f>VLOOKUP($B7,员工基本信息!$B:$I,4,FALSE)</f>
        <v>制造管理部-注塑车间</v>
      </c>
      <c r="E7" s="266" t="str">
        <f>VLOOKUP($B7,员工基本信息!$B:$I,5,FALSE)</f>
        <v>调机员</v>
      </c>
      <c r="F7" s="267">
        <f>IF(ISERROR(VLOOKUP($C7,非生产人员工资!C:I,7,FALSE)),0,VLOOKUP($C7,非生产人员工资!C:I,7,FALSE))</f>
        <v>1790</v>
      </c>
      <c r="G7" s="267">
        <f>IF(ISERROR(VLOOKUP($C7,非生产人员工资!C:J,8,0)),0,VLOOKUP($C7,非生产人员工资!C:J,8,FALSE))</f>
        <v>1255.05747126437</v>
      </c>
      <c r="H7" s="7">
        <f>IF(ISERROR(VLOOKUP($C7,非生产人员工资!C:K,9,FALSE)),0,VLOOKUP($C7,非生产人员工资!C:K,9,FALSE))</f>
        <v>509.942528735632</v>
      </c>
      <c r="I7" s="7">
        <f>IF(ISERROR(VLOOKUP($C7,非生产人员工资!C:L,10,FALSE)),0,VLOOKUP($C7,非生产人员工资!C:L,10,FALSE))</f>
        <v>1500</v>
      </c>
      <c r="J7" s="7">
        <f>IF(ISERROR(VLOOKUP($C7,生产人员工资!C:I,7,FALSE)),0,VLOOKUP($C7,生产人员工资!C:I,7,FALSE))</f>
        <v>0</v>
      </c>
      <c r="K7" s="7">
        <f>IF(ISERROR(VLOOKUP($C7,生产人员工资!C:J,8,FALSE)),0,VLOOKUP($C7,生产人员工资!C:J,8,FALSE))</f>
        <v>0</v>
      </c>
      <c r="L7" s="7">
        <f>IF(ISERROR(IF(ISERROR(VLOOKUP($C7,非生产人员工资!C:N,12,FALSE)),VLOOKUP($C7,生产人员工资!C:K,9,FALSE),VLOOKUP($C7,非生产人员工资!C:N,12,FALSE))),0,IF(ISERROR(VLOOKUP($C7,非生产人员工资!C:N,12,FALSE)),VLOOKUP($C7,生产人员工资!C:K,9,FALSE),VLOOKUP($C7,非生产人员工资!C:N,12,FALSE)))</f>
        <v>1350</v>
      </c>
      <c r="M7" s="7" t="str">
        <f>IF(ISERROR(IF(ISERROR(VLOOKUP($C7,非生产人员工资!$C:$O,13,FALSE)),VLOOKUP($C7,生产人员工资!$C:$L,10,FALSE),VLOOKUP($C7,非生产人员工资!$C:$O,13,FALSE))),0,IF(ISERROR(VLOOKUP($C7,非生产人员工资!$C:$O,13,FALSE)),VLOOKUP($C7,生产人员工资!$C:$L,10,FALSE),VLOOKUP($C7,非生产人员工资!$C:$O,13,FALSE)))</f>
        <v>0.00</v>
      </c>
      <c r="N7" s="7">
        <f>IF(ISERROR(IF(ISERROR(VLOOKUP($C7,非生产人员工资!$C:$P,14,FALSE)),VLOOKUP($C7,生产人员工资!$C:$M,11,FALSE),VLOOKUP($C7,非生产人员工资!$C:$P,14,FALSE))),0,IF(ISERROR(VLOOKUP($C7,非生产人员工资!$C:$P,14,FALSE)),VLOOKUP($C7,生产人员工资!$C:$M,11,FALSE),VLOOKUP($C7,非生产人员工资!$C:$P,14,FALSE)))</f>
        <v>60</v>
      </c>
      <c r="O7" s="7" t="str">
        <f>IF(ISERROR(IF(ISERROR(VLOOKUP($C7,非生产人员工资!C:Q,15,FALSE)),VLOOKUP($C7,生产人员工资!C:N,12,FALSE),VLOOKUP($C7,非生产人员工资!C:Q,15,FALSE))),0,IF(ISERROR(VLOOKUP($C7,非生产人员工资!C:Q,15,FALSE)),VLOOKUP($C7,生产人员工资!C:N,12,FALSE),VLOOKUP($C7,非生产人员工资!C:Q,15,FALSE)))</f>
        <v>0.00</v>
      </c>
      <c r="P7" s="7" t="str">
        <f>IF(ISERROR(IF(ISERROR(VLOOKUP($C7,非生产人员工资!C:R,16,FALSE)),VLOOKUP($C7,生产人员工资!C:O,13,FALSE),VLOOKUP($C7,非生产人员工资!C:R,16,FALSE))),0,IF(ISERROR(VLOOKUP($C7,非生产人员工资!C:R,16,FALSE)),VLOOKUP($C7,生产人员工资!C:O,13,FALSE),VLOOKUP($C7,非生产人员工资!C:R,16,FALSE)))</f>
        <v>0.00</v>
      </c>
      <c r="Q7" s="7" t="str">
        <f>IF(ISERROR(IF(ISERROR(VLOOKUP($C7,非生产人员工资!C:S,17,FALSE)),VLOOKUP($C7,生产人员工资!C:P,14,FALSE),VLOOKUP($C7,非生产人员工资!C:S,17,FALSE))),0,IF(ISERROR(VLOOKUP($C7,非生产人员工资!C:S,17,FALSE)),VLOOKUP($C7,生产人员工资!C:P,14,FALSE),VLOOKUP($C7,非生产人员工资!C:S,17,FALSE)))</f>
        <v>0.00</v>
      </c>
      <c r="R7" s="7" t="str">
        <f>IF(ISERROR(IF(ISERROR(VLOOKUP($C7,非生产人员工资!C:T,18,FALSE)),VLOOKUP($C7,生产人员工资!C:Q,15,FALSE),VLOOKUP($C7,非生产人员工资!C:T,18,FALSE))),0,IF(ISERROR(VLOOKUP($C7,非生产人员工资!C:T,18,FALSE)),VLOOKUP($C7,生产人员工资!C:Q,15,FALSE),VLOOKUP($C7,非生产人员工资!C:T,18,FALSE)))</f>
        <v>0.00</v>
      </c>
      <c r="S7" s="7">
        <f>IF(ISERROR(VLOOKUP($C7,非生产人员工资!C:U,19,FALSE)),0,VLOOKUP($C7,非生产人员工资!C:U,19,FALSE))</f>
        <v>0</v>
      </c>
      <c r="T7" s="7">
        <f>IF(ISERROR(IF(ISERROR(VLOOKUP($C7,非生产人员工资!C:V,20,FALSE)),VLOOKUP($C7,生产人员工资!C:R,16,FALSE),VLOOKUP($C7,非生产人员工资!C:V,20,FALSE))),0,IF(ISERROR(VLOOKUP($C7,非生产人员工资!C:V,20,FALSE)),VLOOKUP($C7,生产人员工资!$C:$R,16,FALSE),VLOOKUP($C7,非生产人员工资!C:V,20,FALSE)))</f>
        <v>-200</v>
      </c>
      <c r="U7" s="7" t="str">
        <f>IF(ISERROR(IF(ISERROR(VLOOKUP($C7,非生产人员工资!C:W,21,FALSE)),VLOOKUP($C7,生产人员工资!C:S,17,FALSE),VLOOKUP($C7,非生产人员工资!C:W,21,FALSE))),0,IF(ISERROR(VLOOKUP($C7,非生产人员工资!C:W,21,FALSE)),VLOOKUP($C7,生产人员工资!C:S,17,FALSE),VLOOKUP($C7,非生产人员工资!C:W,21,FALSE)))</f>
        <v>0</v>
      </c>
      <c r="V7" s="7">
        <f>IF(ISERROR(IF(ISERROR(VLOOKUP($C7,非生产人员工资!C:X,22,FALSE)),VLOOKUP($C7,生产人员工资!C:T,18,FALSE),VLOOKUP($C7,非生产人员工资!C:X,22,FALSE))),0,IF(ISERROR(VLOOKUP($C7,非生产人员工资!C:X,22,FALSE)),VLOOKUP($C7,生产人员工资!C:T,18,FALSE),VLOOKUP($C7,非生产人员工资!C:X,22,FALSE)))</f>
        <v>-30</v>
      </c>
      <c r="W7" s="7">
        <f t="shared" si="1"/>
        <v>6235</v>
      </c>
      <c r="X7" s="7">
        <f>IF(ISERROR(IF(ISERROR(VLOOKUP($C7,非生产人员工资!C:Z,24,FALSE)),VLOOKUP($C7,生产人员工资!C:V,20,FALSE),VLOOKUP($C7,非生产人员工资!$C:$Z,24,FALSE))),0,IF(ISERROR(VLOOKUP($C7,非生产人员工资!$C:$Z,24,FALSE)),VLOOKUP($C7,生产人员工资!$C:$V,20,FALSE),VLOOKUP($C7,非生产人员工资!$C:$Z,24,FALSE)))</f>
        <v>226.9</v>
      </c>
      <c r="Y7" s="7">
        <f>IF(ISERROR(IF(ISERROR(VLOOKUP($C7,非生产人员工资!C:AA,25,FALSE)),VLOOKUP($C7,生产人员工资!C:W,21,FALSE),VLOOKUP($C7,非生产人员工资!C:AA,25,FALSE))),0,IF(ISERROR(VLOOKUP($C7,非生产人员工资!C:AA,25,FALSE)),VLOOKUP($C7,生产人员工资!C:W,21,FALSE),VLOOKUP($C7,非生产人员工资!C:AA,25,FALSE)))</f>
        <v>104.57</v>
      </c>
      <c r="Z7" s="7">
        <f>IF(ISERROR(IF(ISERROR(VLOOKUP($C7,非生产人员工资!C:AB,26,FALSE)),VLOOKUP($C7,生产人员工资!C:X,22,FALSE),VLOOKUP($C7,非生产人员工资!C:AB,26,FALSE))),0,IF(ISERROR(VLOOKUP($C7,非生产人员工资!C:AB,26,FALSE)),VLOOKUP($C7,生产人员工资!C:X,22,FALSE),VLOOKUP($C7,非生产人员工资!C:AB,26,FALSE)))</f>
        <v>8.51</v>
      </c>
      <c r="AA7" s="7">
        <f>IF(ISERROR(IF(ISERROR(VLOOKUP($C7,非生产人员工资!C:AC,27,FALSE)),VLOOKUP($C7,生产人员工资!C:Y,23,FALSE),VLOOKUP($C7,非生产人员工资!C:AC,27,FALSE))),0,IF(ISERROR(VLOOKUP($C7,非生产人员工资!C:AC,27,FALSE)),VLOOKUP($C7,生产人员工资!C:Y,23,FALSE),VLOOKUP($C7,非生产人员工资!C:AC,27,FALSE)))</f>
        <v>159</v>
      </c>
      <c r="AB7" s="7">
        <f>IF(ISERROR(IF(ISERROR(VLOOKUP($C7,非生产人员工资!C:AD,28,FALSE)),VLOOKUP($C7,生产人员工资!C:Z,24,FALSE),VLOOKUP($C7,非生产人员工资!C:AD,28,FALSE))),0,IF(ISERROR(VLOOKUP($C7,非生产人员工资!C:AD,28,FALSE)),VLOOKUP($C7,生产人员工资!C:Z,24,FALSE),VLOOKUP($C7,非生产人员工资!C:AD,28,FALSE)))</f>
        <v>261.84</v>
      </c>
      <c r="AC7" s="269">
        <f>ROUND(IF(ISERROR(IF(ISERROR(VLOOKUP($C7,非生产人员工资!C:AF,30,FALSE)),VLOOKUP($C7,生产人员工资!C:AB,26,0),VLOOKUP($C7,非生产人员工资!C:AF,30,FALSE))),0,IF(ISERROR(VLOOKUP($C7,非生产人员工资!C:AF,30,FALSE)),VLOOKUP($C7,生产人员工资!C:AB,26,0),VLOOKUP($C7,非生产人员工资!C:AF,30,FALSE))),2)</f>
        <v>0</v>
      </c>
      <c r="AD7" s="269">
        <f t="shared" si="2"/>
        <v>5474.18</v>
      </c>
      <c r="AE7" s="269" t="str">
        <f>VLOOKUP($C7,员工基本信息!$C:$N,10,FALSE)</f>
        <v>生产成本+注塑</v>
      </c>
      <c r="AF7" s="265" t="str">
        <f>VLOOKUP($C7,员工基本信息!$C:$O,11,FALSE)</f>
        <v>直接成本</v>
      </c>
      <c r="AG7" s="265" t="str">
        <f>VLOOKUP($C7,员工基本信息!$C:$O,12,FALSE)</f>
        <v>注塑车间</v>
      </c>
      <c r="AH7" s="265" t="str">
        <f>VLOOKUP($C7,员工基本信息!$C:$O,13,FALSE)</f>
        <v>生产人员</v>
      </c>
      <c r="AI7" s="249" t="str">
        <f>VLOOKUP($B7,员工基本信息!$B:$S,16,FALSE)</f>
        <v>6214220101205384721</v>
      </c>
      <c r="AJ7" s="249" t="str">
        <f>VLOOKUP($B7,员工基本信息!$B:$S,18,FALSE)</f>
        <v>沧州</v>
      </c>
      <c r="AK7" s="249" t="str">
        <f>VLOOKUP(C7,员工基本信息!$C:$M,11,0)</f>
        <v>直接成本</v>
      </c>
    </row>
    <row r="8" s="250" customFormat="1" customHeight="1" spans="1:37">
      <c r="A8" s="264">
        <v>5</v>
      </c>
      <c r="B8" s="6" t="str">
        <f>本月员工姓名!B6</f>
        <v>张俊新</v>
      </c>
      <c r="C8" s="265" t="str">
        <f>VLOOKUP($B8,员工基本信息!$B:$I,2,FALSE)</f>
        <v>132930196701291812</v>
      </c>
      <c r="D8" s="266" t="str">
        <f>VLOOKUP($B8,员工基本信息!$B:$I,4,FALSE)</f>
        <v>生产管理部</v>
      </c>
      <c r="E8" s="266" t="str">
        <f>VLOOKUP($B8,员工基本信息!$B:$I,5,FALSE)</f>
        <v>仓库上料工</v>
      </c>
      <c r="F8" s="267">
        <f>IF(ISERROR(VLOOKUP($C8,非生产人员工资!C:I,7,FALSE)),0,VLOOKUP($C8,非生产人员工资!C:I,7,FALSE))</f>
        <v>1790</v>
      </c>
      <c r="G8" s="267">
        <f>IF(ISERROR(VLOOKUP($C8,非生产人员工资!C:J,8,0)),0,VLOOKUP($C8,非生产人员工资!C:J,8,FALSE))</f>
        <v>364</v>
      </c>
      <c r="H8" s="7">
        <f>IF(ISERROR(VLOOKUP($C8,非生产人员工资!C:K,9,FALSE)),0,VLOOKUP($C8,非生产人员工资!C:K,9,FALSE))</f>
        <v>0</v>
      </c>
      <c r="I8" s="7">
        <f>IF(ISERROR(VLOOKUP($C8,非生产人员工资!C:L,10,FALSE)),0,VLOOKUP($C8,非生产人员工资!C:L,10,FALSE))</f>
        <v>552.75</v>
      </c>
      <c r="J8" s="7">
        <f>IF(ISERROR(VLOOKUP($C8,生产人员工资!C:I,7,FALSE)),0,VLOOKUP($C8,生产人员工资!C:I,7,FALSE))</f>
        <v>0</v>
      </c>
      <c r="K8" s="7">
        <f>IF(ISERROR(VLOOKUP($C8,生产人员工资!C:J,8,FALSE)),0,VLOOKUP($C8,生产人员工资!C:J,8,FALSE))</f>
        <v>0</v>
      </c>
      <c r="L8" s="7" t="str">
        <f>IF(ISERROR(IF(ISERROR(VLOOKUP($C8,非生产人员工资!C:N,12,FALSE)),VLOOKUP($C8,生产人员工资!C:K,9,FALSE),VLOOKUP($C8,非生产人员工资!C:N,12,FALSE))),0,IF(ISERROR(VLOOKUP($C8,非生产人员工资!C:N,12,FALSE)),VLOOKUP($C8,生产人员工资!C:K,9,FALSE),VLOOKUP($C8,非生产人员工资!C:N,12,FALSE)))</f>
        <v>0.00</v>
      </c>
      <c r="M8" s="7" t="str">
        <f>IF(ISERROR(IF(ISERROR(VLOOKUP($C8,非生产人员工资!$C:$O,13,FALSE)),VLOOKUP($C8,生产人员工资!$C:$L,10,FALSE),VLOOKUP($C8,非生产人员工资!$C:$O,13,FALSE))),0,IF(ISERROR(VLOOKUP($C8,非生产人员工资!$C:$O,13,FALSE)),VLOOKUP($C8,生产人员工资!$C:$L,10,FALSE),VLOOKUP($C8,非生产人员工资!$C:$O,13,FALSE)))</f>
        <v>0.00</v>
      </c>
      <c r="N8" s="7">
        <f>IF(ISERROR(IF(ISERROR(VLOOKUP($C8,非生产人员工资!$C:$P,14,FALSE)),VLOOKUP($C8,生产人员工资!$C:$M,11,FALSE),VLOOKUP($C8,非生产人员工资!$C:$P,14,FALSE))),0,IF(ISERROR(VLOOKUP($C8,非生产人员工资!$C:$P,14,FALSE)),VLOOKUP($C8,生产人员工资!$C:$M,11,FALSE),VLOOKUP($C8,非生产人员工资!$C:$P,14,FALSE)))</f>
        <v>160</v>
      </c>
      <c r="O8" s="7" t="str">
        <f>IF(ISERROR(IF(ISERROR(VLOOKUP($C8,非生产人员工资!C:Q,15,FALSE)),VLOOKUP($C8,生产人员工资!C:N,12,FALSE),VLOOKUP($C8,非生产人员工资!C:Q,15,FALSE))),0,IF(ISERROR(VLOOKUP($C8,非生产人员工资!C:Q,15,FALSE)),VLOOKUP($C8,生产人员工资!C:N,12,FALSE),VLOOKUP($C8,非生产人员工资!C:Q,15,FALSE)))</f>
        <v>0.00</v>
      </c>
      <c r="P8" s="7" t="str">
        <f>IF(ISERROR(IF(ISERROR(VLOOKUP($C8,非生产人员工资!C:R,16,FALSE)),VLOOKUP($C8,生产人员工资!C:O,13,FALSE),VLOOKUP($C8,非生产人员工资!C:R,16,FALSE))),0,IF(ISERROR(VLOOKUP($C8,非生产人员工资!C:R,16,FALSE)),VLOOKUP($C8,生产人员工资!C:O,13,FALSE),VLOOKUP($C8,非生产人员工资!C:R,16,FALSE)))</f>
        <v>0.00</v>
      </c>
      <c r="Q8" s="7" t="str">
        <f>IF(ISERROR(IF(ISERROR(VLOOKUP($C8,非生产人员工资!C:S,17,FALSE)),VLOOKUP($C8,生产人员工资!C:P,14,FALSE),VLOOKUP($C8,非生产人员工资!C:S,17,FALSE))),0,IF(ISERROR(VLOOKUP($C8,非生产人员工资!C:S,17,FALSE)),VLOOKUP($C8,生产人员工资!C:P,14,FALSE),VLOOKUP($C8,非生产人员工资!C:S,17,FALSE)))</f>
        <v>0.00</v>
      </c>
      <c r="R8" s="7" t="str">
        <f>IF(ISERROR(IF(ISERROR(VLOOKUP($C8,非生产人员工资!C:T,18,FALSE)),VLOOKUP($C8,生产人员工资!C:Q,15,FALSE),VLOOKUP($C8,非生产人员工资!C:T,18,FALSE))),0,IF(ISERROR(VLOOKUP($C8,非生产人员工资!C:T,18,FALSE)),VLOOKUP($C8,生产人员工资!C:Q,15,FALSE),VLOOKUP($C8,非生产人员工资!C:T,18,FALSE)))</f>
        <v>0.00</v>
      </c>
      <c r="S8" s="7">
        <f>IF(ISERROR(VLOOKUP($C8,非生产人员工资!C:U,19,FALSE)),0,VLOOKUP($C8,非生产人员工资!C:U,19,FALSE))</f>
        <v>0</v>
      </c>
      <c r="T8" s="7" t="str">
        <f>IF(ISERROR(IF(ISERROR(VLOOKUP($C8,非生产人员工资!C:V,20,FALSE)),VLOOKUP($C8,生产人员工资!C:R,16,FALSE),VLOOKUP($C8,非生产人员工资!C:V,20,FALSE))),0,IF(ISERROR(VLOOKUP($C8,非生产人员工资!C:V,20,FALSE)),VLOOKUP($C8,生产人员工资!$C:$R,16,FALSE),VLOOKUP($C8,非生产人员工资!C:V,20,FALSE)))</f>
        <v>0.00</v>
      </c>
      <c r="U8" s="7" t="str">
        <f>IF(ISERROR(IF(ISERROR(VLOOKUP($C8,非生产人员工资!C:W,21,FALSE)),VLOOKUP($C8,生产人员工资!C:S,17,FALSE),VLOOKUP($C8,非生产人员工资!C:W,21,FALSE))),0,IF(ISERROR(VLOOKUP($C8,非生产人员工资!C:W,21,FALSE)),VLOOKUP($C8,生产人员工资!C:S,17,FALSE),VLOOKUP($C8,非生产人员工资!C:W,21,FALSE)))</f>
        <v>0</v>
      </c>
      <c r="V8" s="7" t="str">
        <f>IF(ISERROR(IF(ISERROR(VLOOKUP($C8,非生产人员工资!C:X,22,FALSE)),VLOOKUP($C8,生产人员工资!C:T,18,FALSE),VLOOKUP($C8,非生产人员工资!C:X,22,FALSE))),0,IF(ISERROR(VLOOKUP($C8,非生产人员工资!C:X,22,FALSE)),VLOOKUP($C8,生产人员工资!C:T,18,FALSE),VLOOKUP($C8,非生产人员工资!C:X,22,FALSE)))</f>
        <v>0.00</v>
      </c>
      <c r="W8" s="7">
        <f t="shared" si="1"/>
        <v>2866.75</v>
      </c>
      <c r="X8" s="7">
        <f>IF(ISERROR(IF(ISERROR(VLOOKUP($C8,非生产人员工资!C:Z,24,FALSE)),VLOOKUP($C8,生产人员工资!C:V,20,FALSE),VLOOKUP($C8,非生产人员工资!$C:$Z,24,FALSE))),0,IF(ISERROR(VLOOKUP($C8,非生产人员工资!$C:$Z,24,FALSE)),VLOOKUP($C8,生产人员工资!$C:$V,20,FALSE),VLOOKUP($C8,非生产人员工资!$C:$Z,24,FALSE)))</f>
        <v>226.9</v>
      </c>
      <c r="Y8" s="7">
        <f>IF(ISERROR(IF(ISERROR(VLOOKUP($C8,非生产人员工资!C:AA,25,FALSE)),VLOOKUP($C8,生产人员工资!C:W,21,FALSE),VLOOKUP($C8,非生产人员工资!C:AA,25,FALSE))),0,IF(ISERROR(VLOOKUP($C8,非生产人员工资!C:AA,25,FALSE)),VLOOKUP($C8,生产人员工资!C:W,21,FALSE),VLOOKUP($C8,非生产人员工资!C:AA,25,FALSE)))</f>
        <v>104.57</v>
      </c>
      <c r="Z8" s="7">
        <f>IF(ISERROR(IF(ISERROR(VLOOKUP($C8,非生产人员工资!C:AB,26,FALSE)),VLOOKUP($C8,生产人员工资!C:X,22,FALSE),VLOOKUP($C8,非生产人员工资!C:AB,26,FALSE))),0,IF(ISERROR(VLOOKUP($C8,非生产人员工资!C:AB,26,FALSE)),VLOOKUP($C8,生产人员工资!C:X,22,FALSE),VLOOKUP($C8,非生产人员工资!C:AB,26,FALSE)))</f>
        <v>8.51</v>
      </c>
      <c r="AA8" s="7">
        <f>IF(ISERROR(IF(ISERROR(VLOOKUP($C8,非生产人员工资!C:AC,27,FALSE)),VLOOKUP($C8,生产人员工资!C:Y,23,FALSE),VLOOKUP($C8,非生产人员工资!C:AC,27,FALSE))),0,IF(ISERROR(VLOOKUP($C8,非生产人员工资!C:AC,27,FALSE)),VLOOKUP($C8,生产人员工资!C:Y,23,FALSE),VLOOKUP($C8,非生产人员工资!C:AC,27,FALSE)))</f>
        <v>89.5</v>
      </c>
      <c r="AB8" s="7">
        <f>IF(ISERROR(IF(ISERROR(VLOOKUP($C8,非生产人员工资!C:AD,28,FALSE)),VLOOKUP($C8,生产人员工资!C:Z,24,FALSE),VLOOKUP($C8,非生产人员工资!C:AD,28,FALSE))),0,IF(ISERROR(VLOOKUP($C8,非生产人员工资!C:AD,28,FALSE)),VLOOKUP($C8,生产人员工资!C:Z,24,FALSE),VLOOKUP($C8,非生产人员工资!C:AD,28,FALSE)))</f>
        <v>261.84</v>
      </c>
      <c r="AC8" s="269">
        <f>ROUND(IF(ISERROR(IF(ISERROR(VLOOKUP($C8,非生产人员工资!C:AF,30,FALSE)),VLOOKUP($C8,生产人员工资!C:AB,26,0),VLOOKUP($C8,非生产人员工资!C:AF,30,FALSE))),0,IF(ISERROR(VLOOKUP($C8,非生产人员工资!C:AF,30,FALSE)),VLOOKUP($C8,生产人员工资!C:AB,26,0),VLOOKUP($C8,非生产人员工资!C:AF,30,FALSE))),2)</f>
        <v>0</v>
      </c>
      <c r="AD8" s="269">
        <f t="shared" si="2"/>
        <v>2175.43</v>
      </c>
      <c r="AE8" s="269" t="str">
        <f>VLOOKUP($C8,员工基本信息!$C:$N,10,FALSE)</f>
        <v>制造费用+组装</v>
      </c>
      <c r="AF8" s="265" t="str">
        <f>VLOOKUP($C8,员工基本信息!$C:$O,11,FALSE)</f>
        <v>间接成本</v>
      </c>
      <c r="AG8" s="265" t="str">
        <f>VLOOKUP($C8,员工基本信息!$C:$O,12,FALSE)</f>
        <v>生产管理部</v>
      </c>
      <c r="AH8" s="265" t="str">
        <f>VLOOKUP($C8,员工基本信息!$C:$O,13,FALSE)</f>
        <v>生产人员</v>
      </c>
      <c r="AI8" s="249" t="str">
        <f>VLOOKUP($B8,员工基本信息!$B:$S,16,FALSE)</f>
        <v>6214220101205384739</v>
      </c>
      <c r="AJ8" s="249" t="str">
        <f>VLOOKUP($B8,员工基本信息!$B:$S,18,FALSE)</f>
        <v>沧州</v>
      </c>
      <c r="AK8" s="249" t="str">
        <f>VLOOKUP(C8,员工基本信息!$C:$M,11,0)</f>
        <v>间接成本</v>
      </c>
    </row>
    <row r="9" s="250" customFormat="1" customHeight="1" spans="1:37">
      <c r="A9" s="264">
        <v>6</v>
      </c>
      <c r="B9" s="6" t="str">
        <f>本月员工姓名!B7</f>
        <v>李芳慧</v>
      </c>
      <c r="C9" s="265" t="str">
        <f>VLOOKUP($B9,员工基本信息!$B:$I,2,FALSE)</f>
        <v>130983199111042220</v>
      </c>
      <c r="D9" s="266" t="str">
        <f>VLOOKUP($B9,员工基本信息!$B:$I,4,FALSE)</f>
        <v>财务管理科</v>
      </c>
      <c r="E9" s="266" t="str">
        <f>VLOOKUP($B9,员工基本信息!$B:$I,5,FALSE)</f>
        <v>财务经理</v>
      </c>
      <c r="F9" s="267">
        <f>IF(ISERROR(VLOOKUP($C9,非生产人员工资!C:I,7,FALSE)),0,VLOOKUP($C9,非生产人员工资!C:I,7,FALSE))</f>
        <v>1790</v>
      </c>
      <c r="G9" s="267">
        <f>IF(ISERROR(VLOOKUP($C9,非生产人员工资!C:J,8,0)),0,VLOOKUP($C9,非生产人员工资!C:J,8,FALSE))</f>
        <v>0</v>
      </c>
      <c r="H9" s="7">
        <f>IF(ISERROR(VLOOKUP($C9,非生产人员工资!C:K,9,FALSE)),0,VLOOKUP($C9,非生产人员工资!C:K,9,FALSE))</f>
        <v>2980</v>
      </c>
      <c r="I9" s="7">
        <f>IF(ISERROR(VLOOKUP($C9,非生产人员工资!C:L,10,FALSE)),0,VLOOKUP($C9,非生产人员工资!C:L,10,FALSE))</f>
        <v>530</v>
      </c>
      <c r="J9" s="7">
        <f>IF(ISERROR(VLOOKUP($C9,生产人员工资!C:I,7,FALSE)),0,VLOOKUP($C9,生产人员工资!C:I,7,FALSE))</f>
        <v>0</v>
      </c>
      <c r="K9" s="7">
        <f>IF(ISERROR(VLOOKUP($C9,生产人员工资!C:J,8,FALSE)),0,VLOOKUP($C9,生产人员工资!C:J,8,FALSE))</f>
        <v>0</v>
      </c>
      <c r="L9" s="7">
        <f>IF(ISERROR(IF(ISERROR(VLOOKUP($C9,非生产人员工资!C:N,12,FALSE)),VLOOKUP($C9,生产人员工资!C:K,9,FALSE),VLOOKUP($C9,非生产人员工资!C:N,12,FALSE))),0,IF(ISERROR(VLOOKUP($C9,非生产人员工资!C:N,12,FALSE)),VLOOKUP($C9,生产人员工资!C:K,9,FALSE),VLOOKUP($C9,非生产人员工资!C:N,12,FALSE)))</f>
        <v>0</v>
      </c>
      <c r="M9" s="7" t="str">
        <f>IF(ISERROR(IF(ISERROR(VLOOKUP($C9,非生产人员工资!$C:$O,13,FALSE)),VLOOKUP($C9,生产人员工资!$C:$L,10,FALSE),VLOOKUP($C9,非生产人员工资!$C:$O,13,FALSE))),0,IF(ISERROR(VLOOKUP($C9,非生产人员工资!$C:$O,13,FALSE)),VLOOKUP($C9,生产人员工资!$C:$L,10,FALSE),VLOOKUP($C9,非生产人员工资!$C:$O,13,FALSE)))</f>
        <v>0.00</v>
      </c>
      <c r="N9" s="7" t="str">
        <f>IF(ISERROR(IF(ISERROR(VLOOKUP($C9,非生产人员工资!$C:$P,14,FALSE)),VLOOKUP($C9,生产人员工资!$C:$M,11,FALSE),VLOOKUP($C9,非生产人员工资!$C:$P,14,FALSE))),0,IF(ISERROR(VLOOKUP($C9,非生产人员工资!$C:$P,14,FALSE)),VLOOKUP($C9,生产人员工资!$C:$M,11,FALSE),VLOOKUP($C9,非生产人员工资!$C:$P,14,FALSE)))</f>
        <v>0.00</v>
      </c>
      <c r="O9" s="7" t="str">
        <f>IF(ISERROR(IF(ISERROR(VLOOKUP($C9,非生产人员工资!C:Q,15,FALSE)),VLOOKUP($C9,生产人员工资!C:N,12,FALSE),VLOOKUP($C9,非生产人员工资!C:Q,15,FALSE))),0,IF(ISERROR(VLOOKUP($C9,非生产人员工资!C:Q,15,FALSE)),VLOOKUP($C9,生产人员工资!C:N,12,FALSE),VLOOKUP($C9,非生产人员工资!C:Q,15,FALSE)))</f>
        <v>0.00</v>
      </c>
      <c r="P9" s="7" t="str">
        <f>IF(ISERROR(IF(ISERROR(VLOOKUP($C9,非生产人员工资!C:R,16,FALSE)),VLOOKUP($C9,生产人员工资!C:O,13,FALSE),VLOOKUP($C9,非生产人员工资!C:R,16,FALSE))),0,IF(ISERROR(VLOOKUP($C9,非生产人员工资!C:R,16,FALSE)),VLOOKUP($C9,生产人员工资!C:O,13,FALSE),VLOOKUP($C9,非生产人员工资!C:R,16,FALSE)))</f>
        <v>0.00</v>
      </c>
      <c r="Q9" s="7" t="str">
        <f>IF(ISERROR(IF(ISERROR(VLOOKUP($C9,非生产人员工资!C:S,17,FALSE)),VLOOKUP($C9,生产人员工资!C:P,14,FALSE),VLOOKUP($C9,非生产人员工资!C:S,17,FALSE))),0,IF(ISERROR(VLOOKUP($C9,非生产人员工资!C:S,17,FALSE)),VLOOKUP($C9,生产人员工资!C:P,14,FALSE),VLOOKUP($C9,非生产人员工资!C:S,17,FALSE)))</f>
        <v>0.00</v>
      </c>
      <c r="R9" s="7" t="str">
        <f>IF(ISERROR(IF(ISERROR(VLOOKUP($C9,非生产人员工资!C:T,18,FALSE)),VLOOKUP($C9,生产人员工资!C:Q,15,FALSE),VLOOKUP($C9,非生产人员工资!C:T,18,FALSE))),0,IF(ISERROR(VLOOKUP($C9,非生产人员工资!C:T,18,FALSE)),VLOOKUP($C9,生产人员工资!C:Q,15,FALSE),VLOOKUP($C9,非生产人员工资!C:T,18,FALSE)))</f>
        <v>0.00</v>
      </c>
      <c r="S9" s="7">
        <f>IF(ISERROR(VLOOKUP($C9,非生产人员工资!C:U,19,FALSE)),0,VLOOKUP($C9,非生产人员工资!C:U,19,FALSE))</f>
        <v>-779.411764705882</v>
      </c>
      <c r="T9" s="7" t="str">
        <f>IF(ISERROR(IF(ISERROR(VLOOKUP($C9,非生产人员工资!C:V,20,FALSE)),VLOOKUP($C9,生产人员工资!C:R,16,FALSE),VLOOKUP($C9,非生产人员工资!C:V,20,FALSE))),0,IF(ISERROR(VLOOKUP($C9,非生产人员工资!C:V,20,FALSE)),VLOOKUP($C9,生产人员工资!$C:$R,16,FALSE),VLOOKUP($C9,非生产人员工资!C:V,20,FALSE)))</f>
        <v>0.00</v>
      </c>
      <c r="U9" s="7" t="str">
        <f>IF(ISERROR(IF(ISERROR(VLOOKUP($C9,非生产人员工资!C:W,21,FALSE)),VLOOKUP($C9,生产人员工资!C:S,17,FALSE),VLOOKUP($C9,非生产人员工资!C:W,21,FALSE))),0,IF(ISERROR(VLOOKUP($C9,非生产人员工资!C:W,21,FALSE)),VLOOKUP($C9,生产人员工资!C:S,17,FALSE),VLOOKUP($C9,非生产人员工资!C:W,21,FALSE)))</f>
        <v>0</v>
      </c>
      <c r="V9" s="7" t="str">
        <f>IF(ISERROR(IF(ISERROR(VLOOKUP($C9,非生产人员工资!C:X,22,FALSE)),VLOOKUP($C9,生产人员工资!C:T,18,FALSE),VLOOKUP($C9,非生产人员工资!C:X,22,FALSE))),0,IF(ISERROR(VLOOKUP($C9,非生产人员工资!C:X,22,FALSE)),VLOOKUP($C9,生产人员工资!C:T,18,FALSE),VLOOKUP($C9,非生产人员工资!C:X,22,FALSE)))</f>
        <v>0.00</v>
      </c>
      <c r="W9" s="7">
        <f t="shared" si="1"/>
        <v>4520.59</v>
      </c>
      <c r="X9" s="7">
        <f>IF(ISERROR(IF(ISERROR(VLOOKUP($C9,非生产人员工资!C:Z,24,FALSE)),VLOOKUP($C9,生产人员工资!C:V,20,FALSE),VLOOKUP($C9,非生产人员工资!$C:$Z,24,FALSE))),0,IF(ISERROR(VLOOKUP($C9,非生产人员工资!$C:$Z,24,FALSE)),VLOOKUP($C9,生产人员工资!$C:$V,20,FALSE),VLOOKUP($C9,非生产人员工资!$C:$Z,24,FALSE)))</f>
        <v>243.36</v>
      </c>
      <c r="Y9" s="7">
        <f>IF(ISERROR(IF(ISERROR(VLOOKUP($C9,非生产人员工资!C:AA,25,FALSE)),VLOOKUP($C9,生产人员工资!C:W,21,FALSE),VLOOKUP($C9,非生产人员工资!C:AA,25,FALSE))),0,IF(ISERROR(VLOOKUP($C9,非生产人员工资!C:AA,25,FALSE)),VLOOKUP($C9,生产人员工资!C:W,21,FALSE),VLOOKUP($C9,非生产人员工资!C:AA,25,FALSE)))</f>
        <v>104.57</v>
      </c>
      <c r="Z9" s="7">
        <f>IF(ISERROR(IF(ISERROR(VLOOKUP($C9,非生产人员工资!C:AB,26,FALSE)),VLOOKUP($C9,生产人员工资!C:X,22,FALSE),VLOOKUP($C9,非生产人员工资!C:AB,26,FALSE))),0,IF(ISERROR(VLOOKUP($C9,非生产人员工资!C:AB,26,FALSE)),VLOOKUP($C9,生产人员工资!C:X,22,FALSE),VLOOKUP($C9,非生产人员工资!C:AB,26,FALSE)))</f>
        <v>9.13</v>
      </c>
      <c r="AA9" s="7">
        <f>IF(ISERROR(IF(ISERROR(VLOOKUP($C9,非生产人员工资!C:AC,27,FALSE)),VLOOKUP($C9,生产人员工资!C:Y,23,FALSE),VLOOKUP($C9,非生产人员工资!C:AC,27,FALSE))),0,IF(ISERROR(VLOOKUP($C9,非生产人员工资!C:AC,27,FALSE)),VLOOKUP($C9,生产人员工资!C:Y,23,FALSE),VLOOKUP($C9,非生产人员工资!C:AC,27,FALSE)))</f>
        <v>159</v>
      </c>
      <c r="AB9" s="7">
        <f>IF(ISERROR(IF(ISERROR(VLOOKUP($C9,非生产人员工资!C:AD,28,FALSE)),VLOOKUP($C9,生产人员工资!C:Z,24,FALSE),VLOOKUP($C9,非生产人员工资!C:AD,28,FALSE))),0,IF(ISERROR(VLOOKUP($C9,非生产人员工资!C:AD,28,FALSE)),VLOOKUP($C9,生产人员工资!C:Z,24,FALSE),VLOOKUP($C9,非生产人员工资!C:AD,28,FALSE)))</f>
        <v>130.16</v>
      </c>
      <c r="AC9" s="269">
        <f>ROUND(IF(ISERROR(IF(ISERROR(VLOOKUP($C9,非生产人员工资!C:AF,30,FALSE)),VLOOKUP($C9,生产人员工资!C:AB,26,0),VLOOKUP($C9,非生产人员工资!C:AF,30,FALSE))),0,IF(ISERROR(VLOOKUP($C9,非生产人员工资!C:AF,30,FALSE)),VLOOKUP($C9,生产人员工资!C:AB,26,0),VLOOKUP($C9,非生产人员工资!C:AF,30,FALSE))),2)</f>
        <v>0</v>
      </c>
      <c r="AD9" s="269">
        <f t="shared" si="2"/>
        <v>3874.37</v>
      </c>
      <c r="AE9" s="269" t="str">
        <f>VLOOKUP($C9,员工基本信息!$C:$N,10,FALSE)</f>
        <v>管理费用+财务</v>
      </c>
      <c r="AF9" s="265" t="str">
        <f>VLOOKUP($C9,员工基本信息!$C:$O,11,FALSE)</f>
        <v>间接成本</v>
      </c>
      <c r="AG9" s="265" t="str">
        <f>VLOOKUP($C9,员工基本信息!$C:$O,12,FALSE)</f>
        <v>财务管理科</v>
      </c>
      <c r="AH9" s="265" t="str">
        <f>VLOOKUP($C9,员工基本信息!$C:$O,13,FALSE)</f>
        <v>管理人员</v>
      </c>
      <c r="AI9" s="249" t="str">
        <f>VLOOKUP(B9,员工基本信息!B:Q,16,0)</f>
        <v>6214220101208884388</v>
      </c>
      <c r="AJ9" s="249" t="str">
        <f>VLOOKUP($B9,员工基本信息!$B:$S,18,FALSE)</f>
        <v>沧州</v>
      </c>
      <c r="AK9" s="249" t="str">
        <f>VLOOKUP(C9,员工基本信息!$C:$M,11,0)</f>
        <v>间接成本</v>
      </c>
    </row>
    <row r="10" s="250" customFormat="1" customHeight="1" spans="1:37">
      <c r="A10" s="264">
        <v>7</v>
      </c>
      <c r="B10" s="6" t="str">
        <f>本月员工姓名!B8</f>
        <v>胡希港</v>
      </c>
      <c r="C10" s="265" t="str">
        <f>VLOOKUP($B10,员工基本信息!$B:$I,2,FALSE)</f>
        <v>130983199706292413</v>
      </c>
      <c r="D10" s="266" t="str">
        <f>VLOOKUP($B10,员工基本信息!$B:$I,4,FALSE)</f>
        <v>技术质量科</v>
      </c>
      <c r="E10" s="266" t="str">
        <f>VLOOKUP($B10,员工基本信息!$B:$I,5,FALSE)</f>
        <v>质量工程师兼SQE事项</v>
      </c>
      <c r="F10" s="267">
        <f>IF(ISERROR(VLOOKUP($C10,非生产人员工资!C:I,7,FALSE)),0,VLOOKUP($C10,非生产人员工资!C:I,7,FALSE))</f>
        <v>1790</v>
      </c>
      <c r="G10" s="267">
        <f>IF(ISERROR(VLOOKUP($C10,非生产人员工资!C:J,8,0)),0,VLOOKUP($C10,非生产人员工资!C:J,8,FALSE))</f>
        <v>0</v>
      </c>
      <c r="H10" s="7">
        <f>IF(ISERROR(VLOOKUP($C10,非生产人员工资!C:K,9,FALSE)),0,VLOOKUP($C10,非生产人员工资!C:K,9,FALSE))</f>
        <v>3160</v>
      </c>
      <c r="I10" s="7">
        <f>IF(ISERROR(VLOOKUP($C10,非生产人员工资!C:L,10,FALSE)),0,VLOOKUP($C10,非生产人员工资!C:L,10,FALSE))</f>
        <v>550</v>
      </c>
      <c r="J10" s="7">
        <f>IF(ISERROR(VLOOKUP($C10,生产人员工资!C:I,7,FALSE)),0,VLOOKUP($C10,生产人员工资!C:I,7,FALSE))</f>
        <v>0</v>
      </c>
      <c r="K10" s="7">
        <f>IF(ISERROR(VLOOKUP($C10,生产人员工资!C:J,8,FALSE)),0,VLOOKUP($C10,生产人员工资!C:J,8,FALSE))</f>
        <v>0</v>
      </c>
      <c r="L10" s="7">
        <f>IF(ISERROR(IF(ISERROR(VLOOKUP($C10,非生产人员工资!C:N,12,FALSE)),VLOOKUP($C10,生产人员工资!C:K,9,FALSE),VLOOKUP($C10,非生产人员工资!C:N,12,FALSE))),0,IF(ISERROR(VLOOKUP($C10,非生产人员工资!C:N,12,FALSE)),VLOOKUP($C10,生产人员工资!C:K,9,FALSE),VLOOKUP($C10,非生产人员工资!C:N,12,FALSE)))</f>
        <v>0</v>
      </c>
      <c r="M10" s="7" t="str">
        <f>IF(ISERROR(IF(ISERROR(VLOOKUP($C10,非生产人员工资!$C:$O,13,FALSE)),VLOOKUP($C10,生产人员工资!$C:$L,10,FALSE),VLOOKUP($C10,非生产人员工资!$C:$O,13,FALSE))),0,IF(ISERROR(VLOOKUP($C10,非生产人员工资!$C:$O,13,FALSE)),VLOOKUP($C10,生产人员工资!$C:$L,10,FALSE),VLOOKUP($C10,非生产人员工资!$C:$O,13,FALSE)))</f>
        <v>0.00</v>
      </c>
      <c r="N10" s="7">
        <f>IF(ISERROR(IF(ISERROR(VLOOKUP($C10,非生产人员工资!$C:$P,14,FALSE)),VLOOKUP($C10,生产人员工资!$C:$M,11,FALSE),VLOOKUP($C10,非生产人员工资!$C:$P,14,FALSE))),0,IF(ISERROR(VLOOKUP($C10,非生产人员工资!$C:$P,14,FALSE)),VLOOKUP($C10,生产人员工资!$C:$M,11,FALSE),VLOOKUP($C10,非生产人员工资!$C:$P,14,FALSE)))</f>
        <v>140</v>
      </c>
      <c r="O10" s="7" t="str">
        <f>IF(ISERROR(IF(ISERROR(VLOOKUP($C10,非生产人员工资!C:Q,15,FALSE)),VLOOKUP($C10,生产人员工资!C:N,12,FALSE),VLOOKUP($C10,非生产人员工资!C:Q,15,FALSE))),0,IF(ISERROR(VLOOKUP($C10,非生产人员工资!C:Q,15,FALSE)),VLOOKUP($C10,生产人员工资!C:N,12,FALSE),VLOOKUP($C10,非生产人员工资!C:Q,15,FALSE)))</f>
        <v>0.00</v>
      </c>
      <c r="P10" s="7" t="str">
        <f>IF(ISERROR(IF(ISERROR(VLOOKUP($C10,非生产人员工资!C:R,16,FALSE)),VLOOKUP($C10,生产人员工资!C:O,13,FALSE),VLOOKUP($C10,非生产人员工资!C:R,16,FALSE))),0,IF(ISERROR(VLOOKUP($C10,非生产人员工资!C:R,16,FALSE)),VLOOKUP($C10,生产人员工资!C:O,13,FALSE),VLOOKUP($C10,非生产人员工资!C:R,16,FALSE)))</f>
        <v>0.00</v>
      </c>
      <c r="Q10" s="7" t="str">
        <f>IF(ISERROR(IF(ISERROR(VLOOKUP($C10,非生产人员工资!C:S,17,FALSE)),VLOOKUP($C10,生产人员工资!C:P,14,FALSE),VLOOKUP($C10,非生产人员工资!C:S,17,FALSE))),0,IF(ISERROR(VLOOKUP($C10,非生产人员工资!C:S,17,FALSE)),VLOOKUP($C10,生产人员工资!C:P,14,FALSE),VLOOKUP($C10,非生产人员工资!C:S,17,FALSE)))</f>
        <v>0.00</v>
      </c>
      <c r="R10" s="7" t="str">
        <f>IF(ISERROR(IF(ISERROR(VLOOKUP($C10,非生产人员工资!C:T,18,FALSE)),VLOOKUP($C10,生产人员工资!C:Q,15,FALSE),VLOOKUP($C10,非生产人员工资!C:T,18,FALSE))),0,IF(ISERROR(VLOOKUP($C10,非生产人员工资!C:T,18,FALSE)),VLOOKUP($C10,生产人员工资!C:Q,15,FALSE),VLOOKUP($C10,非生产人员工资!C:T,18,FALSE)))</f>
        <v>0.00</v>
      </c>
      <c r="S10" s="7">
        <f>IF(ISERROR(VLOOKUP($C10,非生产人员工资!C:U,19,FALSE)),0,VLOOKUP($C10,非生产人员工资!C:U,19,FALSE))</f>
        <v>0</v>
      </c>
      <c r="T10" s="7" t="str">
        <f>IF(ISERROR(IF(ISERROR(VLOOKUP($C10,非生产人员工资!C:V,20,FALSE)),VLOOKUP($C10,生产人员工资!C:R,16,FALSE),VLOOKUP($C10,非生产人员工资!C:V,20,FALSE))),0,IF(ISERROR(VLOOKUP($C10,非生产人员工资!C:V,20,FALSE)),VLOOKUP($C10,生产人员工资!$C:$R,16,FALSE),VLOOKUP($C10,非生产人员工资!C:V,20,FALSE)))</f>
        <v>0.00</v>
      </c>
      <c r="U10" s="7" t="str">
        <f>IF(ISERROR(IF(ISERROR(VLOOKUP($C10,非生产人员工资!C:W,21,FALSE)),VLOOKUP($C10,生产人员工资!C:S,17,FALSE),VLOOKUP($C10,非生产人员工资!C:W,21,FALSE))),0,IF(ISERROR(VLOOKUP($C10,非生产人员工资!C:W,21,FALSE)),VLOOKUP($C10,生产人员工资!C:S,17,FALSE),VLOOKUP($C10,非生产人员工资!C:W,21,FALSE)))</f>
        <v>0</v>
      </c>
      <c r="V10" s="7" t="str">
        <f>IF(ISERROR(IF(ISERROR(VLOOKUP($C10,非生产人员工资!C:X,22,FALSE)),VLOOKUP($C10,生产人员工资!C:T,18,FALSE),VLOOKUP($C10,非生产人员工资!C:X,22,FALSE))),0,IF(ISERROR(VLOOKUP($C10,非生产人员工资!C:X,22,FALSE)),VLOOKUP($C10,生产人员工资!C:T,18,FALSE),VLOOKUP($C10,非生产人员工资!C:X,22,FALSE)))</f>
        <v>0.00</v>
      </c>
      <c r="W10" s="7">
        <f t="shared" si="1"/>
        <v>5640</v>
      </c>
      <c r="X10" s="7">
        <f>IF(ISERROR(IF(ISERROR(VLOOKUP($C10,非生产人员工资!C:Z,24,FALSE)),VLOOKUP($C10,生产人员工资!C:V,20,FALSE),VLOOKUP($C10,非生产人员工资!$C:$Z,24,FALSE))),0,IF(ISERROR(VLOOKUP($C10,非生产人员工资!$C:$Z,24,FALSE)),VLOOKUP($C10,生产人员工资!$C:$V,20,FALSE),VLOOKUP($C10,非生产人员工资!$C:$Z,24,FALSE)))</f>
        <v>226.9</v>
      </c>
      <c r="Y10" s="7">
        <f>IF(ISERROR(IF(ISERROR(VLOOKUP($C10,非生产人员工资!C:AA,25,FALSE)),VLOOKUP($C10,生产人员工资!C:W,21,FALSE),VLOOKUP($C10,非生产人员工资!C:AA,25,FALSE))),0,IF(ISERROR(VLOOKUP($C10,非生产人员工资!C:AA,25,FALSE)),VLOOKUP($C10,生产人员工资!C:W,21,FALSE),VLOOKUP($C10,非生产人员工资!C:AA,25,FALSE)))</f>
        <v>104.57</v>
      </c>
      <c r="Z10" s="7">
        <f>IF(ISERROR(IF(ISERROR(VLOOKUP($C10,非生产人员工资!C:AB,26,FALSE)),VLOOKUP($C10,生产人员工资!C:X,22,FALSE),VLOOKUP($C10,非生产人员工资!C:AB,26,FALSE))),0,IF(ISERROR(VLOOKUP($C10,非生产人员工资!C:AB,26,FALSE)),VLOOKUP($C10,生产人员工资!C:X,22,FALSE),VLOOKUP($C10,非生产人员工资!C:AB,26,FALSE)))</f>
        <v>8.51</v>
      </c>
      <c r="AA10" s="7">
        <f>IF(ISERROR(IF(ISERROR(VLOOKUP($C10,非生产人员工资!C:AC,27,FALSE)),VLOOKUP($C10,生产人员工资!C:Y,23,FALSE),VLOOKUP($C10,非生产人员工资!C:AC,27,FALSE))),0,IF(ISERROR(VLOOKUP($C10,非生产人员工资!C:AC,27,FALSE)),VLOOKUP($C10,生产人员工资!C:Y,23,FALSE),VLOOKUP($C10,非生产人员工资!C:AC,27,FALSE)))</f>
        <v>159</v>
      </c>
      <c r="AB10" s="7">
        <f>IF(ISERROR(IF(ISERROR(VLOOKUP($C10,非生产人员工资!C:AD,28,FALSE)),VLOOKUP($C10,生产人员工资!C:Z,24,FALSE),VLOOKUP($C10,非生产人员工资!C:AD,28,FALSE))),0,IF(ISERROR(VLOOKUP($C10,非生产人员工资!C:AD,28,FALSE)),VLOOKUP($C10,生产人员工资!C:Z,24,FALSE),VLOOKUP($C10,非生产人员工资!C:AD,28,FALSE)))</f>
        <v>261.84</v>
      </c>
      <c r="AC10" s="269">
        <f>ROUND(IF(ISERROR(IF(ISERROR(VLOOKUP($C10,非生产人员工资!C:AF,30,FALSE)),VLOOKUP($C10,生产人员工资!C:AB,26,0),VLOOKUP($C10,非生产人员工资!C:AF,30,FALSE))),0,IF(ISERROR(VLOOKUP($C10,非生产人员工资!C:AF,30,FALSE)),VLOOKUP($C10,生产人员工资!C:AB,26,0),VLOOKUP($C10,非生产人员工资!C:AF,30,FALSE))),2)</f>
        <v>0</v>
      </c>
      <c r="AD10" s="269">
        <f t="shared" si="2"/>
        <v>4879.18</v>
      </c>
      <c r="AE10" s="269" t="str">
        <f>VLOOKUP($C10,员工基本信息!$C:$N,10,FALSE)</f>
        <v>研发费用+质量</v>
      </c>
      <c r="AF10" s="265" t="str">
        <f>VLOOKUP($C10,员工基本信息!$C:$O,11,FALSE)</f>
        <v>间接成本</v>
      </c>
      <c r="AG10" s="265" t="str">
        <f>VLOOKUP($C10,员工基本信息!$C:$O,12,FALSE)</f>
        <v>技术质量科</v>
      </c>
      <c r="AH10" s="265" t="str">
        <f>VLOOKUP($C10,员工基本信息!$C:$O,13,FALSE)</f>
        <v>研发人员</v>
      </c>
      <c r="AI10" s="249" t="str">
        <f>VLOOKUP($B10,员工基本信息!$B:$S,16,FALSE)</f>
        <v>6214220101205386312</v>
      </c>
      <c r="AJ10" s="249" t="str">
        <f>VLOOKUP($B10,员工基本信息!$B:$S,18,FALSE)</f>
        <v>沧州</v>
      </c>
      <c r="AK10" s="249" t="str">
        <f>VLOOKUP(C10,员工基本信息!$C:$M,11,0)</f>
        <v>间接成本</v>
      </c>
    </row>
    <row r="11" s="250" customFormat="1" customHeight="1" spans="1:37">
      <c r="A11" s="264">
        <v>8</v>
      </c>
      <c r="B11" s="6" t="str">
        <f>本月员工姓名!B9</f>
        <v>田健</v>
      </c>
      <c r="C11" s="265" t="str">
        <f>VLOOKUP($B11,员工基本信息!$B:$I,2,FALSE)</f>
        <v>130927198905212716</v>
      </c>
      <c r="D11" s="266" t="str">
        <f>VLOOKUP($B11,员工基本信息!$B:$I,4,FALSE)</f>
        <v>技术质量科</v>
      </c>
      <c r="E11" s="266" t="str">
        <f>VLOOKUP($B11,员工基本信息!$B:$I,5,FALSE)</f>
        <v>质量工程师兼体系认证</v>
      </c>
      <c r="F11" s="267">
        <f>IF(ISERROR(VLOOKUP($C11,非生产人员工资!C:I,7,FALSE)),0,VLOOKUP($C11,非生产人员工资!C:I,7,FALSE))</f>
        <v>1790</v>
      </c>
      <c r="G11" s="267">
        <f>IF(ISERROR(VLOOKUP($C11,非生产人员工资!C:J,8,0)),0,VLOOKUP($C11,非生产人员工资!C:J,8,FALSE))</f>
        <v>0</v>
      </c>
      <c r="H11" s="7">
        <f>IF(ISERROR(VLOOKUP($C11,非生产人员工资!C:K,9,FALSE)),0,VLOOKUP($C11,非生产人员工资!C:K,9,FALSE))</f>
        <v>2710</v>
      </c>
      <c r="I11" s="7">
        <f>IF(ISERROR(VLOOKUP($C11,非生产人员工资!C:L,10,FALSE)),0,VLOOKUP($C11,非生产人员工资!C:L,10,FALSE))</f>
        <v>500</v>
      </c>
      <c r="J11" s="7">
        <f>IF(ISERROR(VLOOKUP($C11,生产人员工资!C:I,7,FALSE)),0,VLOOKUP($C11,生产人员工资!C:I,7,FALSE))</f>
        <v>0</v>
      </c>
      <c r="K11" s="7">
        <f>IF(ISERROR(VLOOKUP($C11,生产人员工资!C:J,8,FALSE)),0,VLOOKUP($C11,生产人员工资!C:J,8,FALSE))</f>
        <v>0</v>
      </c>
      <c r="L11" s="7">
        <f>IF(ISERROR(IF(ISERROR(VLOOKUP($C11,非生产人员工资!C:N,12,FALSE)),VLOOKUP($C11,生产人员工资!C:K,9,FALSE),VLOOKUP($C11,非生产人员工资!C:N,12,FALSE))),0,IF(ISERROR(VLOOKUP($C11,非生产人员工资!C:N,12,FALSE)),VLOOKUP($C11,生产人员工资!C:K,9,FALSE),VLOOKUP($C11,非生产人员工资!C:N,12,FALSE)))</f>
        <v>0</v>
      </c>
      <c r="M11" s="7" t="str">
        <f>IF(ISERROR(IF(ISERROR(VLOOKUP($C11,非生产人员工资!$C:$O,13,FALSE)),VLOOKUP($C11,生产人员工资!$C:$L,10,FALSE),VLOOKUP($C11,非生产人员工资!$C:$O,13,FALSE))),0,IF(ISERROR(VLOOKUP($C11,非生产人员工资!$C:$O,13,FALSE)),VLOOKUP($C11,生产人员工资!$C:$L,10,FALSE),VLOOKUP($C11,非生产人员工资!$C:$O,13,FALSE)))</f>
        <v>0.00</v>
      </c>
      <c r="N11" s="7">
        <f>IF(ISERROR(IF(ISERROR(VLOOKUP($C11,非生产人员工资!$C:$P,14,FALSE)),VLOOKUP($C11,生产人员工资!$C:$M,11,FALSE),VLOOKUP($C11,非生产人员工资!$C:$P,14,FALSE))),0,IF(ISERROR(VLOOKUP($C11,非生产人员工资!$C:$P,14,FALSE)),VLOOKUP($C11,生产人员工资!$C:$M,11,FALSE),VLOOKUP($C11,非生产人员工资!$C:$P,14,FALSE)))</f>
        <v>140</v>
      </c>
      <c r="O11" s="7" t="str">
        <f>IF(ISERROR(IF(ISERROR(VLOOKUP($C11,非生产人员工资!C:Q,15,FALSE)),VLOOKUP($C11,生产人员工资!C:N,12,FALSE),VLOOKUP($C11,非生产人员工资!C:Q,15,FALSE))),0,IF(ISERROR(VLOOKUP($C11,非生产人员工资!C:Q,15,FALSE)),VLOOKUP($C11,生产人员工资!C:N,12,FALSE),VLOOKUP($C11,非生产人员工资!C:Q,15,FALSE)))</f>
        <v>0.00</v>
      </c>
      <c r="P11" s="7" t="str">
        <f>IF(ISERROR(IF(ISERROR(VLOOKUP($C11,非生产人员工资!C:R,16,FALSE)),VLOOKUP($C11,生产人员工资!C:O,13,FALSE),VLOOKUP($C11,非生产人员工资!C:R,16,FALSE))),0,IF(ISERROR(VLOOKUP($C11,非生产人员工资!C:R,16,FALSE)),VLOOKUP($C11,生产人员工资!C:O,13,FALSE),VLOOKUP($C11,非生产人员工资!C:R,16,FALSE)))</f>
        <v>0.00</v>
      </c>
      <c r="Q11" s="7" t="str">
        <f>IF(ISERROR(IF(ISERROR(VLOOKUP($C11,非生产人员工资!C:S,17,FALSE)),VLOOKUP($C11,生产人员工资!C:P,14,FALSE),VLOOKUP($C11,非生产人员工资!C:S,17,FALSE))),0,IF(ISERROR(VLOOKUP($C11,非生产人员工资!C:S,17,FALSE)),VLOOKUP($C11,生产人员工资!C:P,14,FALSE),VLOOKUP($C11,非生产人员工资!C:S,17,FALSE)))</f>
        <v>0.00</v>
      </c>
      <c r="R11" s="7" t="str">
        <f>IF(ISERROR(IF(ISERROR(VLOOKUP($C11,非生产人员工资!C:T,18,FALSE)),VLOOKUP($C11,生产人员工资!C:Q,15,FALSE),VLOOKUP($C11,非生产人员工资!C:T,18,FALSE))),0,IF(ISERROR(VLOOKUP($C11,非生产人员工资!C:T,18,FALSE)),VLOOKUP($C11,生产人员工资!C:Q,15,FALSE),VLOOKUP($C11,非生产人员工资!C:T,18,FALSE)))</f>
        <v>0.00</v>
      </c>
      <c r="S11" s="7">
        <f>IF(ISERROR(VLOOKUP($C11,非生产人员工资!C:U,19,FALSE)),0,VLOOKUP($C11,非生产人员工资!C:U,19,FALSE))</f>
        <v>0</v>
      </c>
      <c r="T11" s="7" t="str">
        <f>IF(ISERROR(IF(ISERROR(VLOOKUP($C11,非生产人员工资!C:V,20,FALSE)),VLOOKUP($C11,生产人员工资!C:R,16,FALSE),VLOOKUP($C11,非生产人员工资!C:V,20,FALSE))),0,IF(ISERROR(VLOOKUP($C11,非生产人员工资!C:V,20,FALSE)),VLOOKUP($C11,生产人员工资!$C:$R,16,FALSE),VLOOKUP($C11,非生产人员工资!C:V,20,FALSE)))</f>
        <v>0.00</v>
      </c>
      <c r="U11" s="7" t="str">
        <f>IF(ISERROR(IF(ISERROR(VLOOKUP($C11,非生产人员工资!C:W,21,FALSE)),VLOOKUP($C11,生产人员工资!C:S,17,FALSE),VLOOKUP($C11,非生产人员工资!C:W,21,FALSE))),0,IF(ISERROR(VLOOKUP($C11,非生产人员工资!C:W,21,FALSE)),VLOOKUP($C11,生产人员工资!C:S,17,FALSE),VLOOKUP($C11,非生产人员工资!C:W,21,FALSE)))</f>
        <v>0</v>
      </c>
      <c r="V11" s="7" t="str">
        <f>IF(ISERROR(IF(ISERROR(VLOOKUP($C11,非生产人员工资!C:X,22,FALSE)),VLOOKUP($C11,生产人员工资!C:T,18,FALSE),VLOOKUP($C11,非生产人员工资!C:X,22,FALSE))),0,IF(ISERROR(VLOOKUP($C11,非生产人员工资!C:X,22,FALSE)),VLOOKUP($C11,生产人员工资!C:T,18,FALSE),VLOOKUP($C11,非生产人员工资!C:X,22,FALSE)))</f>
        <v>0.00</v>
      </c>
      <c r="W11" s="7">
        <f t="shared" si="1"/>
        <v>5140</v>
      </c>
      <c r="X11" s="7">
        <f>IF(ISERROR(IF(ISERROR(VLOOKUP($C11,非生产人员工资!C:Z,24,FALSE)),VLOOKUP($C11,生产人员工资!C:V,20,FALSE),VLOOKUP($C11,非生产人员工资!$C:$Z,24,FALSE))),0,IF(ISERROR(VLOOKUP($C11,非生产人员工资!$C:$Z,24,FALSE)),VLOOKUP($C11,生产人员工资!$C:$V,20,FALSE),VLOOKUP($C11,非生产人员工资!$C:$Z,24,FALSE)))</f>
        <v>226.9</v>
      </c>
      <c r="Y11" s="7">
        <f>IF(ISERROR(IF(ISERROR(VLOOKUP($C11,非生产人员工资!C:AA,25,FALSE)),VLOOKUP($C11,生产人员工资!C:W,21,FALSE),VLOOKUP($C11,非生产人员工资!C:AA,25,FALSE))),0,IF(ISERROR(VLOOKUP($C11,非生产人员工资!C:AA,25,FALSE)),VLOOKUP($C11,生产人员工资!C:W,21,FALSE),VLOOKUP($C11,非生产人员工资!C:AA,25,FALSE)))</f>
        <v>104.57</v>
      </c>
      <c r="Z11" s="7">
        <f>IF(ISERROR(IF(ISERROR(VLOOKUP($C11,非生产人员工资!C:AB,26,FALSE)),VLOOKUP($C11,生产人员工资!C:X,22,FALSE),VLOOKUP($C11,非生产人员工资!C:AB,26,FALSE))),0,IF(ISERROR(VLOOKUP($C11,非生产人员工资!C:AB,26,FALSE)),VLOOKUP($C11,生产人员工资!C:X,22,FALSE),VLOOKUP($C11,非生产人员工资!C:AB,26,FALSE)))</f>
        <v>8.51</v>
      </c>
      <c r="AA11" s="7">
        <f>IF(ISERROR(IF(ISERROR(VLOOKUP($C11,非生产人员工资!C:AC,27,FALSE)),VLOOKUP($C11,生产人员工资!C:Y,23,FALSE),VLOOKUP($C11,非生产人员工资!C:AC,27,FALSE))),0,IF(ISERROR(VLOOKUP($C11,非生产人员工资!C:AC,27,FALSE)),VLOOKUP($C11,生产人员工资!C:Y,23,FALSE),VLOOKUP($C11,非生产人员工资!C:AC,27,FALSE)))</f>
        <v>159</v>
      </c>
      <c r="AB11" s="7">
        <f>IF(ISERROR(IF(ISERROR(VLOOKUP($C11,非生产人员工资!C:AD,28,FALSE)),VLOOKUP($C11,生产人员工资!C:Z,24,FALSE),VLOOKUP($C11,非生产人员工资!C:AD,28,FALSE))),0,IF(ISERROR(VLOOKUP($C11,非生产人员工资!C:AD,28,FALSE)),VLOOKUP($C11,生产人员工资!C:Z,24,FALSE),VLOOKUP($C11,非生产人员工资!C:AD,28,FALSE)))</f>
        <v>261.84</v>
      </c>
      <c r="AC11" s="269">
        <f>ROUND(IF(ISERROR(IF(ISERROR(VLOOKUP($C11,非生产人员工资!C:AF,30,FALSE)),VLOOKUP($C11,生产人员工资!C:AB,26,0),VLOOKUP($C11,非生产人员工资!C:AF,30,FALSE))),0,IF(ISERROR(VLOOKUP($C11,非生产人员工资!C:AF,30,FALSE)),VLOOKUP($C11,生产人员工资!C:AB,26,0),VLOOKUP($C11,非生产人员工资!C:AF,30,FALSE))),2)</f>
        <v>0</v>
      </c>
      <c r="AD11" s="269">
        <f t="shared" si="2"/>
        <v>4379.18</v>
      </c>
      <c r="AE11" s="269" t="str">
        <f>VLOOKUP($C11,员工基本信息!$C:$N,10,FALSE)</f>
        <v>研发费用+质量</v>
      </c>
      <c r="AF11" s="265" t="str">
        <f>VLOOKUP($C11,员工基本信息!$C:$O,11,FALSE)</f>
        <v>间接成本</v>
      </c>
      <c r="AG11" s="265" t="str">
        <f>VLOOKUP($C11,员工基本信息!$C:$O,12,FALSE)</f>
        <v>技术质量科</v>
      </c>
      <c r="AH11" s="265" t="str">
        <f>VLOOKUP($C11,员工基本信息!$C:$O,13,FALSE)</f>
        <v>研发人员</v>
      </c>
      <c r="AI11" s="249" t="str">
        <f>VLOOKUP($B11,员工基本信息!$B:$S,16,FALSE)</f>
        <v>6214220101205490593</v>
      </c>
      <c r="AJ11" s="249" t="str">
        <f>VLOOKUP($B11,员工基本信息!$B:$S,18,FALSE)</f>
        <v>沧州</v>
      </c>
      <c r="AK11" s="249" t="str">
        <f>VLOOKUP(C11,员工基本信息!$C:$M,11,0)</f>
        <v>间接成本</v>
      </c>
    </row>
    <row r="12" s="250" customFormat="1" customHeight="1" spans="1:37">
      <c r="A12" s="264">
        <v>9</v>
      </c>
      <c r="B12" s="6" t="str">
        <f>本月员工姓名!B10</f>
        <v>宋连利</v>
      </c>
      <c r="C12" s="265" t="str">
        <f>VLOOKUP($B12,员工基本信息!$B:$I,2,FALSE)</f>
        <v>120225198105034672</v>
      </c>
      <c r="D12" s="266" t="str">
        <f>VLOOKUP($B12,员工基本信息!$B:$I,4,FALSE)</f>
        <v>技术质量科</v>
      </c>
      <c r="E12" s="266" t="str">
        <f>VLOOKUP($B12,员工基本信息!$B:$I,5,FALSE)</f>
        <v>涂装工程师</v>
      </c>
      <c r="F12" s="267">
        <f>IF(ISERROR(VLOOKUP($C12,非生产人员工资!C:I,7,FALSE)),0,VLOOKUP($C12,非生产人员工资!C:I,7,FALSE))</f>
        <v>1790</v>
      </c>
      <c r="G12" s="267">
        <f>IF(ISERROR(VLOOKUP($C12,非生产人员工资!C:J,8,0)),0,VLOOKUP($C12,非生产人员工资!C:J,8,FALSE))</f>
        <v>0</v>
      </c>
      <c r="H12" s="7">
        <f>IF(ISERROR(VLOOKUP($C12,非生产人员工资!C:K,9,FALSE)),0,VLOOKUP($C12,非生产人员工资!C:K,9,FALSE))</f>
        <v>9910</v>
      </c>
      <c r="I12" s="7">
        <f>IF(ISERROR(VLOOKUP($C12,非生产人员工资!C:L,10,FALSE)),0,VLOOKUP($C12,非生产人员工资!C:L,10,FALSE))</f>
        <v>1300</v>
      </c>
      <c r="J12" s="7">
        <f>IF(ISERROR(VLOOKUP($C12,生产人员工资!C:I,7,FALSE)),0,VLOOKUP($C12,生产人员工资!C:I,7,FALSE))</f>
        <v>0</v>
      </c>
      <c r="K12" s="7">
        <f>IF(ISERROR(VLOOKUP($C12,生产人员工资!C:J,8,FALSE)),0,VLOOKUP($C12,生产人员工资!C:J,8,FALSE))</f>
        <v>0</v>
      </c>
      <c r="L12" s="7">
        <f>IF(ISERROR(IF(ISERROR(VLOOKUP($C12,非生产人员工资!C:N,12,FALSE)),VLOOKUP($C12,生产人员工资!C:K,9,FALSE),VLOOKUP($C12,非生产人员工资!C:N,12,FALSE))),0,IF(ISERROR(VLOOKUP($C12,非生产人员工资!C:N,12,FALSE)),VLOOKUP($C12,生产人员工资!C:K,9,FALSE),VLOOKUP($C12,非生产人员工资!C:N,12,FALSE)))</f>
        <v>0</v>
      </c>
      <c r="M12" s="7" t="str">
        <f>IF(ISERROR(IF(ISERROR(VLOOKUP($C12,非生产人员工资!$C:$O,13,FALSE)),VLOOKUP($C12,生产人员工资!$C:$L,10,FALSE),VLOOKUP($C12,非生产人员工资!$C:$O,13,FALSE))),0,IF(ISERROR(VLOOKUP($C12,非生产人员工资!$C:$O,13,FALSE)),VLOOKUP($C12,生产人员工资!$C:$L,10,FALSE),VLOOKUP($C12,非生产人员工资!$C:$O,13,FALSE)))</f>
        <v>0.00</v>
      </c>
      <c r="N12" s="7" t="str">
        <f>IF(ISERROR(IF(ISERROR(VLOOKUP($C12,非生产人员工资!$C:$P,14,FALSE)),VLOOKUP($C12,生产人员工资!$C:$M,11,FALSE),VLOOKUP($C12,非生产人员工资!$C:$P,14,FALSE))),0,IF(ISERROR(VLOOKUP($C12,非生产人员工资!$C:$P,14,FALSE)),VLOOKUP($C12,生产人员工资!$C:$M,11,FALSE),VLOOKUP($C12,非生产人员工资!$C:$P,14,FALSE)))</f>
        <v>0.00</v>
      </c>
      <c r="O12" s="7" t="str">
        <f>IF(ISERROR(IF(ISERROR(VLOOKUP($C12,非生产人员工资!C:Q,15,FALSE)),VLOOKUP($C12,生产人员工资!C:N,12,FALSE),VLOOKUP($C12,非生产人员工资!C:Q,15,FALSE))),0,IF(ISERROR(VLOOKUP($C12,非生产人员工资!C:Q,15,FALSE)),VLOOKUP($C12,生产人员工资!C:N,12,FALSE),VLOOKUP($C12,非生产人员工资!C:Q,15,FALSE)))</f>
        <v>0.00</v>
      </c>
      <c r="P12" s="7" t="str">
        <f>IF(ISERROR(IF(ISERROR(VLOOKUP($C12,非生产人员工资!C:R,16,FALSE)),VLOOKUP($C12,生产人员工资!C:O,13,FALSE),VLOOKUP($C12,非生产人员工资!C:R,16,FALSE))),0,IF(ISERROR(VLOOKUP($C12,非生产人员工资!C:R,16,FALSE)),VLOOKUP($C12,生产人员工资!C:O,13,FALSE),VLOOKUP($C12,非生产人员工资!C:R,16,FALSE)))</f>
        <v>0.00</v>
      </c>
      <c r="Q12" s="7" t="str">
        <f>IF(ISERROR(IF(ISERROR(VLOOKUP($C12,非生产人员工资!C:S,17,FALSE)),VLOOKUP($C12,生产人员工资!C:P,14,FALSE),VLOOKUP($C12,非生产人员工资!C:S,17,FALSE))),0,IF(ISERROR(VLOOKUP($C12,非生产人员工资!C:S,17,FALSE)),VLOOKUP($C12,生产人员工资!C:P,14,FALSE),VLOOKUP($C12,非生产人员工资!C:S,17,FALSE)))</f>
        <v>0.00</v>
      </c>
      <c r="R12" s="7" t="str">
        <f>IF(ISERROR(IF(ISERROR(VLOOKUP($C12,非生产人员工资!C:T,18,FALSE)),VLOOKUP($C12,生产人员工资!C:Q,15,FALSE),VLOOKUP($C12,非生产人员工资!C:T,18,FALSE))),0,IF(ISERROR(VLOOKUP($C12,非生产人员工资!C:T,18,FALSE)),VLOOKUP($C12,生产人员工资!C:Q,15,FALSE),VLOOKUP($C12,非生产人员工资!C:T,18,FALSE)))</f>
        <v>0.00</v>
      </c>
      <c r="S12" s="7">
        <f>IF(ISERROR(VLOOKUP($C12,非生产人员工资!C:U,19,FALSE)),0,VLOOKUP($C12,非生产人员工资!C:U,19,FALSE))</f>
        <v>0</v>
      </c>
      <c r="T12" s="7" t="str">
        <f>IF(ISERROR(IF(ISERROR(VLOOKUP($C12,非生产人员工资!C:V,20,FALSE)),VLOOKUP($C12,生产人员工资!C:R,16,FALSE),VLOOKUP($C12,非生产人员工资!C:V,20,FALSE))),0,IF(ISERROR(VLOOKUP($C12,非生产人员工资!C:V,20,FALSE)),VLOOKUP($C12,生产人员工资!$C:$R,16,FALSE),VLOOKUP($C12,非生产人员工资!C:V,20,FALSE)))</f>
        <v>0.00</v>
      </c>
      <c r="U12" s="7" t="str">
        <f>IF(ISERROR(IF(ISERROR(VLOOKUP($C12,非生产人员工资!C:W,21,FALSE)),VLOOKUP($C12,生产人员工资!C:S,17,FALSE),VLOOKUP($C12,非生产人员工资!C:W,21,FALSE))),0,IF(ISERROR(VLOOKUP($C12,非生产人员工资!C:W,21,FALSE)),VLOOKUP($C12,生产人员工资!C:S,17,FALSE),VLOOKUP($C12,非生产人员工资!C:W,21,FALSE)))</f>
        <v>0</v>
      </c>
      <c r="V12" s="7" t="str">
        <f>IF(ISERROR(IF(ISERROR(VLOOKUP($C12,非生产人员工资!C:X,22,FALSE)),VLOOKUP($C12,生产人员工资!C:T,18,FALSE),VLOOKUP($C12,非生产人员工资!C:X,22,FALSE))),0,IF(ISERROR(VLOOKUP($C12,非生产人员工资!C:X,22,FALSE)),VLOOKUP($C12,生产人员工资!C:T,18,FALSE),VLOOKUP($C12,非生产人员工资!C:X,22,FALSE)))</f>
        <v>0.00</v>
      </c>
      <c r="W12" s="7">
        <f t="shared" si="1"/>
        <v>13000</v>
      </c>
      <c r="X12" s="7">
        <f>IF(ISERROR(IF(ISERROR(VLOOKUP($C12,非生产人员工资!C:Z,24,FALSE)),VLOOKUP($C12,生产人员工资!C:V,20,FALSE),VLOOKUP($C12,非生产人员工资!$C:$Z,24,FALSE))),0,IF(ISERROR(VLOOKUP($C12,非生产人员工资!$C:$Z,24,FALSE)),VLOOKUP($C12,生产人员工资!$C:$V,20,FALSE),VLOOKUP($C12,非生产人员工资!$C:$Z,24,FALSE)))</f>
        <v>226.9</v>
      </c>
      <c r="Y12" s="7">
        <f>IF(ISERROR(IF(ISERROR(VLOOKUP($C12,非生产人员工资!C:AA,25,FALSE)),VLOOKUP($C12,生产人员工资!C:W,21,FALSE),VLOOKUP($C12,非生产人员工资!C:AA,25,FALSE))),0,IF(ISERROR(VLOOKUP($C12,非生产人员工资!C:AA,25,FALSE)),VLOOKUP($C12,生产人员工资!C:W,21,FALSE),VLOOKUP($C12,非生产人员工资!C:AA,25,FALSE)))</f>
        <v>104.57</v>
      </c>
      <c r="Z12" s="7">
        <f>IF(ISERROR(IF(ISERROR(VLOOKUP($C12,非生产人员工资!C:AB,26,FALSE)),VLOOKUP($C12,生产人员工资!C:X,22,FALSE),VLOOKUP($C12,非生产人员工资!C:AB,26,FALSE))),0,IF(ISERROR(VLOOKUP($C12,非生产人员工资!C:AB,26,FALSE)),VLOOKUP($C12,生产人员工资!C:X,22,FALSE),VLOOKUP($C12,非生产人员工资!C:AB,26,FALSE)))</f>
        <v>8.51</v>
      </c>
      <c r="AA12" s="7">
        <f>IF(ISERROR(IF(ISERROR(VLOOKUP($C12,非生产人员工资!C:AC,27,FALSE)),VLOOKUP($C12,生产人员工资!C:Y,23,FALSE),VLOOKUP($C12,非生产人员工资!C:AC,27,FALSE))),0,IF(ISERROR(VLOOKUP($C12,非生产人员工资!C:AC,27,FALSE)),VLOOKUP($C12,生产人员工资!C:Y,23,FALSE),VLOOKUP($C12,非生产人员工资!C:AC,27,FALSE)))</f>
        <v>159</v>
      </c>
      <c r="AB12" s="7">
        <f>IF(ISERROR(IF(ISERROR(VLOOKUP($C12,非生产人员工资!C:AD,28,FALSE)),VLOOKUP($C12,生产人员工资!C:Z,24,FALSE),VLOOKUP($C12,非生产人员工资!C:AD,28,FALSE))),0,IF(ISERROR(VLOOKUP($C12,非生产人员工资!C:AD,28,FALSE)),VLOOKUP($C12,生产人员工资!C:Z,24,FALSE),VLOOKUP($C12,非生产人员工资!C:AD,28,FALSE)))</f>
        <v>261.84</v>
      </c>
      <c r="AC12" s="269">
        <f>ROUND(IF(ISERROR(IF(ISERROR(VLOOKUP($C12,非生产人员工资!C:AF,30,FALSE)),VLOOKUP($C12,生产人员工资!C:AB,26,0),VLOOKUP($C12,非生产人员工资!C:AF,30,FALSE))),0,IF(ISERROR(VLOOKUP($C12,非生产人员工资!C:AF,30,FALSE)),VLOOKUP($C12,生产人员工资!C:AB,26,0),VLOOKUP($C12,非生产人员工资!C:AF,30,FALSE))),2)</f>
        <v>402.95</v>
      </c>
      <c r="AD12" s="269">
        <f t="shared" si="2"/>
        <v>11836.23</v>
      </c>
      <c r="AE12" s="269" t="str">
        <f>VLOOKUP($C12,员工基本信息!$C:$N,10,FALSE)</f>
        <v>研发费用+质量</v>
      </c>
      <c r="AF12" s="265" t="str">
        <f>VLOOKUP($C12,员工基本信息!$C:$O,11,FALSE)</f>
        <v>间接成本</v>
      </c>
      <c r="AG12" s="265" t="str">
        <f>VLOOKUP($C12,员工基本信息!$C:$O,12,FALSE)</f>
        <v>技术质量科</v>
      </c>
      <c r="AH12" s="265" t="str">
        <f>VLOOKUP($C12,员工基本信息!$C:$O,13,FALSE)</f>
        <v>研发人员</v>
      </c>
      <c r="AI12" s="249" t="str">
        <f>VLOOKUP($B12,员工基本信息!$B:$S,16,FALSE)</f>
        <v>6214220101207778219</v>
      </c>
      <c r="AJ12" s="249" t="str">
        <f>VLOOKUP($B12,员工基本信息!$B:$S,18,FALSE)</f>
        <v>沧州</v>
      </c>
      <c r="AK12" s="249" t="str">
        <f>VLOOKUP(C12,员工基本信息!$C:$M,11,0)</f>
        <v>间接成本</v>
      </c>
    </row>
    <row r="13" s="250" customFormat="1" customHeight="1" spans="1:37">
      <c r="A13" s="264">
        <v>10</v>
      </c>
      <c r="B13" s="6" t="str">
        <f>本月员工姓名!B11</f>
        <v>牟群</v>
      </c>
      <c r="C13" s="265" t="str">
        <f>VLOOKUP($B13,员工基本信息!$B:$I,2,FALSE)</f>
        <v>132930198710064725</v>
      </c>
      <c r="D13" s="266" t="str">
        <f>VLOOKUP($B13,员工基本信息!$B:$I,4,FALSE)</f>
        <v>综合管理部</v>
      </c>
      <c r="E13" s="266" t="str">
        <f>VLOOKUP($B13,员工基本信息!$B:$I,5,FALSE)</f>
        <v>人事主管</v>
      </c>
      <c r="F13" s="267">
        <f>IF(ISERROR(VLOOKUP($C13,非生产人员工资!C:I,7,FALSE)),0,VLOOKUP($C13,非生产人员工资!C:I,7,FALSE))</f>
        <v>1790</v>
      </c>
      <c r="G13" s="267">
        <f>IF(ISERROR(VLOOKUP($C13,非生产人员工资!C:J,8,0)),0,VLOOKUP($C13,非生产人员工资!C:J,8,FALSE))</f>
        <v>0</v>
      </c>
      <c r="H13" s="7">
        <f>IF(ISERROR(VLOOKUP($C13,非生产人员工资!C:K,9,FALSE)),0,VLOOKUP($C13,非生产人员工资!C:K,9,FALSE))</f>
        <v>3160</v>
      </c>
      <c r="I13" s="7">
        <f>IF(ISERROR(VLOOKUP($C13,非生产人员工资!C:L,10,FALSE)),0,VLOOKUP($C13,非生产人员工资!C:L,10,FALSE))</f>
        <v>550</v>
      </c>
      <c r="J13" s="7">
        <f>IF(ISERROR(VLOOKUP($C13,生产人员工资!C:I,7,FALSE)),0,VLOOKUP($C13,生产人员工资!C:I,7,FALSE))</f>
        <v>0</v>
      </c>
      <c r="K13" s="7">
        <f>IF(ISERROR(VLOOKUP($C13,生产人员工资!C:J,8,FALSE)),0,VLOOKUP($C13,生产人员工资!C:J,8,FALSE))</f>
        <v>0</v>
      </c>
      <c r="L13" s="7">
        <f>IF(ISERROR(IF(ISERROR(VLOOKUP($C13,非生产人员工资!C:N,12,FALSE)),VLOOKUP($C13,生产人员工资!C:K,9,FALSE),VLOOKUP($C13,非生产人员工资!C:N,12,FALSE))),0,IF(ISERROR(VLOOKUP($C13,非生产人员工资!C:N,12,FALSE)),VLOOKUP($C13,生产人员工资!C:K,9,FALSE),VLOOKUP($C13,非生产人员工资!C:N,12,FALSE)))</f>
        <v>0</v>
      </c>
      <c r="M13" s="7" t="str">
        <f>IF(ISERROR(IF(ISERROR(VLOOKUP($C13,非生产人员工资!$C:$O,13,FALSE)),VLOOKUP($C13,生产人员工资!$C:$L,10,FALSE),VLOOKUP($C13,非生产人员工资!$C:$O,13,FALSE))),0,IF(ISERROR(VLOOKUP($C13,非生产人员工资!$C:$O,13,FALSE)),VLOOKUP($C13,生产人员工资!$C:$L,10,FALSE),VLOOKUP($C13,非生产人员工资!$C:$O,13,FALSE)))</f>
        <v>0.00</v>
      </c>
      <c r="N13" s="7" t="str">
        <f>IF(ISERROR(IF(ISERROR(VLOOKUP($C13,非生产人员工资!$C:$P,14,FALSE)),VLOOKUP($C13,生产人员工资!$C:$M,11,FALSE),VLOOKUP($C13,非生产人员工资!$C:$P,14,FALSE))),0,IF(ISERROR(VLOOKUP($C13,非生产人员工资!$C:$P,14,FALSE)),VLOOKUP($C13,生产人员工资!$C:$M,11,FALSE),VLOOKUP($C13,非生产人员工资!$C:$P,14,FALSE)))</f>
        <v>0.00</v>
      </c>
      <c r="O13" s="7" t="str">
        <f>IF(ISERROR(IF(ISERROR(VLOOKUP($C13,非生产人员工资!C:Q,15,FALSE)),VLOOKUP($C13,生产人员工资!C:N,12,FALSE),VLOOKUP($C13,非生产人员工资!C:Q,15,FALSE))),0,IF(ISERROR(VLOOKUP($C13,非生产人员工资!C:Q,15,FALSE)),VLOOKUP($C13,生产人员工资!C:N,12,FALSE),VLOOKUP($C13,非生产人员工资!C:Q,15,FALSE)))</f>
        <v>0.00</v>
      </c>
      <c r="P13" s="7" t="str">
        <f>IF(ISERROR(IF(ISERROR(VLOOKUP($C13,非生产人员工资!C:R,16,FALSE)),VLOOKUP($C13,生产人员工资!C:O,13,FALSE),VLOOKUP($C13,非生产人员工资!C:R,16,FALSE))),0,IF(ISERROR(VLOOKUP($C13,非生产人员工资!C:R,16,FALSE)),VLOOKUP($C13,生产人员工资!C:O,13,FALSE),VLOOKUP($C13,非生产人员工资!C:R,16,FALSE)))</f>
        <v>0.00</v>
      </c>
      <c r="Q13" s="7" t="str">
        <f>IF(ISERROR(IF(ISERROR(VLOOKUP($C13,非生产人员工资!C:S,17,FALSE)),VLOOKUP($C13,生产人员工资!C:P,14,FALSE),VLOOKUP($C13,非生产人员工资!C:S,17,FALSE))),0,IF(ISERROR(VLOOKUP($C13,非生产人员工资!C:S,17,FALSE)),VLOOKUP($C13,生产人员工资!C:P,14,FALSE),VLOOKUP($C13,非生产人员工资!C:S,17,FALSE)))</f>
        <v>0.00</v>
      </c>
      <c r="R13" s="7" t="str">
        <f>IF(ISERROR(IF(ISERROR(VLOOKUP($C13,非生产人员工资!C:T,18,FALSE)),VLOOKUP($C13,生产人员工资!C:Q,15,FALSE),VLOOKUP($C13,非生产人员工资!C:T,18,FALSE))),0,IF(ISERROR(VLOOKUP($C13,非生产人员工资!C:T,18,FALSE)),VLOOKUP($C13,生产人员工资!C:Q,15,FALSE),VLOOKUP($C13,非生产人员工资!C:T,18,FALSE)))</f>
        <v>0.00</v>
      </c>
      <c r="S13" s="7">
        <f>IF(ISERROR(VLOOKUP($C13,非生产人员工资!C:U,19,FALSE)),0,VLOOKUP($C13,非生产人员工资!C:U,19,FALSE))</f>
        <v>0</v>
      </c>
      <c r="T13" s="7" t="str">
        <f>IF(ISERROR(IF(ISERROR(VLOOKUP($C13,非生产人员工资!C:V,20,FALSE)),VLOOKUP($C13,生产人员工资!C:R,16,FALSE),VLOOKUP($C13,非生产人员工资!C:V,20,FALSE))),0,IF(ISERROR(VLOOKUP($C13,非生产人员工资!C:V,20,FALSE)),VLOOKUP($C13,生产人员工资!$C:$R,16,FALSE),VLOOKUP($C13,非生产人员工资!C:V,20,FALSE)))</f>
        <v>0.00</v>
      </c>
      <c r="U13" s="7" t="str">
        <f>IF(ISERROR(IF(ISERROR(VLOOKUP($C13,非生产人员工资!C:W,21,FALSE)),VLOOKUP($C13,生产人员工资!C:S,17,FALSE),VLOOKUP($C13,非生产人员工资!C:W,21,FALSE))),0,IF(ISERROR(VLOOKUP($C13,非生产人员工资!C:W,21,FALSE)),VLOOKUP($C13,生产人员工资!C:S,17,FALSE),VLOOKUP($C13,非生产人员工资!C:W,21,FALSE)))</f>
        <v>0</v>
      </c>
      <c r="V13" s="7" t="str">
        <f>IF(ISERROR(IF(ISERROR(VLOOKUP($C13,非生产人员工资!C:X,22,FALSE)),VLOOKUP($C13,生产人员工资!C:T,18,FALSE),VLOOKUP($C13,非生产人员工资!C:X,22,FALSE))),0,IF(ISERROR(VLOOKUP($C13,非生产人员工资!C:X,22,FALSE)),VLOOKUP($C13,生产人员工资!C:T,18,FALSE),VLOOKUP($C13,非生产人员工资!C:X,22,FALSE)))</f>
        <v>0.00</v>
      </c>
      <c r="W13" s="7">
        <f t="shared" si="1"/>
        <v>5500</v>
      </c>
      <c r="X13" s="7">
        <f>IF(ISERROR(IF(ISERROR(VLOOKUP($C13,非生产人员工资!C:Z,24,FALSE)),VLOOKUP($C13,生产人员工资!C:V,20,FALSE),VLOOKUP($C13,非生产人员工资!$C:$Z,24,FALSE))),0,IF(ISERROR(VLOOKUP($C13,非生产人员工资!$C:$Z,24,FALSE)),VLOOKUP($C13,生产人员工资!$C:$V,20,FALSE),VLOOKUP($C13,非生产人员工资!$C:$Z,24,FALSE)))</f>
        <v>243.36</v>
      </c>
      <c r="Y13" s="7">
        <f>IF(ISERROR(IF(ISERROR(VLOOKUP($C13,非生产人员工资!C:AA,25,FALSE)),VLOOKUP($C13,生产人员工资!C:W,21,FALSE),VLOOKUP($C13,非生产人员工资!C:AA,25,FALSE))),0,IF(ISERROR(VLOOKUP($C13,非生产人员工资!C:AA,25,FALSE)),VLOOKUP($C13,生产人员工资!C:W,21,FALSE),VLOOKUP($C13,非生产人员工资!C:AA,25,FALSE)))</f>
        <v>104.57</v>
      </c>
      <c r="Z13" s="7">
        <f>IF(ISERROR(IF(ISERROR(VLOOKUP($C13,非生产人员工资!C:AB,26,FALSE)),VLOOKUP($C13,生产人员工资!C:X,22,FALSE),VLOOKUP($C13,非生产人员工资!C:AB,26,FALSE))),0,IF(ISERROR(VLOOKUP($C13,非生产人员工资!C:AB,26,FALSE)),VLOOKUP($C13,生产人员工资!C:X,22,FALSE),VLOOKUP($C13,非生产人员工资!C:AB,26,FALSE)))</f>
        <v>9.13</v>
      </c>
      <c r="AA13" s="7">
        <f>IF(ISERROR(IF(ISERROR(VLOOKUP($C13,非生产人员工资!C:AC,27,FALSE)),VLOOKUP($C13,生产人员工资!C:Y,23,FALSE),VLOOKUP($C13,非生产人员工资!C:AC,27,FALSE))),0,IF(ISERROR(VLOOKUP($C13,非生产人员工资!C:AC,27,FALSE)),VLOOKUP($C13,生产人员工资!C:Y,23,FALSE),VLOOKUP($C13,非生产人员工资!C:AC,27,FALSE)))</f>
        <v>159</v>
      </c>
      <c r="AB13" s="7">
        <f>IF(ISERROR(IF(ISERROR(VLOOKUP($C13,非生产人员工资!C:AD,28,FALSE)),VLOOKUP($C13,生产人员工资!C:Z,24,FALSE),VLOOKUP($C13,非生产人员工资!C:AD,28,FALSE))),0,IF(ISERROR(VLOOKUP($C13,非生产人员工资!C:AD,28,FALSE)),VLOOKUP($C13,生产人员工资!C:Z,24,FALSE),VLOOKUP($C13,非生产人员工资!C:AD,28,FALSE)))</f>
        <v>130.16</v>
      </c>
      <c r="AC13" s="269">
        <f>ROUND(IF(ISERROR(IF(ISERROR(VLOOKUP($C13,非生产人员工资!C:AF,30,FALSE)),VLOOKUP($C13,生产人员工资!C:AB,26,0),VLOOKUP($C13,非生产人员工资!C:AF,30,FALSE))),0,IF(ISERROR(VLOOKUP($C13,非生产人员工资!C:AF,30,FALSE)),VLOOKUP($C13,生产人员工资!C:AB,26,0),VLOOKUP($C13,非生产人员工资!C:AF,30,FALSE))),2)</f>
        <v>0</v>
      </c>
      <c r="AD13" s="269">
        <f t="shared" si="2"/>
        <v>4853.78</v>
      </c>
      <c r="AE13" s="269" t="str">
        <f>VLOOKUP($C13,员工基本信息!$C:$N,10,FALSE)</f>
        <v>管理费用+综合</v>
      </c>
      <c r="AF13" s="265" t="str">
        <f>VLOOKUP($C13,员工基本信息!$C:$O,11,FALSE)</f>
        <v>间接成本</v>
      </c>
      <c r="AG13" s="265" t="str">
        <f>VLOOKUP($C13,员工基本信息!$C:$O,12,FALSE)</f>
        <v>综合管理科</v>
      </c>
      <c r="AH13" s="265" t="str">
        <f>VLOOKUP($C13,员工基本信息!$C:$O,13,FALSE)</f>
        <v>管理人员</v>
      </c>
      <c r="AI13" s="249" t="str">
        <f>VLOOKUP($B13,员工基本信息!$B:$S,16,FALSE)</f>
        <v>6214220126200026472</v>
      </c>
      <c r="AJ13" s="249" t="str">
        <f>VLOOKUP($B13,员工基本信息!$B:$S,18,FALSE)</f>
        <v>沧州</v>
      </c>
      <c r="AK13" s="249" t="str">
        <f>VLOOKUP(C13,员工基本信息!$C:$M,11,0)</f>
        <v>间接成本</v>
      </c>
    </row>
    <row r="14" s="250" customFormat="1" customHeight="1" spans="1:37">
      <c r="A14" s="264">
        <v>11</v>
      </c>
      <c r="B14" s="6" t="str">
        <f>本月员工姓名!B12</f>
        <v>许嘉辉</v>
      </c>
      <c r="C14" s="265" t="str">
        <f>VLOOKUP($B14,员工基本信息!$B:$I,2,FALSE)</f>
        <v>13092419820326351x</v>
      </c>
      <c r="D14" s="266" t="str">
        <f>VLOOKUP($B14,员工基本信息!$B:$I,4,FALSE)</f>
        <v>生产管理部</v>
      </c>
      <c r="E14" s="266" t="str">
        <f>VLOOKUP($B14,员工基本信息!$B:$I,5,FALSE)</f>
        <v>生管部长</v>
      </c>
      <c r="F14" s="267">
        <f>IF(ISERROR(VLOOKUP($C14,非生产人员工资!C:I,7,FALSE)),0,VLOOKUP($C14,非生产人员工资!C:I,7,FALSE))</f>
        <v>1790</v>
      </c>
      <c r="G14" s="267">
        <f>IF(ISERROR(VLOOKUP($C14,非生产人员工资!C:J,8,0)),0,VLOOKUP($C14,非生产人员工资!C:J,8,FALSE))</f>
        <v>329.195402298851</v>
      </c>
      <c r="H14" s="7">
        <f>IF(ISERROR(VLOOKUP($C14,非生产人员工资!C:K,9,FALSE)),0,VLOOKUP($C14,非生产人员工资!C:K,9,FALSE))</f>
        <v>4280.80459770115</v>
      </c>
      <c r="I14" s="7">
        <f>IF(ISERROR(VLOOKUP($C14,非生产人员工资!C:L,10,FALSE)),0,VLOOKUP($C14,非生产人员工资!C:L,10,FALSE))</f>
        <v>1600</v>
      </c>
      <c r="J14" s="7">
        <f>IF(ISERROR(VLOOKUP($C14,生产人员工资!C:I,7,FALSE)),0,VLOOKUP($C14,生产人员工资!C:I,7,FALSE))</f>
        <v>0</v>
      </c>
      <c r="K14" s="7">
        <f>IF(ISERROR(VLOOKUP($C14,生产人员工资!C:J,8,FALSE)),0,VLOOKUP($C14,生产人员工资!C:J,8,FALSE))</f>
        <v>0</v>
      </c>
      <c r="L14" s="7">
        <f>IF(ISERROR(IF(ISERROR(VLOOKUP($C14,非生产人员工资!C:N,12,FALSE)),VLOOKUP($C14,生产人员工资!C:K,9,FALSE),VLOOKUP($C14,非生产人员工资!C:N,12,FALSE))),0,IF(ISERROR(VLOOKUP($C14,非生产人员工资!C:N,12,FALSE)),VLOOKUP($C14,生产人员工资!C:K,9,FALSE),VLOOKUP($C14,非生产人员工资!C:N,12,FALSE)))</f>
        <v>0</v>
      </c>
      <c r="M14" s="7" t="str">
        <f>IF(ISERROR(IF(ISERROR(VLOOKUP($C14,非生产人员工资!$C:$O,13,FALSE)),VLOOKUP($C14,生产人员工资!$C:$L,10,FALSE),VLOOKUP($C14,非生产人员工资!$C:$O,13,FALSE))),0,IF(ISERROR(VLOOKUP($C14,非生产人员工资!$C:$O,13,FALSE)),VLOOKUP($C14,生产人员工资!$C:$L,10,FALSE),VLOOKUP($C14,非生产人员工资!$C:$O,13,FALSE)))</f>
        <v>0.00</v>
      </c>
      <c r="N14" s="7">
        <f>IF(ISERROR(IF(ISERROR(VLOOKUP($C14,非生产人员工资!$C:$P,14,FALSE)),VLOOKUP($C14,生产人员工资!$C:$M,11,FALSE),VLOOKUP($C14,非生产人员工资!$C:$P,14,FALSE))),0,IF(ISERROR(VLOOKUP($C14,非生产人员工资!$C:$P,14,FALSE)),VLOOKUP($C14,生产人员工资!$C:$M,11,FALSE),VLOOKUP($C14,非生产人员工资!$C:$P,14,FALSE)))</f>
        <v>340</v>
      </c>
      <c r="O14" s="7" t="str">
        <f>IF(ISERROR(IF(ISERROR(VLOOKUP($C14,非生产人员工资!C:Q,15,FALSE)),VLOOKUP($C14,生产人员工资!C:N,12,FALSE),VLOOKUP($C14,非生产人员工资!C:Q,15,FALSE))),0,IF(ISERROR(VLOOKUP($C14,非生产人员工资!C:Q,15,FALSE)),VLOOKUP($C14,生产人员工资!C:N,12,FALSE),VLOOKUP($C14,非生产人员工资!C:Q,15,FALSE)))</f>
        <v>0.00</v>
      </c>
      <c r="P14" s="7" t="str">
        <f>IF(ISERROR(IF(ISERROR(VLOOKUP($C14,非生产人员工资!C:R,16,FALSE)),VLOOKUP($C14,生产人员工资!C:O,13,FALSE),VLOOKUP($C14,非生产人员工资!C:R,16,FALSE))),0,IF(ISERROR(VLOOKUP($C14,非生产人员工资!C:R,16,FALSE)),VLOOKUP($C14,生产人员工资!C:O,13,FALSE),VLOOKUP($C14,非生产人员工资!C:R,16,FALSE)))</f>
        <v>0.00</v>
      </c>
      <c r="Q14" s="7" t="str">
        <f>IF(ISERROR(IF(ISERROR(VLOOKUP($C14,非生产人员工资!C:S,17,FALSE)),VLOOKUP($C14,生产人员工资!C:P,14,FALSE),VLOOKUP($C14,非生产人员工资!C:S,17,FALSE))),0,IF(ISERROR(VLOOKUP($C14,非生产人员工资!C:S,17,FALSE)),VLOOKUP($C14,生产人员工资!C:P,14,FALSE),VLOOKUP($C14,非生产人员工资!C:S,17,FALSE)))</f>
        <v>0.00</v>
      </c>
      <c r="R14" s="7" t="str">
        <f>IF(ISERROR(IF(ISERROR(VLOOKUP($C14,非生产人员工资!C:T,18,FALSE)),VLOOKUP($C14,生产人员工资!C:Q,15,FALSE),VLOOKUP($C14,非生产人员工资!C:T,18,FALSE))),0,IF(ISERROR(VLOOKUP($C14,非生产人员工资!C:T,18,FALSE)),VLOOKUP($C14,生产人员工资!C:Q,15,FALSE),VLOOKUP($C14,非生产人员工资!C:T,18,FALSE)))</f>
        <v>0.00</v>
      </c>
      <c r="S14" s="7">
        <f>IF(ISERROR(VLOOKUP($C14,非生产人员工资!C:U,19,FALSE)),0,VLOOKUP($C14,非生产人员工资!C:U,19,FALSE))</f>
        <v>0</v>
      </c>
      <c r="T14" s="7" t="str">
        <f>IF(ISERROR(IF(ISERROR(VLOOKUP($C14,非生产人员工资!C:V,20,FALSE)),VLOOKUP($C14,生产人员工资!C:R,16,FALSE),VLOOKUP($C14,非生产人员工资!C:V,20,FALSE))),0,IF(ISERROR(VLOOKUP($C14,非生产人员工资!C:V,20,FALSE)),VLOOKUP($C14,生产人员工资!$C:$R,16,FALSE),VLOOKUP($C14,非生产人员工资!C:V,20,FALSE)))</f>
        <v>0.00</v>
      </c>
      <c r="U14" s="7" t="str">
        <f>IF(ISERROR(IF(ISERROR(VLOOKUP($C14,非生产人员工资!C:W,21,FALSE)),VLOOKUP($C14,生产人员工资!C:S,17,FALSE),VLOOKUP($C14,非生产人员工资!C:W,21,FALSE))),0,IF(ISERROR(VLOOKUP($C14,非生产人员工资!C:W,21,FALSE)),VLOOKUP($C14,生产人员工资!C:S,17,FALSE),VLOOKUP($C14,非生产人员工资!C:W,21,FALSE)))</f>
        <v>0</v>
      </c>
      <c r="V14" s="7" t="str">
        <f>IF(ISERROR(IF(ISERROR(VLOOKUP($C14,非生产人员工资!C:X,22,FALSE)),VLOOKUP($C14,生产人员工资!C:T,18,FALSE),VLOOKUP($C14,非生产人员工资!C:X,22,FALSE))),0,IF(ISERROR(VLOOKUP($C14,非生产人员工资!C:X,22,FALSE)),VLOOKUP($C14,生产人员工资!C:T,18,FALSE),VLOOKUP($C14,非生产人员工资!C:X,22,FALSE)))</f>
        <v>0.00</v>
      </c>
      <c r="W14" s="7">
        <f t="shared" si="1"/>
        <v>8340</v>
      </c>
      <c r="X14" s="7">
        <f>IF(ISERROR(IF(ISERROR(VLOOKUP($C14,非生产人员工资!C:Z,24,FALSE)),VLOOKUP($C14,生产人员工资!C:V,20,FALSE),VLOOKUP($C14,非生产人员工资!$C:$Z,24,FALSE))),0,IF(ISERROR(VLOOKUP($C14,非生产人员工资!$C:$Z,24,FALSE)),VLOOKUP($C14,生产人员工资!$C:$V,20,FALSE),VLOOKUP($C14,非生产人员工资!$C:$Z,24,FALSE)))</f>
        <v>305.6</v>
      </c>
      <c r="Y14" s="7">
        <f>IF(ISERROR(IF(ISERROR(VLOOKUP($C14,非生产人员工资!C:AA,25,FALSE)),VLOOKUP($C14,生产人员工资!C:W,21,FALSE),VLOOKUP($C14,非生产人员工资!C:AA,25,FALSE))),0,IF(ISERROR(VLOOKUP($C14,非生产人员工资!C:AA,25,FALSE)),VLOOKUP($C14,生产人员工资!C:W,21,FALSE),VLOOKUP($C14,非生产人员工资!C:AA,25,FALSE)))</f>
        <v>104.57</v>
      </c>
      <c r="Z14" s="7">
        <f>IF(ISERROR(IF(ISERROR(VLOOKUP($C14,非生产人员工资!C:AB,26,FALSE)),VLOOKUP($C14,生产人员工资!C:X,22,FALSE),VLOOKUP($C14,非生产人员工资!C:AB,26,FALSE))),0,IF(ISERROR(VLOOKUP($C14,非生产人员工资!C:AB,26,FALSE)),VLOOKUP($C14,生产人员工资!C:X,22,FALSE),VLOOKUP($C14,非生产人员工资!C:AB,26,FALSE)))</f>
        <v>11.46</v>
      </c>
      <c r="AA14" s="7">
        <f>IF(ISERROR(IF(ISERROR(VLOOKUP($C14,非生产人员工资!C:AC,27,FALSE)),VLOOKUP($C14,生产人员工资!C:Y,23,FALSE),VLOOKUP($C14,非生产人员工资!C:AC,27,FALSE))),0,IF(ISERROR(VLOOKUP($C14,非生产人员工资!C:AC,27,FALSE)),VLOOKUP($C14,生产人员工资!C:Y,23,FALSE),VLOOKUP($C14,非生产人员工资!C:AC,27,FALSE)))</f>
        <v>209</v>
      </c>
      <c r="AB14" s="7">
        <f>IF(ISERROR(IF(ISERROR(VLOOKUP($C14,非生产人员工资!C:AD,28,FALSE)),VLOOKUP($C14,生产人员工资!C:Z,24,FALSE),VLOOKUP($C14,非生产人员工资!C:AD,28,FALSE))),0,IF(ISERROR(VLOOKUP($C14,非生产人员工资!C:AD,28,FALSE)),VLOOKUP($C14,生产人员工资!C:Z,24,FALSE),VLOOKUP($C14,非生产人员工资!C:AD,28,FALSE)))</f>
        <v>0</v>
      </c>
      <c r="AC14" s="269">
        <f>ROUND(IF(ISERROR(IF(ISERROR(VLOOKUP($C14,非生产人员工资!C:AF,30,FALSE)),VLOOKUP($C14,生产人员工资!C:AB,26,0),VLOOKUP($C14,非生产人员工资!C:AF,30,FALSE))),0,IF(ISERROR(VLOOKUP($C14,非生产人员工资!C:AF,30,FALSE)),VLOOKUP($C14,生产人员工资!C:AB,26,0),VLOOKUP($C14,非生产人员工资!C:AF,30,FALSE))),2)</f>
        <v>0</v>
      </c>
      <c r="AD14" s="269">
        <f t="shared" si="2"/>
        <v>7709.37</v>
      </c>
      <c r="AE14" s="269" t="str">
        <f>VLOOKUP($C14,员工基本信息!$C:$N,10,FALSE)</f>
        <v>管理费用+生管</v>
      </c>
      <c r="AF14" s="265" t="str">
        <f>VLOOKUP($C14,员工基本信息!$C:$O,11,FALSE)</f>
        <v>间接成本</v>
      </c>
      <c r="AG14" s="265" t="str">
        <f>VLOOKUP($C14,员工基本信息!$C:$O,12,FALSE)</f>
        <v>生产管理部</v>
      </c>
      <c r="AH14" s="265" t="str">
        <f>VLOOKUP($C14,员工基本信息!$C:$O,13,FALSE)</f>
        <v>管理人员</v>
      </c>
      <c r="AI14" s="249" t="str">
        <f>VLOOKUP($B14,员工基本信息!$B:$S,16,FALSE)</f>
        <v>6214220101205279384</v>
      </c>
      <c r="AJ14" s="249" t="str">
        <f>VLOOKUP($B14,员工基本信息!$B:$S,18,FALSE)</f>
        <v>沧州</v>
      </c>
      <c r="AK14" s="249" t="str">
        <f>VLOOKUP(C14,员工基本信息!$C:$M,11,0)</f>
        <v>间接成本</v>
      </c>
    </row>
    <row r="15" s="250" customFormat="1" customHeight="1" spans="1:37">
      <c r="A15" s="264">
        <v>12</v>
      </c>
      <c r="B15" s="6" t="str">
        <f>本月员工姓名!B13</f>
        <v>孙沛霖</v>
      </c>
      <c r="C15" s="265" t="str">
        <f>VLOOKUP($B15,员工基本信息!$B:$I,2,FALSE)</f>
        <v>13293019811207531X</v>
      </c>
      <c r="D15" s="266" t="str">
        <f>VLOOKUP($B15,员工基本信息!$B:$I,4,FALSE)</f>
        <v>生产管理部</v>
      </c>
      <c r="E15" s="266" t="str">
        <f>VLOOKUP($B15,员工基本信息!$B:$I,5,FALSE)</f>
        <v>采购经理</v>
      </c>
      <c r="F15" s="267">
        <f>IF(ISERROR(VLOOKUP($C15,非生产人员工资!C:I,7,FALSE)),0,VLOOKUP($C15,非生产人员工资!C:I,7,FALSE))</f>
        <v>1790</v>
      </c>
      <c r="G15" s="267">
        <f>IF(ISERROR(VLOOKUP($C15,非生产人员工资!C:J,8,0)),0,VLOOKUP($C15,非生产人员工资!C:J,8,FALSE))</f>
        <v>822.988505747127</v>
      </c>
      <c r="H15" s="7">
        <f>IF(ISERROR(VLOOKUP($C15,非生产人员工资!C:K,9,FALSE)),0,VLOOKUP($C15,非生产人员工资!C:K,9,FALSE))</f>
        <v>3507.01149425287</v>
      </c>
      <c r="I15" s="7">
        <f>IF(ISERROR(VLOOKUP($C15,非生产人员工资!C:L,10,FALSE)),0,VLOOKUP($C15,非生产人员工资!C:L,10,FALSE))</f>
        <v>680</v>
      </c>
      <c r="J15" s="7">
        <f>IF(ISERROR(VLOOKUP($C15,生产人员工资!C:I,7,FALSE)),0,VLOOKUP($C15,生产人员工资!C:I,7,FALSE))</f>
        <v>0</v>
      </c>
      <c r="K15" s="7">
        <f>IF(ISERROR(VLOOKUP($C15,生产人员工资!C:J,8,FALSE)),0,VLOOKUP($C15,生产人员工资!C:J,8,FALSE))</f>
        <v>0</v>
      </c>
      <c r="L15" s="7">
        <f>IF(ISERROR(IF(ISERROR(VLOOKUP($C15,非生产人员工资!C:N,12,FALSE)),VLOOKUP($C15,生产人员工资!C:K,9,FALSE),VLOOKUP($C15,非生产人员工资!C:N,12,FALSE))),0,IF(ISERROR(VLOOKUP($C15,非生产人员工资!C:N,12,FALSE)),VLOOKUP($C15,生产人员工资!C:K,9,FALSE),VLOOKUP($C15,非生产人员工资!C:N,12,FALSE)))</f>
        <v>0</v>
      </c>
      <c r="M15" s="7" t="str">
        <f>IF(ISERROR(IF(ISERROR(VLOOKUP($C15,非生产人员工资!$C:$O,13,FALSE)),VLOOKUP($C15,生产人员工资!$C:$L,10,FALSE),VLOOKUP($C15,非生产人员工资!$C:$O,13,FALSE))),0,IF(ISERROR(VLOOKUP($C15,非生产人员工资!$C:$O,13,FALSE)),VLOOKUP($C15,生产人员工资!$C:$L,10,FALSE),VLOOKUP($C15,非生产人员工资!$C:$O,13,FALSE)))</f>
        <v>0.00</v>
      </c>
      <c r="N15" s="7">
        <f>IF(ISERROR(IF(ISERROR(VLOOKUP($C15,非生产人员工资!$C:$P,14,FALSE)),VLOOKUP($C15,生产人员工资!$C:$M,11,FALSE),VLOOKUP($C15,非生产人员工资!$C:$P,14,FALSE))),0,IF(ISERROR(VLOOKUP($C15,非生产人员工资!$C:$P,14,FALSE)),VLOOKUP($C15,生产人员工资!$C:$M,11,FALSE),VLOOKUP($C15,非生产人员工资!$C:$P,14,FALSE)))</f>
        <v>340</v>
      </c>
      <c r="O15" s="7" t="str">
        <f>IF(ISERROR(IF(ISERROR(VLOOKUP($C15,非生产人员工资!C:Q,15,FALSE)),VLOOKUP($C15,生产人员工资!C:N,12,FALSE),VLOOKUP($C15,非生产人员工资!C:Q,15,FALSE))),0,IF(ISERROR(VLOOKUP($C15,非生产人员工资!C:Q,15,FALSE)),VLOOKUP($C15,生产人员工资!C:N,12,FALSE),VLOOKUP($C15,非生产人员工资!C:Q,15,FALSE)))</f>
        <v>0.00</v>
      </c>
      <c r="P15" s="7" t="str">
        <f>IF(ISERROR(IF(ISERROR(VLOOKUP($C15,非生产人员工资!C:R,16,FALSE)),VLOOKUP($C15,生产人员工资!C:O,13,FALSE),VLOOKUP($C15,非生产人员工资!C:R,16,FALSE))),0,IF(ISERROR(VLOOKUP($C15,非生产人员工资!C:R,16,FALSE)),VLOOKUP($C15,生产人员工资!C:O,13,FALSE),VLOOKUP($C15,非生产人员工资!C:R,16,FALSE)))</f>
        <v>0.00</v>
      </c>
      <c r="Q15" s="7" t="str">
        <f>IF(ISERROR(IF(ISERROR(VLOOKUP($C15,非生产人员工资!C:S,17,FALSE)),VLOOKUP($C15,生产人员工资!C:P,14,FALSE),VLOOKUP($C15,非生产人员工资!C:S,17,FALSE))),0,IF(ISERROR(VLOOKUP($C15,非生产人员工资!C:S,17,FALSE)),VLOOKUP($C15,生产人员工资!C:P,14,FALSE),VLOOKUP($C15,非生产人员工资!C:S,17,FALSE)))</f>
        <v>0.00</v>
      </c>
      <c r="R15" s="7" t="str">
        <f>IF(ISERROR(IF(ISERROR(VLOOKUP($C15,非生产人员工资!C:T,18,FALSE)),VLOOKUP($C15,生产人员工资!C:Q,15,FALSE),VLOOKUP($C15,非生产人员工资!C:T,18,FALSE))),0,IF(ISERROR(VLOOKUP($C15,非生产人员工资!C:T,18,FALSE)),VLOOKUP($C15,生产人员工资!C:Q,15,FALSE),VLOOKUP($C15,非生产人员工资!C:T,18,FALSE)))</f>
        <v>0.00</v>
      </c>
      <c r="S15" s="7">
        <f>IF(ISERROR(VLOOKUP($C15,非生产人员工资!C:U,19,FALSE)),0,VLOOKUP($C15,非生产人员工资!C:U,19,FALSE))</f>
        <v>0</v>
      </c>
      <c r="T15" s="7" t="str">
        <f>IF(ISERROR(IF(ISERROR(VLOOKUP($C15,非生产人员工资!C:V,20,FALSE)),VLOOKUP($C15,生产人员工资!C:R,16,FALSE),VLOOKUP($C15,非生产人员工资!C:V,20,FALSE))),0,IF(ISERROR(VLOOKUP($C15,非生产人员工资!C:V,20,FALSE)),VLOOKUP($C15,生产人员工资!$C:$R,16,FALSE),VLOOKUP($C15,非生产人员工资!C:V,20,FALSE)))</f>
        <v>0.00</v>
      </c>
      <c r="U15" s="7" t="str">
        <f>IF(ISERROR(IF(ISERROR(VLOOKUP($C15,非生产人员工资!C:W,21,FALSE)),VLOOKUP($C15,生产人员工资!C:S,17,FALSE),VLOOKUP($C15,非生产人员工资!C:W,21,FALSE))),0,IF(ISERROR(VLOOKUP($C15,非生产人员工资!C:W,21,FALSE)),VLOOKUP($C15,生产人员工资!C:S,17,FALSE),VLOOKUP($C15,非生产人员工资!C:W,21,FALSE)))</f>
        <v>0</v>
      </c>
      <c r="V15" s="7" t="str">
        <f>IF(ISERROR(IF(ISERROR(VLOOKUP($C15,非生产人员工资!C:X,22,FALSE)),VLOOKUP($C15,生产人员工资!C:T,18,FALSE),VLOOKUP($C15,非生产人员工资!C:X,22,FALSE))),0,IF(ISERROR(VLOOKUP($C15,非生产人员工资!C:X,22,FALSE)),VLOOKUP($C15,生产人员工资!C:T,18,FALSE),VLOOKUP($C15,非生产人员工资!C:X,22,FALSE)))</f>
        <v>0.00</v>
      </c>
      <c r="W15" s="7">
        <f t="shared" si="1"/>
        <v>7140</v>
      </c>
      <c r="X15" s="7">
        <f>IF(ISERROR(IF(ISERROR(VLOOKUP($C15,非生产人员工资!C:Z,24,FALSE)),VLOOKUP($C15,生产人员工资!C:V,20,FALSE),VLOOKUP($C15,非生产人员工资!$C:$Z,24,FALSE))),0,IF(ISERROR(VLOOKUP($C15,非生产人员工资!$C:$Z,24,FALSE)),VLOOKUP($C15,生产人员工资!$C:$V,20,FALSE),VLOOKUP($C15,非生产人员工资!$C:$Z,24,FALSE)))</f>
        <v>305.6</v>
      </c>
      <c r="Y15" s="7">
        <f>IF(ISERROR(IF(ISERROR(VLOOKUP($C15,非生产人员工资!C:AA,25,FALSE)),VLOOKUP($C15,生产人员工资!C:W,21,FALSE),VLOOKUP($C15,非生产人员工资!C:AA,25,FALSE))),0,IF(ISERROR(VLOOKUP($C15,非生产人员工资!C:AA,25,FALSE)),VLOOKUP($C15,生产人员工资!C:W,21,FALSE),VLOOKUP($C15,非生产人员工资!C:AA,25,FALSE)))</f>
        <v>104.57</v>
      </c>
      <c r="Z15" s="7">
        <f>IF(ISERROR(IF(ISERROR(VLOOKUP($C15,非生产人员工资!C:AB,26,FALSE)),VLOOKUP($C15,生产人员工资!C:X,22,FALSE),VLOOKUP($C15,非生产人员工资!C:AB,26,FALSE))),0,IF(ISERROR(VLOOKUP($C15,非生产人员工资!C:AB,26,FALSE)),VLOOKUP($C15,生产人员工资!C:X,22,FALSE),VLOOKUP($C15,非生产人员工资!C:AB,26,FALSE)))</f>
        <v>11.46</v>
      </c>
      <c r="AA15" s="7">
        <f>IF(ISERROR(IF(ISERROR(VLOOKUP($C15,非生产人员工资!C:AC,27,FALSE)),VLOOKUP($C15,生产人员工资!C:Y,23,FALSE),VLOOKUP($C15,非生产人员工资!C:AC,27,FALSE))),0,IF(ISERROR(VLOOKUP($C15,非生产人员工资!C:AC,27,FALSE)),VLOOKUP($C15,生产人员工资!C:Y,23,FALSE),VLOOKUP($C15,非生产人员工资!C:AC,27,FALSE)))</f>
        <v>209</v>
      </c>
      <c r="AB15" s="7">
        <f>IF(ISERROR(IF(ISERROR(VLOOKUP($C15,非生产人员工资!C:AD,28,FALSE)),VLOOKUP($C15,生产人员工资!C:Z,24,FALSE),VLOOKUP($C15,非生产人员工资!C:AD,28,FALSE))),0,IF(ISERROR(VLOOKUP($C15,非生产人员工资!C:AD,28,FALSE)),VLOOKUP($C15,生产人员工资!C:Z,24,FALSE),VLOOKUP($C15,非生产人员工资!C:AD,28,FALSE)))</f>
        <v>0</v>
      </c>
      <c r="AC15" s="269">
        <f>ROUND(IF(ISERROR(IF(ISERROR(VLOOKUP($C15,非生产人员工资!C:AF,30,FALSE)),VLOOKUP($C15,生产人员工资!C:AB,26,0),VLOOKUP($C15,非生产人员工资!C:AF,30,FALSE))),0,IF(ISERROR(VLOOKUP($C15,非生产人员工资!C:AF,30,FALSE)),VLOOKUP($C15,生产人员工资!C:AB,26,0),VLOOKUP($C15,非生产人员工资!C:AF,30,FALSE))),2)</f>
        <v>0</v>
      </c>
      <c r="AD15" s="269">
        <f t="shared" si="2"/>
        <v>6509.37</v>
      </c>
      <c r="AE15" s="269" t="str">
        <f>VLOOKUP($C15,员工基本信息!$C:$N,10,FALSE)</f>
        <v>制造费用+组装</v>
      </c>
      <c r="AF15" s="265" t="str">
        <f>VLOOKUP($C15,员工基本信息!$C:$O,11,FALSE)</f>
        <v>间接成本</v>
      </c>
      <c r="AG15" s="265" t="str">
        <f>VLOOKUP($C15,员工基本信息!$C:$O,12,FALSE)</f>
        <v>生产管理部</v>
      </c>
      <c r="AH15" s="265" t="str">
        <f>VLOOKUP($C15,员工基本信息!$C:$O,13,FALSE)</f>
        <v>制造人员</v>
      </c>
      <c r="AI15" s="249" t="str">
        <f>VLOOKUP($B15,员工基本信息!$B:$S,16,FALSE)</f>
        <v>6214220101205384762</v>
      </c>
      <c r="AJ15" s="249" t="str">
        <f>VLOOKUP($B15,员工基本信息!$B:$S,18,FALSE)</f>
        <v>沧州</v>
      </c>
      <c r="AK15" s="249" t="str">
        <f>VLOOKUP(C15,员工基本信息!$C:$M,11,0)</f>
        <v>间接成本</v>
      </c>
    </row>
    <row r="16" s="250" customFormat="1" ht="28.5" customHeight="1" spans="1:37">
      <c r="A16" s="264">
        <v>13</v>
      </c>
      <c r="B16" s="6" t="str">
        <f>本月员工姓名!B14</f>
        <v>张琳</v>
      </c>
      <c r="C16" s="265" t="str">
        <f>VLOOKUP($B16,员工基本信息!$B:$I,2,FALSE)</f>
        <v>130921198012143022</v>
      </c>
      <c r="D16" s="266" t="str">
        <f>VLOOKUP($B16,员工基本信息!$B:$I,4,FALSE)</f>
        <v>生产管理部</v>
      </c>
      <c r="E16" s="266" t="str">
        <f>VLOOKUP($B16,员工基本信息!$B:$I,5,FALSE)</f>
        <v>ERP录入员</v>
      </c>
      <c r="F16" s="267">
        <f>IF(ISERROR(VLOOKUP($C16,非生产人员工资!C:I,7,FALSE)),0,VLOOKUP($C16,非生产人员工资!C:I,7,FALSE))</f>
        <v>1790</v>
      </c>
      <c r="G16" s="267">
        <f>IF(ISERROR(VLOOKUP($C16,非生产人员工资!C:J,8,0)),0,VLOOKUP($C16,非生产人员工资!C:J,8,FALSE))</f>
        <v>0</v>
      </c>
      <c r="H16" s="7">
        <f>IF(ISERROR(VLOOKUP($C16,非生产人员工资!C:K,9,FALSE)),0,VLOOKUP($C16,非生产人员工资!C:K,9,FALSE))</f>
        <v>910</v>
      </c>
      <c r="I16" s="7">
        <f>IF(ISERROR(VLOOKUP($C16,非生产人员工资!C:L,10,FALSE)),0,VLOOKUP($C16,非生产人员工资!C:L,10,FALSE))</f>
        <v>300</v>
      </c>
      <c r="J16" s="7">
        <f>IF(ISERROR(VLOOKUP($C16,生产人员工资!C:I,7,FALSE)),0,VLOOKUP($C16,生产人员工资!C:I,7,FALSE))</f>
        <v>0</v>
      </c>
      <c r="K16" s="7">
        <f>IF(ISERROR(VLOOKUP($C16,生产人员工资!C:J,8,FALSE)),0,VLOOKUP($C16,生产人员工资!C:J,8,FALSE))</f>
        <v>0</v>
      </c>
      <c r="L16" s="7">
        <f>IF(ISERROR(IF(ISERROR(VLOOKUP($C16,非生产人员工资!C:N,12,FALSE)),VLOOKUP($C16,生产人员工资!C:K,9,FALSE),VLOOKUP($C16,非生产人员工资!C:N,12,FALSE))),0,IF(ISERROR(VLOOKUP($C16,非生产人员工资!C:N,12,FALSE)),VLOOKUP($C16,生产人员工资!C:K,9,FALSE),VLOOKUP($C16,非生产人员工资!C:N,12,FALSE)))</f>
        <v>0</v>
      </c>
      <c r="M16" s="7" t="str">
        <f>IF(ISERROR(IF(ISERROR(VLOOKUP($C16,非生产人员工资!$C:$O,13,FALSE)),VLOOKUP($C16,生产人员工资!$C:$L,10,FALSE),VLOOKUP($C16,非生产人员工资!$C:$O,13,FALSE))),0,IF(ISERROR(VLOOKUP($C16,非生产人员工资!$C:$O,13,FALSE)),VLOOKUP($C16,生产人员工资!$C:$L,10,FALSE),VLOOKUP($C16,非生产人员工资!$C:$O,13,FALSE)))</f>
        <v>0.00</v>
      </c>
      <c r="N16" s="7">
        <f>IF(ISERROR(IF(ISERROR(VLOOKUP($C16,非生产人员工资!$C:$P,14,FALSE)),VLOOKUP($C16,生产人员工资!$C:$M,11,FALSE),VLOOKUP($C16,非生产人员工资!$C:$P,14,FALSE))),0,IF(ISERROR(VLOOKUP($C16,非生产人员工资!$C:$P,14,FALSE)),VLOOKUP($C16,生产人员工资!$C:$M,11,FALSE),VLOOKUP($C16,非生产人员工资!$C:$P,14,FALSE)))</f>
        <v>60</v>
      </c>
      <c r="O16" s="7" t="str">
        <f>IF(ISERROR(IF(ISERROR(VLOOKUP($C16,非生产人员工资!C:Q,15,FALSE)),VLOOKUP($C16,生产人员工资!C:N,12,FALSE),VLOOKUP($C16,非生产人员工资!C:Q,15,FALSE))),0,IF(ISERROR(VLOOKUP($C16,非生产人员工资!C:Q,15,FALSE)),VLOOKUP($C16,生产人员工资!C:N,12,FALSE),VLOOKUP($C16,非生产人员工资!C:Q,15,FALSE)))</f>
        <v>0.00</v>
      </c>
      <c r="P16" s="7" t="str">
        <f>IF(ISERROR(IF(ISERROR(VLOOKUP($C16,非生产人员工资!C:R,16,FALSE)),VLOOKUP($C16,生产人员工资!C:O,13,FALSE),VLOOKUP($C16,非生产人员工资!C:R,16,FALSE))),0,IF(ISERROR(VLOOKUP($C16,非生产人员工资!C:R,16,FALSE)),VLOOKUP($C16,生产人员工资!C:O,13,FALSE),VLOOKUP($C16,非生产人员工资!C:R,16,FALSE)))</f>
        <v>0.00</v>
      </c>
      <c r="Q16" s="7" t="str">
        <f>IF(ISERROR(IF(ISERROR(VLOOKUP($C16,非生产人员工资!C:S,17,FALSE)),VLOOKUP($C16,生产人员工资!C:P,14,FALSE),VLOOKUP($C16,非生产人员工资!C:S,17,FALSE))),0,IF(ISERROR(VLOOKUP($C16,非生产人员工资!C:S,17,FALSE)),VLOOKUP($C16,生产人员工资!C:P,14,FALSE),VLOOKUP($C16,非生产人员工资!C:S,17,FALSE)))</f>
        <v>0.00</v>
      </c>
      <c r="R16" s="7" t="str">
        <f>IF(ISERROR(IF(ISERROR(VLOOKUP($C16,非生产人员工资!C:T,18,FALSE)),VLOOKUP($C16,生产人员工资!C:Q,15,FALSE),VLOOKUP($C16,非生产人员工资!C:T,18,FALSE))),0,IF(ISERROR(VLOOKUP($C16,非生产人员工资!C:T,18,FALSE)),VLOOKUP($C16,生产人员工资!C:Q,15,FALSE),VLOOKUP($C16,非生产人员工资!C:T,18,FALSE)))</f>
        <v>0.00</v>
      </c>
      <c r="S16" s="7">
        <f>IF(ISERROR(VLOOKUP($C16,非生产人员工资!C:U,19,FALSE)),0,VLOOKUP($C16,非生产人员工资!C:U,19,FALSE))</f>
        <v>0</v>
      </c>
      <c r="T16" s="7" t="str">
        <f>IF(ISERROR(IF(ISERROR(VLOOKUP($C16,非生产人员工资!C:V,20,FALSE)),VLOOKUP($C16,生产人员工资!C:R,16,FALSE),VLOOKUP($C16,非生产人员工资!C:V,20,FALSE))),0,IF(ISERROR(VLOOKUP($C16,非生产人员工资!C:V,20,FALSE)),VLOOKUP($C16,生产人员工资!$C:$R,16,FALSE),VLOOKUP($C16,非生产人员工资!C:V,20,FALSE)))</f>
        <v>0.00</v>
      </c>
      <c r="U16" s="7" t="str">
        <f>IF(ISERROR(IF(ISERROR(VLOOKUP($C16,非生产人员工资!C:W,21,FALSE)),VLOOKUP($C16,生产人员工资!C:S,17,FALSE),VLOOKUP($C16,非生产人员工资!C:W,21,FALSE))),0,IF(ISERROR(VLOOKUP($C16,非生产人员工资!C:W,21,FALSE)),VLOOKUP($C16,生产人员工资!C:S,17,FALSE),VLOOKUP($C16,非生产人员工资!C:W,21,FALSE)))</f>
        <v>0</v>
      </c>
      <c r="V16" s="7" t="str">
        <f>IF(ISERROR(IF(ISERROR(VLOOKUP($C16,非生产人员工资!C:X,22,FALSE)),VLOOKUP($C16,生产人员工资!C:T,18,FALSE),VLOOKUP($C16,非生产人员工资!C:X,22,FALSE))),0,IF(ISERROR(VLOOKUP($C16,非生产人员工资!C:X,22,FALSE)),VLOOKUP($C16,生产人员工资!C:T,18,FALSE),VLOOKUP($C16,非生产人员工资!C:X,22,FALSE)))</f>
        <v>0.00</v>
      </c>
      <c r="W16" s="7">
        <f t="shared" si="1"/>
        <v>3060</v>
      </c>
      <c r="X16" s="7">
        <f>IF(ISERROR(IF(ISERROR(VLOOKUP($C16,非生产人员工资!C:Z,24,FALSE)),VLOOKUP($C16,生产人员工资!C:V,20,FALSE),VLOOKUP($C16,非生产人员工资!$C:$Z,24,FALSE))),0,IF(ISERROR(VLOOKUP($C16,非生产人员工资!$C:$Z,24,FALSE)),VLOOKUP($C16,生产人员工资!$C:$V,20,FALSE),VLOOKUP($C16,非生产人员工资!$C:$Z,24,FALSE)))</f>
        <v>226.9</v>
      </c>
      <c r="Y16" s="7">
        <f>IF(ISERROR(IF(ISERROR(VLOOKUP($C16,非生产人员工资!C:AA,25,FALSE)),VLOOKUP($C16,生产人员工资!C:W,21,FALSE),VLOOKUP($C16,非生产人员工资!C:AA,25,FALSE))),0,IF(ISERROR(VLOOKUP($C16,非生产人员工资!C:AA,25,FALSE)),VLOOKUP($C16,生产人员工资!C:W,21,FALSE),VLOOKUP($C16,非生产人员工资!C:AA,25,FALSE)))</f>
        <v>104.57</v>
      </c>
      <c r="Z16" s="7">
        <f>IF(ISERROR(IF(ISERROR(VLOOKUP($C16,非生产人员工资!C:AB,26,FALSE)),VLOOKUP($C16,生产人员工资!C:X,22,FALSE),VLOOKUP($C16,非生产人员工资!C:AB,26,FALSE))),0,IF(ISERROR(VLOOKUP($C16,非生产人员工资!C:AB,26,FALSE)),VLOOKUP($C16,生产人员工资!C:X,22,FALSE),VLOOKUP($C16,非生产人员工资!C:AB,26,FALSE)))</f>
        <v>8.51</v>
      </c>
      <c r="AA16" s="7">
        <f>IF(ISERROR(IF(ISERROR(VLOOKUP($C16,非生产人员工资!C:AC,27,FALSE)),VLOOKUP($C16,生产人员工资!C:Y,23,FALSE),VLOOKUP($C16,非生产人员工资!C:AC,27,FALSE))),0,IF(ISERROR(VLOOKUP($C16,非生产人员工资!C:AC,27,FALSE)),VLOOKUP($C16,生产人员工资!C:Y,23,FALSE),VLOOKUP($C16,非生产人员工资!C:AC,27,FALSE)))</f>
        <v>159</v>
      </c>
      <c r="AB16" s="7">
        <f>IF(ISERROR(IF(ISERROR(VLOOKUP($C16,非生产人员工资!C:AD,28,FALSE)),VLOOKUP($C16,生产人员工资!C:Z,24,FALSE),VLOOKUP($C16,非生产人员工资!C:AD,28,FALSE))),0,IF(ISERROR(VLOOKUP($C16,非生产人员工资!C:AD,28,FALSE)),VLOOKUP($C16,生产人员工资!C:Z,24,FALSE),VLOOKUP($C16,非生产人员工资!C:AD,28,FALSE)))</f>
        <v>261.84</v>
      </c>
      <c r="AC16" s="269">
        <f>ROUND(IF(ISERROR(IF(ISERROR(VLOOKUP($C16,非生产人员工资!C:AF,30,FALSE)),VLOOKUP($C16,生产人员工资!C:AB,26,0),VLOOKUP($C16,非生产人员工资!C:AF,30,FALSE))),0,IF(ISERROR(VLOOKUP($C16,非生产人员工资!C:AF,30,FALSE)),VLOOKUP($C16,生产人员工资!C:AB,26,0),VLOOKUP($C16,非生产人员工资!C:AF,30,FALSE))),2)</f>
        <v>0</v>
      </c>
      <c r="AD16" s="269">
        <f t="shared" si="2"/>
        <v>2299.18</v>
      </c>
      <c r="AE16" s="269" t="str">
        <f>VLOOKUP($C16,员工基本信息!$C:$N,10,FALSE)</f>
        <v>研发费用+生管</v>
      </c>
      <c r="AF16" s="265" t="str">
        <f>VLOOKUP($C16,员工基本信息!$C:$O,11,FALSE)</f>
        <v>间接成本</v>
      </c>
      <c r="AG16" s="265" t="str">
        <f>VLOOKUP($C16,员工基本信息!$C:$O,12,FALSE)</f>
        <v>生产管理部</v>
      </c>
      <c r="AH16" s="265" t="str">
        <f>VLOOKUP($C16,员工基本信息!$C:$O,13,FALSE)</f>
        <v>研发人员</v>
      </c>
      <c r="AI16" s="249" t="str">
        <f>VLOOKUP($B16,员工基本信息!$B:$S,16,FALSE)</f>
        <v>6214220101205537971</v>
      </c>
      <c r="AJ16" s="249" t="str">
        <f>VLOOKUP($B16,员工基本信息!$B:$S,18,FALSE)</f>
        <v>沧州</v>
      </c>
      <c r="AK16" s="249" t="str">
        <f>VLOOKUP(C16,员工基本信息!$C:$M,11,0)</f>
        <v>间接成本</v>
      </c>
    </row>
    <row r="17" s="250" customFormat="1" ht="28.5" customHeight="1" spans="1:37">
      <c r="A17" s="264">
        <v>14</v>
      </c>
      <c r="B17" s="6" t="str">
        <f>本月员工姓名!B15</f>
        <v>张强</v>
      </c>
      <c r="C17" s="265" t="str">
        <f>VLOOKUP($B17,员工基本信息!$B:$I,2,FALSE)</f>
        <v>130983199710275536</v>
      </c>
      <c r="D17" s="266" t="str">
        <f>VLOOKUP($B17,员工基本信息!$B:$I,4,FALSE)</f>
        <v>生产管理部</v>
      </c>
      <c r="E17" s="266" t="str">
        <f>VLOOKUP($B17,员工基本信息!$B:$I,5,FALSE)</f>
        <v>计划兼调度</v>
      </c>
      <c r="F17" s="267">
        <f>IF(ISERROR(VLOOKUP($C17,非生产人员工资!C:I,7,FALSE)),0,VLOOKUP($C17,非生产人员工资!C:I,7,FALSE))</f>
        <v>1790</v>
      </c>
      <c r="G17" s="267">
        <f>IF(ISERROR(VLOOKUP($C17,非生产人员工资!C:J,8,0)),0,VLOOKUP($C17,非生产人员工资!C:J,8,FALSE))</f>
        <v>0</v>
      </c>
      <c r="H17" s="7">
        <f>IF(ISERROR(VLOOKUP($C17,非生产人员工资!C:K,9,FALSE)),0,VLOOKUP($C17,非生产人员工资!C:K,9,FALSE))</f>
        <v>2260</v>
      </c>
      <c r="I17" s="7">
        <f>IF(ISERROR(VLOOKUP($C17,非生产人员工资!C:L,10,FALSE)),0,VLOOKUP($C17,非生产人员工资!C:L,10,FALSE))</f>
        <v>450</v>
      </c>
      <c r="J17" s="7">
        <f>IF(ISERROR(VLOOKUP($C17,生产人员工资!C:I,7,FALSE)),0,VLOOKUP($C17,生产人员工资!C:I,7,FALSE))</f>
        <v>0</v>
      </c>
      <c r="K17" s="7">
        <f>IF(ISERROR(VLOOKUP($C17,生产人员工资!C:J,8,FALSE)),0,VLOOKUP($C17,生产人员工资!C:J,8,FALSE))</f>
        <v>0</v>
      </c>
      <c r="L17" s="7">
        <f>IF(ISERROR(IF(ISERROR(VLOOKUP($C17,非生产人员工资!C:N,12,FALSE)),VLOOKUP($C17,生产人员工资!C:K,9,FALSE),VLOOKUP($C17,非生产人员工资!C:N,12,FALSE))),0,IF(ISERROR(VLOOKUP($C17,非生产人员工资!C:N,12,FALSE)),VLOOKUP($C17,生产人员工资!C:K,9,FALSE),VLOOKUP($C17,非生产人员工资!C:N,12,FALSE)))</f>
        <v>0</v>
      </c>
      <c r="M17" s="7" t="str">
        <f>IF(ISERROR(IF(ISERROR(VLOOKUP($C17,非生产人员工资!$C:$O,13,FALSE)),VLOOKUP($C17,生产人员工资!$C:$L,10,FALSE),VLOOKUP($C17,非生产人员工资!$C:$O,13,FALSE))),0,IF(ISERROR(VLOOKUP($C17,非生产人员工资!$C:$O,13,FALSE)),VLOOKUP($C17,生产人员工资!$C:$L,10,FALSE),VLOOKUP($C17,非生产人员工资!$C:$O,13,FALSE)))</f>
        <v>0.00</v>
      </c>
      <c r="N17" s="7">
        <f>IF(ISERROR(IF(ISERROR(VLOOKUP($C17,非生产人员工资!$C:$P,14,FALSE)),VLOOKUP($C17,生产人员工资!$C:$M,11,FALSE),VLOOKUP($C17,非生产人员工资!$C:$P,14,FALSE))),0,IF(ISERROR(VLOOKUP($C17,非生产人员工资!$C:$P,14,FALSE)),VLOOKUP($C17,生产人员工资!$C:$M,11,FALSE),VLOOKUP($C17,非生产人员工资!$C:$P,14,FALSE)))</f>
        <v>80</v>
      </c>
      <c r="O17" s="7" t="str">
        <f>IF(ISERROR(IF(ISERROR(VLOOKUP($C17,非生产人员工资!C:Q,15,FALSE)),VLOOKUP($C17,生产人员工资!C:N,12,FALSE),VLOOKUP($C17,非生产人员工资!C:Q,15,FALSE))),0,IF(ISERROR(VLOOKUP($C17,非生产人员工资!C:Q,15,FALSE)),VLOOKUP($C17,生产人员工资!C:N,12,FALSE),VLOOKUP($C17,非生产人员工资!C:Q,15,FALSE)))</f>
        <v>0.00</v>
      </c>
      <c r="P17" s="7" t="str">
        <f>IF(ISERROR(IF(ISERROR(VLOOKUP($C17,非生产人员工资!C:R,16,FALSE)),VLOOKUP($C17,生产人员工资!C:O,13,FALSE),VLOOKUP($C17,非生产人员工资!C:R,16,FALSE))),0,IF(ISERROR(VLOOKUP($C17,非生产人员工资!C:R,16,FALSE)),VLOOKUP($C17,生产人员工资!C:O,13,FALSE),VLOOKUP($C17,非生产人员工资!C:R,16,FALSE)))</f>
        <v>0.00</v>
      </c>
      <c r="Q17" s="7" t="str">
        <f>IF(ISERROR(IF(ISERROR(VLOOKUP($C17,非生产人员工资!C:S,17,FALSE)),VLOOKUP($C17,生产人员工资!C:P,14,FALSE),VLOOKUP($C17,非生产人员工资!C:S,17,FALSE))),0,IF(ISERROR(VLOOKUP($C17,非生产人员工资!C:S,17,FALSE)),VLOOKUP($C17,生产人员工资!C:P,14,FALSE),VLOOKUP($C17,非生产人员工资!C:S,17,FALSE)))</f>
        <v>0.00</v>
      </c>
      <c r="R17" s="7" t="str">
        <f>IF(ISERROR(IF(ISERROR(VLOOKUP($C17,非生产人员工资!C:T,18,FALSE)),VLOOKUP($C17,生产人员工资!C:Q,15,FALSE),VLOOKUP($C17,非生产人员工资!C:T,18,FALSE))),0,IF(ISERROR(VLOOKUP($C17,非生产人员工资!C:T,18,FALSE)),VLOOKUP($C17,生产人员工资!C:Q,15,FALSE),VLOOKUP($C17,非生产人员工资!C:T,18,FALSE)))</f>
        <v>0.00</v>
      </c>
      <c r="S17" s="7">
        <f>IF(ISERROR(VLOOKUP($C17,非生产人员工资!C:U,19,FALSE)),0,VLOOKUP($C17,非生产人员工资!C:U,19,FALSE))</f>
        <v>0</v>
      </c>
      <c r="T17" s="7" t="str">
        <f>IF(ISERROR(IF(ISERROR(VLOOKUP($C17,非生产人员工资!C:V,20,FALSE)),VLOOKUP($C17,生产人员工资!C:R,16,FALSE),VLOOKUP($C17,非生产人员工资!C:V,20,FALSE))),0,IF(ISERROR(VLOOKUP($C17,非生产人员工资!C:V,20,FALSE)),VLOOKUP($C17,生产人员工资!$C:$R,16,FALSE),VLOOKUP($C17,非生产人员工资!C:V,20,FALSE)))</f>
        <v>0.00</v>
      </c>
      <c r="U17" s="7" t="str">
        <f>IF(ISERROR(IF(ISERROR(VLOOKUP($C17,非生产人员工资!C:W,21,FALSE)),VLOOKUP($C17,生产人员工资!C:S,17,FALSE),VLOOKUP($C17,非生产人员工资!C:W,21,FALSE))),0,IF(ISERROR(VLOOKUP($C17,非生产人员工资!C:W,21,FALSE)),VLOOKUP($C17,生产人员工资!C:S,17,FALSE),VLOOKUP($C17,非生产人员工资!C:W,21,FALSE)))</f>
        <v>0</v>
      </c>
      <c r="V17" s="7">
        <f>IF(ISERROR(IF(ISERROR(VLOOKUP($C17,非生产人员工资!C:X,22,FALSE)),VLOOKUP($C17,生产人员工资!C:T,18,FALSE),VLOOKUP($C17,非生产人员工资!C:X,22,FALSE))),0,IF(ISERROR(VLOOKUP($C17,非生产人员工资!C:X,22,FALSE)),VLOOKUP($C17,生产人员工资!C:T,18,FALSE),VLOOKUP($C17,非生产人员工资!C:X,22,FALSE)))</f>
        <v>-30</v>
      </c>
      <c r="W17" s="7">
        <f t="shared" si="1"/>
        <v>4550</v>
      </c>
      <c r="X17" s="7">
        <f>IF(ISERROR(IF(ISERROR(VLOOKUP($C17,非生产人员工资!C:Z,24,FALSE)),VLOOKUP($C17,生产人员工资!C:V,20,FALSE),VLOOKUP($C17,非生产人员工资!$C:$Z,24,FALSE))),0,IF(ISERROR(VLOOKUP($C17,非生产人员工资!$C:$Z,24,FALSE)),VLOOKUP($C17,生产人员工资!$C:$V,20,FALSE),VLOOKUP($C17,非生产人员工资!$C:$Z,24,FALSE)))</f>
        <v>226.9</v>
      </c>
      <c r="Y17" s="7">
        <f>IF(ISERROR(IF(ISERROR(VLOOKUP($C17,非生产人员工资!C:AA,25,FALSE)),VLOOKUP($C17,生产人员工资!C:W,21,FALSE),VLOOKUP($C17,非生产人员工资!C:AA,25,FALSE))),0,IF(ISERROR(VLOOKUP($C17,非生产人员工资!C:AA,25,FALSE)),VLOOKUP($C17,生产人员工资!C:W,21,FALSE),VLOOKUP($C17,非生产人员工资!C:AA,25,FALSE)))</f>
        <v>104.57</v>
      </c>
      <c r="Z17" s="7">
        <f>IF(ISERROR(IF(ISERROR(VLOOKUP($C17,非生产人员工资!C:AB,26,FALSE)),VLOOKUP($C17,生产人员工资!C:X,22,FALSE),VLOOKUP($C17,非生产人员工资!C:AB,26,FALSE))),0,IF(ISERROR(VLOOKUP($C17,非生产人员工资!C:AB,26,FALSE)),VLOOKUP($C17,生产人员工资!C:X,22,FALSE),VLOOKUP($C17,非生产人员工资!C:AB,26,FALSE)))</f>
        <v>8.51</v>
      </c>
      <c r="AA17" s="7">
        <f>IF(ISERROR(IF(ISERROR(VLOOKUP($C17,非生产人员工资!C:AC,27,FALSE)),VLOOKUP($C17,生产人员工资!C:Y,23,FALSE),VLOOKUP($C17,非生产人员工资!C:AC,27,FALSE))),0,IF(ISERROR(VLOOKUP($C17,非生产人员工资!C:AC,27,FALSE)),VLOOKUP($C17,生产人员工资!C:Y,23,FALSE),VLOOKUP($C17,非生产人员工资!C:AC,27,FALSE)))</f>
        <v>159</v>
      </c>
      <c r="AB17" s="7">
        <f>IF(ISERROR(IF(ISERROR(VLOOKUP($C17,非生产人员工资!C:AD,28,FALSE)),VLOOKUP($C17,生产人员工资!C:Z,24,FALSE),VLOOKUP($C17,非生产人员工资!C:AD,28,FALSE))),0,IF(ISERROR(VLOOKUP($C17,非生产人员工资!C:AD,28,FALSE)),VLOOKUP($C17,生产人员工资!C:Z,24,FALSE),VLOOKUP($C17,非生产人员工资!C:AD,28,FALSE)))</f>
        <v>324.16</v>
      </c>
      <c r="AC17" s="269">
        <f>ROUND(IF(ISERROR(IF(ISERROR(VLOOKUP($C17,非生产人员工资!C:AF,30,FALSE)),VLOOKUP($C17,生产人员工资!C:AB,26,0),VLOOKUP($C17,非生产人员工资!C:AF,30,FALSE))),0,IF(ISERROR(VLOOKUP($C17,非生产人员工资!C:AF,30,FALSE)),VLOOKUP($C17,生产人员工资!C:AB,26,0),VLOOKUP($C17,非生产人员工资!C:AF,30,FALSE))),2)</f>
        <v>0</v>
      </c>
      <c r="AD17" s="269">
        <f t="shared" si="2"/>
        <v>3726.86</v>
      </c>
      <c r="AE17" s="269" t="str">
        <f>VLOOKUP($C17,员工基本信息!$C:$N,10,FALSE)</f>
        <v>制造费用+组装</v>
      </c>
      <c r="AF17" s="265" t="str">
        <f>VLOOKUP($C17,员工基本信息!$C:$O,11,FALSE)</f>
        <v>间接成本</v>
      </c>
      <c r="AG17" s="265" t="str">
        <f>VLOOKUP($C17,员工基本信息!$C:$O,12,FALSE)</f>
        <v>生产管理部</v>
      </c>
      <c r="AH17" s="265" t="str">
        <f>VLOOKUP($C17,员工基本信息!$C:$O,13,FALSE)</f>
        <v>制造人员</v>
      </c>
      <c r="AI17" s="249" t="str">
        <f>VLOOKUP($B17,员工基本信息!$B:$S,16,FALSE)</f>
        <v>6214220106200295707</v>
      </c>
      <c r="AJ17" s="249" t="str">
        <f>VLOOKUP($B17,员工基本信息!$B:$S,18,FALSE)</f>
        <v>沧州</v>
      </c>
      <c r="AK17" s="249" t="str">
        <f>VLOOKUP(C17,员工基本信息!$C:$M,11,0)</f>
        <v>间接成本</v>
      </c>
    </row>
    <row r="18" s="250" customFormat="1" ht="28.5" customHeight="1" spans="1:37">
      <c r="A18" s="264">
        <v>15</v>
      </c>
      <c r="B18" s="6" t="str">
        <f>本月员工姓名!B16</f>
        <v>齐静</v>
      </c>
      <c r="C18" s="265" t="str">
        <f>VLOOKUP($B18,员工基本信息!$B:$I,2,FALSE)</f>
        <v>130983199405140328</v>
      </c>
      <c r="D18" s="266" t="str">
        <f>VLOOKUP($B18,员工基本信息!$B:$I,4,FALSE)</f>
        <v>生产管理部</v>
      </c>
      <c r="E18" s="266" t="str">
        <f>VLOOKUP($B18,员工基本信息!$B:$I,5,FALSE)</f>
        <v>注塑自制件库管员</v>
      </c>
      <c r="F18" s="267">
        <f>IF(ISERROR(VLOOKUP($C18,非生产人员工资!C:I,7,FALSE)),0,VLOOKUP($C18,非生产人员工资!C:I,7,FALSE))</f>
        <v>1790</v>
      </c>
      <c r="G18" s="267">
        <f>IF(ISERROR(VLOOKUP($C18,非生产人员工资!C:J,8,0)),0,VLOOKUP($C18,非生产人员工资!C:J,8,FALSE))</f>
        <v>0</v>
      </c>
      <c r="H18" s="7">
        <f>IF(ISERROR(VLOOKUP($C18,非生产人员工资!C:K,9,FALSE)),0,VLOOKUP($C18,非生产人员工资!C:K,9,FALSE))</f>
        <v>1360</v>
      </c>
      <c r="I18" s="7">
        <f>IF(ISERROR(VLOOKUP($C18,非生产人员工资!C:L,10,FALSE)),0,VLOOKUP($C18,非生产人员工资!C:L,10,FALSE))</f>
        <v>350</v>
      </c>
      <c r="J18" s="7">
        <f>IF(ISERROR(VLOOKUP($C18,生产人员工资!C:I,7,FALSE)),0,VLOOKUP($C18,生产人员工资!C:I,7,FALSE))</f>
        <v>0</v>
      </c>
      <c r="K18" s="7">
        <f>IF(ISERROR(VLOOKUP($C18,生产人员工资!C:J,8,FALSE)),0,VLOOKUP($C18,生产人员工资!C:J,8,FALSE))</f>
        <v>0</v>
      </c>
      <c r="L18" s="7">
        <f>IF(ISERROR(IF(ISERROR(VLOOKUP($C18,非生产人员工资!C:N,12,FALSE)),VLOOKUP($C18,生产人员工资!C:K,9,FALSE),VLOOKUP($C18,非生产人员工资!C:N,12,FALSE))),0,IF(ISERROR(VLOOKUP($C18,非生产人员工资!C:N,12,FALSE)),VLOOKUP($C18,生产人员工资!C:K,9,FALSE),VLOOKUP($C18,非生产人员工资!C:N,12,FALSE)))</f>
        <v>0</v>
      </c>
      <c r="M18" s="7" t="str">
        <f>IF(ISERROR(IF(ISERROR(VLOOKUP($C18,非生产人员工资!$C:$O,13,FALSE)),VLOOKUP($C18,生产人员工资!$C:$L,10,FALSE),VLOOKUP($C18,非生产人员工资!$C:$O,13,FALSE))),0,IF(ISERROR(VLOOKUP($C18,非生产人员工资!$C:$O,13,FALSE)),VLOOKUP($C18,生产人员工资!$C:$L,10,FALSE),VLOOKUP($C18,非生产人员工资!$C:$O,13,FALSE)))</f>
        <v>0.00</v>
      </c>
      <c r="N18" s="7" t="str">
        <f>IF(ISERROR(IF(ISERROR(VLOOKUP($C18,非生产人员工资!$C:$P,14,FALSE)),VLOOKUP($C18,生产人员工资!$C:$M,11,FALSE),VLOOKUP($C18,非生产人员工资!$C:$P,14,FALSE))),0,IF(ISERROR(VLOOKUP($C18,非生产人员工资!$C:$P,14,FALSE)),VLOOKUP($C18,生产人员工资!$C:$M,11,FALSE),VLOOKUP($C18,非生产人员工资!$C:$P,14,FALSE)))</f>
        <v>0.00</v>
      </c>
      <c r="O18" s="7" t="str">
        <f>IF(ISERROR(IF(ISERROR(VLOOKUP($C18,非生产人员工资!C:Q,15,FALSE)),VLOOKUP($C18,生产人员工资!C:N,12,FALSE),VLOOKUP($C18,非生产人员工资!C:Q,15,FALSE))),0,IF(ISERROR(VLOOKUP($C18,非生产人员工资!C:Q,15,FALSE)),VLOOKUP($C18,生产人员工资!C:N,12,FALSE),VLOOKUP($C18,非生产人员工资!C:Q,15,FALSE)))</f>
        <v>0.00</v>
      </c>
      <c r="P18" s="7" t="str">
        <f>IF(ISERROR(IF(ISERROR(VLOOKUP($C18,非生产人员工资!C:R,16,FALSE)),VLOOKUP($C18,生产人员工资!C:O,13,FALSE),VLOOKUP($C18,非生产人员工资!C:R,16,FALSE))),0,IF(ISERROR(VLOOKUP($C18,非生产人员工资!C:R,16,FALSE)),VLOOKUP($C18,生产人员工资!C:O,13,FALSE),VLOOKUP($C18,非生产人员工资!C:R,16,FALSE)))</f>
        <v>0.00</v>
      </c>
      <c r="Q18" s="7">
        <f>IF(ISERROR(IF(ISERROR(VLOOKUP($C18,非生产人员工资!C:S,17,FALSE)),VLOOKUP($C18,生产人员工资!C:P,14,FALSE),VLOOKUP($C18,非生产人员工资!C:S,17,FALSE))),0,IF(ISERROR(VLOOKUP($C18,非生产人员工资!C:S,17,FALSE)),VLOOKUP($C18,生产人员工资!C:P,14,FALSE),VLOOKUP($C18,非生产人员工资!C:S,17,FALSE)))</f>
        <v>20</v>
      </c>
      <c r="R18" s="7" t="str">
        <f>IF(ISERROR(IF(ISERROR(VLOOKUP($C18,非生产人员工资!C:T,18,FALSE)),VLOOKUP($C18,生产人员工资!C:Q,15,FALSE),VLOOKUP($C18,非生产人员工资!C:T,18,FALSE))),0,IF(ISERROR(VLOOKUP($C18,非生产人员工资!C:T,18,FALSE)),VLOOKUP($C18,生产人员工资!C:Q,15,FALSE),VLOOKUP($C18,非生产人员工资!C:T,18,FALSE)))</f>
        <v>0.00</v>
      </c>
      <c r="S18" s="7">
        <f>IF(ISERROR(VLOOKUP($C18,非生产人员工资!C:U,19,FALSE)),0,VLOOKUP($C18,非生产人员工资!C:U,19,FALSE))</f>
        <v>0</v>
      </c>
      <c r="T18" s="7" t="str">
        <f>IF(ISERROR(IF(ISERROR(VLOOKUP($C18,非生产人员工资!C:V,20,FALSE)),VLOOKUP($C18,生产人员工资!C:R,16,FALSE),VLOOKUP($C18,非生产人员工资!C:V,20,FALSE))),0,IF(ISERROR(VLOOKUP($C18,非生产人员工资!C:V,20,FALSE)),VLOOKUP($C18,生产人员工资!$C:$R,16,FALSE),VLOOKUP($C18,非生产人员工资!C:V,20,FALSE)))</f>
        <v>0.00</v>
      </c>
      <c r="U18" s="7" t="str">
        <f>IF(ISERROR(IF(ISERROR(VLOOKUP($C18,非生产人员工资!C:W,21,FALSE)),VLOOKUP($C18,生产人员工资!C:S,17,FALSE),VLOOKUP($C18,非生产人员工资!C:W,21,FALSE))),0,IF(ISERROR(VLOOKUP($C18,非生产人员工资!C:W,21,FALSE)),VLOOKUP($C18,生产人员工资!C:S,17,FALSE),VLOOKUP($C18,非生产人员工资!C:W,21,FALSE)))</f>
        <v>0</v>
      </c>
      <c r="V18" s="7" t="str">
        <f>IF(ISERROR(IF(ISERROR(VLOOKUP($C18,非生产人员工资!C:X,22,FALSE)),VLOOKUP($C18,生产人员工资!C:T,18,FALSE),VLOOKUP($C18,非生产人员工资!C:X,22,FALSE))),0,IF(ISERROR(VLOOKUP($C18,非生产人员工资!C:X,22,FALSE)),VLOOKUP($C18,生产人员工资!C:T,18,FALSE),VLOOKUP($C18,非生产人员工资!C:X,22,FALSE)))</f>
        <v>0.00</v>
      </c>
      <c r="W18" s="7">
        <f t="shared" si="1"/>
        <v>3520</v>
      </c>
      <c r="X18" s="7">
        <f>IF(ISERROR(IF(ISERROR(VLOOKUP($C18,非生产人员工资!C:Z,24,FALSE)),VLOOKUP($C18,生产人员工资!C:V,20,FALSE),VLOOKUP($C18,非生产人员工资!$C:$Z,24,FALSE))),0,IF(ISERROR(VLOOKUP($C18,非生产人员工资!$C:$Z,24,FALSE)),VLOOKUP($C18,生产人员工资!$C:$V,20,FALSE),VLOOKUP($C18,非生产人员工资!$C:$Z,24,FALSE)))</f>
        <v>226.9</v>
      </c>
      <c r="Y18" s="7">
        <f>IF(ISERROR(IF(ISERROR(VLOOKUP($C18,非生产人员工资!C:AA,25,FALSE)),VLOOKUP($C18,生产人员工资!C:W,21,FALSE),VLOOKUP($C18,非生产人员工资!C:AA,25,FALSE))),0,IF(ISERROR(VLOOKUP($C18,非生产人员工资!C:AA,25,FALSE)),VLOOKUP($C18,生产人员工资!C:W,21,FALSE),VLOOKUP($C18,非生产人员工资!C:AA,25,FALSE)))</f>
        <v>104.57</v>
      </c>
      <c r="Z18" s="7">
        <f>IF(ISERROR(IF(ISERROR(VLOOKUP($C18,非生产人员工资!C:AB,26,FALSE)),VLOOKUP($C18,生产人员工资!C:X,22,FALSE),VLOOKUP($C18,非生产人员工资!C:AB,26,FALSE))),0,IF(ISERROR(VLOOKUP($C18,非生产人员工资!C:AB,26,FALSE)),VLOOKUP($C18,生产人员工资!C:X,22,FALSE),VLOOKUP($C18,非生产人员工资!C:AB,26,FALSE)))</f>
        <v>8.51</v>
      </c>
      <c r="AA18" s="7">
        <f>IF(ISERROR(IF(ISERROR(VLOOKUP($C18,非生产人员工资!C:AC,27,FALSE)),VLOOKUP($C18,生产人员工资!C:Y,23,FALSE),VLOOKUP($C18,非生产人员工资!C:AC,27,FALSE))),0,IF(ISERROR(VLOOKUP($C18,非生产人员工资!C:AC,27,FALSE)),VLOOKUP($C18,生产人员工资!C:Y,23,FALSE),VLOOKUP($C18,非生产人员工资!C:AC,27,FALSE)))</f>
        <v>159</v>
      </c>
      <c r="AB18" s="7">
        <f>IF(ISERROR(IF(ISERROR(VLOOKUP($C18,非生产人员工资!C:AD,28,FALSE)),VLOOKUP($C18,生产人员工资!C:Z,24,FALSE),VLOOKUP($C18,非生产人员工资!C:AD,28,FALSE))),0,IF(ISERROR(VLOOKUP($C18,非生产人员工资!C:AD,28,FALSE)),VLOOKUP($C18,生产人员工资!C:Z,24,FALSE),VLOOKUP($C18,非生产人员工资!C:AD,28,FALSE)))</f>
        <v>261.84</v>
      </c>
      <c r="AC18" s="269">
        <f>ROUND(IF(ISERROR(IF(ISERROR(VLOOKUP($C18,非生产人员工资!C:AF,30,FALSE)),VLOOKUP($C18,生产人员工资!C:AB,26,0),VLOOKUP($C18,非生产人员工资!C:AF,30,FALSE))),0,IF(ISERROR(VLOOKUP($C18,非生产人员工资!C:AF,30,FALSE)),VLOOKUP($C18,生产人员工资!C:AB,26,0),VLOOKUP($C18,非生产人员工资!C:AF,30,FALSE))),2)</f>
        <v>0</v>
      </c>
      <c r="AD18" s="269">
        <f t="shared" si="2"/>
        <v>2759.18</v>
      </c>
      <c r="AE18" s="269" t="str">
        <f>VLOOKUP($C18,员工基本信息!$C:$N,10,FALSE)</f>
        <v>制造费用+组装</v>
      </c>
      <c r="AF18" s="265" t="str">
        <f>VLOOKUP($C18,员工基本信息!$C:$O,11,FALSE)</f>
        <v>间接成本</v>
      </c>
      <c r="AG18" s="265" t="str">
        <f>VLOOKUP($C18,员工基本信息!$C:$O,12,FALSE)</f>
        <v>生产管理部</v>
      </c>
      <c r="AH18" s="265" t="str">
        <f>VLOOKUP($C18,员工基本信息!$C:$O,13,FALSE)</f>
        <v>制造人员</v>
      </c>
      <c r="AI18" s="249" t="str">
        <f>VLOOKUP($B18,员工基本信息!$B:$S,16,FALSE)</f>
        <v>6214220101208529173</v>
      </c>
      <c r="AJ18" s="249" t="str">
        <f>VLOOKUP($B18,员工基本信息!$B:$S,18,FALSE)</f>
        <v>沧州</v>
      </c>
      <c r="AK18" s="249" t="str">
        <f>VLOOKUP(C18,员工基本信息!$C:$M,11,0)</f>
        <v>间接成本</v>
      </c>
    </row>
    <row r="19" s="250" customFormat="1" ht="28.5" customHeight="1" spans="1:37">
      <c r="A19" s="264">
        <v>16</v>
      </c>
      <c r="B19" s="6" t="str">
        <f>本月员工姓名!B17</f>
        <v>白艳焕</v>
      </c>
      <c r="C19" s="265" t="str">
        <f>VLOOKUP($B19,员工基本信息!$B:$I,2,FALSE)</f>
        <v>132930198004252227</v>
      </c>
      <c r="D19" s="266" t="str">
        <f>VLOOKUP($B19,员工基本信息!$B:$I,4,FALSE)</f>
        <v>生产管理部</v>
      </c>
      <c r="E19" s="266" t="str">
        <f>VLOOKUP($B19,员工基本信息!$B:$I,5,FALSE)</f>
        <v>仓库主管</v>
      </c>
      <c r="F19" s="267">
        <f>IF(ISERROR(VLOOKUP($C19,非生产人员工资!C:I,7,FALSE)),0,VLOOKUP($C19,非生产人员工资!C:I,7,FALSE))</f>
        <v>1790</v>
      </c>
      <c r="G19" s="267">
        <f>IF(ISERROR(VLOOKUP($C19,非生产人员工资!C:J,8,0)),0,VLOOKUP($C19,非生产人员工资!C:J,8,FALSE))</f>
        <v>0</v>
      </c>
      <c r="H19" s="7">
        <f>IF(ISERROR(VLOOKUP($C19,非生产人员工资!C:K,9,FALSE)),0,VLOOKUP($C19,非生产人员工资!C:K,9,FALSE))</f>
        <v>1810</v>
      </c>
      <c r="I19" s="7">
        <f>IF(ISERROR(VLOOKUP($C19,非生产人员工资!C:L,10,FALSE)),0,VLOOKUP($C19,非生产人员工资!C:L,10,FALSE))</f>
        <v>400</v>
      </c>
      <c r="J19" s="7">
        <f>IF(ISERROR(VLOOKUP($C19,生产人员工资!C:I,7,FALSE)),0,VLOOKUP($C19,生产人员工资!C:I,7,FALSE))</f>
        <v>0</v>
      </c>
      <c r="K19" s="7">
        <f>IF(ISERROR(VLOOKUP($C19,生产人员工资!C:J,8,FALSE)),0,VLOOKUP($C19,生产人员工资!C:J,8,FALSE))</f>
        <v>0</v>
      </c>
      <c r="L19" s="7">
        <f>IF(ISERROR(IF(ISERROR(VLOOKUP($C19,非生产人员工资!C:N,12,FALSE)),VLOOKUP($C19,生产人员工资!C:K,9,FALSE),VLOOKUP($C19,非生产人员工资!C:N,12,FALSE))),0,IF(ISERROR(VLOOKUP($C19,非生产人员工资!C:N,12,FALSE)),VLOOKUP($C19,生产人员工资!C:K,9,FALSE),VLOOKUP($C19,非生产人员工资!C:N,12,FALSE)))</f>
        <v>-40</v>
      </c>
      <c r="M19" s="7" t="str">
        <f>IF(ISERROR(IF(ISERROR(VLOOKUP($C19,非生产人员工资!$C:$O,13,FALSE)),VLOOKUP($C19,生产人员工资!$C:$L,10,FALSE),VLOOKUP($C19,非生产人员工资!$C:$O,13,FALSE))),0,IF(ISERROR(VLOOKUP($C19,非生产人员工资!$C:$O,13,FALSE)),VLOOKUP($C19,生产人员工资!$C:$L,10,FALSE),VLOOKUP($C19,非生产人员工资!$C:$O,13,FALSE)))</f>
        <v>0.00</v>
      </c>
      <c r="N19" s="7">
        <f>IF(ISERROR(IF(ISERROR(VLOOKUP($C19,非生产人员工资!$C:$P,14,FALSE)),VLOOKUP($C19,生产人员工资!$C:$M,11,FALSE),VLOOKUP($C19,非生产人员工资!$C:$P,14,FALSE))),0,IF(ISERROR(VLOOKUP($C19,非生产人员工资!$C:$P,14,FALSE)),VLOOKUP($C19,生产人员工资!$C:$M,11,FALSE),VLOOKUP($C19,非生产人员工资!$C:$P,14,FALSE)))</f>
        <v>120</v>
      </c>
      <c r="O19" s="7" t="str">
        <f>IF(ISERROR(IF(ISERROR(VLOOKUP($C19,非生产人员工资!C:Q,15,FALSE)),VLOOKUP($C19,生产人员工资!C:N,12,FALSE),VLOOKUP($C19,非生产人员工资!C:Q,15,FALSE))),0,IF(ISERROR(VLOOKUP($C19,非生产人员工资!C:Q,15,FALSE)),VLOOKUP($C19,生产人员工资!C:N,12,FALSE),VLOOKUP($C19,非生产人员工资!C:Q,15,FALSE)))</f>
        <v>0.00</v>
      </c>
      <c r="P19" s="7" t="str">
        <f>IF(ISERROR(IF(ISERROR(VLOOKUP($C19,非生产人员工资!C:R,16,FALSE)),VLOOKUP($C19,生产人员工资!C:O,13,FALSE),VLOOKUP($C19,非生产人员工资!C:R,16,FALSE))),0,IF(ISERROR(VLOOKUP($C19,非生产人员工资!C:R,16,FALSE)),VLOOKUP($C19,生产人员工资!C:O,13,FALSE),VLOOKUP($C19,非生产人员工资!C:R,16,FALSE)))</f>
        <v>0.00</v>
      </c>
      <c r="Q19" s="7" t="str">
        <f>IF(ISERROR(IF(ISERROR(VLOOKUP($C19,非生产人员工资!C:S,17,FALSE)),VLOOKUP($C19,生产人员工资!C:P,14,FALSE),VLOOKUP($C19,非生产人员工资!C:S,17,FALSE))),0,IF(ISERROR(VLOOKUP($C19,非生产人员工资!C:S,17,FALSE)),VLOOKUP($C19,生产人员工资!C:P,14,FALSE),VLOOKUP($C19,非生产人员工资!C:S,17,FALSE)))</f>
        <v>0.00</v>
      </c>
      <c r="R19" s="7" t="str">
        <f>IF(ISERROR(IF(ISERROR(VLOOKUP($C19,非生产人员工资!C:T,18,FALSE)),VLOOKUP($C19,生产人员工资!C:Q,15,FALSE),VLOOKUP($C19,非生产人员工资!C:T,18,FALSE))),0,IF(ISERROR(VLOOKUP($C19,非生产人员工资!C:T,18,FALSE)),VLOOKUP($C19,生产人员工资!C:Q,15,FALSE),VLOOKUP($C19,非生产人员工资!C:T,18,FALSE)))</f>
        <v>0.00</v>
      </c>
      <c r="S19" s="7">
        <f>IF(ISERROR(VLOOKUP($C19,非生产人员工资!C:U,19,FALSE)),0,VLOOKUP($C19,非生产人员工资!C:U,19,FALSE))</f>
        <v>0</v>
      </c>
      <c r="T19" s="7" t="str">
        <f>IF(ISERROR(IF(ISERROR(VLOOKUP($C19,非生产人员工资!C:V,20,FALSE)),VLOOKUP($C19,生产人员工资!C:R,16,FALSE),VLOOKUP($C19,非生产人员工资!C:V,20,FALSE))),0,IF(ISERROR(VLOOKUP($C19,非生产人员工资!C:V,20,FALSE)),VLOOKUP($C19,生产人员工资!$C:$R,16,FALSE),VLOOKUP($C19,非生产人员工资!C:V,20,FALSE)))</f>
        <v>0.00</v>
      </c>
      <c r="U19" s="7" t="str">
        <f>IF(ISERROR(IF(ISERROR(VLOOKUP($C19,非生产人员工资!C:W,21,FALSE)),VLOOKUP($C19,生产人员工资!C:S,17,FALSE),VLOOKUP($C19,非生产人员工资!C:W,21,FALSE))),0,IF(ISERROR(VLOOKUP($C19,非生产人员工资!C:W,21,FALSE)),VLOOKUP($C19,生产人员工资!C:S,17,FALSE),VLOOKUP($C19,非生产人员工资!C:W,21,FALSE)))</f>
        <v>0</v>
      </c>
      <c r="V19" s="7" t="str">
        <f>IF(ISERROR(IF(ISERROR(VLOOKUP($C19,非生产人员工资!C:X,22,FALSE)),VLOOKUP($C19,生产人员工资!C:T,18,FALSE),VLOOKUP($C19,非生产人员工资!C:X,22,FALSE))),0,IF(ISERROR(VLOOKUP($C19,非生产人员工资!C:X,22,FALSE)),VLOOKUP($C19,生产人员工资!C:T,18,FALSE),VLOOKUP($C19,非生产人员工资!C:X,22,FALSE)))</f>
        <v>0.00</v>
      </c>
      <c r="W19" s="7">
        <f t="shared" si="1"/>
        <v>4080</v>
      </c>
      <c r="X19" s="7">
        <f>IF(ISERROR(IF(ISERROR(VLOOKUP($C19,非生产人员工资!C:Z,24,FALSE)),VLOOKUP($C19,生产人员工资!C:V,20,FALSE),VLOOKUP($C19,非生产人员工资!$C:$Z,24,FALSE))),0,IF(ISERROR(VLOOKUP($C19,非生产人员工资!$C:$Z,24,FALSE)),VLOOKUP($C19,生产人员工资!$C:$V,20,FALSE),VLOOKUP($C19,非生产人员工资!$C:$Z,24,FALSE)))</f>
        <v>226.9</v>
      </c>
      <c r="Y19" s="7">
        <f>IF(ISERROR(IF(ISERROR(VLOOKUP($C19,非生产人员工资!C:AA,25,FALSE)),VLOOKUP($C19,生产人员工资!C:W,21,FALSE),VLOOKUP($C19,非生产人员工资!C:AA,25,FALSE))),0,IF(ISERROR(VLOOKUP($C19,非生产人员工资!C:AA,25,FALSE)),VLOOKUP($C19,生产人员工资!C:W,21,FALSE),VLOOKUP($C19,非生产人员工资!C:AA,25,FALSE)))</f>
        <v>104.57</v>
      </c>
      <c r="Z19" s="7">
        <f>IF(ISERROR(IF(ISERROR(VLOOKUP($C19,非生产人员工资!C:AB,26,FALSE)),VLOOKUP($C19,生产人员工资!C:X,22,FALSE),VLOOKUP($C19,非生产人员工资!C:AB,26,FALSE))),0,IF(ISERROR(VLOOKUP($C19,非生产人员工资!C:AB,26,FALSE)),VLOOKUP($C19,生产人员工资!C:X,22,FALSE),VLOOKUP($C19,非生产人员工资!C:AB,26,FALSE)))</f>
        <v>8.51</v>
      </c>
      <c r="AA19" s="7">
        <f>IF(ISERROR(IF(ISERROR(VLOOKUP($C19,非生产人员工资!C:AC,27,FALSE)),VLOOKUP($C19,生产人员工资!C:Y,23,FALSE),VLOOKUP($C19,非生产人员工资!C:AC,27,FALSE))),0,IF(ISERROR(VLOOKUP($C19,非生产人员工资!C:AC,27,FALSE)),VLOOKUP($C19,生产人员工资!C:Y,23,FALSE),VLOOKUP($C19,非生产人员工资!C:AC,27,FALSE)))</f>
        <v>159</v>
      </c>
      <c r="AB19" s="7">
        <f>IF(ISERROR(IF(ISERROR(VLOOKUP($C19,非生产人员工资!C:AD,28,FALSE)),VLOOKUP($C19,生产人员工资!C:Z,24,FALSE),VLOOKUP($C19,非生产人员工资!C:AD,28,FALSE))),0,IF(ISERROR(VLOOKUP($C19,非生产人员工资!C:AD,28,FALSE)),VLOOKUP($C19,生产人员工资!C:Z,24,FALSE),VLOOKUP($C19,非生产人员工资!C:AD,28,FALSE)))</f>
        <v>261.84</v>
      </c>
      <c r="AC19" s="269">
        <f>ROUND(IF(ISERROR(IF(ISERROR(VLOOKUP($C19,非生产人员工资!C:AF,30,FALSE)),VLOOKUP($C19,生产人员工资!C:AB,26,0),VLOOKUP($C19,非生产人员工资!C:AF,30,FALSE))),0,IF(ISERROR(VLOOKUP($C19,非生产人员工资!C:AF,30,FALSE)),VLOOKUP($C19,生产人员工资!C:AB,26,0),VLOOKUP($C19,非生产人员工资!C:AF,30,FALSE))),2)</f>
        <v>0</v>
      </c>
      <c r="AD19" s="269">
        <f t="shared" si="2"/>
        <v>3319.18</v>
      </c>
      <c r="AE19" s="269" t="str">
        <f>VLOOKUP($C19,员工基本信息!$C:$N,10,FALSE)</f>
        <v>制造费用+喷涂</v>
      </c>
      <c r="AF19" s="265" t="str">
        <f>VLOOKUP($C19,员工基本信息!$C:$O,11,FALSE)</f>
        <v>间接成本</v>
      </c>
      <c r="AG19" s="265" t="str">
        <f>VLOOKUP($C19,员工基本信息!$C:$O,12,FALSE)</f>
        <v>生产管理部</v>
      </c>
      <c r="AH19" s="265" t="str">
        <f>VLOOKUP($C19,员工基本信息!$C:$O,13,FALSE)</f>
        <v>生产人员</v>
      </c>
      <c r="AI19" s="249" t="str">
        <f>VLOOKUP($B19,员工基本信息!$B:$S,16,FALSE)</f>
        <v>6214220101205492920</v>
      </c>
      <c r="AJ19" s="249" t="str">
        <f>VLOOKUP($B19,员工基本信息!$B:$S,18,FALSE)</f>
        <v>沧州</v>
      </c>
      <c r="AK19" s="249" t="str">
        <f>VLOOKUP(C19,员工基本信息!$C:$M,11,0)</f>
        <v>间接成本</v>
      </c>
    </row>
    <row r="20" s="250" customFormat="1" customHeight="1" spans="1:37">
      <c r="A20" s="264">
        <v>17</v>
      </c>
      <c r="B20" s="6" t="str">
        <f>本月员工姓名!B18</f>
        <v>赵真真</v>
      </c>
      <c r="C20" s="265" t="str">
        <f>VLOOKUP($B20,员工基本信息!$B:$I,2,FALSE)</f>
        <v>130983198810080926</v>
      </c>
      <c r="D20" s="266" t="str">
        <f>VLOOKUP($B20,员工基本信息!$B:$I,4,FALSE)</f>
        <v>生产管理部</v>
      </c>
      <c r="E20" s="266" t="str">
        <f>VLOOKUP($B20,员工基本信息!$B:$I,5,FALSE)</f>
        <v>库管员</v>
      </c>
      <c r="F20" s="267">
        <f>IF(ISERROR(VLOOKUP($C20,非生产人员工资!C:I,7,FALSE)),0,VLOOKUP($C20,非生产人员工资!C:I,7,FALSE))</f>
        <v>1790</v>
      </c>
      <c r="G20" s="267">
        <f>IF(ISERROR(VLOOKUP($C20,非生产人员工资!C:J,8,0)),0,VLOOKUP($C20,非生产人员工资!C:J,8,FALSE))</f>
        <v>0</v>
      </c>
      <c r="H20" s="7">
        <f>IF(ISERROR(VLOOKUP($C20,非生产人员工资!C:K,9,FALSE)),0,VLOOKUP($C20,非生产人员工资!C:K,9,FALSE))</f>
        <v>1710</v>
      </c>
      <c r="I20" s="7">
        <f>IF(ISERROR(VLOOKUP($C20,非生产人员工资!C:L,10,FALSE)),0,VLOOKUP($C20,非生产人员工资!C:L,10,FALSE))</f>
        <v>0</v>
      </c>
      <c r="J20" s="7">
        <f>IF(ISERROR(VLOOKUP($C20,生产人员工资!C:I,7,FALSE)),0,VLOOKUP($C20,生产人员工资!C:I,7,FALSE))</f>
        <v>0</v>
      </c>
      <c r="K20" s="7">
        <f>IF(ISERROR(VLOOKUP($C20,生产人员工资!C:J,8,FALSE)),0,VLOOKUP($C20,生产人员工资!C:J,8,FALSE))</f>
        <v>0</v>
      </c>
      <c r="L20" s="7">
        <f>IF(ISERROR(IF(ISERROR(VLOOKUP($C20,非生产人员工资!C:N,12,FALSE)),VLOOKUP($C20,生产人员工资!C:K,9,FALSE),VLOOKUP($C20,非生产人员工资!C:N,12,FALSE))),0,IF(ISERROR(VLOOKUP($C20,非生产人员工资!C:N,12,FALSE)),VLOOKUP($C20,生产人员工资!C:K,9,FALSE),VLOOKUP($C20,非生产人员工资!C:N,12,FALSE)))</f>
        <v>0</v>
      </c>
      <c r="M20" s="7" t="str">
        <f>IF(ISERROR(IF(ISERROR(VLOOKUP($C20,非生产人员工资!$C:$O,13,FALSE)),VLOOKUP($C20,生产人员工资!$C:$L,10,FALSE),VLOOKUP($C20,非生产人员工资!$C:$O,13,FALSE))),0,IF(ISERROR(VLOOKUP($C20,非生产人员工资!$C:$O,13,FALSE)),VLOOKUP($C20,生产人员工资!$C:$L,10,FALSE),VLOOKUP($C20,非生产人员工资!$C:$O,13,FALSE)))</f>
        <v>0.00</v>
      </c>
      <c r="N20" s="7" t="str">
        <f>IF(ISERROR(IF(ISERROR(VLOOKUP($C20,非生产人员工资!$C:$P,14,FALSE)),VLOOKUP($C20,生产人员工资!$C:$M,11,FALSE),VLOOKUP($C20,非生产人员工资!$C:$P,14,FALSE))),0,IF(ISERROR(VLOOKUP($C20,非生产人员工资!$C:$P,14,FALSE)),VLOOKUP($C20,生产人员工资!$C:$M,11,FALSE),VLOOKUP($C20,非生产人员工资!$C:$P,14,FALSE)))</f>
        <v>0.00</v>
      </c>
      <c r="O20" s="7" t="str">
        <f>IF(ISERROR(IF(ISERROR(VLOOKUP($C20,非生产人员工资!C:Q,15,FALSE)),VLOOKUP($C20,生产人员工资!C:N,12,FALSE),VLOOKUP($C20,非生产人员工资!C:Q,15,FALSE))),0,IF(ISERROR(VLOOKUP($C20,非生产人员工资!C:Q,15,FALSE)),VLOOKUP($C20,生产人员工资!C:N,12,FALSE),VLOOKUP($C20,非生产人员工资!C:Q,15,FALSE)))</f>
        <v>0.00</v>
      </c>
      <c r="P20" s="7" t="str">
        <f>IF(ISERROR(IF(ISERROR(VLOOKUP($C20,非生产人员工资!C:R,16,FALSE)),VLOOKUP($C20,生产人员工资!C:O,13,FALSE),VLOOKUP($C20,非生产人员工资!C:R,16,FALSE))),0,IF(ISERROR(VLOOKUP($C20,非生产人员工资!C:R,16,FALSE)),VLOOKUP($C20,生产人员工资!C:O,13,FALSE),VLOOKUP($C20,非生产人员工资!C:R,16,FALSE)))</f>
        <v>0.00</v>
      </c>
      <c r="Q20" s="7">
        <f>IF(ISERROR(IF(ISERROR(VLOOKUP($C20,非生产人员工资!C:S,17,FALSE)),VLOOKUP($C20,生产人员工资!C:P,14,FALSE),VLOOKUP($C20,非生产人员工资!C:S,17,FALSE))),0,IF(ISERROR(VLOOKUP($C20,非生产人员工资!C:S,17,FALSE)),VLOOKUP($C20,生产人员工资!C:P,14,FALSE),VLOOKUP($C20,非生产人员工资!C:S,17,FALSE)))</f>
        <v>140</v>
      </c>
      <c r="R20" s="7" t="str">
        <f>IF(ISERROR(IF(ISERROR(VLOOKUP($C20,非生产人员工资!C:T,18,FALSE)),VLOOKUP($C20,生产人员工资!C:Q,15,FALSE),VLOOKUP($C20,非生产人员工资!C:T,18,FALSE))),0,IF(ISERROR(VLOOKUP($C20,非生产人员工资!C:T,18,FALSE)),VLOOKUP($C20,生产人员工资!C:Q,15,FALSE),VLOOKUP($C20,非生产人员工资!C:T,18,FALSE)))</f>
        <v>0.00</v>
      </c>
      <c r="S20" s="7">
        <f>IF(ISERROR(VLOOKUP($C20,非生产人员工资!C:U,19,FALSE)),0,VLOOKUP($C20,非生产人员工资!C:U,19,FALSE))</f>
        <v>0</v>
      </c>
      <c r="T20" s="7" t="str">
        <f>IF(ISERROR(IF(ISERROR(VLOOKUP($C20,非生产人员工资!C:V,20,FALSE)),VLOOKUP($C20,生产人员工资!C:R,16,FALSE),VLOOKUP($C20,非生产人员工资!C:V,20,FALSE))),0,IF(ISERROR(VLOOKUP($C20,非生产人员工资!C:V,20,FALSE)),VLOOKUP($C20,生产人员工资!$C:$R,16,FALSE),VLOOKUP($C20,非生产人员工资!C:V,20,FALSE)))</f>
        <v>0.00</v>
      </c>
      <c r="U20" s="7" t="str">
        <f>IF(ISERROR(IF(ISERROR(VLOOKUP($C20,非生产人员工资!C:W,21,FALSE)),VLOOKUP($C20,生产人员工资!C:S,17,FALSE),VLOOKUP($C20,非生产人员工资!C:W,21,FALSE))),0,IF(ISERROR(VLOOKUP($C20,非生产人员工资!C:W,21,FALSE)),VLOOKUP($C20,生产人员工资!C:S,17,FALSE),VLOOKUP($C20,非生产人员工资!C:W,21,FALSE)))</f>
        <v>0</v>
      </c>
      <c r="V20" s="7" t="str">
        <f>IF(ISERROR(IF(ISERROR(VLOOKUP($C20,非生产人员工资!C:X,22,FALSE)),VLOOKUP($C20,生产人员工资!C:T,18,FALSE),VLOOKUP($C20,非生产人员工资!C:X,22,FALSE))),0,IF(ISERROR(VLOOKUP($C20,非生产人员工资!C:X,22,FALSE)),VLOOKUP($C20,生产人员工资!C:T,18,FALSE),VLOOKUP($C20,非生产人员工资!C:X,22,FALSE)))</f>
        <v>0.00</v>
      </c>
      <c r="W20" s="7">
        <f t="shared" si="1"/>
        <v>3640</v>
      </c>
      <c r="X20" s="7">
        <f>IF(ISERROR(IF(ISERROR(VLOOKUP($C20,非生产人员工资!C:Z,24,FALSE)),VLOOKUP($C20,生产人员工资!C:V,20,FALSE),VLOOKUP($C20,非生产人员工资!$C:$Z,24,FALSE))),0,IF(ISERROR(VLOOKUP($C20,非生产人员工资!$C:$Z,24,FALSE)),VLOOKUP($C20,生产人员工资!$C:$V,20,FALSE),VLOOKUP($C20,非生产人员工资!$C:$Z,24,FALSE)))</f>
        <v>243.36</v>
      </c>
      <c r="Y20" s="7">
        <f>IF(ISERROR(IF(ISERROR(VLOOKUP($C20,非生产人员工资!C:AA,25,FALSE)),VLOOKUP($C20,生产人员工资!C:W,21,FALSE),VLOOKUP($C20,非生产人员工资!C:AA,25,FALSE))),0,IF(ISERROR(VLOOKUP($C20,非生产人员工资!C:AA,25,FALSE)),VLOOKUP($C20,生产人员工资!C:W,21,FALSE),VLOOKUP($C20,非生产人员工资!C:AA,25,FALSE)))</f>
        <v>209.14</v>
      </c>
      <c r="Z20" s="7">
        <f>IF(ISERROR(IF(ISERROR(VLOOKUP($C20,非生产人员工资!C:AB,26,FALSE)),VLOOKUP($C20,生产人员工资!C:X,22,FALSE),VLOOKUP($C20,非生产人员工资!C:AB,26,FALSE))),0,IF(ISERROR(VLOOKUP($C20,非生产人员工资!C:AB,26,FALSE)),VLOOKUP($C20,生产人员工资!C:X,22,FALSE),VLOOKUP($C20,非生产人员工资!C:AB,26,FALSE)))</f>
        <v>9.13</v>
      </c>
      <c r="AA20" s="7">
        <f>IF(ISERROR(IF(ISERROR(VLOOKUP($C20,非生产人员工资!C:AC,27,FALSE)),VLOOKUP($C20,生产人员工资!C:Y,23,FALSE),VLOOKUP($C20,非生产人员工资!C:AC,27,FALSE))),0,IF(ISERROR(VLOOKUP($C20,非生产人员工资!C:AC,27,FALSE)),VLOOKUP($C20,生产人员工资!C:Y,23,FALSE),VLOOKUP($C20,非生产人员工资!C:AC,27,FALSE)))</f>
        <v>0</v>
      </c>
      <c r="AB20" s="7">
        <f>IF(ISERROR(IF(ISERROR(VLOOKUP($C20,非生产人员工资!C:AD,28,FALSE)),VLOOKUP($C20,生产人员工资!C:Z,24,FALSE),VLOOKUP($C20,非生产人员工资!C:AD,28,FALSE))),0,IF(ISERROR(VLOOKUP($C20,非生产人员工资!C:AD,28,FALSE)),VLOOKUP($C20,生产人员工资!C:Z,24,FALSE),VLOOKUP($C20,非生产人员工资!C:AD,28,FALSE)))</f>
        <v>48.81</v>
      </c>
      <c r="AC20" s="269">
        <f>ROUND(IF(ISERROR(IF(ISERROR(VLOOKUP($C20,非生产人员工资!C:AF,30,FALSE)),VLOOKUP($C20,生产人员工资!C:AB,26,0),VLOOKUP($C20,非生产人员工资!C:AF,30,FALSE))),0,IF(ISERROR(VLOOKUP($C20,非生产人员工资!C:AF,30,FALSE)),VLOOKUP($C20,生产人员工资!C:AB,26,0),VLOOKUP($C20,非生产人员工资!C:AF,30,FALSE))),2)</f>
        <v>0</v>
      </c>
      <c r="AD20" s="269">
        <f t="shared" si="2"/>
        <v>3129.56</v>
      </c>
      <c r="AE20" s="269" t="str">
        <f>VLOOKUP($C20,员工基本信息!$C:$N,10,FALSE)</f>
        <v>制造费用+注塑</v>
      </c>
      <c r="AF20" s="265" t="str">
        <f>VLOOKUP($C20,员工基本信息!$C:$O,11,FALSE)</f>
        <v>间接成本</v>
      </c>
      <c r="AG20" s="265" t="str">
        <f>VLOOKUP($C20,员工基本信息!$C:$O,12,FALSE)</f>
        <v>生产管理部</v>
      </c>
      <c r="AH20" s="265" t="str">
        <f>VLOOKUP($C20,员工基本信息!$C:$O,13,FALSE)</f>
        <v>制造人员</v>
      </c>
      <c r="AI20" s="249" t="str">
        <f>VLOOKUP($B20,员工基本信息!$B:$S,16,FALSE)</f>
        <v>6214220101209100016</v>
      </c>
      <c r="AJ20" s="249" t="str">
        <f>VLOOKUP($B20,员工基本信息!$B:$S,18,FALSE)</f>
        <v>沧州</v>
      </c>
      <c r="AK20" s="249" t="str">
        <f>VLOOKUP(C20,员工基本信息!$C:$M,11,0)</f>
        <v>间接成本</v>
      </c>
    </row>
    <row r="21" s="250" customFormat="1" customHeight="1" spans="1:37">
      <c r="A21" s="264">
        <v>18</v>
      </c>
      <c r="B21" s="6" t="str">
        <f>本月员工姓名!B19</f>
        <v>张巧慧</v>
      </c>
      <c r="C21" s="265" t="str">
        <f>VLOOKUP($B21,员工基本信息!$B:$I,2,FALSE)</f>
        <v>130924198906184244</v>
      </c>
      <c r="D21" s="266" t="str">
        <f>VLOOKUP($B21,员工基本信息!$B:$I,4,FALSE)</f>
        <v>生产管理部</v>
      </c>
      <c r="E21" s="266" t="str">
        <f>VLOOKUP($B21,员工基本信息!$B:$I,5,FALSE)</f>
        <v>采购文员</v>
      </c>
      <c r="F21" s="267">
        <f>IF(ISERROR(VLOOKUP($C21,非生产人员工资!C:I,7,FALSE)),0,VLOOKUP($C21,非生产人员工资!C:I,7,FALSE))</f>
        <v>1790</v>
      </c>
      <c r="G21" s="267">
        <f>IF(ISERROR(VLOOKUP($C21,非生产人员工资!C:J,8,0)),0,VLOOKUP($C21,非生产人员工资!C:J,8,FALSE))</f>
        <v>0</v>
      </c>
      <c r="H21" s="7">
        <f>IF(ISERROR(VLOOKUP($C21,非生产人员工资!C:K,9,FALSE)),0,VLOOKUP($C21,非生产人员工资!C:K,9,FALSE))</f>
        <v>1710</v>
      </c>
      <c r="I21" s="7">
        <f>IF(ISERROR(VLOOKUP($C21,非生产人员工资!C:L,10,FALSE)),0,VLOOKUP($C21,非生产人员工资!C:L,10,FALSE))</f>
        <v>0</v>
      </c>
      <c r="J21" s="7">
        <f>IF(ISERROR(VLOOKUP($C21,生产人员工资!C:I,7,FALSE)),0,VLOOKUP($C21,生产人员工资!C:I,7,FALSE))</f>
        <v>0</v>
      </c>
      <c r="K21" s="7">
        <f>IF(ISERROR(VLOOKUP($C21,生产人员工资!C:J,8,FALSE)),0,VLOOKUP($C21,生产人员工资!C:J,8,FALSE))</f>
        <v>0</v>
      </c>
      <c r="L21" s="7">
        <f>IF(ISERROR(IF(ISERROR(VLOOKUP($C21,非生产人员工资!C:N,12,FALSE)),VLOOKUP($C21,生产人员工资!C:K,9,FALSE),VLOOKUP($C21,非生产人员工资!C:N,12,FALSE))),0,IF(ISERROR(VLOOKUP($C21,非生产人员工资!C:N,12,FALSE)),VLOOKUP($C21,生产人员工资!C:K,9,FALSE),VLOOKUP($C21,非生产人员工资!C:N,12,FALSE)))</f>
        <v>0</v>
      </c>
      <c r="M21" s="7" t="str">
        <f>IF(ISERROR(IF(ISERROR(VLOOKUP($C21,非生产人员工资!$C:$O,13,FALSE)),VLOOKUP($C21,生产人员工资!$C:$L,10,FALSE),VLOOKUP($C21,非生产人员工资!$C:$O,13,FALSE))),0,IF(ISERROR(VLOOKUP($C21,非生产人员工资!$C:$O,13,FALSE)),VLOOKUP($C21,生产人员工资!$C:$L,10,FALSE),VLOOKUP($C21,非生产人员工资!$C:$O,13,FALSE)))</f>
        <v>0.00</v>
      </c>
      <c r="N21" s="7" t="str">
        <f>IF(ISERROR(IF(ISERROR(VLOOKUP($C21,非生产人员工资!$C:$P,14,FALSE)),VLOOKUP($C21,生产人员工资!$C:$M,11,FALSE),VLOOKUP($C21,非生产人员工资!$C:$P,14,FALSE))),0,IF(ISERROR(VLOOKUP($C21,非生产人员工资!$C:$P,14,FALSE)),VLOOKUP($C21,生产人员工资!$C:$M,11,FALSE),VLOOKUP($C21,非生产人员工资!$C:$P,14,FALSE)))</f>
        <v>0.00</v>
      </c>
      <c r="O21" s="7" t="str">
        <f>IF(ISERROR(IF(ISERROR(VLOOKUP($C21,非生产人员工资!C:Q,15,FALSE)),VLOOKUP($C21,生产人员工资!C:N,12,FALSE),VLOOKUP($C21,非生产人员工资!C:Q,15,FALSE))),0,IF(ISERROR(VLOOKUP($C21,非生产人员工资!C:Q,15,FALSE)),VLOOKUP($C21,生产人员工资!C:N,12,FALSE),VLOOKUP($C21,非生产人员工资!C:Q,15,FALSE)))</f>
        <v>0.00</v>
      </c>
      <c r="P21" s="7" t="str">
        <f>IF(ISERROR(IF(ISERROR(VLOOKUP($C21,非生产人员工资!C:R,16,FALSE)),VLOOKUP($C21,生产人员工资!C:O,13,FALSE),VLOOKUP($C21,非生产人员工资!C:R,16,FALSE))),0,IF(ISERROR(VLOOKUP($C21,非生产人员工资!C:R,16,FALSE)),VLOOKUP($C21,生产人员工资!C:O,13,FALSE),VLOOKUP($C21,非生产人员工资!C:R,16,FALSE)))</f>
        <v>0.00</v>
      </c>
      <c r="Q21" s="7" t="str">
        <f>IF(ISERROR(IF(ISERROR(VLOOKUP($C21,非生产人员工资!C:S,17,FALSE)),VLOOKUP($C21,生产人员工资!C:P,14,FALSE),VLOOKUP($C21,非生产人员工资!C:S,17,FALSE))),0,IF(ISERROR(VLOOKUP($C21,非生产人员工资!C:S,17,FALSE)),VLOOKUP($C21,生产人员工资!C:P,14,FALSE),VLOOKUP($C21,非生产人员工资!C:S,17,FALSE)))</f>
        <v>0.00</v>
      </c>
      <c r="R21" s="7" t="str">
        <f>IF(ISERROR(IF(ISERROR(VLOOKUP($C21,非生产人员工资!C:T,18,FALSE)),VLOOKUP($C21,生产人员工资!C:Q,15,FALSE),VLOOKUP($C21,非生产人员工资!C:T,18,FALSE))),0,IF(ISERROR(VLOOKUP($C21,非生产人员工资!C:T,18,FALSE)),VLOOKUP($C21,生产人员工资!C:Q,15,FALSE),VLOOKUP($C21,非生产人员工资!C:T,18,FALSE)))</f>
        <v>0.00</v>
      </c>
      <c r="S21" s="7">
        <f>IF(ISERROR(VLOOKUP($C21,非生产人员工资!C:U,19,FALSE)),0,VLOOKUP($C21,非生产人员工资!C:U,19,FALSE))</f>
        <v>-617.647058823529</v>
      </c>
      <c r="T21" s="7" t="str">
        <f>IF(ISERROR(IF(ISERROR(VLOOKUP($C21,非生产人员工资!C:V,20,FALSE)),VLOOKUP($C21,生产人员工资!C:R,16,FALSE),VLOOKUP($C21,非生产人员工资!C:V,20,FALSE))),0,IF(ISERROR(VLOOKUP($C21,非生产人员工资!C:V,20,FALSE)),VLOOKUP($C21,生产人员工资!$C:$R,16,FALSE),VLOOKUP($C21,非生产人员工资!C:V,20,FALSE)))</f>
        <v>0.00</v>
      </c>
      <c r="U21" s="7" t="str">
        <f>IF(ISERROR(IF(ISERROR(VLOOKUP($C21,非生产人员工资!C:W,21,FALSE)),VLOOKUP($C21,生产人员工资!C:S,17,FALSE),VLOOKUP($C21,非生产人员工资!C:W,21,FALSE))),0,IF(ISERROR(VLOOKUP($C21,非生产人员工资!C:W,21,FALSE)),VLOOKUP($C21,生产人员工资!C:S,17,FALSE),VLOOKUP($C21,非生产人员工资!C:W,21,FALSE)))</f>
        <v>0</v>
      </c>
      <c r="V21" s="7" t="str">
        <f>IF(ISERROR(IF(ISERROR(VLOOKUP($C21,非生产人员工资!C:X,22,FALSE)),VLOOKUP($C21,生产人员工资!C:T,18,FALSE),VLOOKUP($C21,非生产人员工资!C:X,22,FALSE))),0,IF(ISERROR(VLOOKUP($C21,非生产人员工资!C:X,22,FALSE)),VLOOKUP($C21,生产人员工资!C:T,18,FALSE),VLOOKUP($C21,非生产人员工资!C:X,22,FALSE)))</f>
        <v>0.00</v>
      </c>
      <c r="W21" s="7">
        <f t="shared" si="1"/>
        <v>2882.35</v>
      </c>
      <c r="X21" s="7">
        <f>IF(ISERROR(IF(ISERROR(VLOOKUP($C21,非生产人员工资!C:Z,24,FALSE)),VLOOKUP($C21,生产人员工资!C:V,20,FALSE),VLOOKUP($C21,非生产人员工资!$C:$Z,24,FALSE))),0,IF(ISERROR(VLOOKUP($C21,非生产人员工资!$C:$Z,24,FALSE)),VLOOKUP($C21,生产人员工资!$C:$V,20,FALSE),VLOOKUP($C21,非生产人员工资!$C:$Z,24,FALSE)))</f>
        <v>243.36</v>
      </c>
      <c r="Y21" s="7">
        <f>IF(ISERROR(IF(ISERROR(VLOOKUP($C21,非生产人员工资!C:AA,25,FALSE)),VLOOKUP($C21,生产人员工资!C:W,21,FALSE),VLOOKUP($C21,非生产人员工资!C:AA,25,FALSE))),0,IF(ISERROR(VLOOKUP($C21,非生产人员工资!C:AA,25,FALSE)),VLOOKUP($C21,生产人员工资!C:W,21,FALSE),VLOOKUP($C21,非生产人员工资!C:AA,25,FALSE)))</f>
        <v>104.57</v>
      </c>
      <c r="Z21" s="7">
        <f>IF(ISERROR(IF(ISERROR(VLOOKUP($C21,非生产人员工资!C:AB,26,FALSE)),VLOOKUP($C21,生产人员工资!C:X,22,FALSE),VLOOKUP($C21,非生产人员工资!C:AB,26,FALSE))),0,IF(ISERROR(VLOOKUP($C21,非生产人员工资!C:AB,26,FALSE)),VLOOKUP($C21,生产人员工资!C:X,22,FALSE),VLOOKUP($C21,非生产人员工资!C:AB,26,FALSE)))</f>
        <v>9.13</v>
      </c>
      <c r="AA21" s="7">
        <f>IF(ISERROR(IF(ISERROR(VLOOKUP($C21,非生产人员工资!C:AC,27,FALSE)),VLOOKUP($C21,生产人员工资!C:Y,23,FALSE),VLOOKUP($C21,非生产人员工资!C:AC,27,FALSE))),0,IF(ISERROR(VLOOKUP($C21,非生产人员工资!C:AC,27,FALSE)),VLOOKUP($C21,生产人员工资!C:Y,23,FALSE),VLOOKUP($C21,非生产人员工资!C:AC,27,FALSE)))</f>
        <v>0</v>
      </c>
      <c r="AB21" s="7">
        <f>IF(ISERROR(IF(ISERROR(VLOOKUP($C21,非生产人员工资!C:AD,28,FALSE)),VLOOKUP($C21,生产人员工资!C:Z,24,FALSE),VLOOKUP($C21,非生产人员工资!C:AD,28,FALSE))),0,IF(ISERROR(VLOOKUP($C21,非生产人员工资!C:AD,28,FALSE)),VLOOKUP($C21,生产人员工资!C:Z,24,FALSE),VLOOKUP($C21,非生产人员工资!C:AD,28,FALSE)))</f>
        <v>48.81</v>
      </c>
      <c r="AC21" s="269">
        <f>ROUND(IF(ISERROR(IF(ISERROR(VLOOKUP($C21,非生产人员工资!C:AF,30,FALSE)),VLOOKUP($C21,生产人员工资!C:AB,26,0),VLOOKUP($C21,非生产人员工资!C:AF,30,FALSE))),0,IF(ISERROR(VLOOKUP($C21,非生产人员工资!C:AF,30,FALSE)),VLOOKUP($C21,生产人员工资!C:AB,26,0),VLOOKUP($C21,非生产人员工资!C:AF,30,FALSE))),2)</f>
        <v>0</v>
      </c>
      <c r="AD21" s="269">
        <f t="shared" si="2"/>
        <v>2476.48</v>
      </c>
      <c r="AE21" s="269" t="str">
        <f>VLOOKUP($C21,员工基本信息!$C:$N,10,FALSE)</f>
        <v>制造费用+组装</v>
      </c>
      <c r="AF21" s="265" t="str">
        <f>VLOOKUP($C21,员工基本信息!$C:$O,11,FALSE)</f>
        <v>间接成本</v>
      </c>
      <c r="AG21" s="265" t="str">
        <f>VLOOKUP($C21,员工基本信息!$C:$O,12,FALSE)</f>
        <v>生产管理部</v>
      </c>
      <c r="AH21" s="265" t="str">
        <f>VLOOKUP($C21,员工基本信息!$C:$O,13,FALSE)</f>
        <v>制造人员</v>
      </c>
      <c r="AI21" s="249" t="str">
        <f>VLOOKUP($B21,员工基本信息!$B:$S,16,FALSE)</f>
        <v>6214220101209130948</v>
      </c>
      <c r="AJ21" s="249" t="str">
        <f>VLOOKUP($B21,员工基本信息!$B:$S,18,FALSE)</f>
        <v>沧州</v>
      </c>
      <c r="AK21" s="249" t="str">
        <f>VLOOKUP(C21,员工基本信息!$C:$M,11,0)</f>
        <v>间接成本</v>
      </c>
    </row>
    <row r="22" s="250" customFormat="1" customHeight="1" spans="1:37">
      <c r="A22" s="264">
        <v>19</v>
      </c>
      <c r="B22" s="6" t="str">
        <f>本月员工姓名!B20</f>
        <v>刘小雪</v>
      </c>
      <c r="C22" s="265" t="str">
        <f>VLOOKUP($B22,员工基本信息!$B:$I,2,FALSE)</f>
        <v>13092419911205424X</v>
      </c>
      <c r="D22" s="266" t="str">
        <f>VLOOKUP($B22,员工基本信息!$B:$I,4,FALSE)</f>
        <v>生产管理部</v>
      </c>
      <c r="E22" s="266" t="str">
        <f>VLOOKUP($B22,员工基本信息!$B:$I,5,FALSE)</f>
        <v>库管员</v>
      </c>
      <c r="F22" s="267">
        <f>IF(ISERROR(VLOOKUP($C22,非生产人员工资!C:I,7,FALSE)),0,VLOOKUP($C22,非生产人员工资!C:I,7,FALSE))</f>
        <v>1790</v>
      </c>
      <c r="G22" s="267">
        <f>IF(ISERROR(VLOOKUP($C22,非生产人员工资!C:J,8,0)),0,VLOOKUP($C22,非生产人员工资!C:J,8,FALSE))</f>
        <v>0</v>
      </c>
      <c r="H22" s="7">
        <f>IF(ISERROR(VLOOKUP($C22,非生产人员工资!C:K,9,FALSE)),0,VLOOKUP($C22,非生产人员工资!C:K,9,FALSE))</f>
        <v>1710</v>
      </c>
      <c r="I22" s="7">
        <f>IF(ISERROR(VLOOKUP($C22,非生产人员工资!C:L,10,FALSE)),0,VLOOKUP($C22,非生产人员工资!C:L,10,FALSE))</f>
        <v>0</v>
      </c>
      <c r="J22" s="7">
        <f>IF(ISERROR(VLOOKUP($C22,生产人员工资!C:I,7,FALSE)),0,VLOOKUP($C22,生产人员工资!C:I,7,FALSE))</f>
        <v>0</v>
      </c>
      <c r="K22" s="7">
        <f>IF(ISERROR(VLOOKUP($C22,生产人员工资!C:J,8,FALSE)),0,VLOOKUP($C22,生产人员工资!C:J,8,FALSE))</f>
        <v>0</v>
      </c>
      <c r="L22" s="7">
        <f>IF(ISERROR(IF(ISERROR(VLOOKUP($C22,非生产人员工资!C:N,12,FALSE)),VLOOKUP($C22,生产人员工资!C:K,9,FALSE),VLOOKUP($C22,非生产人员工资!C:N,12,FALSE))),0,IF(ISERROR(VLOOKUP($C22,非生产人员工资!C:N,12,FALSE)),VLOOKUP($C22,生产人员工资!C:K,9,FALSE),VLOOKUP($C22,非生产人员工资!C:N,12,FALSE)))</f>
        <v>0</v>
      </c>
      <c r="M22" s="7" t="str">
        <f>IF(ISERROR(IF(ISERROR(VLOOKUP($C22,非生产人员工资!$C:$O,13,FALSE)),VLOOKUP($C22,生产人员工资!$C:$L,10,FALSE),VLOOKUP($C22,非生产人员工资!$C:$O,13,FALSE))),0,IF(ISERROR(VLOOKUP($C22,非生产人员工资!$C:$O,13,FALSE)),VLOOKUP($C22,生产人员工资!$C:$L,10,FALSE),VLOOKUP($C22,非生产人员工资!$C:$O,13,FALSE)))</f>
        <v>0.00</v>
      </c>
      <c r="N22" s="7" t="str">
        <f>IF(ISERROR(IF(ISERROR(VLOOKUP($C22,非生产人员工资!$C:$P,14,FALSE)),VLOOKUP($C22,生产人员工资!$C:$M,11,FALSE),VLOOKUP($C22,非生产人员工资!$C:$P,14,FALSE))),0,IF(ISERROR(VLOOKUP($C22,非生产人员工资!$C:$P,14,FALSE)),VLOOKUP($C22,生产人员工资!$C:$M,11,FALSE),VLOOKUP($C22,非生产人员工资!$C:$P,14,FALSE)))</f>
        <v>0.00</v>
      </c>
      <c r="O22" s="7" t="str">
        <f>IF(ISERROR(IF(ISERROR(VLOOKUP($C22,非生产人员工资!C:Q,15,FALSE)),VLOOKUP($C22,生产人员工资!C:N,12,FALSE),VLOOKUP($C22,非生产人员工资!C:Q,15,FALSE))),0,IF(ISERROR(VLOOKUP($C22,非生产人员工资!C:Q,15,FALSE)),VLOOKUP($C22,生产人员工资!C:N,12,FALSE),VLOOKUP($C22,非生产人员工资!C:Q,15,FALSE)))</f>
        <v>0.00</v>
      </c>
      <c r="P22" s="7" t="str">
        <f>IF(ISERROR(IF(ISERROR(VLOOKUP($C22,非生产人员工资!C:R,16,FALSE)),VLOOKUP($C22,生产人员工资!C:O,13,FALSE),VLOOKUP($C22,非生产人员工资!C:R,16,FALSE))),0,IF(ISERROR(VLOOKUP($C22,非生产人员工资!C:R,16,FALSE)),VLOOKUP($C22,生产人员工资!C:O,13,FALSE),VLOOKUP($C22,非生产人员工资!C:R,16,FALSE)))</f>
        <v>0.00</v>
      </c>
      <c r="Q22" s="7">
        <f>IF(ISERROR(IF(ISERROR(VLOOKUP($C22,非生产人员工资!C:S,17,FALSE)),VLOOKUP($C22,生产人员工资!C:P,14,FALSE),VLOOKUP($C22,非生产人员工资!C:S,17,FALSE))),0,IF(ISERROR(VLOOKUP($C22,非生产人员工资!C:S,17,FALSE)),VLOOKUP($C22,生产人员工资!C:P,14,FALSE),VLOOKUP($C22,非生产人员工资!C:S,17,FALSE)))</f>
        <v>20</v>
      </c>
      <c r="R22" s="7" t="str">
        <f>IF(ISERROR(IF(ISERROR(VLOOKUP($C22,非生产人员工资!C:T,18,FALSE)),VLOOKUP($C22,生产人员工资!C:Q,15,FALSE),VLOOKUP($C22,非生产人员工资!C:T,18,FALSE))),0,IF(ISERROR(VLOOKUP($C22,非生产人员工资!C:T,18,FALSE)),VLOOKUP($C22,生产人员工资!C:Q,15,FALSE),VLOOKUP($C22,非生产人员工资!C:T,18,FALSE)))</f>
        <v>0.00</v>
      </c>
      <c r="S22" s="7">
        <f>IF(ISERROR(VLOOKUP($C22,非生产人员工资!C:U,19,FALSE)),0,VLOOKUP($C22,非生产人员工资!C:U,19,FALSE))</f>
        <v>0</v>
      </c>
      <c r="T22" s="7" t="str">
        <f>IF(ISERROR(IF(ISERROR(VLOOKUP($C22,非生产人员工资!C:V,20,FALSE)),VLOOKUP($C22,生产人员工资!C:R,16,FALSE),VLOOKUP($C22,非生产人员工资!C:V,20,FALSE))),0,IF(ISERROR(VLOOKUP($C22,非生产人员工资!C:V,20,FALSE)),VLOOKUP($C22,生产人员工资!$C:$R,16,FALSE),VLOOKUP($C22,非生产人员工资!C:V,20,FALSE)))</f>
        <v>0.00</v>
      </c>
      <c r="U22" s="7" t="str">
        <f>IF(ISERROR(IF(ISERROR(VLOOKUP($C22,非生产人员工资!C:W,21,FALSE)),VLOOKUP($C22,生产人员工资!C:S,17,FALSE),VLOOKUP($C22,非生产人员工资!C:W,21,FALSE))),0,IF(ISERROR(VLOOKUP($C22,非生产人员工资!C:W,21,FALSE)),VLOOKUP($C22,生产人员工资!C:S,17,FALSE),VLOOKUP($C22,非生产人员工资!C:W,21,FALSE)))</f>
        <v>0</v>
      </c>
      <c r="V22" s="7" t="str">
        <f>IF(ISERROR(IF(ISERROR(VLOOKUP($C22,非生产人员工资!C:X,22,FALSE)),VLOOKUP($C22,生产人员工资!C:T,18,FALSE),VLOOKUP($C22,非生产人员工资!C:X,22,FALSE))),0,IF(ISERROR(VLOOKUP($C22,非生产人员工资!C:X,22,FALSE)),VLOOKUP($C22,生产人员工资!C:T,18,FALSE),VLOOKUP($C22,非生产人员工资!C:X,22,FALSE)))</f>
        <v>0.00</v>
      </c>
      <c r="W22" s="7">
        <f t="shared" si="1"/>
        <v>3520</v>
      </c>
      <c r="X22" s="7">
        <f>IF(ISERROR(IF(ISERROR(VLOOKUP($C22,非生产人员工资!C:Z,24,FALSE)),VLOOKUP($C22,生产人员工资!C:V,20,FALSE),VLOOKUP($C22,非生产人员工资!$C:$Z,24,FALSE))),0,IF(ISERROR(VLOOKUP($C22,非生产人员工资!$C:$Z,24,FALSE)),VLOOKUP($C22,生产人员工资!$C:$V,20,FALSE),VLOOKUP($C22,非生产人员工资!$C:$Z,24,FALSE)))</f>
        <v>243.36</v>
      </c>
      <c r="Y22" s="7">
        <f>IF(ISERROR(IF(ISERROR(VLOOKUP($C22,非生产人员工资!C:AA,25,FALSE)),VLOOKUP($C22,生产人员工资!C:W,21,FALSE),VLOOKUP($C22,非生产人员工资!C:AA,25,FALSE))),0,IF(ISERROR(VLOOKUP($C22,非生产人员工资!C:AA,25,FALSE)),VLOOKUP($C22,生产人员工资!C:W,21,FALSE),VLOOKUP($C22,非生产人员工资!C:AA,25,FALSE)))</f>
        <v>104.57</v>
      </c>
      <c r="Z22" s="7">
        <f>IF(ISERROR(IF(ISERROR(VLOOKUP($C22,非生产人员工资!C:AB,26,FALSE)),VLOOKUP($C22,生产人员工资!C:X,22,FALSE),VLOOKUP($C22,非生产人员工资!C:AB,26,FALSE))),0,IF(ISERROR(VLOOKUP($C22,非生产人员工资!C:AB,26,FALSE)),VLOOKUP($C22,生产人员工资!C:X,22,FALSE),VLOOKUP($C22,非生产人员工资!C:AB,26,FALSE)))</f>
        <v>9.13</v>
      </c>
      <c r="AA22" s="7">
        <f>IF(ISERROR(IF(ISERROR(VLOOKUP($C22,非生产人员工资!C:AC,27,FALSE)),VLOOKUP($C22,生产人员工资!C:Y,23,FALSE),VLOOKUP($C22,非生产人员工资!C:AC,27,FALSE))),0,IF(ISERROR(VLOOKUP($C22,非生产人员工资!C:AC,27,FALSE)),VLOOKUP($C22,生产人员工资!C:Y,23,FALSE),VLOOKUP($C22,非生产人员工资!C:AC,27,FALSE)))</f>
        <v>0</v>
      </c>
      <c r="AB22" s="7">
        <f>IF(ISERROR(IF(ISERROR(VLOOKUP($C22,非生产人员工资!C:AD,28,FALSE)),VLOOKUP($C22,生产人员工资!C:Z,24,FALSE),VLOOKUP($C22,非生产人员工资!C:AD,28,FALSE))),0,IF(ISERROR(VLOOKUP($C22,非生产人员工资!C:AD,28,FALSE)),VLOOKUP($C22,生产人员工资!C:Z,24,FALSE),VLOOKUP($C22,非生产人员工资!C:AD,28,FALSE)))</f>
        <v>48.81</v>
      </c>
      <c r="AC22" s="269">
        <f>ROUND(IF(ISERROR(IF(ISERROR(VLOOKUP($C22,非生产人员工资!C:AF,30,FALSE)),VLOOKUP($C22,生产人员工资!C:AB,26,0),VLOOKUP($C22,非生产人员工资!C:AF,30,FALSE))),0,IF(ISERROR(VLOOKUP($C22,非生产人员工资!C:AF,30,FALSE)),VLOOKUP($C22,生产人员工资!C:AB,26,0),VLOOKUP($C22,非生产人员工资!C:AF,30,FALSE))),2)</f>
        <v>0</v>
      </c>
      <c r="AD22" s="269">
        <f t="shared" si="2"/>
        <v>3114.13</v>
      </c>
      <c r="AE22" s="269" t="str">
        <f>VLOOKUP($C22,员工基本信息!$C:$N,10,FALSE)</f>
        <v>制造费用+注塑</v>
      </c>
      <c r="AF22" s="265" t="str">
        <f>VLOOKUP($C22,员工基本信息!$C:$O,11,FALSE)</f>
        <v>直接成本</v>
      </c>
      <c r="AG22" s="265" t="str">
        <f>VLOOKUP($C22,员工基本信息!$C:$O,12,FALSE)</f>
        <v>生产管理部</v>
      </c>
      <c r="AH22" s="265" t="str">
        <f>VLOOKUP($C22,员工基本信息!$C:$O,13,FALSE)</f>
        <v>制造人员</v>
      </c>
      <c r="AI22" s="249" t="str">
        <f>VLOOKUP($B22,员工基本信息!$B:$S,16,FALSE)</f>
        <v>6214220101208659855</v>
      </c>
      <c r="AJ22" s="249" t="str">
        <f>VLOOKUP($B22,员工基本信息!$B:$S,18,FALSE)</f>
        <v>沧州</v>
      </c>
      <c r="AK22" s="249" t="str">
        <f>VLOOKUP(C22,员工基本信息!$C:$M,11,0)</f>
        <v>直接成本</v>
      </c>
    </row>
    <row r="23" s="250" customFormat="1" customHeight="1" spans="1:37">
      <c r="A23" s="264">
        <v>20</v>
      </c>
      <c r="B23" s="6" t="str">
        <f>本月员工姓名!B21</f>
        <v>李梦同</v>
      </c>
      <c r="C23" s="265" t="str">
        <f>VLOOKUP($B23,员工基本信息!$B:$I,2,FALSE)</f>
        <v>132930199612020520</v>
      </c>
      <c r="D23" s="266" t="str">
        <f>VLOOKUP($B23,员工基本信息!$B:$I,4,FALSE)</f>
        <v>生产管理部</v>
      </c>
      <c r="E23" s="266" t="str">
        <f>VLOOKUP($B23,员工基本信息!$B:$I,5,FALSE)</f>
        <v>灯镜零部件库管员</v>
      </c>
      <c r="F23" s="267">
        <f>IF(ISERROR(VLOOKUP($C23,非生产人员工资!C:I,7,FALSE)),0,VLOOKUP($C23,非生产人员工资!C:I,7,FALSE))</f>
        <v>1791</v>
      </c>
      <c r="G23" s="267">
        <f>IF(ISERROR(VLOOKUP($C23,非生产人员工资!C:J,8,0)),0,VLOOKUP($C23,非生产人员工资!C:J,8,FALSE))</f>
        <v>0</v>
      </c>
      <c r="H23" s="7">
        <f>IF(ISERROR(VLOOKUP($C23,非生产人员工资!C:K,9,FALSE)),0,VLOOKUP($C23,非生产人员工资!C:K,9,FALSE))</f>
        <v>1209</v>
      </c>
      <c r="I23" s="7">
        <f>IF(ISERROR(VLOOKUP($C23,非生产人员工资!C:L,10,FALSE)),0,VLOOKUP($C23,非生产人员工资!C:L,10,FALSE))</f>
        <v>0</v>
      </c>
      <c r="J23" s="7">
        <f>IF(ISERROR(VLOOKUP($C23,生产人员工资!C:I,7,FALSE)),0,VLOOKUP($C23,生产人员工资!C:I,7,FALSE))</f>
        <v>0</v>
      </c>
      <c r="K23" s="7">
        <f>IF(ISERROR(VLOOKUP($C23,生产人员工资!C:J,8,FALSE)),0,VLOOKUP($C23,生产人员工资!C:J,8,FALSE))</f>
        <v>0</v>
      </c>
      <c r="L23" s="7" t="str">
        <f>IF(ISERROR(IF(ISERROR(VLOOKUP($C23,非生产人员工资!C:N,12,FALSE)),VLOOKUP($C23,生产人员工资!C:K,9,FALSE),VLOOKUP($C23,非生产人员工资!C:N,12,FALSE))),0,IF(ISERROR(VLOOKUP($C23,非生产人员工资!C:N,12,FALSE)),VLOOKUP($C23,生产人员工资!C:K,9,FALSE),VLOOKUP($C23,非生产人员工资!C:N,12,FALSE)))</f>
        <v>0.00</v>
      </c>
      <c r="M23" s="7" t="str">
        <f>IF(ISERROR(IF(ISERROR(VLOOKUP($C23,非生产人员工资!$C:$O,13,FALSE)),VLOOKUP($C23,生产人员工资!$C:$L,10,FALSE),VLOOKUP($C23,非生产人员工资!$C:$O,13,FALSE))),0,IF(ISERROR(VLOOKUP($C23,非生产人员工资!$C:$O,13,FALSE)),VLOOKUP($C23,生产人员工资!$C:$L,10,FALSE),VLOOKUP($C23,非生产人员工资!$C:$O,13,FALSE)))</f>
        <v>0.00</v>
      </c>
      <c r="N23" s="7" t="str">
        <f>IF(ISERROR(IF(ISERROR(VLOOKUP($C23,非生产人员工资!$C:$P,14,FALSE)),VLOOKUP($C23,生产人员工资!$C:$M,11,FALSE),VLOOKUP($C23,非生产人员工资!$C:$P,14,FALSE))),0,IF(ISERROR(VLOOKUP($C23,非生产人员工资!$C:$P,14,FALSE)),VLOOKUP($C23,生产人员工资!$C:$M,11,FALSE),VLOOKUP($C23,非生产人员工资!$C:$P,14,FALSE)))</f>
        <v>0.00</v>
      </c>
      <c r="O23" s="7" t="str">
        <f>IF(ISERROR(IF(ISERROR(VLOOKUP($C23,非生产人员工资!C:Q,15,FALSE)),VLOOKUP($C23,生产人员工资!C:N,12,FALSE),VLOOKUP($C23,非生产人员工资!C:Q,15,FALSE))),0,IF(ISERROR(VLOOKUP($C23,非生产人员工资!C:Q,15,FALSE)),VLOOKUP($C23,生产人员工资!C:N,12,FALSE),VLOOKUP($C23,非生产人员工资!C:Q,15,FALSE)))</f>
        <v>0.00</v>
      </c>
      <c r="P23" s="7" t="str">
        <f>IF(ISERROR(IF(ISERROR(VLOOKUP($C23,非生产人员工资!C:R,16,FALSE)),VLOOKUP($C23,生产人员工资!C:O,13,FALSE),VLOOKUP($C23,非生产人员工资!C:R,16,FALSE))),0,IF(ISERROR(VLOOKUP($C23,非生产人员工资!C:R,16,FALSE)),VLOOKUP($C23,生产人员工资!C:O,13,FALSE),VLOOKUP($C23,非生产人员工资!C:R,16,FALSE)))</f>
        <v>0.00</v>
      </c>
      <c r="Q23" s="7" t="str">
        <f>IF(ISERROR(IF(ISERROR(VLOOKUP($C23,非生产人员工资!C:S,17,FALSE)),VLOOKUP($C23,生产人员工资!C:P,14,FALSE),VLOOKUP($C23,非生产人员工资!C:S,17,FALSE))),0,IF(ISERROR(VLOOKUP($C23,非生产人员工资!C:S,17,FALSE)),VLOOKUP($C23,生产人员工资!C:P,14,FALSE),VLOOKUP($C23,非生产人员工资!C:S,17,FALSE)))</f>
        <v>0.00</v>
      </c>
      <c r="R23" s="7" t="str">
        <f>IF(ISERROR(IF(ISERROR(VLOOKUP($C23,非生产人员工资!C:T,18,FALSE)),VLOOKUP($C23,生产人员工资!C:Q,15,FALSE),VLOOKUP($C23,非生产人员工资!C:T,18,FALSE))),0,IF(ISERROR(VLOOKUP($C23,非生产人员工资!C:T,18,FALSE)),VLOOKUP($C23,生产人员工资!C:Q,15,FALSE),VLOOKUP($C23,非生产人员工资!C:T,18,FALSE)))</f>
        <v>0.00</v>
      </c>
      <c r="S23" s="7">
        <f>IF(ISERROR(VLOOKUP($C23,非生产人员工资!C:U,19,FALSE)),0,VLOOKUP($C23,非生产人员工资!C:U,19,FALSE))</f>
        <v>0</v>
      </c>
      <c r="T23" s="7" t="str">
        <f>IF(ISERROR(IF(ISERROR(VLOOKUP($C23,非生产人员工资!C:V,20,FALSE)),VLOOKUP($C23,生产人员工资!C:R,16,FALSE),VLOOKUP($C23,非生产人员工资!C:V,20,FALSE))),0,IF(ISERROR(VLOOKUP($C23,非生产人员工资!C:V,20,FALSE)),VLOOKUP($C23,生产人员工资!$C:$R,16,FALSE),VLOOKUP($C23,非生产人员工资!C:V,20,FALSE)))</f>
        <v>0.00</v>
      </c>
      <c r="U23" s="7" t="str">
        <f>IF(ISERROR(IF(ISERROR(VLOOKUP($C23,非生产人员工资!C:W,21,FALSE)),VLOOKUP($C23,生产人员工资!C:S,17,FALSE),VLOOKUP($C23,非生产人员工资!C:W,21,FALSE))),0,IF(ISERROR(VLOOKUP($C23,非生产人员工资!C:W,21,FALSE)),VLOOKUP($C23,生产人员工资!C:S,17,FALSE),VLOOKUP($C23,非生产人员工资!C:W,21,FALSE)))</f>
        <v>0</v>
      </c>
      <c r="V23" s="7" t="str">
        <f>IF(ISERROR(IF(ISERROR(VLOOKUP($C23,非生产人员工资!C:X,22,FALSE)),VLOOKUP($C23,生产人员工资!C:T,18,FALSE),VLOOKUP($C23,非生产人员工资!C:X,22,FALSE))),0,IF(ISERROR(VLOOKUP($C23,非生产人员工资!C:X,22,FALSE)),VLOOKUP($C23,生产人员工资!C:T,18,FALSE),VLOOKUP($C23,非生产人员工资!C:X,22,FALSE)))</f>
        <v>0.00</v>
      </c>
      <c r="W23" s="7">
        <f t="shared" si="1"/>
        <v>3000</v>
      </c>
      <c r="X23" s="7">
        <f>IF(ISERROR(IF(ISERROR(VLOOKUP($C23,非生产人员工资!C:Z,24,FALSE)),VLOOKUP($C23,生产人员工资!C:V,20,FALSE),VLOOKUP($C23,非生产人员工资!$C:$Z,24,FALSE))),0,IF(ISERROR(VLOOKUP($C23,非生产人员工资!$C:$Z,24,FALSE)),VLOOKUP($C23,生产人员工资!$C:$V,20,FALSE),VLOOKUP($C23,非生产人员工资!$C:$Z,24,FALSE)))</f>
        <v>243.36</v>
      </c>
      <c r="Y23" s="7">
        <f>IF(ISERROR(IF(ISERROR(VLOOKUP($C23,非生产人员工资!C:AA,25,FALSE)),VLOOKUP($C23,生产人员工资!C:W,21,FALSE),VLOOKUP($C23,非生产人员工资!C:AA,25,FALSE))),0,IF(ISERROR(VLOOKUP($C23,非生产人员工资!C:AA,25,FALSE)),VLOOKUP($C23,生产人员工资!C:W,21,FALSE),VLOOKUP($C23,非生产人员工资!C:AA,25,FALSE)))</f>
        <v>104.57</v>
      </c>
      <c r="Z23" s="7">
        <f>IF(ISERROR(IF(ISERROR(VLOOKUP($C23,非生产人员工资!C:AB,26,FALSE)),VLOOKUP($C23,生产人员工资!C:X,22,FALSE),VLOOKUP($C23,非生产人员工资!C:AB,26,FALSE))),0,IF(ISERROR(VLOOKUP($C23,非生产人员工资!C:AB,26,FALSE)),VLOOKUP($C23,生产人员工资!C:X,22,FALSE),VLOOKUP($C23,非生产人员工资!C:AB,26,FALSE)))</f>
        <v>9.13</v>
      </c>
      <c r="AA23" s="7">
        <f>IF(ISERROR(IF(ISERROR(VLOOKUP($C23,非生产人员工资!C:AC,27,FALSE)),VLOOKUP($C23,生产人员工资!C:Y,23,FALSE),VLOOKUP($C23,非生产人员工资!C:AC,27,FALSE))),0,IF(ISERROR(VLOOKUP($C23,非生产人员工资!C:AC,27,FALSE)),VLOOKUP($C23,生产人员工资!C:Y,23,FALSE),VLOOKUP($C23,非生产人员工资!C:AC,27,FALSE)))</f>
        <v>0</v>
      </c>
      <c r="AB23" s="7">
        <f>IF(ISERROR(IF(ISERROR(VLOOKUP($C23,非生产人员工资!C:AD,28,FALSE)),VLOOKUP($C23,生产人员工资!C:Z,24,FALSE),VLOOKUP($C23,非生产人员工资!C:AD,28,FALSE))),0,IF(ISERROR(VLOOKUP($C23,非生产人员工资!C:AD,28,FALSE)),VLOOKUP($C23,生产人员工资!C:Z,24,FALSE),VLOOKUP($C23,非生产人员工资!C:AD,28,FALSE)))</f>
        <v>130.73</v>
      </c>
      <c r="AC23" s="269">
        <f>ROUND(IF(ISERROR(IF(ISERROR(VLOOKUP($C23,非生产人员工资!C:AF,30,FALSE)),VLOOKUP($C23,生产人员工资!C:AB,26,0),VLOOKUP($C23,非生产人员工资!C:AF,30,FALSE))),0,IF(ISERROR(VLOOKUP($C23,非生产人员工资!C:AF,30,FALSE)),VLOOKUP($C23,生产人员工资!C:AB,26,0),VLOOKUP($C23,非生产人员工资!C:AF,30,FALSE))),2)</f>
        <v>0</v>
      </c>
      <c r="AD23" s="269">
        <f t="shared" si="2"/>
        <v>2512.21</v>
      </c>
      <c r="AE23" s="269" t="str">
        <f>VLOOKUP($C23,员工基本信息!$C:$N,10,FALSE)</f>
        <v>制造费用+注塑</v>
      </c>
      <c r="AF23" s="265" t="str">
        <f>VLOOKUP($C23,员工基本信息!$C:$O,11,FALSE)</f>
        <v>间接成本</v>
      </c>
      <c r="AG23" s="265" t="str">
        <f>VLOOKUP($C23,员工基本信息!$C:$O,12,FALSE)</f>
        <v>生产管理部</v>
      </c>
      <c r="AH23" s="265" t="str">
        <f>VLOOKUP($C23,员工基本信息!$C:$O,13,FALSE)</f>
        <v>制造人员</v>
      </c>
      <c r="AI23" s="249" t="str">
        <f>VLOOKUP($B23,员工基本信息!$B:$S,16,FALSE)</f>
        <v>6214220101207840159</v>
      </c>
      <c r="AJ23" s="249" t="str">
        <f>VLOOKUP($B23,员工基本信息!$B:$S,18,FALSE)</f>
        <v>沧州</v>
      </c>
      <c r="AK23" s="249" t="str">
        <f>VLOOKUP(C23,员工基本信息!$C:$M,11,0)</f>
        <v>间接成本</v>
      </c>
    </row>
    <row r="24" s="250" customFormat="1" customHeight="1" spans="1:37">
      <c r="A24" s="264">
        <v>21</v>
      </c>
      <c r="B24" s="6" t="str">
        <f>本月员工姓名!B22</f>
        <v>张馀林</v>
      </c>
      <c r="C24" s="265" t="str">
        <f>VLOOKUP($B24,员工基本信息!$B:$I,2,FALSE)</f>
        <v>130924199207164214</v>
      </c>
      <c r="D24" s="266" t="str">
        <f>VLOOKUP($B24,员工基本信息!$B:$I,4,FALSE)</f>
        <v>销售服务科</v>
      </c>
      <c r="E24" s="266" t="str">
        <f>VLOOKUP($B24,员工基本信息!$B:$I,5,FALSE)</f>
        <v>科长</v>
      </c>
      <c r="F24" s="267">
        <f>IF(ISERROR(VLOOKUP($C24,非生产人员工资!C:I,7,FALSE)),0,VLOOKUP($C24,非生产人员工资!C:I,7,FALSE))</f>
        <v>1790</v>
      </c>
      <c r="G24" s="267">
        <f>IF(ISERROR(VLOOKUP($C24,非生产人员工资!C:J,8,0)),0,VLOOKUP($C24,非生产人员工资!C:J,8,FALSE))</f>
        <v>0</v>
      </c>
      <c r="H24" s="7">
        <f>IF(ISERROR(VLOOKUP($C24,非生产人员工资!C:K,9,FALSE)),0,VLOOKUP($C24,非生产人员工资!C:K,9,FALSE))</f>
        <v>4060</v>
      </c>
      <c r="I24" s="7">
        <f>IF(ISERROR(VLOOKUP($C24,非生产人员工资!C:L,10,FALSE)),0,VLOOKUP($C24,非生产人员工资!C:L,10,FALSE))</f>
        <v>650</v>
      </c>
      <c r="J24" s="7">
        <f>IF(ISERROR(VLOOKUP($C24,生产人员工资!C:I,7,FALSE)),0,VLOOKUP($C24,生产人员工资!C:I,7,FALSE))</f>
        <v>0</v>
      </c>
      <c r="K24" s="7">
        <f>IF(ISERROR(VLOOKUP($C24,生产人员工资!C:J,8,FALSE)),0,VLOOKUP($C24,生产人员工资!C:J,8,FALSE))</f>
        <v>0</v>
      </c>
      <c r="L24" s="7">
        <f>IF(ISERROR(IF(ISERROR(VLOOKUP($C24,非生产人员工资!C:N,12,FALSE)),VLOOKUP($C24,生产人员工资!C:K,9,FALSE),VLOOKUP($C24,非生产人员工资!C:N,12,FALSE))),0,IF(ISERROR(VLOOKUP($C24,非生产人员工资!C:N,12,FALSE)),VLOOKUP($C24,生产人员工资!C:K,9,FALSE),VLOOKUP($C24,非生产人员工资!C:N,12,FALSE)))</f>
        <v>0</v>
      </c>
      <c r="M24" s="7">
        <f>IF(ISERROR(IF(ISERROR(VLOOKUP($C24,非生产人员工资!$C:$O,13,FALSE)),VLOOKUP($C24,生产人员工资!$C:$L,10,FALSE),VLOOKUP($C24,非生产人员工资!$C:$O,13,FALSE))),0,IF(ISERROR(VLOOKUP($C24,非生产人员工资!$C:$O,13,FALSE)),VLOOKUP($C24,生产人员工资!$C:$L,10,FALSE),VLOOKUP($C24,非生产人员工资!$C:$O,13,FALSE)))</f>
        <v>500</v>
      </c>
      <c r="N24" s="7">
        <f>IF(ISERROR(IF(ISERROR(VLOOKUP($C24,非生产人员工资!$C:$P,14,FALSE)),VLOOKUP($C24,生产人员工资!$C:$M,11,FALSE),VLOOKUP($C24,非生产人员工资!$C:$P,14,FALSE))),0,IF(ISERROR(VLOOKUP($C24,非生产人员工资!$C:$P,14,FALSE)),VLOOKUP($C24,生产人员工资!$C:$M,11,FALSE),VLOOKUP($C24,非生产人员工资!$C:$P,14,FALSE)))</f>
        <v>180</v>
      </c>
      <c r="O24" s="7" t="str">
        <f>IF(ISERROR(IF(ISERROR(VLOOKUP($C24,非生产人员工资!C:Q,15,FALSE)),VLOOKUP($C24,生产人员工资!C:N,12,FALSE),VLOOKUP($C24,非生产人员工资!C:Q,15,FALSE))),0,IF(ISERROR(VLOOKUP($C24,非生产人员工资!C:Q,15,FALSE)),VLOOKUP($C24,生产人员工资!C:N,12,FALSE),VLOOKUP($C24,非生产人员工资!C:Q,15,FALSE)))</f>
        <v>0.00</v>
      </c>
      <c r="P24" s="7" t="str">
        <f>IF(ISERROR(IF(ISERROR(VLOOKUP($C24,非生产人员工资!C:R,16,FALSE)),VLOOKUP($C24,生产人员工资!C:O,13,FALSE),VLOOKUP($C24,非生产人员工资!C:R,16,FALSE))),0,IF(ISERROR(VLOOKUP($C24,非生产人员工资!C:R,16,FALSE)),VLOOKUP($C24,生产人员工资!C:O,13,FALSE),VLOOKUP($C24,非生产人员工资!C:R,16,FALSE)))</f>
        <v>0.00</v>
      </c>
      <c r="Q24" s="7" t="str">
        <f>IF(ISERROR(IF(ISERROR(VLOOKUP($C24,非生产人员工资!C:S,17,FALSE)),VLOOKUP($C24,生产人员工资!C:P,14,FALSE),VLOOKUP($C24,非生产人员工资!C:S,17,FALSE))),0,IF(ISERROR(VLOOKUP($C24,非生产人员工资!C:S,17,FALSE)),VLOOKUP($C24,生产人员工资!C:P,14,FALSE),VLOOKUP($C24,非生产人员工资!C:S,17,FALSE)))</f>
        <v>0.00</v>
      </c>
      <c r="R24" s="7" t="str">
        <f>IF(ISERROR(IF(ISERROR(VLOOKUP($C24,非生产人员工资!C:T,18,FALSE)),VLOOKUP($C24,生产人员工资!C:Q,15,FALSE),VLOOKUP($C24,非生产人员工资!C:T,18,FALSE))),0,IF(ISERROR(VLOOKUP($C24,非生产人员工资!C:T,18,FALSE)),VLOOKUP($C24,生产人员工资!C:Q,15,FALSE),VLOOKUP($C24,非生产人员工资!C:T,18,FALSE)))</f>
        <v>0.00</v>
      </c>
      <c r="S24" s="7">
        <f>IF(ISERROR(VLOOKUP($C24,非生产人员工资!C:U,19,FALSE)),0,VLOOKUP($C24,非生产人员工资!C:U,19,FALSE))</f>
        <v>0</v>
      </c>
      <c r="T24" s="7" t="str">
        <f>IF(ISERROR(IF(ISERROR(VLOOKUP($C24,非生产人员工资!C:V,20,FALSE)),VLOOKUP($C24,生产人员工资!C:R,16,FALSE),VLOOKUP($C24,非生产人员工资!C:V,20,FALSE))),0,IF(ISERROR(VLOOKUP($C24,非生产人员工资!C:V,20,FALSE)),VLOOKUP($C24,生产人员工资!$C:$R,16,FALSE),VLOOKUP($C24,非生产人员工资!C:V,20,FALSE)))</f>
        <v>0.00</v>
      </c>
      <c r="U24" s="7" t="str">
        <f>IF(ISERROR(IF(ISERROR(VLOOKUP($C24,非生产人员工资!C:W,21,FALSE)),VLOOKUP($C24,生产人员工资!C:S,17,FALSE),VLOOKUP($C24,非生产人员工资!C:W,21,FALSE))),0,IF(ISERROR(VLOOKUP($C24,非生产人员工资!C:W,21,FALSE)),VLOOKUP($C24,生产人员工资!C:S,17,FALSE),VLOOKUP($C24,非生产人员工资!C:W,21,FALSE)))</f>
        <v>0</v>
      </c>
      <c r="V24" s="7" t="str">
        <f>IF(ISERROR(IF(ISERROR(VLOOKUP($C24,非生产人员工资!C:X,22,FALSE)),VLOOKUP($C24,生产人员工资!C:T,18,FALSE),VLOOKUP($C24,非生产人员工资!C:X,22,FALSE))),0,IF(ISERROR(VLOOKUP($C24,非生产人员工资!C:X,22,FALSE)),VLOOKUP($C24,生产人员工资!C:T,18,FALSE),VLOOKUP($C24,非生产人员工资!C:X,22,FALSE)))</f>
        <v>0.00</v>
      </c>
      <c r="W24" s="7">
        <f t="shared" si="1"/>
        <v>7180</v>
      </c>
      <c r="X24" s="7">
        <f>IF(ISERROR(IF(ISERROR(VLOOKUP($C24,非生产人员工资!C:Z,24,FALSE)),VLOOKUP($C24,生产人员工资!C:V,20,FALSE),VLOOKUP($C24,非生产人员工资!$C:$Z,24,FALSE))),0,IF(ISERROR(VLOOKUP($C24,非生产人员工资!$C:$Z,24,FALSE)),VLOOKUP($C24,生产人员工资!$C:$V,20,FALSE),VLOOKUP($C24,非生产人员工资!$C:$Z,24,FALSE)))</f>
        <v>428.8</v>
      </c>
      <c r="Y24" s="7">
        <f>IF(ISERROR(IF(ISERROR(VLOOKUP($C24,非生产人员工资!C:AA,25,FALSE)),VLOOKUP($C24,生产人员工资!C:W,21,FALSE),VLOOKUP($C24,非生产人员工资!C:AA,25,FALSE))),0,IF(ISERROR(VLOOKUP($C24,非生产人员工资!C:AA,25,FALSE)),VLOOKUP($C24,生产人员工资!C:W,21,FALSE),VLOOKUP($C24,非生产人员工资!C:AA,25,FALSE)))</f>
        <v>110.2</v>
      </c>
      <c r="Z24" s="7">
        <f>IF(ISERROR(IF(ISERROR(VLOOKUP($C24,非生产人员工资!C:AB,26,FALSE)),VLOOKUP($C24,生产人员工资!C:X,22,FALSE),VLOOKUP($C24,非生产人员工资!C:AB,26,FALSE))),0,IF(ISERROR(VLOOKUP($C24,非生产人员工资!C:AB,26,FALSE)),VLOOKUP($C24,生产人员工资!C:X,22,FALSE),VLOOKUP($C24,非生产人员工资!C:AB,26,FALSE)))</f>
        <v>26.8</v>
      </c>
      <c r="AA24" s="7">
        <f>IF(ISERROR(IF(ISERROR(VLOOKUP($C24,非生产人员工资!C:AC,27,FALSE)),VLOOKUP($C24,生产人员工资!C:Y,23,FALSE),VLOOKUP($C24,非生产人员工资!C:AC,27,FALSE))),0,IF(ISERROR(VLOOKUP($C24,非生产人员工资!C:AC,27,FALSE)),VLOOKUP($C24,生产人员工资!C:Y,23,FALSE),VLOOKUP($C24,非生产人员工资!C:AC,27,FALSE)))</f>
        <v>324</v>
      </c>
      <c r="AB24" s="7">
        <f>IF(ISERROR(IF(ISERROR(VLOOKUP($C24,非生产人员工资!C:AD,28,FALSE)),VLOOKUP($C24,生产人员工资!C:Z,24,FALSE),VLOOKUP($C24,非生产人员工资!C:AD,28,FALSE))),0,IF(ISERROR(VLOOKUP($C24,非生产人员工资!C:AD,28,FALSE)),VLOOKUP($C24,生产人员工资!C:Z,24,FALSE),VLOOKUP($C24,非生产人员工资!C:AD,28,FALSE)))</f>
        <v>0</v>
      </c>
      <c r="AC24" s="269">
        <f>ROUND(IF(ISERROR(IF(ISERROR(VLOOKUP($C24,非生产人员工资!C:AF,30,FALSE)),VLOOKUP($C24,生产人员工资!C:AB,26,0),VLOOKUP($C24,非生产人员工资!C:AF,30,FALSE))),0,IF(ISERROR(VLOOKUP($C24,非生产人员工资!C:AF,30,FALSE)),VLOOKUP($C24,生产人员工资!C:AB,26,0),VLOOKUP($C24,非生产人员工资!C:AF,30,FALSE))),2)</f>
        <v>48.42</v>
      </c>
      <c r="AD24" s="269">
        <f t="shared" si="2"/>
        <v>6241.78</v>
      </c>
      <c r="AE24" s="269" t="str">
        <f>VLOOKUP($C24,员工基本信息!$C:$N,10,FALSE)</f>
        <v>销售费用+销售</v>
      </c>
      <c r="AF24" s="265" t="str">
        <f>VLOOKUP($C24,员工基本信息!$C:$O,11,FALSE)</f>
        <v>间接成本</v>
      </c>
      <c r="AG24" s="265" t="str">
        <f>VLOOKUP($C24,员工基本信息!$C:$O,12,FALSE)</f>
        <v>销售服务科</v>
      </c>
      <c r="AH24" s="265" t="str">
        <f>VLOOKUP($C24,员工基本信息!$C:$O,13,FALSE)</f>
        <v>销售人员</v>
      </c>
      <c r="AI24" s="249" t="str">
        <f>VLOOKUP($B24,员工基本信息!$B:$S,16,FALSE)</f>
        <v>6214220101208650110</v>
      </c>
      <c r="AJ24" s="249" t="str">
        <f>VLOOKUP($B24,员工基本信息!$B:$S,18,FALSE)</f>
        <v>沧州</v>
      </c>
      <c r="AK24" s="249" t="str">
        <f>VLOOKUP(C24,员工基本信息!$C:$M,11,0)</f>
        <v>间接成本</v>
      </c>
    </row>
    <row r="25" s="250" customFormat="1" customHeight="1" spans="1:37">
      <c r="A25" s="264">
        <v>22</v>
      </c>
      <c r="B25" s="6" t="str">
        <f>本月员工姓名!B23</f>
        <v>于磊磊</v>
      </c>
      <c r="C25" s="265" t="str">
        <f>VLOOKUP($B25,员工基本信息!$B:$I,2,FALSE)</f>
        <v>133030198101315498</v>
      </c>
      <c r="D25" s="266" t="str">
        <f>VLOOKUP($B25,员工基本信息!$B:$I,4,FALSE)</f>
        <v>销售服务科</v>
      </c>
      <c r="E25" s="266" t="str">
        <f>VLOOKUP($B25,员工基本信息!$B:$I,5,FALSE)</f>
        <v>济南销售主管</v>
      </c>
      <c r="F25" s="267">
        <f>IF(ISERROR(VLOOKUP($C25,非生产人员工资!C:I,7,FALSE)),0,VLOOKUP($C25,非生产人员工资!C:I,7,FALSE))</f>
        <v>1790</v>
      </c>
      <c r="G25" s="267">
        <f>IF(ISERROR(VLOOKUP($C25,非生产人员工资!C:J,8,0)),0,VLOOKUP($C25,非生产人员工资!C:J,8,FALSE))</f>
        <v>1316.7816091954</v>
      </c>
      <c r="H25" s="7">
        <f>IF(ISERROR(VLOOKUP($C25,非生产人员工资!C:K,9,FALSE)),0,VLOOKUP($C25,非生产人员工资!C:K,9,FALSE))</f>
        <v>2743.2183908046</v>
      </c>
      <c r="I25" s="7">
        <f>IF(ISERROR(VLOOKUP($C25,非生产人员工资!C:L,10,FALSE)),0,VLOOKUP($C25,非生产人员工资!C:L,10,FALSE))</f>
        <v>650</v>
      </c>
      <c r="J25" s="7">
        <f>IF(ISERROR(VLOOKUP($C25,生产人员工资!C:I,7,FALSE)),0,VLOOKUP($C25,生产人员工资!C:I,7,FALSE))</f>
        <v>0</v>
      </c>
      <c r="K25" s="7">
        <f>IF(ISERROR(VLOOKUP($C25,生产人员工资!C:J,8,FALSE)),0,VLOOKUP($C25,生产人员工资!C:J,8,FALSE))</f>
        <v>0</v>
      </c>
      <c r="L25" s="7">
        <f>IF(ISERROR(IF(ISERROR(VLOOKUP($C25,非生产人员工资!C:N,12,FALSE)),VLOOKUP($C25,生产人员工资!C:K,9,FALSE),VLOOKUP($C25,非生产人员工资!C:N,12,FALSE))),0,IF(ISERROR(VLOOKUP($C25,非生产人员工资!C:N,12,FALSE)),VLOOKUP($C25,生产人员工资!C:K,9,FALSE),VLOOKUP($C25,非生产人员工资!C:N,12,FALSE)))</f>
        <v>-65</v>
      </c>
      <c r="M25" s="7" t="str">
        <f>IF(ISERROR(IF(ISERROR(VLOOKUP($C25,非生产人员工资!$C:$O,13,FALSE)),VLOOKUP($C25,生产人员工资!$C:$L,10,FALSE),VLOOKUP($C25,非生产人员工资!$C:$O,13,FALSE))),0,IF(ISERROR(VLOOKUP($C25,非生产人员工资!$C:$O,13,FALSE)),VLOOKUP($C25,生产人员工资!$C:$L,10,FALSE),VLOOKUP($C25,非生产人员工资!$C:$O,13,FALSE)))</f>
        <v>0.00</v>
      </c>
      <c r="N25" s="7">
        <f>IF(ISERROR(IF(ISERROR(VLOOKUP($C25,非生产人员工资!$C:$P,14,FALSE)),VLOOKUP($C25,生产人员工资!$C:$M,11,FALSE),VLOOKUP($C25,非生产人员工资!$C:$P,14,FALSE))),0,IF(ISERROR(VLOOKUP($C25,非生产人员工资!$C:$P,14,FALSE)),VLOOKUP($C25,生产人员工资!$C:$M,11,FALSE),VLOOKUP($C25,非生产人员工资!$C:$P,14,FALSE)))</f>
        <v>260</v>
      </c>
      <c r="O25" s="7" t="str">
        <f>IF(ISERROR(IF(ISERROR(VLOOKUP($C25,非生产人员工资!C:Q,15,FALSE)),VLOOKUP($C25,生产人员工资!C:N,12,FALSE),VLOOKUP($C25,非生产人员工资!C:Q,15,FALSE))),0,IF(ISERROR(VLOOKUP($C25,非生产人员工资!C:Q,15,FALSE)),VLOOKUP($C25,生产人员工资!C:N,12,FALSE),VLOOKUP($C25,非生产人员工资!C:Q,15,FALSE)))</f>
        <v>0.00</v>
      </c>
      <c r="P25" s="7">
        <f>IF(ISERROR(IF(ISERROR(VLOOKUP($C25,非生产人员工资!C:R,16,FALSE)),VLOOKUP($C25,生产人员工资!C:O,13,FALSE),VLOOKUP($C25,非生产人员工资!C:R,16,FALSE))),0,IF(ISERROR(VLOOKUP($C25,非生产人员工资!C:R,16,FALSE)),VLOOKUP($C25,生产人员工资!C:O,13,FALSE),VLOOKUP($C25,非生产人员工资!C:R,16,FALSE)))</f>
        <v>1050</v>
      </c>
      <c r="Q25" s="7" t="str">
        <f>IF(ISERROR(IF(ISERROR(VLOOKUP($C25,非生产人员工资!C:S,17,FALSE)),VLOOKUP($C25,生产人员工资!C:P,14,FALSE),VLOOKUP($C25,非生产人员工资!C:S,17,FALSE))),0,IF(ISERROR(VLOOKUP($C25,非生产人员工资!C:S,17,FALSE)),VLOOKUP($C25,生产人员工资!C:P,14,FALSE),VLOOKUP($C25,非生产人员工资!C:S,17,FALSE)))</f>
        <v>0.00</v>
      </c>
      <c r="R25" s="7" t="str">
        <f>IF(ISERROR(IF(ISERROR(VLOOKUP($C25,非生产人员工资!C:T,18,FALSE)),VLOOKUP($C25,生产人员工资!C:Q,15,FALSE),VLOOKUP($C25,非生产人员工资!C:T,18,FALSE))),0,IF(ISERROR(VLOOKUP($C25,非生产人员工资!C:T,18,FALSE)),VLOOKUP($C25,生产人员工资!C:Q,15,FALSE),VLOOKUP($C25,非生产人员工资!C:T,18,FALSE)))</f>
        <v>0.00</v>
      </c>
      <c r="S25" s="7">
        <f>IF(ISERROR(VLOOKUP($C25,非生产人员工资!C:U,19,FALSE)),0,VLOOKUP($C25,非生产人员工资!C:U,19,FALSE))</f>
        <v>0</v>
      </c>
      <c r="T25" s="7" t="str">
        <f>IF(ISERROR(IF(ISERROR(VLOOKUP($C25,非生产人员工资!C:V,20,FALSE)),VLOOKUP($C25,生产人员工资!C:R,16,FALSE),VLOOKUP($C25,非生产人员工资!C:V,20,FALSE))),0,IF(ISERROR(VLOOKUP($C25,非生产人员工资!C:V,20,FALSE)),VLOOKUP($C25,生产人员工资!$C:$R,16,FALSE),VLOOKUP($C25,非生产人员工资!C:V,20,FALSE)))</f>
        <v>0.00</v>
      </c>
      <c r="U25" s="7" t="str">
        <f>IF(ISERROR(IF(ISERROR(VLOOKUP($C25,非生产人员工资!C:W,21,FALSE)),VLOOKUP($C25,生产人员工资!C:S,17,FALSE),VLOOKUP($C25,非生产人员工资!C:W,21,FALSE))),0,IF(ISERROR(VLOOKUP($C25,非生产人员工资!C:W,21,FALSE)),VLOOKUP($C25,生产人员工资!C:S,17,FALSE),VLOOKUP($C25,非生产人员工资!C:W,21,FALSE)))</f>
        <v>0</v>
      </c>
      <c r="V25" s="7" t="str">
        <f>IF(ISERROR(IF(ISERROR(VLOOKUP($C25,非生产人员工资!C:X,22,FALSE)),VLOOKUP($C25,生产人员工资!C:T,18,FALSE),VLOOKUP($C25,非生产人员工资!C:X,22,FALSE))),0,IF(ISERROR(VLOOKUP($C25,非生产人员工资!C:X,22,FALSE)),VLOOKUP($C25,生产人员工资!C:T,18,FALSE),VLOOKUP($C25,非生产人员工资!C:X,22,FALSE)))</f>
        <v>0.00</v>
      </c>
      <c r="W25" s="7">
        <f t="shared" si="1"/>
        <v>7745</v>
      </c>
      <c r="X25" s="7">
        <f>IF(ISERROR(IF(ISERROR(VLOOKUP($C25,非生产人员工资!C:Z,24,FALSE)),VLOOKUP($C25,生产人员工资!C:V,20,FALSE),VLOOKUP($C25,非生产人员工资!$C:$Z,24,FALSE))),0,IF(ISERROR(VLOOKUP($C25,非生产人员工资!$C:$Z,24,FALSE)),VLOOKUP($C25,生产人员工资!$C:$V,20,FALSE),VLOOKUP($C25,非生产人员工资!$C:$Z,24,FALSE)))</f>
        <v>226.9</v>
      </c>
      <c r="Y25" s="7">
        <f>IF(ISERROR(IF(ISERROR(VLOOKUP($C25,非生产人员工资!C:AA,25,FALSE)),VLOOKUP($C25,生产人员工资!C:W,21,FALSE),VLOOKUP($C25,非生产人员工资!C:AA,25,FALSE))),0,IF(ISERROR(VLOOKUP($C25,非生产人员工资!C:AA,25,FALSE)),VLOOKUP($C25,生产人员工资!C:W,21,FALSE),VLOOKUP($C25,非生产人员工资!C:AA,25,FALSE)))</f>
        <v>104.57</v>
      </c>
      <c r="Z25" s="7">
        <f>IF(ISERROR(IF(ISERROR(VLOOKUP($C25,非生产人员工资!C:AB,26,FALSE)),VLOOKUP($C25,生产人员工资!C:X,22,FALSE),VLOOKUP($C25,非生产人员工资!C:AB,26,FALSE))),0,IF(ISERROR(VLOOKUP($C25,非生产人员工资!C:AB,26,FALSE)),VLOOKUP($C25,生产人员工资!C:X,22,FALSE),VLOOKUP($C25,非生产人员工资!C:AB,26,FALSE)))</f>
        <v>8.51</v>
      </c>
      <c r="AA25" s="7">
        <f>IF(ISERROR(IF(ISERROR(VLOOKUP($C25,非生产人员工资!C:AC,27,FALSE)),VLOOKUP($C25,生产人员工资!C:Y,23,FALSE),VLOOKUP($C25,非生产人员工资!C:AC,27,FALSE))),0,IF(ISERROR(VLOOKUP($C25,非生产人员工资!C:AC,27,FALSE)),VLOOKUP($C25,生产人员工资!C:Y,23,FALSE),VLOOKUP($C25,非生产人员工资!C:AC,27,FALSE)))</f>
        <v>159</v>
      </c>
      <c r="AB25" s="7">
        <f>IF(ISERROR(IF(ISERROR(VLOOKUP($C25,非生产人员工资!C:AD,28,FALSE)),VLOOKUP($C25,生产人员工资!C:Z,24,FALSE),VLOOKUP($C25,非生产人员工资!C:AD,28,FALSE))),0,IF(ISERROR(VLOOKUP($C25,非生产人员工资!C:AD,28,FALSE)),VLOOKUP($C25,生产人员工资!C:Z,24,FALSE),VLOOKUP($C25,非生产人员工资!C:AD,28,FALSE)))</f>
        <v>261.84</v>
      </c>
      <c r="AC25" s="269">
        <f>ROUND(IF(ISERROR(IF(ISERROR(VLOOKUP($C25,非生产人员工资!C:AF,30,FALSE)),VLOOKUP($C25,生产人员工资!C:AB,26,0),VLOOKUP($C25,非生产人员工资!C:AF,30,FALSE))),0,IF(ISERROR(VLOOKUP($C25,非生产人员工资!C:AF,30,FALSE)),VLOOKUP($C25,生产人员工资!C:AB,26,0),VLOOKUP($C25,非生产人员工资!C:AF,30,FALSE))),2)</f>
        <v>4.3</v>
      </c>
      <c r="AD25" s="269">
        <f t="shared" si="2"/>
        <v>6979.88</v>
      </c>
      <c r="AE25" s="269" t="str">
        <f>VLOOKUP($C25,员工基本信息!$C:$N,10,FALSE)</f>
        <v>销售费用+销售</v>
      </c>
      <c r="AF25" s="265" t="str">
        <f>VLOOKUP($C25,员工基本信息!$C:$O,11,FALSE)</f>
        <v>间接成本</v>
      </c>
      <c r="AG25" s="265" t="str">
        <f>VLOOKUP($C25,员工基本信息!$C:$O,12,FALSE)</f>
        <v>销售服务科</v>
      </c>
      <c r="AH25" s="265" t="str">
        <f>VLOOKUP($C25,员工基本信息!$C:$O,13,FALSE)</f>
        <v>驻外人员</v>
      </c>
      <c r="AI25" s="249" t="str">
        <f>VLOOKUP($B25,员工基本信息!$B:$S,16,FALSE)</f>
        <v>6217000010054470128</v>
      </c>
      <c r="AJ25" s="249" t="str">
        <f>VLOOKUP($B25,员工基本信息!$B:$S,18,FALSE)</f>
        <v>建行</v>
      </c>
      <c r="AK25" s="249" t="str">
        <f>VLOOKUP(C25,员工基本信息!$C:$M,11,0)</f>
        <v>间接成本</v>
      </c>
    </row>
    <row r="26" s="250" customFormat="1" customHeight="1" spans="1:37">
      <c r="A26" s="264">
        <v>23</v>
      </c>
      <c r="B26" s="6" t="str">
        <f>本月员工姓名!B24</f>
        <v>陈晓晴</v>
      </c>
      <c r="C26" s="265" t="str">
        <f>VLOOKUP($B26,员工基本信息!$B:$I,2,FALSE)</f>
        <v>130983199305180023</v>
      </c>
      <c r="D26" s="266" t="str">
        <f>VLOOKUP($B26,员工基本信息!$B:$I,4,FALSE)</f>
        <v>销售服务科</v>
      </c>
      <c r="E26" s="266" t="str">
        <f>VLOOKUP($B26,员工基本信息!$B:$I,5,FALSE)</f>
        <v>统计员</v>
      </c>
      <c r="F26" s="267">
        <f>IF(ISERROR(VLOOKUP($C26,非生产人员工资!C:I,7,FALSE)),0,VLOOKUP($C26,非生产人员工资!C:I,7,FALSE))</f>
        <v>1790</v>
      </c>
      <c r="G26" s="267">
        <f>IF(ISERROR(VLOOKUP($C26,非生产人员工资!C:J,8,0)),0,VLOOKUP($C26,非生产人员工资!C:J,8,FALSE))</f>
        <v>0</v>
      </c>
      <c r="H26" s="7">
        <f>IF(ISERROR(VLOOKUP($C26,非生产人员工资!C:K,9,FALSE)),0,VLOOKUP($C26,非生产人员工资!C:K,9,FALSE))</f>
        <v>1000</v>
      </c>
      <c r="I26" s="7">
        <f>IF(ISERROR(VLOOKUP($C26,非生产人员工资!C:L,10,FALSE)),0,VLOOKUP($C26,非生产人员工资!C:L,10,FALSE))</f>
        <v>310</v>
      </c>
      <c r="J26" s="7">
        <f>IF(ISERROR(VLOOKUP($C26,生产人员工资!C:I,7,FALSE)),0,VLOOKUP($C26,生产人员工资!C:I,7,FALSE))</f>
        <v>0</v>
      </c>
      <c r="K26" s="7">
        <f>IF(ISERROR(VLOOKUP($C26,生产人员工资!C:J,8,FALSE)),0,VLOOKUP($C26,生产人员工资!C:J,8,FALSE))</f>
        <v>0</v>
      </c>
      <c r="L26" s="7">
        <f>IF(ISERROR(IF(ISERROR(VLOOKUP($C26,非生产人员工资!C:N,12,FALSE)),VLOOKUP($C26,生产人员工资!C:K,9,FALSE),VLOOKUP($C26,非生产人员工资!C:N,12,FALSE))),0,IF(ISERROR(VLOOKUP($C26,非生产人员工资!C:N,12,FALSE)),VLOOKUP($C26,生产人员工资!C:K,9,FALSE),VLOOKUP($C26,非生产人员工资!C:N,12,FALSE)))</f>
        <v>0</v>
      </c>
      <c r="M26" s="7" t="str">
        <f>IF(ISERROR(IF(ISERROR(VLOOKUP($C26,非生产人员工资!$C:$O,13,FALSE)),VLOOKUP($C26,生产人员工资!$C:$L,10,FALSE),VLOOKUP($C26,非生产人员工资!$C:$O,13,FALSE))),0,IF(ISERROR(VLOOKUP($C26,非生产人员工资!$C:$O,13,FALSE)),VLOOKUP($C26,生产人员工资!$C:$L,10,FALSE),VLOOKUP($C26,非生产人员工资!$C:$O,13,FALSE)))</f>
        <v>0.00</v>
      </c>
      <c r="N26" s="7">
        <f>IF(ISERROR(IF(ISERROR(VLOOKUP($C26,非生产人员工资!$C:$P,14,FALSE)),VLOOKUP($C26,生产人员工资!$C:$M,11,FALSE),VLOOKUP($C26,非生产人员工资!$C:$P,14,FALSE))),0,IF(ISERROR(VLOOKUP($C26,非生产人员工资!$C:$P,14,FALSE)),VLOOKUP($C26,生产人员工资!$C:$M,11,FALSE),VLOOKUP($C26,非生产人员工资!$C:$P,14,FALSE)))</f>
        <v>40</v>
      </c>
      <c r="O26" s="7" t="str">
        <f>IF(ISERROR(IF(ISERROR(VLOOKUP($C26,非生产人员工资!C:Q,15,FALSE)),VLOOKUP($C26,生产人员工资!C:N,12,FALSE),VLOOKUP($C26,非生产人员工资!C:Q,15,FALSE))),0,IF(ISERROR(VLOOKUP($C26,非生产人员工资!C:Q,15,FALSE)),VLOOKUP($C26,生产人员工资!C:N,12,FALSE),VLOOKUP($C26,非生产人员工资!C:Q,15,FALSE)))</f>
        <v>0.00</v>
      </c>
      <c r="P26" s="7" t="str">
        <f>IF(ISERROR(IF(ISERROR(VLOOKUP($C26,非生产人员工资!C:R,16,FALSE)),VLOOKUP($C26,生产人员工资!C:O,13,FALSE),VLOOKUP($C26,非生产人员工资!C:R,16,FALSE))),0,IF(ISERROR(VLOOKUP($C26,非生产人员工资!C:R,16,FALSE)),VLOOKUP($C26,生产人员工资!C:O,13,FALSE),VLOOKUP($C26,非生产人员工资!C:R,16,FALSE)))</f>
        <v>0.00</v>
      </c>
      <c r="Q26" s="7" t="str">
        <f>IF(ISERROR(IF(ISERROR(VLOOKUP($C26,非生产人员工资!C:S,17,FALSE)),VLOOKUP($C26,生产人员工资!C:P,14,FALSE),VLOOKUP($C26,非生产人员工资!C:S,17,FALSE))),0,IF(ISERROR(VLOOKUP($C26,非生产人员工资!C:S,17,FALSE)),VLOOKUP($C26,生产人员工资!C:P,14,FALSE),VLOOKUP($C26,非生产人员工资!C:S,17,FALSE)))</f>
        <v>0.00</v>
      </c>
      <c r="R26" s="7" t="str">
        <f>IF(ISERROR(IF(ISERROR(VLOOKUP($C26,非生产人员工资!C:T,18,FALSE)),VLOOKUP($C26,生产人员工资!C:Q,15,FALSE),VLOOKUP($C26,非生产人员工资!C:T,18,FALSE))),0,IF(ISERROR(VLOOKUP($C26,非生产人员工资!C:T,18,FALSE)),VLOOKUP($C26,生产人员工资!C:Q,15,FALSE),VLOOKUP($C26,非生产人员工资!C:T,18,FALSE)))</f>
        <v>0.00</v>
      </c>
      <c r="S26" s="7">
        <f>IF(ISERROR(VLOOKUP($C26,非生产人员工资!C:U,19,FALSE)),0,VLOOKUP($C26,非生产人员工资!C:U,19,FALSE))</f>
        <v>0</v>
      </c>
      <c r="T26" s="7" t="str">
        <f>IF(ISERROR(IF(ISERROR(VLOOKUP($C26,非生产人员工资!C:V,20,FALSE)),VLOOKUP($C26,生产人员工资!C:R,16,FALSE),VLOOKUP($C26,非生产人员工资!C:V,20,FALSE))),0,IF(ISERROR(VLOOKUP($C26,非生产人员工资!C:V,20,FALSE)),VLOOKUP($C26,生产人员工资!$C:$R,16,FALSE),VLOOKUP($C26,非生产人员工资!C:V,20,FALSE)))</f>
        <v>0.00</v>
      </c>
      <c r="U26" s="7" t="str">
        <f>IF(ISERROR(IF(ISERROR(VLOOKUP($C26,非生产人员工资!C:W,21,FALSE)),VLOOKUP($C26,生产人员工资!C:S,17,FALSE),VLOOKUP($C26,非生产人员工资!C:W,21,FALSE))),0,IF(ISERROR(VLOOKUP($C26,非生产人员工资!C:W,21,FALSE)),VLOOKUP($C26,生产人员工资!C:S,17,FALSE),VLOOKUP($C26,非生产人员工资!C:W,21,FALSE)))</f>
        <v>0</v>
      </c>
      <c r="V26" s="7" t="str">
        <f>IF(ISERROR(IF(ISERROR(VLOOKUP($C26,非生产人员工资!C:X,22,FALSE)),VLOOKUP($C26,生产人员工资!C:T,18,FALSE),VLOOKUP($C26,非生产人员工资!C:X,22,FALSE))),0,IF(ISERROR(VLOOKUP($C26,非生产人员工资!C:X,22,FALSE)),VLOOKUP($C26,生产人员工资!C:T,18,FALSE),VLOOKUP($C26,非生产人员工资!C:X,22,FALSE)))</f>
        <v>0.00</v>
      </c>
      <c r="W26" s="7">
        <f t="shared" si="1"/>
        <v>3140</v>
      </c>
      <c r="X26" s="7">
        <f>IF(ISERROR(IF(ISERROR(VLOOKUP($C26,非生产人员工资!C:Z,24,FALSE)),VLOOKUP($C26,生产人员工资!C:V,20,FALSE),VLOOKUP($C26,非生产人员工资!$C:$Z,24,FALSE))),0,IF(ISERROR(VLOOKUP($C26,非生产人员工资!$C:$Z,24,FALSE)),VLOOKUP($C26,生产人员工资!$C:$V,20,FALSE),VLOOKUP($C26,非生产人员工资!$C:$Z,24,FALSE)))</f>
        <v>226.9</v>
      </c>
      <c r="Y26" s="7">
        <f>IF(ISERROR(IF(ISERROR(VLOOKUP($C26,非生产人员工资!C:AA,25,FALSE)),VLOOKUP($C26,生产人员工资!C:W,21,FALSE),VLOOKUP($C26,非生产人员工资!C:AA,25,FALSE))),0,IF(ISERROR(VLOOKUP($C26,非生产人员工资!C:AA,25,FALSE)),VLOOKUP($C26,生产人员工资!C:W,21,FALSE),VLOOKUP($C26,非生产人员工资!C:AA,25,FALSE)))</f>
        <v>104.57</v>
      </c>
      <c r="Z26" s="7">
        <f>IF(ISERROR(IF(ISERROR(VLOOKUP($C26,非生产人员工资!C:AB,26,FALSE)),VLOOKUP($C26,生产人员工资!C:X,22,FALSE),VLOOKUP($C26,非生产人员工资!C:AB,26,FALSE))),0,IF(ISERROR(VLOOKUP($C26,非生产人员工资!C:AB,26,FALSE)),VLOOKUP($C26,生产人员工资!C:X,22,FALSE),VLOOKUP($C26,非生产人员工资!C:AB,26,FALSE)))</f>
        <v>8.51</v>
      </c>
      <c r="AA26" s="7">
        <f>IF(ISERROR(IF(ISERROR(VLOOKUP($C26,非生产人员工资!C:AC,27,FALSE)),VLOOKUP($C26,生产人员工资!C:Y,23,FALSE),VLOOKUP($C26,非生产人员工资!C:AC,27,FALSE))),0,IF(ISERROR(VLOOKUP($C26,非生产人员工资!C:AC,27,FALSE)),VLOOKUP($C26,生产人员工资!C:Y,23,FALSE),VLOOKUP($C26,非生产人员工资!C:AC,27,FALSE)))</f>
        <v>159</v>
      </c>
      <c r="AB26" s="7">
        <f>IF(ISERROR(IF(ISERROR(VLOOKUP($C26,非生产人员工资!C:AD,28,FALSE)),VLOOKUP($C26,生产人员工资!C:Z,24,FALSE),VLOOKUP($C26,非生产人员工资!C:AD,28,FALSE))),0,IF(ISERROR(VLOOKUP($C26,非生产人员工资!C:AD,28,FALSE)),VLOOKUP($C26,生产人员工资!C:Z,24,FALSE),VLOOKUP($C26,非生产人员工资!C:AD,28,FALSE)))</f>
        <v>261.84</v>
      </c>
      <c r="AC26" s="269">
        <f>ROUND(IF(ISERROR(IF(ISERROR(VLOOKUP($C26,非生产人员工资!C:AF,30,FALSE)),VLOOKUP($C26,生产人员工资!C:AB,26,0),VLOOKUP($C26,非生产人员工资!C:AF,30,FALSE))),0,IF(ISERROR(VLOOKUP($C26,非生产人员工资!C:AF,30,FALSE)),VLOOKUP($C26,生产人员工资!C:AB,26,0),VLOOKUP($C26,非生产人员工资!C:AF,30,FALSE))),2)</f>
        <v>0</v>
      </c>
      <c r="AD26" s="269">
        <f t="shared" si="2"/>
        <v>2379.18</v>
      </c>
      <c r="AE26" s="269" t="str">
        <f>VLOOKUP($C26,员工基本信息!$C:$N,10,FALSE)</f>
        <v>销售费用+销售</v>
      </c>
      <c r="AF26" s="265" t="str">
        <f>VLOOKUP($C26,员工基本信息!$C:$O,11,FALSE)</f>
        <v>间接成本</v>
      </c>
      <c r="AG26" s="265" t="str">
        <f>VLOOKUP($C26,员工基本信息!$C:$O,12,FALSE)</f>
        <v>销售服务科</v>
      </c>
      <c r="AH26" s="265" t="str">
        <f>VLOOKUP($C26,员工基本信息!$C:$O,13,FALSE)</f>
        <v>销售人员</v>
      </c>
      <c r="AI26" s="249" t="str">
        <f>VLOOKUP($B26,员工基本信息!$B:$S,16,FALSE)</f>
        <v>6214220101206471220</v>
      </c>
      <c r="AJ26" s="249" t="str">
        <f>VLOOKUP($B26,员工基本信息!$B:$S,18,FALSE)</f>
        <v>沧州</v>
      </c>
      <c r="AK26" s="249" t="str">
        <f>VLOOKUP(C26,员工基本信息!$C:$M,11,0)</f>
        <v>间接成本</v>
      </c>
    </row>
    <row r="27" s="250" customFormat="1" customHeight="1" spans="1:37">
      <c r="A27" s="264">
        <v>24</v>
      </c>
      <c r="B27" s="6" t="str">
        <f>本月员工姓名!B25</f>
        <v>崔鑫</v>
      </c>
      <c r="C27" s="265" t="str">
        <f>VLOOKUP($B27,员工基本信息!$B:$I,2,FALSE)</f>
        <v>370782199611121627</v>
      </c>
      <c r="D27" s="266" t="str">
        <f>VLOOKUP($B27,员工基本信息!$B:$I,4,FALSE)</f>
        <v>销售服务科</v>
      </c>
      <c r="E27" s="266" t="str">
        <f>VLOOKUP($B27,员工基本信息!$B:$I,5,FALSE)</f>
        <v>诸城服务（驻外）</v>
      </c>
      <c r="F27" s="267">
        <f>IF(ISERROR(VLOOKUP($C27,非生产人员工资!C:I,7,FALSE)),0,VLOOKUP($C27,非生产人员工资!C:I,7,FALSE))</f>
        <v>1790</v>
      </c>
      <c r="G27" s="267">
        <f>IF(ISERROR(VLOOKUP($C27,非生产人员工资!C:J,8,0)),0,VLOOKUP($C27,非生产人员工资!C:J,8,FALSE))</f>
        <v>0</v>
      </c>
      <c r="H27" s="7">
        <f>IF(ISERROR(VLOOKUP($C27,非生产人员工资!C:K,9,FALSE)),0,VLOOKUP($C27,非生产人员工资!C:K,9,FALSE))</f>
        <v>730</v>
      </c>
      <c r="I27" s="7">
        <f>IF(ISERROR(VLOOKUP($C27,非生产人员工资!C:L,10,FALSE)),0,VLOOKUP($C27,非生产人员工资!C:L,10,FALSE))</f>
        <v>280</v>
      </c>
      <c r="J27" s="7">
        <f>IF(ISERROR(VLOOKUP($C27,生产人员工资!C:I,7,FALSE)),0,VLOOKUP($C27,生产人员工资!C:I,7,FALSE))</f>
        <v>0</v>
      </c>
      <c r="K27" s="7">
        <f>IF(ISERROR(VLOOKUP($C27,生产人员工资!C:J,8,FALSE)),0,VLOOKUP($C27,生产人员工资!C:J,8,FALSE))</f>
        <v>0</v>
      </c>
      <c r="L27" s="7" t="str">
        <f>IF(ISERROR(IF(ISERROR(VLOOKUP($C27,非生产人员工资!C:N,12,FALSE)),VLOOKUP($C27,生产人员工资!C:K,9,FALSE),VLOOKUP($C27,非生产人员工资!C:N,12,FALSE))),0,IF(ISERROR(VLOOKUP($C27,非生产人员工资!C:N,12,FALSE)),VLOOKUP($C27,生产人员工资!C:K,9,FALSE),VLOOKUP($C27,非生产人员工资!C:N,12,FALSE)))</f>
        <v>0.00</v>
      </c>
      <c r="M27" s="7" t="str">
        <f>IF(ISERROR(IF(ISERROR(VLOOKUP($C27,非生产人员工资!$C:$O,13,FALSE)),VLOOKUP($C27,生产人员工资!$C:$L,10,FALSE),VLOOKUP($C27,非生产人员工资!$C:$O,13,FALSE))),0,IF(ISERROR(VLOOKUP($C27,非生产人员工资!$C:$O,13,FALSE)),VLOOKUP($C27,生产人员工资!$C:$L,10,FALSE),VLOOKUP($C27,非生产人员工资!$C:$O,13,FALSE)))</f>
        <v>0.00</v>
      </c>
      <c r="N27" s="7">
        <f>IF(ISERROR(IF(ISERROR(VLOOKUP($C27,非生产人员工资!$C:$P,14,FALSE)),VLOOKUP($C27,生产人员工资!$C:$M,11,FALSE),VLOOKUP($C27,非生产人员工资!$C:$P,14,FALSE))),0,IF(ISERROR(VLOOKUP($C27,非生产人员工资!$C:$P,14,FALSE)),VLOOKUP($C27,生产人员工资!$C:$M,11,FALSE),VLOOKUP($C27,非生产人员工资!$C:$P,14,FALSE)))</f>
        <v>60</v>
      </c>
      <c r="O27" s="7" t="str">
        <f>IF(ISERROR(IF(ISERROR(VLOOKUP($C27,非生产人员工资!C:Q,15,FALSE)),VLOOKUP($C27,生产人员工资!C:N,12,FALSE),VLOOKUP($C27,非生产人员工资!C:Q,15,FALSE))),0,IF(ISERROR(VLOOKUP($C27,非生产人员工资!C:Q,15,FALSE)),VLOOKUP($C27,生产人员工资!C:N,12,FALSE),VLOOKUP($C27,非生产人员工资!C:Q,15,FALSE)))</f>
        <v>0.00</v>
      </c>
      <c r="P27" s="7" t="str">
        <f>IF(ISERROR(IF(ISERROR(VLOOKUP($C27,非生产人员工资!C:R,16,FALSE)),VLOOKUP($C27,生产人员工资!C:O,13,FALSE),VLOOKUP($C27,非生产人员工资!C:R,16,FALSE))),0,IF(ISERROR(VLOOKUP($C27,非生产人员工资!C:R,16,FALSE)),VLOOKUP($C27,生产人员工资!C:O,13,FALSE),VLOOKUP($C27,非生产人员工资!C:R,16,FALSE)))</f>
        <v>0.00</v>
      </c>
      <c r="Q27" s="7" t="str">
        <f>IF(ISERROR(IF(ISERROR(VLOOKUP($C27,非生产人员工资!C:S,17,FALSE)),VLOOKUP($C27,生产人员工资!C:P,14,FALSE),VLOOKUP($C27,非生产人员工资!C:S,17,FALSE))),0,IF(ISERROR(VLOOKUP($C27,非生产人员工资!C:S,17,FALSE)),VLOOKUP($C27,生产人员工资!C:P,14,FALSE),VLOOKUP($C27,非生产人员工资!C:S,17,FALSE)))</f>
        <v>0.00</v>
      </c>
      <c r="R27" s="7" t="str">
        <f>IF(ISERROR(IF(ISERROR(VLOOKUP($C27,非生产人员工资!C:T,18,FALSE)),VLOOKUP($C27,生产人员工资!C:Q,15,FALSE),VLOOKUP($C27,非生产人员工资!C:T,18,FALSE))),0,IF(ISERROR(VLOOKUP($C27,非生产人员工资!C:T,18,FALSE)),VLOOKUP($C27,生产人员工资!C:Q,15,FALSE),VLOOKUP($C27,非生产人员工资!C:T,18,FALSE)))</f>
        <v>0.00</v>
      </c>
      <c r="S27" s="7">
        <f>IF(ISERROR(VLOOKUP($C27,非生产人员工资!C:U,19,FALSE)),0,VLOOKUP($C27,非生产人员工资!C:U,19,FALSE))</f>
        <v>0</v>
      </c>
      <c r="T27" s="7" t="str">
        <f>IF(ISERROR(IF(ISERROR(VLOOKUP($C27,非生产人员工资!C:V,20,FALSE)),VLOOKUP($C27,生产人员工资!C:R,16,FALSE),VLOOKUP($C27,非生产人员工资!C:V,20,FALSE))),0,IF(ISERROR(VLOOKUP($C27,非生产人员工资!C:V,20,FALSE)),VLOOKUP($C27,生产人员工资!$C:$R,16,FALSE),VLOOKUP($C27,非生产人员工资!C:V,20,FALSE)))</f>
        <v>0.00</v>
      </c>
      <c r="U27" s="7" t="str">
        <f>IF(ISERROR(IF(ISERROR(VLOOKUP($C27,非生产人员工资!C:W,21,FALSE)),VLOOKUP($C27,生产人员工资!C:S,17,FALSE),VLOOKUP($C27,非生产人员工资!C:W,21,FALSE))),0,IF(ISERROR(VLOOKUP($C27,非生产人员工资!C:W,21,FALSE)),VLOOKUP($C27,生产人员工资!C:S,17,FALSE),VLOOKUP($C27,非生产人员工资!C:W,21,FALSE)))</f>
        <v>0</v>
      </c>
      <c r="V27" s="7" t="str">
        <f>IF(ISERROR(IF(ISERROR(VLOOKUP($C27,非生产人员工资!C:X,22,FALSE)),VLOOKUP($C27,生产人员工资!C:T,18,FALSE),VLOOKUP($C27,非生产人员工资!C:X,22,FALSE))),0,IF(ISERROR(VLOOKUP($C27,非生产人员工资!C:X,22,FALSE)),VLOOKUP($C27,生产人员工资!C:T,18,FALSE),VLOOKUP($C27,非生产人员工资!C:X,22,FALSE)))</f>
        <v>0.00</v>
      </c>
      <c r="W27" s="7">
        <f t="shared" si="1"/>
        <v>2860</v>
      </c>
      <c r="X27" s="7">
        <f>IF(ISERROR(IF(ISERROR(VLOOKUP($C27,非生产人员工资!C:Z,24,FALSE)),VLOOKUP($C27,生产人员工资!C:V,20,FALSE),VLOOKUP($C27,非生产人员工资!$C:$Z,24,FALSE))),0,IF(ISERROR(VLOOKUP($C27,非生产人员工资!$C:$Z,24,FALSE)),VLOOKUP($C27,生产人员工资!$C:$V,20,FALSE),VLOOKUP($C27,非生产人员工资!$C:$Z,24,FALSE)))</f>
        <v>226.9</v>
      </c>
      <c r="Y27" s="7">
        <f>IF(ISERROR(IF(ISERROR(VLOOKUP($C27,非生产人员工资!C:AA,25,FALSE)),VLOOKUP($C27,生产人员工资!C:W,21,FALSE),VLOOKUP($C27,非生产人员工资!C:AA,25,FALSE))),0,IF(ISERROR(VLOOKUP($C27,非生产人员工资!C:AA,25,FALSE)),VLOOKUP($C27,生产人员工资!C:W,21,FALSE),VLOOKUP($C27,非生产人员工资!C:AA,25,FALSE)))</f>
        <v>104.57</v>
      </c>
      <c r="Z27" s="7">
        <f>IF(ISERROR(IF(ISERROR(VLOOKUP($C27,非生产人员工资!C:AB,26,FALSE)),VLOOKUP($C27,生产人员工资!C:X,22,FALSE),VLOOKUP($C27,非生产人员工资!C:AB,26,FALSE))),0,IF(ISERROR(VLOOKUP($C27,非生产人员工资!C:AB,26,FALSE)),VLOOKUP($C27,生产人员工资!C:X,22,FALSE),VLOOKUP($C27,非生产人员工资!C:AB,26,FALSE)))</f>
        <v>8.51</v>
      </c>
      <c r="AA27" s="7">
        <f>IF(ISERROR(IF(ISERROR(VLOOKUP($C27,非生产人员工资!C:AC,27,FALSE)),VLOOKUP($C27,生产人员工资!C:Y,23,FALSE),VLOOKUP($C27,非生产人员工资!C:AC,27,FALSE))),0,IF(ISERROR(VLOOKUP($C27,非生产人员工资!C:AC,27,FALSE)),VLOOKUP($C27,生产人员工资!C:Y,23,FALSE),VLOOKUP($C27,非生产人员工资!C:AC,27,FALSE)))</f>
        <v>159</v>
      </c>
      <c r="AB27" s="7">
        <f>IF(ISERROR(IF(ISERROR(VLOOKUP($C27,非生产人员工资!C:AD,28,FALSE)),VLOOKUP($C27,生产人员工资!C:Z,24,FALSE),VLOOKUP($C27,非生产人员工资!C:AD,28,FALSE))),0,IF(ISERROR(VLOOKUP($C27,非生产人员工资!C:AD,28,FALSE)),VLOOKUP($C27,生产人员工资!C:Z,24,FALSE),VLOOKUP($C27,非生产人员工资!C:AD,28,FALSE)))</f>
        <v>261.84</v>
      </c>
      <c r="AC27" s="269">
        <f>ROUND(IF(ISERROR(IF(ISERROR(VLOOKUP($C27,非生产人员工资!C:AF,30,FALSE)),VLOOKUP($C27,生产人员工资!C:AB,26,0),VLOOKUP($C27,非生产人员工资!C:AF,30,FALSE))),0,IF(ISERROR(VLOOKUP($C27,非生产人员工资!C:AF,30,FALSE)),VLOOKUP($C27,生产人员工资!C:AB,26,0),VLOOKUP($C27,非生产人员工资!C:AF,30,FALSE))),2)</f>
        <v>0</v>
      </c>
      <c r="AD27" s="269">
        <f t="shared" si="2"/>
        <v>2099.18</v>
      </c>
      <c r="AE27" s="269" t="str">
        <f>VLOOKUP($C27,员工基本信息!$C:$N,10,FALSE)</f>
        <v>销售费用+销售</v>
      </c>
      <c r="AF27" s="265" t="str">
        <f>VLOOKUP($C27,员工基本信息!$C:$O,11,FALSE)</f>
        <v>间接成本</v>
      </c>
      <c r="AG27" s="265" t="str">
        <f>VLOOKUP($C27,员工基本信息!$C:$O,12,FALSE)</f>
        <v>销售服务科</v>
      </c>
      <c r="AH27" s="265" t="str">
        <f>VLOOKUP($C27,员工基本信息!$C:$O,13,FALSE)</f>
        <v>驻外人员</v>
      </c>
      <c r="AI27" s="249" t="str">
        <f>VLOOKUP($B27,员工基本信息!$B:$S,16,FALSE)</f>
        <v>6236682200001442388</v>
      </c>
      <c r="AJ27" s="249" t="str">
        <f>VLOOKUP($B27,员工基本信息!$B:$S,18,FALSE)</f>
        <v>建行</v>
      </c>
      <c r="AK27" s="249" t="str">
        <f>VLOOKUP(C27,员工基本信息!$C:$M,11,0)</f>
        <v>间接成本</v>
      </c>
    </row>
    <row r="28" s="250" customFormat="1" customHeight="1" spans="1:37">
      <c r="A28" s="264">
        <v>25</v>
      </c>
      <c r="B28" s="6" t="str">
        <f>本月员工姓名!B26</f>
        <v>初会勇</v>
      </c>
      <c r="C28" s="265" t="str">
        <f>VLOOKUP($B28,员工基本信息!$B:$I,2,FALSE)</f>
        <v>370728197001283496</v>
      </c>
      <c r="D28" s="266" t="str">
        <f>VLOOKUP($B28,员工基本信息!$B:$I,4,FALSE)</f>
        <v>销售服务科</v>
      </c>
      <c r="E28" s="266" t="str">
        <f>VLOOKUP($B28,员工基本信息!$B:$I,5,FALSE)</f>
        <v>奥铃工厂市场服务</v>
      </c>
      <c r="F28" s="267">
        <f>IF(ISERROR(VLOOKUP($C28,非生产人员工资!C:I,7,FALSE)),0,VLOOKUP($C28,非生产人员工资!C:I,7,FALSE))</f>
        <v>1790</v>
      </c>
      <c r="G28" s="267">
        <f>IF(ISERROR(VLOOKUP($C28,非生产人员工资!C:J,8,0)),0,VLOOKUP($C28,非生产人员工资!C:J,8,FALSE))</f>
        <v>0</v>
      </c>
      <c r="H28" s="7">
        <f>IF(ISERROR(VLOOKUP($C28,非生产人员工资!C:K,9,FALSE)),0,VLOOKUP($C28,非生产人员工资!C:K,9,FALSE))</f>
        <v>1630</v>
      </c>
      <c r="I28" s="7">
        <f>IF(ISERROR(VLOOKUP($C28,非生产人员工资!C:L,10,FALSE)),0,VLOOKUP($C28,非生产人员工资!C:L,10,FALSE))</f>
        <v>380</v>
      </c>
      <c r="J28" s="7">
        <f>IF(ISERROR(VLOOKUP($C28,生产人员工资!C:I,7,FALSE)),0,VLOOKUP($C28,生产人员工资!C:I,7,FALSE))</f>
        <v>0</v>
      </c>
      <c r="K28" s="7">
        <f>IF(ISERROR(VLOOKUP($C28,生产人员工资!C:J,8,FALSE)),0,VLOOKUP($C28,生产人员工资!C:J,8,FALSE))</f>
        <v>0</v>
      </c>
      <c r="L28" s="7" t="str">
        <f>IF(ISERROR(IF(ISERROR(VLOOKUP($C28,非生产人员工资!C:N,12,FALSE)),VLOOKUP($C28,生产人员工资!C:K,9,FALSE),VLOOKUP($C28,非生产人员工资!C:N,12,FALSE))),0,IF(ISERROR(VLOOKUP($C28,非生产人员工资!C:N,12,FALSE)),VLOOKUP($C28,生产人员工资!C:K,9,FALSE),VLOOKUP($C28,非生产人员工资!C:N,12,FALSE)))</f>
        <v>0.00</v>
      </c>
      <c r="M28" s="7" t="str">
        <f>IF(ISERROR(IF(ISERROR(VLOOKUP($C28,非生产人员工资!$C:$O,13,FALSE)),VLOOKUP($C28,生产人员工资!$C:$L,10,FALSE),VLOOKUP($C28,非生产人员工资!$C:$O,13,FALSE))),0,IF(ISERROR(VLOOKUP($C28,非生产人员工资!$C:$O,13,FALSE)),VLOOKUP($C28,生产人员工资!$C:$L,10,FALSE),VLOOKUP($C28,非生产人员工资!$C:$O,13,FALSE)))</f>
        <v>0.00</v>
      </c>
      <c r="N28" s="7" t="str">
        <f>IF(ISERROR(IF(ISERROR(VLOOKUP($C28,非生产人员工资!$C:$P,14,FALSE)),VLOOKUP($C28,生产人员工资!$C:$M,11,FALSE),VLOOKUP($C28,非生产人员工资!$C:$P,14,FALSE))),0,IF(ISERROR(VLOOKUP($C28,非生产人员工资!$C:$P,14,FALSE)),VLOOKUP($C28,生产人员工资!$C:$M,11,FALSE),VLOOKUP($C28,非生产人员工资!$C:$P,14,FALSE)))</f>
        <v>0.00</v>
      </c>
      <c r="O28" s="7" t="str">
        <f>IF(ISERROR(IF(ISERROR(VLOOKUP($C28,非生产人员工资!C:Q,15,FALSE)),VLOOKUP($C28,生产人员工资!C:N,12,FALSE),VLOOKUP($C28,非生产人员工资!C:Q,15,FALSE))),0,IF(ISERROR(VLOOKUP($C28,非生产人员工资!C:Q,15,FALSE)),VLOOKUP($C28,生产人员工资!C:N,12,FALSE),VLOOKUP($C28,非生产人员工资!C:Q,15,FALSE)))</f>
        <v>0.00</v>
      </c>
      <c r="P28" s="7" t="str">
        <f>IF(ISERROR(IF(ISERROR(VLOOKUP($C28,非生产人员工资!C:R,16,FALSE)),VLOOKUP($C28,生产人员工资!C:O,13,FALSE),VLOOKUP($C28,非生产人员工资!C:R,16,FALSE))),0,IF(ISERROR(VLOOKUP($C28,非生产人员工资!C:R,16,FALSE)),VLOOKUP($C28,生产人员工资!C:O,13,FALSE),VLOOKUP($C28,非生产人员工资!C:R,16,FALSE)))</f>
        <v>0.00</v>
      </c>
      <c r="Q28" s="7" t="str">
        <f>IF(ISERROR(IF(ISERROR(VLOOKUP($C28,非生产人员工资!C:S,17,FALSE)),VLOOKUP($C28,生产人员工资!C:P,14,FALSE),VLOOKUP($C28,非生产人员工资!C:S,17,FALSE))),0,IF(ISERROR(VLOOKUP($C28,非生产人员工资!C:S,17,FALSE)),VLOOKUP($C28,生产人员工资!C:P,14,FALSE),VLOOKUP($C28,非生产人员工资!C:S,17,FALSE)))</f>
        <v>0.00</v>
      </c>
      <c r="R28" s="7" t="str">
        <f>IF(ISERROR(IF(ISERROR(VLOOKUP($C28,非生产人员工资!C:T,18,FALSE)),VLOOKUP($C28,生产人员工资!C:Q,15,FALSE),VLOOKUP($C28,非生产人员工资!C:T,18,FALSE))),0,IF(ISERROR(VLOOKUP($C28,非生产人员工资!C:T,18,FALSE)),VLOOKUP($C28,生产人员工资!C:Q,15,FALSE),VLOOKUP($C28,非生产人员工资!C:T,18,FALSE)))</f>
        <v>0.00</v>
      </c>
      <c r="S28" s="7">
        <f>IF(ISERROR(VLOOKUP($C28,非生产人员工资!C:U,19,FALSE)),0,VLOOKUP($C28,非生产人员工资!C:U,19,FALSE))</f>
        <v>0</v>
      </c>
      <c r="T28" s="7" t="str">
        <f>IF(ISERROR(IF(ISERROR(VLOOKUP($C28,非生产人员工资!C:V,20,FALSE)),VLOOKUP($C28,生产人员工资!C:R,16,FALSE),VLOOKUP($C28,非生产人员工资!C:V,20,FALSE))),0,IF(ISERROR(VLOOKUP($C28,非生产人员工资!C:V,20,FALSE)),VLOOKUP($C28,生产人员工资!$C:$R,16,FALSE),VLOOKUP($C28,非生产人员工资!C:V,20,FALSE)))</f>
        <v>0.00</v>
      </c>
      <c r="U28" s="7" t="str">
        <f>IF(ISERROR(IF(ISERROR(VLOOKUP($C28,非生产人员工资!C:W,21,FALSE)),VLOOKUP($C28,生产人员工资!C:S,17,FALSE),VLOOKUP($C28,非生产人员工资!C:W,21,FALSE))),0,IF(ISERROR(VLOOKUP($C28,非生产人员工资!C:W,21,FALSE)),VLOOKUP($C28,生产人员工资!C:S,17,FALSE),VLOOKUP($C28,非生产人员工资!C:W,21,FALSE)))</f>
        <v>0</v>
      </c>
      <c r="V28" s="7" t="str">
        <f>IF(ISERROR(IF(ISERROR(VLOOKUP($C28,非生产人员工资!C:X,22,FALSE)),VLOOKUP($C28,生产人员工资!C:T,18,FALSE),VLOOKUP($C28,非生产人员工资!C:X,22,FALSE))),0,IF(ISERROR(VLOOKUP($C28,非生产人员工资!C:X,22,FALSE)),VLOOKUP($C28,生产人员工资!C:T,18,FALSE),VLOOKUP($C28,非生产人员工资!C:X,22,FALSE)))</f>
        <v>0.00</v>
      </c>
      <c r="W28" s="7">
        <f t="shared" si="1"/>
        <v>3800</v>
      </c>
      <c r="X28" s="7" t="str">
        <f>IF(ISERROR(IF(ISERROR(VLOOKUP($C28,非生产人员工资!C:Z,24,FALSE)),VLOOKUP($C28,生产人员工资!C:V,20,FALSE),VLOOKUP($C28,非生产人员工资!$C:$Z,24,FALSE))),0,IF(ISERROR(VLOOKUP($C28,非生产人员工资!$C:$Z,24,FALSE)),VLOOKUP($C28,生产人员工资!$C:$V,20,FALSE),VLOOKUP($C28,非生产人员工资!$C:$Z,24,FALSE)))</f>
        <v>0.00</v>
      </c>
      <c r="Y28" s="7" t="str">
        <f>IF(ISERROR(IF(ISERROR(VLOOKUP($C28,非生产人员工资!C:AA,25,FALSE)),VLOOKUP($C28,生产人员工资!C:W,21,FALSE),VLOOKUP($C28,非生产人员工资!C:AA,25,FALSE))),0,IF(ISERROR(VLOOKUP($C28,非生产人员工资!C:AA,25,FALSE)),VLOOKUP($C28,生产人员工资!C:W,21,FALSE),VLOOKUP($C28,非生产人员工资!C:AA,25,FALSE)))</f>
        <v>0.00</v>
      </c>
      <c r="Z28" s="7" t="str">
        <f>IF(ISERROR(IF(ISERROR(VLOOKUP($C28,非生产人员工资!C:AB,26,FALSE)),VLOOKUP($C28,生产人员工资!C:X,22,FALSE),VLOOKUP($C28,非生产人员工资!C:AB,26,FALSE))),0,IF(ISERROR(VLOOKUP($C28,非生产人员工资!C:AB,26,FALSE)),VLOOKUP($C28,生产人员工资!C:X,22,FALSE),VLOOKUP($C28,非生产人员工资!C:AB,26,FALSE)))</f>
        <v>0.00</v>
      </c>
      <c r="AA28" s="7" t="str">
        <f>IF(ISERROR(IF(ISERROR(VLOOKUP($C28,非生产人员工资!C:AC,27,FALSE)),VLOOKUP($C28,生产人员工资!C:Y,23,FALSE),VLOOKUP($C28,非生产人员工资!C:AC,27,FALSE))),0,IF(ISERROR(VLOOKUP($C28,非生产人员工资!C:AC,27,FALSE)),VLOOKUP($C28,生产人员工资!C:Y,23,FALSE),VLOOKUP($C28,非生产人员工资!C:AC,27,FALSE)))</f>
        <v>0.00</v>
      </c>
      <c r="AB28" s="7">
        <f>IF(ISERROR(IF(ISERROR(VLOOKUP($C28,非生产人员工资!C:AD,28,FALSE)),VLOOKUP($C28,生产人员工资!C:Z,24,FALSE),VLOOKUP($C28,非生产人员工资!C:AD,28,FALSE))),0,IF(ISERROR(VLOOKUP($C28,非生产人员工资!C:AD,28,FALSE)),VLOOKUP($C28,生产人员工资!C:Z,24,FALSE),VLOOKUP($C28,非生产人员工资!C:AD,28,FALSE)))</f>
        <v>0</v>
      </c>
      <c r="AC28" s="269">
        <f>ROUND(IF(ISERROR(IF(ISERROR(VLOOKUP($C28,非生产人员工资!C:AF,30,FALSE)),VLOOKUP($C28,生产人员工资!C:AB,26,0),VLOOKUP($C28,非生产人员工资!C:AF,30,FALSE))),0,IF(ISERROR(VLOOKUP($C28,非生产人员工资!C:AF,30,FALSE)),VLOOKUP($C28,生产人员工资!C:AB,26,0),VLOOKUP($C28,非生产人员工资!C:AF,30,FALSE))),2)</f>
        <v>0</v>
      </c>
      <c r="AD28" s="269">
        <f t="shared" si="2"/>
        <v>3800</v>
      </c>
      <c r="AE28" s="269" t="str">
        <f>VLOOKUP($C28,员工基本信息!$C:$N,10,FALSE)</f>
        <v>销售费用+销售</v>
      </c>
      <c r="AF28" s="265" t="str">
        <f>VLOOKUP($C28,员工基本信息!$C:$O,11,FALSE)</f>
        <v>不计入成本</v>
      </c>
      <c r="AG28" s="265" t="str">
        <f>VLOOKUP($C28,员工基本信息!$C:$O,12,FALSE)</f>
        <v>销售服务科</v>
      </c>
      <c r="AH28" s="265" t="str">
        <f>VLOOKUP($C28,员工基本信息!$C:$O,13,FALSE)</f>
        <v>驻外人员</v>
      </c>
      <c r="AI28" s="249" t="str">
        <f>VLOOKUP($B28,员工基本信息!$B:$S,16,FALSE)</f>
        <v>6227002201604698972</v>
      </c>
      <c r="AJ28" s="249" t="str">
        <f>VLOOKUP($B28,员工基本信息!$B:$S,18,FALSE)</f>
        <v>建行</v>
      </c>
      <c r="AK28" s="249" t="str">
        <f>VLOOKUP(C28,员工基本信息!$C:$M,11,0)</f>
        <v>不计入成本</v>
      </c>
    </row>
    <row r="29" s="250" customFormat="1" customHeight="1" spans="1:37">
      <c r="A29" s="264">
        <v>26</v>
      </c>
      <c r="B29" s="6" t="str">
        <f>本月员工姓名!B27</f>
        <v>王砚兵</v>
      </c>
      <c r="C29" s="265" t="str">
        <f>VLOOKUP($B29,员工基本信息!$B:$I,2,FALSE)</f>
        <v>370728197103050212</v>
      </c>
      <c r="D29" s="266" t="str">
        <f>VLOOKUP($B29,员工基本信息!$B:$I,4,FALSE)</f>
        <v>销售服务科</v>
      </c>
      <c r="E29" s="266" t="str">
        <f>VLOOKUP($B29,员工基本信息!$B:$I,5,FALSE)</f>
        <v>诸城服务</v>
      </c>
      <c r="F29" s="267">
        <f>IF(ISERROR(VLOOKUP($C29,非生产人员工资!C:I,7,FALSE)),0,VLOOKUP($C29,非生产人员工资!C:I,7,FALSE))</f>
        <v>1790</v>
      </c>
      <c r="G29" s="267">
        <f>IF(ISERROR(VLOOKUP($C29,非生产人员工资!C:J,8,0)),0,VLOOKUP($C29,非生产人员工资!C:J,8,FALSE))</f>
        <v>0</v>
      </c>
      <c r="H29" s="7">
        <f>IF(ISERROR(VLOOKUP($C29,非生产人员工资!C:K,9,FALSE)),0,VLOOKUP($C29,非生产人员工资!C:K,9,FALSE))</f>
        <v>1540</v>
      </c>
      <c r="I29" s="7">
        <f>IF(ISERROR(VLOOKUP($C29,非生产人员工资!C:L,10,FALSE)),0,VLOOKUP($C29,非生产人员工资!C:L,10,FALSE))</f>
        <v>370</v>
      </c>
      <c r="J29" s="7">
        <f>IF(ISERROR(VLOOKUP($C29,生产人员工资!C:I,7,FALSE)),0,VLOOKUP($C29,生产人员工资!C:I,7,FALSE))</f>
        <v>0</v>
      </c>
      <c r="K29" s="7">
        <f>IF(ISERROR(VLOOKUP($C29,生产人员工资!C:J,8,FALSE)),0,VLOOKUP($C29,生产人员工资!C:J,8,FALSE))</f>
        <v>0</v>
      </c>
      <c r="L29" s="7" t="str">
        <f>IF(ISERROR(IF(ISERROR(VLOOKUP($C29,非生产人员工资!C:N,12,FALSE)),VLOOKUP($C29,生产人员工资!C:K,9,FALSE),VLOOKUP($C29,非生产人员工资!C:N,12,FALSE))),0,IF(ISERROR(VLOOKUP($C29,非生产人员工资!C:N,12,FALSE)),VLOOKUP($C29,生产人员工资!C:K,9,FALSE),VLOOKUP($C29,非生产人员工资!C:N,12,FALSE)))</f>
        <v>0.00</v>
      </c>
      <c r="M29" s="7" t="str">
        <f>IF(ISERROR(IF(ISERROR(VLOOKUP($C29,非生产人员工资!$C:$O,13,FALSE)),VLOOKUP($C29,生产人员工资!$C:$L,10,FALSE),VLOOKUP($C29,非生产人员工资!$C:$O,13,FALSE))),0,IF(ISERROR(VLOOKUP($C29,非生产人员工资!$C:$O,13,FALSE)),VLOOKUP($C29,生产人员工资!$C:$L,10,FALSE),VLOOKUP($C29,非生产人员工资!$C:$O,13,FALSE)))</f>
        <v>0.00</v>
      </c>
      <c r="N29" s="7" t="str">
        <f>IF(ISERROR(IF(ISERROR(VLOOKUP($C29,非生产人员工资!$C:$P,14,FALSE)),VLOOKUP($C29,生产人员工资!$C:$M,11,FALSE),VLOOKUP($C29,非生产人员工资!$C:$P,14,FALSE))),0,IF(ISERROR(VLOOKUP($C29,非生产人员工资!$C:$P,14,FALSE)),VLOOKUP($C29,生产人员工资!$C:$M,11,FALSE),VLOOKUP($C29,非生产人员工资!$C:$P,14,FALSE)))</f>
        <v>0.00</v>
      </c>
      <c r="O29" s="7" t="str">
        <f>IF(ISERROR(IF(ISERROR(VLOOKUP($C29,非生产人员工资!C:Q,15,FALSE)),VLOOKUP($C29,生产人员工资!C:N,12,FALSE),VLOOKUP($C29,非生产人员工资!C:Q,15,FALSE))),0,IF(ISERROR(VLOOKUP($C29,非生产人员工资!C:Q,15,FALSE)),VLOOKUP($C29,生产人员工资!C:N,12,FALSE),VLOOKUP($C29,非生产人员工资!C:Q,15,FALSE)))</f>
        <v>0.00</v>
      </c>
      <c r="P29" s="7" t="str">
        <f>IF(ISERROR(IF(ISERROR(VLOOKUP($C29,非生产人员工资!C:R,16,FALSE)),VLOOKUP($C29,生产人员工资!C:O,13,FALSE),VLOOKUP($C29,非生产人员工资!C:R,16,FALSE))),0,IF(ISERROR(VLOOKUP($C29,非生产人员工资!C:R,16,FALSE)),VLOOKUP($C29,生产人员工资!C:O,13,FALSE),VLOOKUP($C29,非生产人员工资!C:R,16,FALSE)))</f>
        <v>0.00</v>
      </c>
      <c r="Q29" s="7" t="str">
        <f>IF(ISERROR(IF(ISERROR(VLOOKUP($C29,非生产人员工资!C:S,17,FALSE)),VLOOKUP($C29,生产人员工资!C:P,14,FALSE),VLOOKUP($C29,非生产人员工资!C:S,17,FALSE))),0,IF(ISERROR(VLOOKUP($C29,非生产人员工资!C:S,17,FALSE)),VLOOKUP($C29,生产人员工资!C:P,14,FALSE),VLOOKUP($C29,非生产人员工资!C:S,17,FALSE)))</f>
        <v>0.00</v>
      </c>
      <c r="R29" s="7" t="str">
        <f>IF(ISERROR(IF(ISERROR(VLOOKUP($C29,非生产人员工资!C:T,18,FALSE)),VLOOKUP($C29,生产人员工资!C:Q,15,FALSE),VLOOKUP($C29,非生产人员工资!C:T,18,FALSE))),0,IF(ISERROR(VLOOKUP($C29,非生产人员工资!C:T,18,FALSE)),VLOOKUP($C29,生产人员工资!C:Q,15,FALSE),VLOOKUP($C29,非生产人员工资!C:T,18,FALSE)))</f>
        <v>0.00</v>
      </c>
      <c r="S29" s="7">
        <f>IF(ISERROR(VLOOKUP($C29,非生产人员工资!C:U,19,FALSE)),0,VLOOKUP($C29,非生产人员工资!C:U,19,FALSE))</f>
        <v>0</v>
      </c>
      <c r="T29" s="7" t="str">
        <f>IF(ISERROR(IF(ISERROR(VLOOKUP($C29,非生产人员工资!C:V,20,FALSE)),VLOOKUP($C29,生产人员工资!C:R,16,FALSE),VLOOKUP($C29,非生产人员工资!C:V,20,FALSE))),0,IF(ISERROR(VLOOKUP($C29,非生产人员工资!C:V,20,FALSE)),VLOOKUP($C29,生产人员工资!$C:$R,16,FALSE),VLOOKUP($C29,非生产人员工资!C:V,20,FALSE)))</f>
        <v>0.00</v>
      </c>
      <c r="U29" s="7" t="str">
        <f>IF(ISERROR(IF(ISERROR(VLOOKUP($C29,非生产人员工资!C:W,21,FALSE)),VLOOKUP($C29,生产人员工资!C:S,17,FALSE),VLOOKUP($C29,非生产人员工资!C:W,21,FALSE))),0,IF(ISERROR(VLOOKUP($C29,非生产人员工资!C:W,21,FALSE)),VLOOKUP($C29,生产人员工资!C:S,17,FALSE),VLOOKUP($C29,非生产人员工资!C:W,21,FALSE)))</f>
        <v>0</v>
      </c>
      <c r="V29" s="7" t="str">
        <f>IF(ISERROR(IF(ISERROR(VLOOKUP($C29,非生产人员工资!C:X,22,FALSE)),VLOOKUP($C29,生产人员工资!C:T,18,FALSE),VLOOKUP($C29,非生产人员工资!C:X,22,FALSE))),0,IF(ISERROR(VLOOKUP($C29,非生产人员工资!C:X,22,FALSE)),VLOOKUP($C29,生产人员工资!C:T,18,FALSE),VLOOKUP($C29,非生产人员工资!C:X,22,FALSE)))</f>
        <v>0.00</v>
      </c>
      <c r="W29" s="7">
        <f t="shared" si="1"/>
        <v>3700</v>
      </c>
      <c r="X29" s="7" t="str">
        <f>IF(ISERROR(IF(ISERROR(VLOOKUP($C29,非生产人员工资!C:Z,24,FALSE)),VLOOKUP($C29,生产人员工资!C:V,20,FALSE),VLOOKUP($C29,非生产人员工资!$C:$Z,24,FALSE))),0,IF(ISERROR(VLOOKUP($C29,非生产人员工资!$C:$Z,24,FALSE)),VLOOKUP($C29,生产人员工资!$C:$V,20,FALSE),VLOOKUP($C29,非生产人员工资!$C:$Z,24,FALSE)))</f>
        <v>0.00</v>
      </c>
      <c r="Y29" s="7" t="str">
        <f>IF(ISERROR(IF(ISERROR(VLOOKUP($C29,非生产人员工资!C:AA,25,FALSE)),VLOOKUP($C29,生产人员工资!C:W,21,FALSE),VLOOKUP($C29,非生产人员工资!C:AA,25,FALSE))),0,IF(ISERROR(VLOOKUP($C29,非生产人员工资!C:AA,25,FALSE)),VLOOKUP($C29,生产人员工资!C:W,21,FALSE),VLOOKUP($C29,非生产人员工资!C:AA,25,FALSE)))</f>
        <v>0.00</v>
      </c>
      <c r="Z29" s="7" t="str">
        <f>IF(ISERROR(IF(ISERROR(VLOOKUP($C29,非生产人员工资!C:AB,26,FALSE)),VLOOKUP($C29,生产人员工资!C:X,22,FALSE),VLOOKUP($C29,非生产人员工资!C:AB,26,FALSE))),0,IF(ISERROR(VLOOKUP($C29,非生产人员工资!C:AB,26,FALSE)),VLOOKUP($C29,生产人员工资!C:X,22,FALSE),VLOOKUP($C29,非生产人员工资!C:AB,26,FALSE)))</f>
        <v>0.00</v>
      </c>
      <c r="AA29" s="7" t="str">
        <f>IF(ISERROR(IF(ISERROR(VLOOKUP($C29,非生产人员工资!C:AC,27,FALSE)),VLOOKUP($C29,生产人员工资!C:Y,23,FALSE),VLOOKUP($C29,非生产人员工资!C:AC,27,FALSE))),0,IF(ISERROR(VLOOKUP($C29,非生产人员工资!C:AC,27,FALSE)),VLOOKUP($C29,生产人员工资!C:Y,23,FALSE),VLOOKUP($C29,非生产人员工资!C:AC,27,FALSE)))</f>
        <v>0.00</v>
      </c>
      <c r="AB29" s="7">
        <f>IF(ISERROR(IF(ISERROR(VLOOKUP($C29,非生产人员工资!C:AD,28,FALSE)),VLOOKUP($C29,生产人员工资!C:Z,24,FALSE),VLOOKUP($C29,非生产人员工资!C:AD,28,FALSE))),0,IF(ISERROR(VLOOKUP($C29,非生产人员工资!C:AD,28,FALSE)),VLOOKUP($C29,生产人员工资!C:Z,24,FALSE),VLOOKUP($C29,非生产人员工资!C:AD,28,FALSE)))</f>
        <v>0</v>
      </c>
      <c r="AC29" s="269">
        <f>ROUND(IF(ISERROR(IF(ISERROR(VLOOKUP($C29,非生产人员工资!C:AF,30,FALSE)),VLOOKUP($C29,生产人员工资!C:AB,26,0),VLOOKUP($C29,非生产人员工资!C:AF,30,FALSE))),0,IF(ISERROR(VLOOKUP($C29,非生产人员工资!C:AF,30,FALSE)),VLOOKUP($C29,生产人员工资!C:AB,26,0),VLOOKUP($C29,非生产人员工资!C:AF,30,FALSE))),2)</f>
        <v>0</v>
      </c>
      <c r="AD29" s="269">
        <f t="shared" si="2"/>
        <v>3700</v>
      </c>
      <c r="AE29" s="269" t="str">
        <f>VLOOKUP($C29,员工基本信息!$C:$N,10,FALSE)</f>
        <v>销售费用+销售</v>
      </c>
      <c r="AF29" s="265" t="str">
        <f>VLOOKUP($C29,员工基本信息!$C:$O,11,FALSE)</f>
        <v>不计入成本</v>
      </c>
      <c r="AG29" s="265" t="str">
        <f>VLOOKUP($C29,员工基本信息!$C:$O,12,FALSE)</f>
        <v>销售服务科</v>
      </c>
      <c r="AH29" s="265" t="str">
        <f>VLOOKUP($C29,员工基本信息!$C:$O,13,FALSE)</f>
        <v>驻外人员</v>
      </c>
      <c r="AI29" s="249" t="str">
        <f>VLOOKUP($B29,员工基本信息!$B:$S,16,FALSE)</f>
        <v>6217002200029235759</v>
      </c>
      <c r="AJ29" s="249" t="str">
        <f>VLOOKUP($B29,员工基本信息!$B:$S,18,FALSE)</f>
        <v>建行</v>
      </c>
      <c r="AK29" s="249" t="str">
        <f>VLOOKUP(C29,员工基本信息!$C:$M,11,0)</f>
        <v>不计入成本</v>
      </c>
    </row>
    <row r="30" s="250" customFormat="1" customHeight="1" spans="1:37">
      <c r="A30" s="264">
        <v>27</v>
      </c>
      <c r="B30" s="6" t="str">
        <f>本月员工姓名!B28</f>
        <v>赵洪升</v>
      </c>
      <c r="C30" s="265" t="str">
        <f>VLOOKUP($B30,员工基本信息!$B:$I,2,FALSE)</f>
        <v>371121198109251515</v>
      </c>
      <c r="D30" s="266" t="str">
        <f>VLOOKUP($B30,员工基本信息!$B:$I,4,FALSE)</f>
        <v>销售服务科</v>
      </c>
      <c r="E30" s="266" t="str">
        <f>VLOOKUP($B30,员工基本信息!$B:$I,5,FALSE)</f>
        <v>五征服务</v>
      </c>
      <c r="F30" s="267">
        <f>IF(ISERROR(VLOOKUP($C30,非生产人员工资!C:I,7,FALSE)),0,VLOOKUP($C30,非生产人员工资!C:I,7,FALSE))</f>
        <v>1790</v>
      </c>
      <c r="G30" s="267">
        <f>IF(ISERROR(VLOOKUP($C30,非生产人员工资!C:J,8,0)),0,VLOOKUP($C30,非生产人员工资!C:J,8,FALSE))</f>
        <v>0</v>
      </c>
      <c r="H30" s="7">
        <f>IF(ISERROR(VLOOKUP($C30,非生产人员工资!C:K,9,FALSE)),0,VLOOKUP($C30,非生产人员工资!C:K,9,FALSE))</f>
        <v>1810</v>
      </c>
      <c r="I30" s="7">
        <f>IF(ISERROR(VLOOKUP($C30,非生产人员工资!C:L,10,FALSE)),0,VLOOKUP($C30,非生产人员工资!C:L,10,FALSE))</f>
        <v>400</v>
      </c>
      <c r="J30" s="7">
        <f>IF(ISERROR(VLOOKUP($C30,生产人员工资!C:I,7,FALSE)),0,VLOOKUP($C30,生产人员工资!C:I,7,FALSE))</f>
        <v>0</v>
      </c>
      <c r="K30" s="7">
        <f>IF(ISERROR(VLOOKUP($C30,生产人员工资!C:J,8,FALSE)),0,VLOOKUP($C30,生产人员工资!C:J,8,FALSE))</f>
        <v>0</v>
      </c>
      <c r="L30" s="7" t="str">
        <f>IF(ISERROR(IF(ISERROR(VLOOKUP($C30,非生产人员工资!C:N,12,FALSE)),VLOOKUP($C30,生产人员工资!C:K,9,FALSE),VLOOKUP($C30,非生产人员工资!C:N,12,FALSE))),0,IF(ISERROR(VLOOKUP($C30,非生产人员工资!C:N,12,FALSE)),VLOOKUP($C30,生产人员工资!C:K,9,FALSE),VLOOKUP($C30,非生产人员工资!C:N,12,FALSE)))</f>
        <v>0.00</v>
      </c>
      <c r="M30" s="7" t="str">
        <f>IF(ISERROR(IF(ISERROR(VLOOKUP($C30,非生产人员工资!$C:$O,13,FALSE)),VLOOKUP($C30,生产人员工资!$C:$L,10,FALSE),VLOOKUP($C30,非生产人员工资!$C:$O,13,FALSE))),0,IF(ISERROR(VLOOKUP($C30,非生产人员工资!$C:$O,13,FALSE)),VLOOKUP($C30,生产人员工资!$C:$L,10,FALSE),VLOOKUP($C30,非生产人员工资!$C:$O,13,FALSE)))</f>
        <v>0.00</v>
      </c>
      <c r="N30" s="7" t="str">
        <f>IF(ISERROR(IF(ISERROR(VLOOKUP($C30,非生产人员工资!$C:$P,14,FALSE)),VLOOKUP($C30,生产人员工资!$C:$M,11,FALSE),VLOOKUP($C30,非生产人员工资!$C:$P,14,FALSE))),0,IF(ISERROR(VLOOKUP($C30,非生产人员工资!$C:$P,14,FALSE)),VLOOKUP($C30,生产人员工资!$C:$M,11,FALSE),VLOOKUP($C30,非生产人员工资!$C:$P,14,FALSE)))</f>
        <v>0.00</v>
      </c>
      <c r="O30" s="7" t="str">
        <f>IF(ISERROR(IF(ISERROR(VLOOKUP($C30,非生产人员工资!C:Q,15,FALSE)),VLOOKUP($C30,生产人员工资!C:N,12,FALSE),VLOOKUP($C30,非生产人员工资!C:Q,15,FALSE))),0,IF(ISERROR(VLOOKUP($C30,非生产人员工资!C:Q,15,FALSE)),VLOOKUP($C30,生产人员工资!C:N,12,FALSE),VLOOKUP($C30,非生产人员工资!C:Q,15,FALSE)))</f>
        <v>0.00</v>
      </c>
      <c r="P30" s="7" t="str">
        <f>IF(ISERROR(IF(ISERROR(VLOOKUP($C30,非生产人员工资!C:R,16,FALSE)),VLOOKUP($C30,生产人员工资!C:O,13,FALSE),VLOOKUP($C30,非生产人员工资!C:R,16,FALSE))),0,IF(ISERROR(VLOOKUP($C30,非生产人员工资!C:R,16,FALSE)),VLOOKUP($C30,生产人员工资!C:O,13,FALSE),VLOOKUP($C30,非生产人员工资!C:R,16,FALSE)))</f>
        <v>0.00</v>
      </c>
      <c r="Q30" s="7" t="str">
        <f>IF(ISERROR(IF(ISERROR(VLOOKUP($C30,非生产人员工资!C:S,17,FALSE)),VLOOKUP($C30,生产人员工资!C:P,14,FALSE),VLOOKUP($C30,非生产人员工资!C:S,17,FALSE))),0,IF(ISERROR(VLOOKUP($C30,非生产人员工资!C:S,17,FALSE)),VLOOKUP($C30,生产人员工资!C:P,14,FALSE),VLOOKUP($C30,非生产人员工资!C:S,17,FALSE)))</f>
        <v>0.00</v>
      </c>
      <c r="R30" s="7" t="str">
        <f>IF(ISERROR(IF(ISERROR(VLOOKUP($C30,非生产人员工资!C:T,18,FALSE)),VLOOKUP($C30,生产人员工资!C:Q,15,FALSE),VLOOKUP($C30,非生产人员工资!C:T,18,FALSE))),0,IF(ISERROR(VLOOKUP($C30,非生产人员工资!C:T,18,FALSE)),VLOOKUP($C30,生产人员工资!C:Q,15,FALSE),VLOOKUP($C30,非生产人员工资!C:T,18,FALSE)))</f>
        <v>0.00</v>
      </c>
      <c r="S30" s="7">
        <f>IF(ISERROR(VLOOKUP($C30,非生产人员工资!C:U,19,FALSE)),0,VLOOKUP($C30,非生产人员工资!C:U,19,FALSE))</f>
        <v>0</v>
      </c>
      <c r="T30" s="7" t="str">
        <f>IF(ISERROR(IF(ISERROR(VLOOKUP($C30,非生产人员工资!C:V,20,FALSE)),VLOOKUP($C30,生产人员工资!C:R,16,FALSE),VLOOKUP($C30,非生产人员工资!C:V,20,FALSE))),0,IF(ISERROR(VLOOKUP($C30,非生产人员工资!C:V,20,FALSE)),VLOOKUP($C30,生产人员工资!$C:$R,16,FALSE),VLOOKUP($C30,非生产人员工资!C:V,20,FALSE)))</f>
        <v>0.00</v>
      </c>
      <c r="U30" s="7" t="str">
        <f>IF(ISERROR(IF(ISERROR(VLOOKUP($C30,非生产人员工资!C:W,21,FALSE)),VLOOKUP($C30,生产人员工资!C:S,17,FALSE),VLOOKUP($C30,非生产人员工资!C:W,21,FALSE))),0,IF(ISERROR(VLOOKUP($C30,非生产人员工资!C:W,21,FALSE)),VLOOKUP($C30,生产人员工资!C:S,17,FALSE),VLOOKUP($C30,非生产人员工资!C:W,21,FALSE)))</f>
        <v>0</v>
      </c>
      <c r="V30" s="7" t="str">
        <f>IF(ISERROR(IF(ISERROR(VLOOKUP($C30,非生产人员工资!C:X,22,FALSE)),VLOOKUP($C30,生产人员工资!C:T,18,FALSE),VLOOKUP($C30,非生产人员工资!C:X,22,FALSE))),0,IF(ISERROR(VLOOKUP($C30,非生产人员工资!C:X,22,FALSE)),VLOOKUP($C30,生产人员工资!C:T,18,FALSE),VLOOKUP($C30,非生产人员工资!C:X,22,FALSE)))</f>
        <v>0.00</v>
      </c>
      <c r="W30" s="7">
        <f t="shared" si="1"/>
        <v>4000</v>
      </c>
      <c r="X30" s="7" t="str">
        <f>IF(ISERROR(IF(ISERROR(VLOOKUP($C30,非生产人员工资!C:Z,24,FALSE)),VLOOKUP($C30,生产人员工资!C:V,20,FALSE),VLOOKUP($C30,非生产人员工资!$C:$Z,24,FALSE))),0,IF(ISERROR(VLOOKUP($C30,非生产人员工资!$C:$Z,24,FALSE)),VLOOKUP($C30,生产人员工资!$C:$V,20,FALSE),VLOOKUP($C30,非生产人员工资!$C:$Z,24,FALSE)))</f>
        <v>0.00</v>
      </c>
      <c r="Y30" s="7" t="str">
        <f>IF(ISERROR(IF(ISERROR(VLOOKUP($C30,非生产人员工资!C:AA,25,FALSE)),VLOOKUP($C30,生产人员工资!C:W,21,FALSE),VLOOKUP($C30,非生产人员工资!C:AA,25,FALSE))),0,IF(ISERROR(VLOOKUP($C30,非生产人员工资!C:AA,25,FALSE)),VLOOKUP($C30,生产人员工资!C:W,21,FALSE),VLOOKUP($C30,非生产人员工资!C:AA,25,FALSE)))</f>
        <v>0.00</v>
      </c>
      <c r="Z30" s="7" t="str">
        <f>IF(ISERROR(IF(ISERROR(VLOOKUP($C30,非生产人员工资!C:AB,26,FALSE)),VLOOKUP($C30,生产人员工资!C:X,22,FALSE),VLOOKUP($C30,非生产人员工资!C:AB,26,FALSE))),0,IF(ISERROR(VLOOKUP($C30,非生产人员工资!C:AB,26,FALSE)),VLOOKUP($C30,生产人员工资!C:X,22,FALSE),VLOOKUP($C30,非生产人员工资!C:AB,26,FALSE)))</f>
        <v>0.00</v>
      </c>
      <c r="AA30" s="7" t="str">
        <f>IF(ISERROR(IF(ISERROR(VLOOKUP($C30,非生产人员工资!C:AC,27,FALSE)),VLOOKUP($C30,生产人员工资!C:Y,23,FALSE),VLOOKUP($C30,非生产人员工资!C:AC,27,FALSE))),0,IF(ISERROR(VLOOKUP($C30,非生产人员工资!C:AC,27,FALSE)),VLOOKUP($C30,生产人员工资!C:Y,23,FALSE),VLOOKUP($C30,非生产人员工资!C:AC,27,FALSE)))</f>
        <v>0.00</v>
      </c>
      <c r="AB30" s="7">
        <f>IF(ISERROR(IF(ISERROR(VLOOKUP($C30,非生产人员工资!C:AD,28,FALSE)),VLOOKUP($C30,生产人员工资!C:Z,24,FALSE),VLOOKUP($C30,非生产人员工资!C:AD,28,FALSE))),0,IF(ISERROR(VLOOKUP($C30,非生产人员工资!C:AD,28,FALSE)),VLOOKUP($C30,生产人员工资!C:Z,24,FALSE),VLOOKUP($C30,非生产人员工资!C:AD,28,FALSE)))</f>
        <v>0</v>
      </c>
      <c r="AC30" s="269">
        <f>ROUND(IF(ISERROR(IF(ISERROR(VLOOKUP($C30,非生产人员工资!C:AF,30,FALSE)),VLOOKUP($C30,生产人员工资!C:AB,26,0),VLOOKUP($C30,非生产人员工资!C:AF,30,FALSE))),0,IF(ISERROR(VLOOKUP($C30,非生产人员工资!C:AF,30,FALSE)),VLOOKUP($C30,生产人员工资!C:AB,26,0),VLOOKUP($C30,非生产人员工资!C:AF,30,FALSE))),2)</f>
        <v>0</v>
      </c>
      <c r="AD30" s="269">
        <f t="shared" si="2"/>
        <v>4000</v>
      </c>
      <c r="AE30" s="269" t="str">
        <f>VLOOKUP($C30,员工基本信息!$C:$N,10,FALSE)</f>
        <v>销售费用+销售</v>
      </c>
      <c r="AF30" s="265" t="str">
        <f>VLOOKUP($C30,员工基本信息!$C:$O,11,FALSE)</f>
        <v>不计入成本</v>
      </c>
      <c r="AG30" s="265" t="str">
        <f>VLOOKUP($C30,员工基本信息!$C:$O,12,FALSE)</f>
        <v>销售服务科</v>
      </c>
      <c r="AH30" s="265" t="str">
        <f>VLOOKUP($C30,员工基本信息!$C:$O,13,FALSE)</f>
        <v>驻外人员</v>
      </c>
      <c r="AI30" s="249" t="str">
        <f>VLOOKUP($B30,员工基本信息!$B:$S,16,FALSE)</f>
        <v>6227002240062513216</v>
      </c>
      <c r="AJ30" s="249" t="str">
        <f>VLOOKUP($B30,员工基本信息!$B:$S,18,FALSE)</f>
        <v>建行</v>
      </c>
      <c r="AK30" s="249" t="str">
        <f>VLOOKUP(C30,员工基本信息!$C:$M,11,0)</f>
        <v>不计入成本</v>
      </c>
    </row>
    <row r="31" s="250" customFormat="1" customHeight="1" spans="1:37">
      <c r="A31" s="264">
        <v>28</v>
      </c>
      <c r="B31" s="6" t="str">
        <f>本月员工姓名!B29</f>
        <v>王克杰</v>
      </c>
      <c r="C31" s="265" t="str">
        <f>VLOOKUP($B31,员工基本信息!$B:$I,2,FALSE)</f>
        <v>370983198801063395</v>
      </c>
      <c r="D31" s="266" t="str">
        <f>VLOOKUP($B31,员工基本信息!$B:$I,4,FALSE)</f>
        <v>销售服务科</v>
      </c>
      <c r="E31" s="266" t="str">
        <f>VLOOKUP($B31,员工基本信息!$B:$I,5,FALSE)</f>
        <v>济南服务</v>
      </c>
      <c r="F31" s="267">
        <f>IF(ISERROR(VLOOKUP($C31,非生产人员工资!C:I,7,FALSE)),0,VLOOKUP($C31,非生产人员工资!C:I,7,FALSE))</f>
        <v>1790</v>
      </c>
      <c r="G31" s="267">
        <f>IF(ISERROR(VLOOKUP($C31,非生产人员工资!C:J,8,0)),0,VLOOKUP($C31,非生产人员工资!C:J,8,FALSE))</f>
        <v>0</v>
      </c>
      <c r="H31" s="7">
        <f>IF(ISERROR(VLOOKUP($C31,非生产人员工资!C:K,9,FALSE)),0,VLOOKUP($C31,非生产人员工资!C:K,9,FALSE))</f>
        <v>910</v>
      </c>
      <c r="I31" s="7">
        <f>IF(ISERROR(VLOOKUP($C31,非生产人员工资!C:L,10,FALSE)),0,VLOOKUP($C31,非生产人员工资!C:L,10,FALSE))</f>
        <v>300</v>
      </c>
      <c r="J31" s="7">
        <f>IF(ISERROR(VLOOKUP($C31,生产人员工资!C:I,7,FALSE)),0,VLOOKUP($C31,生产人员工资!C:I,7,FALSE))</f>
        <v>0</v>
      </c>
      <c r="K31" s="7">
        <f>IF(ISERROR(VLOOKUP($C31,生产人员工资!C:J,8,FALSE)),0,VLOOKUP($C31,生产人员工资!C:J,8,FALSE))</f>
        <v>0</v>
      </c>
      <c r="L31" s="7" t="str">
        <f>IF(ISERROR(IF(ISERROR(VLOOKUP($C31,非生产人员工资!C:N,12,FALSE)),VLOOKUP($C31,生产人员工资!C:K,9,FALSE),VLOOKUP($C31,非生产人员工资!C:N,12,FALSE))),0,IF(ISERROR(VLOOKUP($C31,非生产人员工资!C:N,12,FALSE)),VLOOKUP($C31,生产人员工资!C:K,9,FALSE),VLOOKUP($C31,非生产人员工资!C:N,12,FALSE)))</f>
        <v>0.00</v>
      </c>
      <c r="M31" s="7" t="str">
        <f>IF(ISERROR(IF(ISERROR(VLOOKUP($C31,非生产人员工资!$C:$O,13,FALSE)),VLOOKUP($C31,生产人员工资!$C:$L,10,FALSE),VLOOKUP($C31,非生产人员工资!$C:$O,13,FALSE))),0,IF(ISERROR(VLOOKUP($C31,非生产人员工资!$C:$O,13,FALSE)),VLOOKUP($C31,生产人员工资!$C:$L,10,FALSE),VLOOKUP($C31,非生产人员工资!$C:$O,13,FALSE)))</f>
        <v>0.00</v>
      </c>
      <c r="N31" s="7" t="str">
        <f>IF(ISERROR(IF(ISERROR(VLOOKUP($C31,非生产人员工资!$C:$P,14,FALSE)),VLOOKUP($C31,生产人员工资!$C:$M,11,FALSE),VLOOKUP($C31,非生产人员工资!$C:$P,14,FALSE))),0,IF(ISERROR(VLOOKUP($C31,非生产人员工资!$C:$P,14,FALSE)),VLOOKUP($C31,生产人员工资!$C:$M,11,FALSE),VLOOKUP($C31,非生产人员工资!$C:$P,14,FALSE)))</f>
        <v>0.00</v>
      </c>
      <c r="O31" s="7" t="str">
        <f>IF(ISERROR(IF(ISERROR(VLOOKUP($C31,非生产人员工资!C:Q,15,FALSE)),VLOOKUP($C31,生产人员工资!C:N,12,FALSE),VLOOKUP($C31,非生产人员工资!C:Q,15,FALSE))),0,IF(ISERROR(VLOOKUP($C31,非生产人员工资!C:Q,15,FALSE)),VLOOKUP($C31,生产人员工资!C:N,12,FALSE),VLOOKUP($C31,非生产人员工资!C:Q,15,FALSE)))</f>
        <v>0.00</v>
      </c>
      <c r="P31" s="7" t="str">
        <f>IF(ISERROR(IF(ISERROR(VLOOKUP($C31,非生产人员工资!C:R,16,FALSE)),VLOOKUP($C31,生产人员工资!C:O,13,FALSE),VLOOKUP($C31,非生产人员工资!C:R,16,FALSE))),0,IF(ISERROR(VLOOKUP($C31,非生产人员工资!C:R,16,FALSE)),VLOOKUP($C31,生产人员工资!C:O,13,FALSE),VLOOKUP($C31,非生产人员工资!C:R,16,FALSE)))</f>
        <v>0.00</v>
      </c>
      <c r="Q31" s="7" t="str">
        <f>IF(ISERROR(IF(ISERROR(VLOOKUP($C31,非生产人员工资!C:S,17,FALSE)),VLOOKUP($C31,生产人员工资!C:P,14,FALSE),VLOOKUP($C31,非生产人员工资!C:S,17,FALSE))),0,IF(ISERROR(VLOOKUP($C31,非生产人员工资!C:S,17,FALSE)),VLOOKUP($C31,生产人员工资!C:P,14,FALSE),VLOOKUP($C31,非生产人员工资!C:S,17,FALSE)))</f>
        <v>0.00</v>
      </c>
      <c r="R31" s="7" t="str">
        <f>IF(ISERROR(IF(ISERROR(VLOOKUP($C31,非生产人员工资!C:T,18,FALSE)),VLOOKUP($C31,生产人员工资!C:Q,15,FALSE),VLOOKUP($C31,非生产人员工资!C:T,18,FALSE))),0,IF(ISERROR(VLOOKUP($C31,非生产人员工资!C:T,18,FALSE)),VLOOKUP($C31,生产人员工资!C:Q,15,FALSE),VLOOKUP($C31,非生产人员工资!C:T,18,FALSE)))</f>
        <v>0.00</v>
      </c>
      <c r="S31" s="7">
        <f>IF(ISERROR(VLOOKUP($C31,非生产人员工资!C:U,19,FALSE)),0,VLOOKUP($C31,非生产人员工资!C:U,19,FALSE))</f>
        <v>0</v>
      </c>
      <c r="T31" s="7" t="str">
        <f>IF(ISERROR(IF(ISERROR(VLOOKUP($C31,非生产人员工资!C:V,20,FALSE)),VLOOKUP($C31,生产人员工资!C:R,16,FALSE),VLOOKUP($C31,非生产人员工资!C:V,20,FALSE))),0,IF(ISERROR(VLOOKUP($C31,非生产人员工资!C:V,20,FALSE)),VLOOKUP($C31,生产人员工资!$C:$R,16,FALSE),VLOOKUP($C31,非生产人员工资!C:V,20,FALSE)))</f>
        <v>0.00</v>
      </c>
      <c r="U31" s="7" t="str">
        <f>IF(ISERROR(IF(ISERROR(VLOOKUP($C31,非生产人员工资!C:W,21,FALSE)),VLOOKUP($C31,生产人员工资!C:S,17,FALSE),VLOOKUP($C31,非生产人员工资!C:W,21,FALSE))),0,IF(ISERROR(VLOOKUP($C31,非生产人员工资!C:W,21,FALSE)),VLOOKUP($C31,生产人员工资!C:S,17,FALSE),VLOOKUP($C31,非生产人员工资!C:W,21,FALSE)))</f>
        <v>0</v>
      </c>
      <c r="V31" s="7" t="str">
        <f>IF(ISERROR(IF(ISERROR(VLOOKUP($C31,非生产人员工资!C:X,22,FALSE)),VLOOKUP($C31,生产人员工资!C:T,18,FALSE),VLOOKUP($C31,非生产人员工资!C:X,22,FALSE))),0,IF(ISERROR(VLOOKUP($C31,非生产人员工资!C:X,22,FALSE)),VLOOKUP($C31,生产人员工资!C:T,18,FALSE),VLOOKUP($C31,非生产人员工资!C:X,22,FALSE)))</f>
        <v>0.00</v>
      </c>
      <c r="W31" s="7">
        <f t="shared" si="1"/>
        <v>3000</v>
      </c>
      <c r="X31" s="7" t="str">
        <f>IF(ISERROR(IF(ISERROR(VLOOKUP($C31,非生产人员工资!C:Z,24,FALSE)),VLOOKUP($C31,生产人员工资!C:V,20,FALSE),VLOOKUP($C31,非生产人员工资!$C:$Z,24,FALSE))),0,IF(ISERROR(VLOOKUP($C31,非生产人员工资!$C:$Z,24,FALSE)),VLOOKUP($C31,生产人员工资!$C:$V,20,FALSE),VLOOKUP($C31,非生产人员工资!$C:$Z,24,FALSE)))</f>
        <v>0.00</v>
      </c>
      <c r="Y31" s="7" t="str">
        <f>IF(ISERROR(IF(ISERROR(VLOOKUP($C31,非生产人员工资!C:AA,25,FALSE)),VLOOKUP($C31,生产人员工资!C:W,21,FALSE),VLOOKUP($C31,非生产人员工资!C:AA,25,FALSE))),0,IF(ISERROR(VLOOKUP($C31,非生产人员工资!C:AA,25,FALSE)),VLOOKUP($C31,生产人员工资!C:W,21,FALSE),VLOOKUP($C31,非生产人员工资!C:AA,25,FALSE)))</f>
        <v>0.00</v>
      </c>
      <c r="Z31" s="7" t="str">
        <f>IF(ISERROR(IF(ISERROR(VLOOKUP($C31,非生产人员工资!C:AB,26,FALSE)),VLOOKUP($C31,生产人员工资!C:X,22,FALSE),VLOOKUP($C31,非生产人员工资!C:AB,26,FALSE))),0,IF(ISERROR(VLOOKUP($C31,非生产人员工资!C:AB,26,FALSE)),VLOOKUP($C31,生产人员工资!C:X,22,FALSE),VLOOKUP($C31,非生产人员工资!C:AB,26,FALSE)))</f>
        <v>0.00</v>
      </c>
      <c r="AA31" s="7" t="str">
        <f>IF(ISERROR(IF(ISERROR(VLOOKUP($C31,非生产人员工资!C:AC,27,FALSE)),VLOOKUP($C31,生产人员工资!C:Y,23,FALSE),VLOOKUP($C31,非生产人员工资!C:AC,27,FALSE))),0,IF(ISERROR(VLOOKUP($C31,非生产人员工资!C:AC,27,FALSE)),VLOOKUP($C31,生产人员工资!C:Y,23,FALSE),VLOOKUP($C31,非生产人员工资!C:AC,27,FALSE)))</f>
        <v>0.00</v>
      </c>
      <c r="AB31" s="7">
        <f>IF(ISERROR(IF(ISERROR(VLOOKUP($C31,非生产人员工资!C:AD,28,FALSE)),VLOOKUP($C31,生产人员工资!C:Z,24,FALSE),VLOOKUP($C31,非生产人员工资!C:AD,28,FALSE))),0,IF(ISERROR(VLOOKUP($C31,非生产人员工资!C:AD,28,FALSE)),VLOOKUP($C31,生产人员工资!C:Z,24,FALSE),VLOOKUP($C31,非生产人员工资!C:AD,28,FALSE)))</f>
        <v>0</v>
      </c>
      <c r="AC31" s="269">
        <f>ROUND(IF(ISERROR(IF(ISERROR(VLOOKUP($C31,非生产人员工资!C:AF,30,FALSE)),VLOOKUP($C31,生产人员工资!C:AB,26,0),VLOOKUP($C31,非生产人员工资!C:AF,30,FALSE))),0,IF(ISERROR(VLOOKUP($C31,非生产人员工资!C:AF,30,FALSE)),VLOOKUP($C31,生产人员工资!C:AB,26,0),VLOOKUP($C31,非生产人员工资!C:AF,30,FALSE))),2)</f>
        <v>0</v>
      </c>
      <c r="AD31" s="269">
        <f t="shared" si="2"/>
        <v>3000</v>
      </c>
      <c r="AE31" s="269" t="str">
        <f>VLOOKUP($C31,员工基本信息!$C:$N,10,FALSE)</f>
        <v>销售费用+销售</v>
      </c>
      <c r="AF31" s="265" t="str">
        <f>VLOOKUP($C31,员工基本信息!$C:$O,11,FALSE)</f>
        <v>不计入成本</v>
      </c>
      <c r="AG31" s="265" t="str">
        <f>VLOOKUP($C31,员工基本信息!$C:$O,12,FALSE)</f>
        <v>销售服务科</v>
      </c>
      <c r="AH31" s="265" t="str">
        <f>VLOOKUP($C31,员工基本信息!$C:$O,13,FALSE)</f>
        <v>驻外人员</v>
      </c>
      <c r="AI31" s="249" t="str">
        <f>VLOOKUP($B31,员工基本信息!$B:$S,16,FALSE)</f>
        <v>6217002340038860138</v>
      </c>
      <c r="AJ31" s="249" t="str">
        <f>VLOOKUP($B31,员工基本信息!$B:$S,18,FALSE)</f>
        <v>建行</v>
      </c>
      <c r="AK31" s="249" t="str">
        <f>VLOOKUP(C31,员工基本信息!$C:$M,11,0)</f>
        <v>不计入成本</v>
      </c>
    </row>
    <row r="32" s="250" customFormat="1" customHeight="1" spans="1:37">
      <c r="A32" s="264">
        <v>29</v>
      </c>
      <c r="B32" s="6" t="str">
        <f>本月员工姓名!B30</f>
        <v>芦建军</v>
      </c>
      <c r="C32" s="265" t="str">
        <f>VLOOKUP($B32,员工基本信息!$B:$I,2,FALSE)</f>
        <v>370122196808177197</v>
      </c>
      <c r="D32" s="266" t="str">
        <f>VLOOKUP($B32,员工基本信息!$B:$I,4,FALSE)</f>
        <v>销售服务科</v>
      </c>
      <c r="E32" s="266" t="str">
        <f>VLOOKUP($B32,员工基本信息!$B:$I,5,FALSE)</f>
        <v>现场服务</v>
      </c>
      <c r="F32" s="267">
        <f>IF(ISERROR(VLOOKUP($C32,非生产人员工资!C:I,7,FALSE)),0,VLOOKUP($C32,非生产人员工资!C:I,7,FALSE))</f>
        <v>1790</v>
      </c>
      <c r="G32" s="267">
        <f>IF(ISERROR(VLOOKUP($C32,非生产人员工资!C:J,8,0)),0,VLOOKUP($C32,非生产人员工资!C:J,8,FALSE))</f>
        <v>0</v>
      </c>
      <c r="H32" s="7">
        <f>IF(ISERROR(VLOOKUP($C32,非生产人员工资!C:K,9,FALSE)),0,VLOOKUP($C32,非生产人员工资!C:K,9,FALSE))</f>
        <v>460</v>
      </c>
      <c r="I32" s="7">
        <f>IF(ISERROR(VLOOKUP($C32,非生产人员工资!C:L,10,FALSE)),0,VLOOKUP($C32,非生产人员工资!C:L,10,FALSE))</f>
        <v>250</v>
      </c>
      <c r="J32" s="7">
        <f>IF(ISERROR(VLOOKUP($C32,生产人员工资!C:I,7,FALSE)),0,VLOOKUP($C32,生产人员工资!C:I,7,FALSE))</f>
        <v>0</v>
      </c>
      <c r="K32" s="7">
        <f>IF(ISERROR(VLOOKUP($C32,生产人员工资!C:J,8,FALSE)),0,VLOOKUP($C32,生产人员工资!C:J,8,FALSE))</f>
        <v>0</v>
      </c>
      <c r="L32" s="7" t="str">
        <f>IF(ISERROR(IF(ISERROR(VLOOKUP($C32,非生产人员工资!C:N,12,FALSE)),VLOOKUP($C32,生产人员工资!C:K,9,FALSE),VLOOKUP($C32,非生产人员工资!C:N,12,FALSE))),0,IF(ISERROR(VLOOKUP($C32,非生产人员工资!C:N,12,FALSE)),VLOOKUP($C32,生产人员工资!C:K,9,FALSE),VLOOKUP($C32,非生产人员工资!C:N,12,FALSE)))</f>
        <v>0.00</v>
      </c>
      <c r="M32" s="7" t="str">
        <f>IF(ISERROR(IF(ISERROR(VLOOKUP($C32,非生产人员工资!$C:$O,13,FALSE)),VLOOKUP($C32,生产人员工资!$C:$L,10,FALSE),VLOOKUP($C32,非生产人员工资!$C:$O,13,FALSE))),0,IF(ISERROR(VLOOKUP($C32,非生产人员工资!$C:$O,13,FALSE)),VLOOKUP($C32,生产人员工资!$C:$L,10,FALSE),VLOOKUP($C32,非生产人员工资!$C:$O,13,FALSE)))</f>
        <v>0.00</v>
      </c>
      <c r="N32" s="7" t="str">
        <f>IF(ISERROR(IF(ISERROR(VLOOKUP($C32,非生产人员工资!$C:$P,14,FALSE)),VLOOKUP($C32,生产人员工资!$C:$M,11,FALSE),VLOOKUP($C32,非生产人员工资!$C:$P,14,FALSE))),0,IF(ISERROR(VLOOKUP($C32,非生产人员工资!$C:$P,14,FALSE)),VLOOKUP($C32,生产人员工资!$C:$M,11,FALSE),VLOOKUP($C32,非生产人员工资!$C:$P,14,FALSE)))</f>
        <v>0.00</v>
      </c>
      <c r="O32" s="7" t="str">
        <f>IF(ISERROR(IF(ISERROR(VLOOKUP($C32,非生产人员工资!C:Q,15,FALSE)),VLOOKUP($C32,生产人员工资!C:N,12,FALSE),VLOOKUP($C32,非生产人员工资!C:Q,15,FALSE))),0,IF(ISERROR(VLOOKUP($C32,非生产人员工资!C:Q,15,FALSE)),VLOOKUP($C32,生产人员工资!C:N,12,FALSE),VLOOKUP($C32,非生产人员工资!C:Q,15,FALSE)))</f>
        <v>0.00</v>
      </c>
      <c r="P32" s="7" t="str">
        <f>IF(ISERROR(IF(ISERROR(VLOOKUP($C32,非生产人员工资!C:R,16,FALSE)),VLOOKUP($C32,生产人员工资!C:O,13,FALSE),VLOOKUP($C32,非生产人员工资!C:R,16,FALSE))),0,IF(ISERROR(VLOOKUP($C32,非生产人员工资!C:R,16,FALSE)),VLOOKUP($C32,生产人员工资!C:O,13,FALSE),VLOOKUP($C32,非生产人员工资!C:R,16,FALSE)))</f>
        <v>0.00</v>
      </c>
      <c r="Q32" s="7" t="str">
        <f>IF(ISERROR(IF(ISERROR(VLOOKUP($C32,非生产人员工资!C:S,17,FALSE)),VLOOKUP($C32,生产人员工资!C:P,14,FALSE),VLOOKUP($C32,非生产人员工资!C:S,17,FALSE))),0,IF(ISERROR(VLOOKUP($C32,非生产人员工资!C:S,17,FALSE)),VLOOKUP($C32,生产人员工资!C:P,14,FALSE),VLOOKUP($C32,非生产人员工资!C:S,17,FALSE)))</f>
        <v>0.00</v>
      </c>
      <c r="R32" s="7" t="str">
        <f>IF(ISERROR(IF(ISERROR(VLOOKUP($C32,非生产人员工资!C:T,18,FALSE)),VLOOKUP($C32,生产人员工资!C:Q,15,FALSE),VLOOKUP($C32,非生产人员工资!C:T,18,FALSE))),0,IF(ISERROR(VLOOKUP($C32,非生产人员工资!C:T,18,FALSE)),VLOOKUP($C32,生产人员工资!C:Q,15,FALSE),VLOOKUP($C32,非生产人员工资!C:T,18,FALSE)))</f>
        <v>0.00</v>
      </c>
      <c r="S32" s="7">
        <f>IF(ISERROR(VLOOKUP($C32,非生产人员工资!C:U,19,FALSE)),0,VLOOKUP($C32,非生产人员工资!C:U,19,FALSE))</f>
        <v>0</v>
      </c>
      <c r="T32" s="7" t="str">
        <f>IF(ISERROR(IF(ISERROR(VLOOKUP($C32,非生产人员工资!C:V,20,FALSE)),VLOOKUP($C32,生产人员工资!C:R,16,FALSE),VLOOKUP($C32,非生产人员工资!C:V,20,FALSE))),0,IF(ISERROR(VLOOKUP($C32,非生产人员工资!C:V,20,FALSE)),VLOOKUP($C32,生产人员工资!$C:$R,16,FALSE),VLOOKUP($C32,非生产人员工资!C:V,20,FALSE)))</f>
        <v>0.00</v>
      </c>
      <c r="U32" s="7" t="str">
        <f>IF(ISERROR(IF(ISERROR(VLOOKUP($C32,非生产人员工资!C:W,21,FALSE)),VLOOKUP($C32,生产人员工资!C:S,17,FALSE),VLOOKUP($C32,非生产人员工资!C:W,21,FALSE))),0,IF(ISERROR(VLOOKUP($C32,非生产人员工资!C:W,21,FALSE)),VLOOKUP($C32,生产人员工资!C:S,17,FALSE),VLOOKUP($C32,非生产人员工资!C:W,21,FALSE)))</f>
        <v>0</v>
      </c>
      <c r="V32" s="7" t="str">
        <f>IF(ISERROR(IF(ISERROR(VLOOKUP($C32,非生产人员工资!C:X,22,FALSE)),VLOOKUP($C32,生产人员工资!C:T,18,FALSE),VLOOKUP($C32,非生产人员工资!C:X,22,FALSE))),0,IF(ISERROR(VLOOKUP($C32,非生产人员工资!C:X,22,FALSE)),VLOOKUP($C32,生产人员工资!C:T,18,FALSE),VLOOKUP($C32,非生产人员工资!C:X,22,FALSE)))</f>
        <v>0.00</v>
      </c>
      <c r="W32" s="7">
        <f t="shared" si="1"/>
        <v>2500</v>
      </c>
      <c r="X32" s="7" t="str">
        <f>IF(ISERROR(IF(ISERROR(VLOOKUP($C32,非生产人员工资!C:Z,24,FALSE)),VLOOKUP($C32,生产人员工资!C:V,20,FALSE),VLOOKUP($C32,非生产人员工资!$C:$Z,24,FALSE))),0,IF(ISERROR(VLOOKUP($C32,非生产人员工资!$C:$Z,24,FALSE)),VLOOKUP($C32,生产人员工资!$C:$V,20,FALSE),VLOOKUP($C32,非生产人员工资!$C:$Z,24,FALSE)))</f>
        <v>0.00</v>
      </c>
      <c r="Y32" s="7" t="str">
        <f>IF(ISERROR(IF(ISERROR(VLOOKUP($C32,非生产人员工资!C:AA,25,FALSE)),VLOOKUP($C32,生产人员工资!C:W,21,FALSE),VLOOKUP($C32,非生产人员工资!C:AA,25,FALSE))),0,IF(ISERROR(VLOOKUP($C32,非生产人员工资!C:AA,25,FALSE)),VLOOKUP($C32,生产人员工资!C:W,21,FALSE),VLOOKUP($C32,非生产人员工资!C:AA,25,FALSE)))</f>
        <v>0.00</v>
      </c>
      <c r="Z32" s="7" t="str">
        <f>IF(ISERROR(IF(ISERROR(VLOOKUP($C32,非生产人员工资!C:AB,26,FALSE)),VLOOKUP($C32,生产人员工资!C:X,22,FALSE),VLOOKUP($C32,非生产人员工资!C:AB,26,FALSE))),0,IF(ISERROR(VLOOKUP($C32,非生产人员工资!C:AB,26,FALSE)),VLOOKUP($C32,生产人员工资!C:X,22,FALSE),VLOOKUP($C32,非生产人员工资!C:AB,26,FALSE)))</f>
        <v>0.00</v>
      </c>
      <c r="AA32" s="7" t="str">
        <f>IF(ISERROR(IF(ISERROR(VLOOKUP($C32,非生产人员工资!C:AC,27,FALSE)),VLOOKUP($C32,生产人员工资!C:Y,23,FALSE),VLOOKUP($C32,非生产人员工资!C:AC,27,FALSE))),0,IF(ISERROR(VLOOKUP($C32,非生产人员工资!C:AC,27,FALSE)),VLOOKUP($C32,生产人员工资!C:Y,23,FALSE),VLOOKUP($C32,非生产人员工资!C:AC,27,FALSE)))</f>
        <v>0.00</v>
      </c>
      <c r="AB32" s="7">
        <f>IF(ISERROR(IF(ISERROR(VLOOKUP($C32,非生产人员工资!C:AD,28,FALSE)),VLOOKUP($C32,生产人员工资!C:Z,24,FALSE),VLOOKUP($C32,非生产人员工资!C:AD,28,FALSE))),0,IF(ISERROR(VLOOKUP($C32,非生产人员工资!C:AD,28,FALSE)),VLOOKUP($C32,生产人员工资!C:Z,24,FALSE),VLOOKUP($C32,非生产人员工资!C:AD,28,FALSE)))</f>
        <v>0</v>
      </c>
      <c r="AC32" s="269">
        <f>ROUND(IF(ISERROR(IF(ISERROR(VLOOKUP($C32,非生产人员工资!C:AF,30,FALSE)),VLOOKUP($C32,生产人员工资!C:AB,26,0),VLOOKUP($C32,非生产人员工资!C:AF,30,FALSE))),0,IF(ISERROR(VLOOKUP($C32,非生产人员工资!C:AF,30,FALSE)),VLOOKUP($C32,生产人员工资!C:AB,26,0),VLOOKUP($C32,非生产人员工资!C:AF,30,FALSE))),2)</f>
        <v>0</v>
      </c>
      <c r="AD32" s="269">
        <f t="shared" si="2"/>
        <v>2500</v>
      </c>
      <c r="AE32" s="269" t="str">
        <f>VLOOKUP($C32,员工基本信息!$C:$N,10,FALSE)</f>
        <v>销售费用+销售</v>
      </c>
      <c r="AF32" s="265" t="str">
        <f>VLOOKUP($C32,员工基本信息!$C:$O,11,FALSE)</f>
        <v>不计入成本</v>
      </c>
      <c r="AG32" s="265" t="str">
        <f>VLOOKUP($C32,员工基本信息!$C:$O,12,FALSE)</f>
        <v>销售服务科</v>
      </c>
      <c r="AH32" s="265" t="str">
        <f>VLOOKUP($C32,员工基本信息!$C:$O,13,FALSE)</f>
        <v>驻外人员</v>
      </c>
      <c r="AI32" s="249" t="str">
        <f>VLOOKUP($B32,员工基本信息!$B:$S,16,FALSE)</f>
        <v>6230942340001917523</v>
      </c>
      <c r="AJ32" s="249" t="str">
        <f>VLOOKUP($B32,员工基本信息!$B:$S,18,FALSE)</f>
        <v>建行</v>
      </c>
      <c r="AK32" s="249" t="str">
        <f>VLOOKUP(C32,员工基本信息!$C:$M,11,0)</f>
        <v>不计入成本</v>
      </c>
    </row>
    <row r="33" s="250" customFormat="1" customHeight="1" spans="1:37">
      <c r="A33" s="264">
        <v>30</v>
      </c>
      <c r="B33" s="6" t="str">
        <f>本月员工姓名!B31</f>
        <v>万传志</v>
      </c>
      <c r="C33" s="265" t="str">
        <f>VLOOKUP($B33,员工基本信息!$B:$I,2,FALSE)</f>
        <v>340505195712201215</v>
      </c>
      <c r="D33" s="266" t="str">
        <f>VLOOKUP($B33,员工基本信息!$B:$I,4,FALSE)</f>
        <v>销售服务科</v>
      </c>
      <c r="E33" s="266" t="str">
        <f>VLOOKUP($B33,员工基本信息!$B:$I,5,FALSE)</f>
        <v>山东服务</v>
      </c>
      <c r="F33" s="267">
        <f>IF(ISERROR(VLOOKUP($C33,非生产人员工资!C:I,7,FALSE)),0,VLOOKUP($C33,非生产人员工资!C:I,7,FALSE))</f>
        <v>1790</v>
      </c>
      <c r="G33" s="267">
        <f>IF(ISERROR(VLOOKUP($C33,非生产人员工资!C:J,8,0)),0,VLOOKUP($C33,非生产人员工资!C:J,8,FALSE))</f>
        <v>0</v>
      </c>
      <c r="H33" s="7">
        <f>IF(ISERROR(VLOOKUP($C33,非生产人员工资!C:K,9,FALSE)),0,VLOOKUP($C33,非生产人员工资!C:K,9,FALSE))</f>
        <v>10</v>
      </c>
      <c r="I33" s="7">
        <f>IF(ISERROR(VLOOKUP($C33,非生产人员工资!C:L,10,FALSE)),0,VLOOKUP($C33,非生产人员工资!C:L,10,FALSE))</f>
        <v>200</v>
      </c>
      <c r="J33" s="7">
        <f>IF(ISERROR(VLOOKUP($C33,生产人员工资!C:I,7,FALSE)),0,VLOOKUP($C33,生产人员工资!C:I,7,FALSE))</f>
        <v>0</v>
      </c>
      <c r="K33" s="7">
        <f>IF(ISERROR(VLOOKUP($C33,生产人员工资!C:J,8,FALSE)),0,VLOOKUP($C33,生产人员工资!C:J,8,FALSE))</f>
        <v>0</v>
      </c>
      <c r="L33" s="7" t="str">
        <f>IF(ISERROR(IF(ISERROR(VLOOKUP($C33,非生产人员工资!C:N,12,FALSE)),VLOOKUP($C33,生产人员工资!C:K,9,FALSE),VLOOKUP($C33,非生产人员工资!C:N,12,FALSE))),0,IF(ISERROR(VLOOKUP($C33,非生产人员工资!C:N,12,FALSE)),VLOOKUP($C33,生产人员工资!C:K,9,FALSE),VLOOKUP($C33,非生产人员工资!C:N,12,FALSE)))</f>
        <v>0.00</v>
      </c>
      <c r="M33" s="7" t="str">
        <f>IF(ISERROR(IF(ISERROR(VLOOKUP($C33,非生产人员工资!$C:$O,13,FALSE)),VLOOKUP($C33,生产人员工资!$C:$L,10,FALSE),VLOOKUP($C33,非生产人员工资!$C:$O,13,FALSE))),0,IF(ISERROR(VLOOKUP($C33,非生产人员工资!$C:$O,13,FALSE)),VLOOKUP($C33,生产人员工资!$C:$L,10,FALSE),VLOOKUP($C33,非生产人员工资!$C:$O,13,FALSE)))</f>
        <v>0.00</v>
      </c>
      <c r="N33" s="7" t="str">
        <f>IF(ISERROR(IF(ISERROR(VLOOKUP($C33,非生产人员工资!$C:$P,14,FALSE)),VLOOKUP($C33,生产人员工资!$C:$M,11,FALSE),VLOOKUP($C33,非生产人员工资!$C:$P,14,FALSE))),0,IF(ISERROR(VLOOKUP($C33,非生产人员工资!$C:$P,14,FALSE)),VLOOKUP($C33,生产人员工资!$C:$M,11,FALSE),VLOOKUP($C33,非生产人员工资!$C:$P,14,FALSE)))</f>
        <v>0.00</v>
      </c>
      <c r="O33" s="7" t="str">
        <f>IF(ISERROR(IF(ISERROR(VLOOKUP($C33,非生产人员工资!C:Q,15,FALSE)),VLOOKUP($C33,生产人员工资!C:N,12,FALSE),VLOOKUP($C33,非生产人员工资!C:Q,15,FALSE))),0,IF(ISERROR(VLOOKUP($C33,非生产人员工资!C:Q,15,FALSE)),VLOOKUP($C33,生产人员工资!C:N,12,FALSE),VLOOKUP($C33,非生产人员工资!C:Q,15,FALSE)))</f>
        <v>0.00</v>
      </c>
      <c r="P33" s="7" t="str">
        <f>IF(ISERROR(IF(ISERROR(VLOOKUP($C33,非生产人员工资!C:R,16,FALSE)),VLOOKUP($C33,生产人员工资!C:O,13,FALSE),VLOOKUP($C33,非生产人员工资!C:R,16,FALSE))),0,IF(ISERROR(VLOOKUP($C33,非生产人员工资!C:R,16,FALSE)),VLOOKUP($C33,生产人员工资!C:O,13,FALSE),VLOOKUP($C33,非生产人员工资!C:R,16,FALSE)))</f>
        <v>0.00</v>
      </c>
      <c r="Q33" s="7" t="str">
        <f>IF(ISERROR(IF(ISERROR(VLOOKUP($C33,非生产人员工资!C:S,17,FALSE)),VLOOKUP($C33,生产人员工资!C:P,14,FALSE),VLOOKUP($C33,非生产人员工资!C:S,17,FALSE))),0,IF(ISERROR(VLOOKUP($C33,非生产人员工资!C:S,17,FALSE)),VLOOKUP($C33,生产人员工资!C:P,14,FALSE),VLOOKUP($C33,非生产人员工资!C:S,17,FALSE)))</f>
        <v>0.00</v>
      </c>
      <c r="R33" s="7" t="str">
        <f>IF(ISERROR(IF(ISERROR(VLOOKUP($C33,非生产人员工资!C:T,18,FALSE)),VLOOKUP($C33,生产人员工资!C:Q,15,FALSE),VLOOKUP($C33,非生产人员工资!C:T,18,FALSE))),0,IF(ISERROR(VLOOKUP($C33,非生产人员工资!C:T,18,FALSE)),VLOOKUP($C33,生产人员工资!C:Q,15,FALSE),VLOOKUP($C33,非生产人员工资!C:T,18,FALSE)))</f>
        <v>0.00</v>
      </c>
      <c r="S33" s="7">
        <f>IF(ISERROR(VLOOKUP($C33,非生产人员工资!C:U,19,FALSE)),0,VLOOKUP($C33,非生产人员工资!C:U,19,FALSE))</f>
        <v>0</v>
      </c>
      <c r="T33" s="7" t="str">
        <f>IF(ISERROR(IF(ISERROR(VLOOKUP($C33,非生产人员工资!C:V,20,FALSE)),VLOOKUP($C33,生产人员工资!C:R,16,FALSE),VLOOKUP($C33,非生产人员工资!C:V,20,FALSE))),0,IF(ISERROR(VLOOKUP($C33,非生产人员工资!C:V,20,FALSE)),VLOOKUP($C33,生产人员工资!$C:$R,16,FALSE),VLOOKUP($C33,非生产人员工资!C:V,20,FALSE)))</f>
        <v>0.00</v>
      </c>
      <c r="U33" s="7" t="str">
        <f>IF(ISERROR(IF(ISERROR(VLOOKUP($C33,非生产人员工资!C:W,21,FALSE)),VLOOKUP($C33,生产人员工资!C:S,17,FALSE),VLOOKUP($C33,非生产人员工资!C:W,21,FALSE))),0,IF(ISERROR(VLOOKUP($C33,非生产人员工资!C:W,21,FALSE)),VLOOKUP($C33,生产人员工资!C:S,17,FALSE),VLOOKUP($C33,非生产人员工资!C:W,21,FALSE)))</f>
        <v>0</v>
      </c>
      <c r="V33" s="7" t="str">
        <f>IF(ISERROR(IF(ISERROR(VLOOKUP($C33,非生产人员工资!C:X,22,FALSE)),VLOOKUP($C33,生产人员工资!C:T,18,FALSE),VLOOKUP($C33,非生产人员工资!C:X,22,FALSE))),0,IF(ISERROR(VLOOKUP($C33,非生产人员工资!C:X,22,FALSE)),VLOOKUP($C33,生产人员工资!C:T,18,FALSE),VLOOKUP($C33,非生产人员工资!C:X,22,FALSE)))</f>
        <v>0.00</v>
      </c>
      <c r="W33" s="7">
        <f t="shared" si="1"/>
        <v>2000</v>
      </c>
      <c r="X33" s="7" t="str">
        <f>IF(ISERROR(IF(ISERROR(VLOOKUP($C33,非生产人员工资!C:Z,24,FALSE)),VLOOKUP($C33,生产人员工资!C:V,20,FALSE),VLOOKUP($C33,非生产人员工资!$C:$Z,24,FALSE))),0,IF(ISERROR(VLOOKUP($C33,非生产人员工资!$C:$Z,24,FALSE)),VLOOKUP($C33,生产人员工资!$C:$V,20,FALSE),VLOOKUP($C33,非生产人员工资!$C:$Z,24,FALSE)))</f>
        <v>0.00</v>
      </c>
      <c r="Y33" s="7" t="str">
        <f>IF(ISERROR(IF(ISERROR(VLOOKUP($C33,非生产人员工资!C:AA,25,FALSE)),VLOOKUP($C33,生产人员工资!C:W,21,FALSE),VLOOKUP($C33,非生产人员工资!C:AA,25,FALSE))),0,IF(ISERROR(VLOOKUP($C33,非生产人员工资!C:AA,25,FALSE)),VLOOKUP($C33,生产人员工资!C:W,21,FALSE),VLOOKUP($C33,非生产人员工资!C:AA,25,FALSE)))</f>
        <v>0.00</v>
      </c>
      <c r="Z33" s="7" t="str">
        <f>IF(ISERROR(IF(ISERROR(VLOOKUP($C33,非生产人员工资!C:AB,26,FALSE)),VLOOKUP($C33,生产人员工资!C:X,22,FALSE),VLOOKUP($C33,非生产人员工资!C:AB,26,FALSE))),0,IF(ISERROR(VLOOKUP($C33,非生产人员工资!C:AB,26,FALSE)),VLOOKUP($C33,生产人员工资!C:X,22,FALSE),VLOOKUP($C33,非生产人员工资!C:AB,26,FALSE)))</f>
        <v>0.00</v>
      </c>
      <c r="AA33" s="7" t="str">
        <f>IF(ISERROR(IF(ISERROR(VLOOKUP($C33,非生产人员工资!C:AC,27,FALSE)),VLOOKUP($C33,生产人员工资!C:Y,23,FALSE),VLOOKUP($C33,非生产人员工资!C:AC,27,FALSE))),0,IF(ISERROR(VLOOKUP($C33,非生产人员工资!C:AC,27,FALSE)),VLOOKUP($C33,生产人员工资!C:Y,23,FALSE),VLOOKUP($C33,非生产人员工资!C:AC,27,FALSE)))</f>
        <v>0.00</v>
      </c>
      <c r="AB33" s="7">
        <f>IF(ISERROR(IF(ISERROR(VLOOKUP($C33,非生产人员工资!C:AD,28,FALSE)),VLOOKUP($C33,生产人员工资!C:Z,24,FALSE),VLOOKUP($C33,非生产人员工资!C:AD,28,FALSE))),0,IF(ISERROR(VLOOKUP($C33,非生产人员工资!C:AD,28,FALSE)),VLOOKUP($C33,生产人员工资!C:Z,24,FALSE),VLOOKUP($C33,非生产人员工资!C:AD,28,FALSE)))</f>
        <v>0</v>
      </c>
      <c r="AC33" s="269">
        <f>ROUND(IF(ISERROR(IF(ISERROR(VLOOKUP($C33,非生产人员工资!C:AF,30,FALSE)),VLOOKUP($C33,生产人员工资!C:AB,26,0),VLOOKUP($C33,非生产人员工资!C:AF,30,FALSE))),0,IF(ISERROR(VLOOKUP($C33,非生产人员工资!C:AF,30,FALSE)),VLOOKUP($C33,生产人员工资!C:AB,26,0),VLOOKUP($C33,非生产人员工资!C:AF,30,FALSE))),2)</f>
        <v>0</v>
      </c>
      <c r="AD33" s="269">
        <f t="shared" si="2"/>
        <v>2000</v>
      </c>
      <c r="AE33" s="269" t="str">
        <f>VLOOKUP($C33,员工基本信息!$C:$N,10,FALSE)</f>
        <v>销售费用+销售</v>
      </c>
      <c r="AF33" s="265" t="str">
        <f>VLOOKUP($C33,员工基本信息!$C:$O,11,FALSE)</f>
        <v>不计入成本</v>
      </c>
      <c r="AG33" s="265" t="str">
        <f>VLOOKUP($C33,员工基本信息!$C:$O,12,FALSE)</f>
        <v>销售服务科</v>
      </c>
      <c r="AH33" s="265" t="str">
        <f>VLOOKUP($C33,员工基本信息!$C:$O,13,FALSE)</f>
        <v>驻外人员</v>
      </c>
      <c r="AI33" s="249" t="str">
        <f>VLOOKUP($B33,员工基本信息!$B:$S,16,FALSE)</f>
        <v>6217001700010230116</v>
      </c>
      <c r="AJ33" s="249" t="str">
        <f>VLOOKUP($B33,员工基本信息!$B:$S,18,FALSE)</f>
        <v>建行</v>
      </c>
      <c r="AK33" s="249" t="str">
        <f>VLOOKUP(C33,员工基本信息!$C:$M,11,0)</f>
        <v>不计入成本</v>
      </c>
    </row>
    <row r="34" s="250" customFormat="1" customHeight="1" spans="1:37">
      <c r="A34" s="264">
        <v>31</v>
      </c>
      <c r="B34" s="6" t="str">
        <f>本月员工姓名!B32</f>
        <v>张镁凤</v>
      </c>
      <c r="C34" s="265" t="str">
        <f>VLOOKUP($B34,员工基本信息!$B:$I,2,FALSE)</f>
        <v>360202198603173042</v>
      </c>
      <c r="D34" s="266" t="str">
        <f>VLOOKUP($B34,员工基本信息!$B:$I,4,FALSE)</f>
        <v>销售服务科</v>
      </c>
      <c r="E34" s="266" t="str">
        <f>VLOOKUP($B34,员工基本信息!$B:$I,5,FALSE)</f>
        <v>景德镇服务</v>
      </c>
      <c r="F34" s="267">
        <f>IF(ISERROR(VLOOKUP($C34,非生产人员工资!C:I,7,FALSE)),0,VLOOKUP($C34,非生产人员工资!C:I,7,FALSE))</f>
        <v>800</v>
      </c>
      <c r="G34" s="267">
        <f>IF(ISERROR(VLOOKUP($C34,非生产人员工资!C:J,8,0)),0,VLOOKUP($C34,非生产人员工资!C:J,8,FALSE))</f>
        <v>0</v>
      </c>
      <c r="H34" s="7">
        <f>IF(ISERROR(VLOOKUP($C34,非生产人员工资!C:K,9,FALSE)),0,VLOOKUP($C34,非生产人员工资!C:K,9,FALSE))</f>
        <v>0</v>
      </c>
      <c r="I34" s="7">
        <f>IF(ISERROR(VLOOKUP($C34,非生产人员工资!C:L,10,FALSE)),0,VLOOKUP($C34,非生产人员工资!C:L,10,FALSE))</f>
        <v>0</v>
      </c>
      <c r="J34" s="7">
        <f>IF(ISERROR(VLOOKUP($C34,生产人员工资!C:I,7,FALSE)),0,VLOOKUP($C34,生产人员工资!C:I,7,FALSE))</f>
        <v>0</v>
      </c>
      <c r="K34" s="7">
        <f>IF(ISERROR(VLOOKUP($C34,生产人员工资!C:J,8,FALSE)),0,VLOOKUP($C34,生产人员工资!C:J,8,FALSE))</f>
        <v>0</v>
      </c>
      <c r="L34" s="7" t="str">
        <f>IF(ISERROR(IF(ISERROR(VLOOKUP($C34,非生产人员工资!C:N,12,FALSE)),VLOOKUP($C34,生产人员工资!C:K,9,FALSE),VLOOKUP($C34,非生产人员工资!C:N,12,FALSE))),0,IF(ISERROR(VLOOKUP($C34,非生产人员工资!C:N,12,FALSE)),VLOOKUP($C34,生产人员工资!C:K,9,FALSE),VLOOKUP($C34,非生产人员工资!C:N,12,FALSE)))</f>
        <v>0.00</v>
      </c>
      <c r="M34" s="7" t="str">
        <f>IF(ISERROR(IF(ISERROR(VLOOKUP($C34,非生产人员工资!$C:$O,13,FALSE)),VLOOKUP($C34,生产人员工资!$C:$L,10,FALSE),VLOOKUP($C34,非生产人员工资!$C:$O,13,FALSE))),0,IF(ISERROR(VLOOKUP($C34,非生产人员工资!$C:$O,13,FALSE)),VLOOKUP($C34,生产人员工资!$C:$L,10,FALSE),VLOOKUP($C34,非生产人员工资!$C:$O,13,FALSE)))</f>
        <v>0.00</v>
      </c>
      <c r="N34" s="7" t="str">
        <f>IF(ISERROR(IF(ISERROR(VLOOKUP($C34,非生产人员工资!$C:$P,14,FALSE)),VLOOKUP($C34,生产人员工资!$C:$M,11,FALSE),VLOOKUP($C34,非生产人员工资!$C:$P,14,FALSE))),0,IF(ISERROR(VLOOKUP($C34,非生产人员工资!$C:$P,14,FALSE)),VLOOKUP($C34,生产人员工资!$C:$M,11,FALSE),VLOOKUP($C34,非生产人员工资!$C:$P,14,FALSE)))</f>
        <v>0.00</v>
      </c>
      <c r="O34" s="7" t="str">
        <f>IF(ISERROR(IF(ISERROR(VLOOKUP($C34,非生产人员工资!C:Q,15,FALSE)),VLOOKUP($C34,生产人员工资!C:N,12,FALSE),VLOOKUP($C34,非生产人员工资!C:Q,15,FALSE))),0,IF(ISERROR(VLOOKUP($C34,非生产人员工资!C:Q,15,FALSE)),VLOOKUP($C34,生产人员工资!C:N,12,FALSE),VLOOKUP($C34,非生产人员工资!C:Q,15,FALSE)))</f>
        <v>0.00</v>
      </c>
      <c r="P34" s="7" t="str">
        <f>IF(ISERROR(IF(ISERROR(VLOOKUP($C34,非生产人员工资!C:R,16,FALSE)),VLOOKUP($C34,生产人员工资!C:O,13,FALSE),VLOOKUP($C34,非生产人员工资!C:R,16,FALSE))),0,IF(ISERROR(VLOOKUP($C34,非生产人员工资!C:R,16,FALSE)),VLOOKUP($C34,生产人员工资!C:O,13,FALSE),VLOOKUP($C34,非生产人员工资!C:R,16,FALSE)))</f>
        <v>0.00</v>
      </c>
      <c r="Q34" s="7" t="str">
        <f>IF(ISERROR(IF(ISERROR(VLOOKUP($C34,非生产人员工资!C:S,17,FALSE)),VLOOKUP($C34,生产人员工资!C:P,14,FALSE),VLOOKUP($C34,非生产人员工资!C:S,17,FALSE))),0,IF(ISERROR(VLOOKUP($C34,非生产人员工资!C:S,17,FALSE)),VLOOKUP($C34,生产人员工资!C:P,14,FALSE),VLOOKUP($C34,非生产人员工资!C:S,17,FALSE)))</f>
        <v>0.00</v>
      </c>
      <c r="R34" s="7" t="str">
        <f>IF(ISERROR(IF(ISERROR(VLOOKUP($C34,非生产人员工资!C:T,18,FALSE)),VLOOKUP($C34,生产人员工资!C:Q,15,FALSE),VLOOKUP($C34,非生产人员工资!C:T,18,FALSE))),0,IF(ISERROR(VLOOKUP($C34,非生产人员工资!C:T,18,FALSE)),VLOOKUP($C34,生产人员工资!C:Q,15,FALSE),VLOOKUP($C34,非生产人员工资!C:T,18,FALSE)))</f>
        <v>0.00</v>
      </c>
      <c r="S34" s="7">
        <f>IF(ISERROR(VLOOKUP($C34,非生产人员工资!C:U,19,FALSE)),0,VLOOKUP($C34,非生产人员工资!C:U,19,FALSE))</f>
        <v>0</v>
      </c>
      <c r="T34" s="7" t="str">
        <f>IF(ISERROR(IF(ISERROR(VLOOKUP($C34,非生产人员工资!C:V,20,FALSE)),VLOOKUP($C34,生产人员工资!C:R,16,FALSE),VLOOKUP($C34,非生产人员工资!C:V,20,FALSE))),0,IF(ISERROR(VLOOKUP($C34,非生产人员工资!C:V,20,FALSE)),VLOOKUP($C34,生产人员工资!$C:$R,16,FALSE),VLOOKUP($C34,非生产人员工资!C:V,20,FALSE)))</f>
        <v>0.00</v>
      </c>
      <c r="U34" s="7" t="str">
        <f>IF(ISERROR(IF(ISERROR(VLOOKUP($C34,非生产人员工资!C:W,21,FALSE)),VLOOKUP($C34,生产人员工资!C:S,17,FALSE),VLOOKUP($C34,非生产人员工资!C:W,21,FALSE))),0,IF(ISERROR(VLOOKUP($C34,非生产人员工资!C:W,21,FALSE)),VLOOKUP($C34,生产人员工资!C:S,17,FALSE),VLOOKUP($C34,非生产人员工资!C:W,21,FALSE)))</f>
        <v>0</v>
      </c>
      <c r="V34" s="7" t="str">
        <f>IF(ISERROR(IF(ISERROR(VLOOKUP($C34,非生产人员工资!C:X,22,FALSE)),VLOOKUP($C34,生产人员工资!C:T,18,FALSE),VLOOKUP($C34,非生产人员工资!C:X,22,FALSE))),0,IF(ISERROR(VLOOKUP($C34,非生产人员工资!C:X,22,FALSE)),VLOOKUP($C34,生产人员工资!C:T,18,FALSE),VLOOKUP($C34,非生产人员工资!C:X,22,FALSE)))</f>
        <v>0.00</v>
      </c>
      <c r="W34" s="7">
        <f t="shared" si="1"/>
        <v>800</v>
      </c>
      <c r="X34" s="7" t="str">
        <f>IF(ISERROR(IF(ISERROR(VLOOKUP($C34,非生产人员工资!C:Z,24,FALSE)),VLOOKUP($C34,生产人员工资!C:V,20,FALSE),VLOOKUP($C34,非生产人员工资!$C:$Z,24,FALSE))),0,IF(ISERROR(VLOOKUP($C34,非生产人员工资!$C:$Z,24,FALSE)),VLOOKUP($C34,生产人员工资!$C:$V,20,FALSE),VLOOKUP($C34,非生产人员工资!$C:$Z,24,FALSE)))</f>
        <v>0.00</v>
      </c>
      <c r="Y34" s="7" t="str">
        <f>IF(ISERROR(IF(ISERROR(VLOOKUP($C34,非生产人员工资!C:AA,25,FALSE)),VLOOKUP($C34,生产人员工资!C:W,21,FALSE),VLOOKUP($C34,非生产人员工资!C:AA,25,FALSE))),0,IF(ISERROR(VLOOKUP($C34,非生产人员工资!C:AA,25,FALSE)),VLOOKUP($C34,生产人员工资!C:W,21,FALSE),VLOOKUP($C34,非生产人员工资!C:AA,25,FALSE)))</f>
        <v>0.00</v>
      </c>
      <c r="Z34" s="7" t="str">
        <f>IF(ISERROR(IF(ISERROR(VLOOKUP($C34,非生产人员工资!C:AB,26,FALSE)),VLOOKUP($C34,生产人员工资!C:X,22,FALSE),VLOOKUP($C34,非生产人员工资!C:AB,26,FALSE))),0,IF(ISERROR(VLOOKUP($C34,非生产人员工资!C:AB,26,FALSE)),VLOOKUP($C34,生产人员工资!C:X,22,FALSE),VLOOKUP($C34,非生产人员工资!C:AB,26,FALSE)))</f>
        <v>0.00</v>
      </c>
      <c r="AA34" s="7" t="str">
        <f>IF(ISERROR(IF(ISERROR(VLOOKUP($C34,非生产人员工资!C:AC,27,FALSE)),VLOOKUP($C34,生产人员工资!C:Y,23,FALSE),VLOOKUP($C34,非生产人员工资!C:AC,27,FALSE))),0,IF(ISERROR(VLOOKUP($C34,非生产人员工资!C:AC,27,FALSE)),VLOOKUP($C34,生产人员工资!C:Y,23,FALSE),VLOOKUP($C34,非生产人员工资!C:AC,27,FALSE)))</f>
        <v>0.00</v>
      </c>
      <c r="AB34" s="7">
        <f>IF(ISERROR(IF(ISERROR(VLOOKUP($C34,非生产人员工资!C:AD,28,FALSE)),VLOOKUP($C34,生产人员工资!C:Z,24,FALSE),VLOOKUP($C34,非生产人员工资!C:AD,28,FALSE))),0,IF(ISERROR(VLOOKUP($C34,非生产人员工资!C:AD,28,FALSE)),VLOOKUP($C34,生产人员工资!C:Z,24,FALSE),VLOOKUP($C34,非生产人员工资!C:AD,28,FALSE)))</f>
        <v>0</v>
      </c>
      <c r="AC34" s="269">
        <f>ROUND(IF(ISERROR(IF(ISERROR(VLOOKUP($C34,非生产人员工资!C:AF,30,FALSE)),VLOOKUP($C34,生产人员工资!C:AB,26,0),VLOOKUP($C34,非生产人员工资!C:AF,30,FALSE))),0,IF(ISERROR(VLOOKUP($C34,非生产人员工资!C:AF,30,FALSE)),VLOOKUP($C34,生产人员工资!C:AB,26,0),VLOOKUP($C34,非生产人员工资!C:AF,30,FALSE))),2)</f>
        <v>0</v>
      </c>
      <c r="AD34" s="269">
        <f t="shared" si="2"/>
        <v>800</v>
      </c>
      <c r="AE34" s="269" t="str">
        <f>VLOOKUP($C34,员工基本信息!$C:$N,10,FALSE)</f>
        <v>销售费用+销售</v>
      </c>
      <c r="AF34" s="265" t="str">
        <f>VLOOKUP($C34,员工基本信息!$C:$O,11,FALSE)</f>
        <v>不计入成本</v>
      </c>
      <c r="AG34" s="265" t="str">
        <f>VLOOKUP($C34,员工基本信息!$C:$O,12,FALSE)</f>
        <v>销售服务科</v>
      </c>
      <c r="AH34" s="265" t="str">
        <f>VLOOKUP($C34,员工基本信息!$C:$O,13,FALSE)</f>
        <v>驻外人员</v>
      </c>
      <c r="AI34" s="249" t="str">
        <f>VLOOKUP($B34,员工基本信息!$B:$S,16,FALSE)</f>
        <v>6217002040006120958</v>
      </c>
      <c r="AJ34" s="249" t="str">
        <f>VLOOKUP($B34,员工基本信息!$B:$S,18,FALSE)</f>
        <v>建行</v>
      </c>
      <c r="AK34" s="249" t="str">
        <f>VLOOKUP(C34,员工基本信息!$C:$M,11,0)</f>
        <v>不计入成本</v>
      </c>
    </row>
    <row r="35" s="250" customFormat="1" customHeight="1" spans="1:37">
      <c r="A35" s="264">
        <v>32</v>
      </c>
      <c r="B35" s="6" t="str">
        <f>本月员工姓名!B33</f>
        <v>李伟</v>
      </c>
      <c r="C35" s="265" t="str">
        <f>VLOOKUP($B35,员工基本信息!$B:$I,2,FALSE)</f>
        <v>130903198411290318</v>
      </c>
      <c r="D35" s="266" t="str">
        <f>VLOOKUP($B35,员工基本信息!$B:$I,4,FALSE)</f>
        <v>运营管理部</v>
      </c>
      <c r="E35" s="266" t="str">
        <f>VLOOKUP($B35,员工基本信息!$B:$I,5,FALSE)</f>
        <v>运营管理</v>
      </c>
      <c r="F35" s="267">
        <f>IF(ISERROR(VLOOKUP($C35,非生产人员工资!C:I,7,FALSE)),0,VLOOKUP($C35,非生产人员工资!C:I,7,FALSE))</f>
        <v>1790</v>
      </c>
      <c r="G35" s="267">
        <f>IF(ISERROR(VLOOKUP($C35,非生产人员工资!C:J,8,0)),0,VLOOKUP($C35,非生产人员工资!C:J,8,FALSE))</f>
        <v>0</v>
      </c>
      <c r="H35" s="7">
        <f>IF(ISERROR(VLOOKUP($C35,非生产人员工资!C:K,9,FALSE)),0,VLOOKUP($C35,非生产人员工资!C:K,9,FALSE))</f>
        <v>7291.232</v>
      </c>
      <c r="I35" s="7">
        <f>IF(ISERROR(VLOOKUP($C35,非生产人员工资!C:L,10,FALSE)),0,VLOOKUP($C35,非生产人员工资!C:L,10,FALSE))</f>
        <v>2270.308</v>
      </c>
      <c r="J35" s="7">
        <f>IF(ISERROR(VLOOKUP($C35,生产人员工资!C:I,7,FALSE)),0,VLOOKUP($C35,生产人员工资!C:I,7,FALSE))</f>
        <v>0</v>
      </c>
      <c r="K35" s="7">
        <f>IF(ISERROR(VLOOKUP($C35,生产人员工资!C:J,8,FALSE)),0,VLOOKUP($C35,生产人员工资!C:J,8,FALSE))</f>
        <v>0</v>
      </c>
      <c r="L35" s="7">
        <f>IF(ISERROR(IF(ISERROR(VLOOKUP($C35,非生产人员工资!C:N,12,FALSE)),VLOOKUP($C35,生产人员工资!C:K,9,FALSE),VLOOKUP($C35,非生产人员工资!C:N,12,FALSE))),0,IF(ISERROR(VLOOKUP($C35,非生产人员工资!C:N,12,FALSE)),VLOOKUP($C35,生产人员工资!C:K,9,FALSE),VLOOKUP($C35,非生产人员工资!C:N,12,FALSE)))</f>
        <v>0</v>
      </c>
      <c r="M35" s="7" t="str">
        <f>IF(ISERROR(IF(ISERROR(VLOOKUP($C35,非生产人员工资!$C:$O,13,FALSE)),VLOOKUP($C35,生产人员工资!$C:$L,10,FALSE),VLOOKUP($C35,非生产人员工资!$C:$O,13,FALSE))),0,IF(ISERROR(VLOOKUP($C35,非生产人员工资!$C:$O,13,FALSE)),VLOOKUP($C35,生产人员工资!$C:$L,10,FALSE),VLOOKUP($C35,非生产人员工资!$C:$O,13,FALSE)))</f>
        <v>0.00</v>
      </c>
      <c r="N35" s="7">
        <f>IF(ISERROR(IF(ISERROR(VLOOKUP($C35,非生产人员工资!$C:$P,14,FALSE)),VLOOKUP($C35,生产人员工资!$C:$M,11,FALSE),VLOOKUP($C35,非生产人员工资!$C:$P,14,FALSE))),0,IF(ISERROR(VLOOKUP($C35,非生产人员工资!$C:$P,14,FALSE)),VLOOKUP($C35,生产人员工资!$C:$M,11,FALSE),VLOOKUP($C35,非生产人员工资!$C:$P,14,FALSE)))</f>
        <v>390</v>
      </c>
      <c r="O35" s="7" t="str">
        <f>IF(ISERROR(IF(ISERROR(VLOOKUP($C35,非生产人员工资!C:Q,15,FALSE)),VLOOKUP($C35,生产人员工资!C:N,12,FALSE),VLOOKUP($C35,非生产人员工资!C:Q,15,FALSE))),0,IF(ISERROR(VLOOKUP($C35,非生产人员工资!C:Q,15,FALSE)),VLOOKUP($C35,生产人员工资!C:N,12,FALSE),VLOOKUP($C35,非生产人员工资!C:Q,15,FALSE)))</f>
        <v>0.00</v>
      </c>
      <c r="P35" s="7" t="str">
        <f>IF(ISERROR(IF(ISERROR(VLOOKUP($C35,非生产人员工资!C:R,16,FALSE)),VLOOKUP($C35,生产人员工资!C:O,13,FALSE),VLOOKUP($C35,非生产人员工资!C:R,16,FALSE))),0,IF(ISERROR(VLOOKUP($C35,非生产人员工资!C:R,16,FALSE)),VLOOKUP($C35,生产人员工资!C:O,13,FALSE),VLOOKUP($C35,非生产人员工资!C:R,16,FALSE)))</f>
        <v>0.00</v>
      </c>
      <c r="Q35" s="7">
        <f>IF(ISERROR(IF(ISERROR(VLOOKUP($C35,非生产人员工资!C:S,17,FALSE)),VLOOKUP($C35,生产人员工资!C:P,14,FALSE),VLOOKUP($C35,非生产人员工资!C:S,17,FALSE))),0,IF(ISERROR(VLOOKUP($C35,非生产人员工资!C:S,17,FALSE)),VLOOKUP($C35,生产人员工资!C:P,14,FALSE),VLOOKUP($C35,非生产人员工资!C:S,17,FALSE)))</f>
        <v>575.58</v>
      </c>
      <c r="R35" s="7" t="str">
        <f>IF(ISERROR(IF(ISERROR(VLOOKUP($C35,非生产人员工资!C:T,18,FALSE)),VLOOKUP($C35,生产人员工资!C:Q,15,FALSE),VLOOKUP($C35,非生产人员工资!C:T,18,FALSE))),0,IF(ISERROR(VLOOKUP($C35,非生产人员工资!C:T,18,FALSE)),VLOOKUP($C35,生产人员工资!C:Q,15,FALSE),VLOOKUP($C35,非生产人员工资!C:T,18,FALSE)))</f>
        <v>0.00</v>
      </c>
      <c r="S35" s="7">
        <f>IF(ISERROR(VLOOKUP($C35,非生产人员工资!C:U,19,FALSE)),0,VLOOKUP($C35,非生产人员工资!C:U,19,FALSE))</f>
        <v>0</v>
      </c>
      <c r="T35" s="7" t="str">
        <f>IF(ISERROR(IF(ISERROR(VLOOKUP($C35,非生产人员工资!C:V,20,FALSE)),VLOOKUP($C35,生产人员工资!C:R,16,FALSE),VLOOKUP($C35,非生产人员工资!C:V,20,FALSE))),0,IF(ISERROR(VLOOKUP($C35,非生产人员工资!C:V,20,FALSE)),VLOOKUP($C35,生产人员工资!$C:$R,16,FALSE),VLOOKUP($C35,非生产人员工资!C:V,20,FALSE)))</f>
        <v>0.00</v>
      </c>
      <c r="U35" s="7" t="str">
        <f>IF(ISERROR(IF(ISERROR(VLOOKUP($C35,非生产人员工资!C:W,21,FALSE)),VLOOKUP($C35,生产人员工资!C:S,17,FALSE),VLOOKUP($C35,非生产人员工资!C:W,21,FALSE))),0,IF(ISERROR(VLOOKUP($C35,非生产人员工资!C:W,21,FALSE)),VLOOKUP($C35,生产人员工资!C:S,17,FALSE),VLOOKUP($C35,非生产人员工资!C:W,21,FALSE)))</f>
        <v>0</v>
      </c>
      <c r="V35" s="7" t="str">
        <f>IF(ISERROR(IF(ISERROR(VLOOKUP($C35,非生产人员工资!C:X,22,FALSE)),VLOOKUP($C35,生产人员工资!C:T,18,FALSE),VLOOKUP($C35,非生产人员工资!C:X,22,FALSE))),0,IF(ISERROR(VLOOKUP($C35,非生产人员工资!C:X,22,FALSE)),VLOOKUP($C35,生产人员工资!C:T,18,FALSE),VLOOKUP($C35,非生产人员工资!C:X,22,FALSE)))</f>
        <v>0.00</v>
      </c>
      <c r="W35" s="7">
        <f t="shared" si="1"/>
        <v>12317.12</v>
      </c>
      <c r="X35" s="7">
        <f>IF(ISERROR(IF(ISERROR(VLOOKUP($C35,非生产人员工资!C:Z,24,FALSE)),VLOOKUP($C35,生产人员工资!C:V,20,FALSE),VLOOKUP($C35,非生产人员工资!$C:$Z,24,FALSE))),0,IF(ISERROR(VLOOKUP($C35,非生产人员工资!$C:$Z,24,FALSE)),VLOOKUP($C35,生产人员工资!$C:$V,20,FALSE),VLOOKUP($C35,非生产人员工资!$C:$Z,24,FALSE)))</f>
        <v>428.8</v>
      </c>
      <c r="Y35" s="7">
        <f>IF(ISERROR(IF(ISERROR(VLOOKUP($C35,非生产人员工资!C:AA,25,FALSE)),VLOOKUP($C35,生产人员工资!C:W,21,FALSE),VLOOKUP($C35,非生产人员工资!C:AA,25,FALSE))),0,IF(ISERROR(VLOOKUP($C35,非生产人员工资!C:AA,25,FALSE)),VLOOKUP($C35,生产人员工资!C:W,21,FALSE),VLOOKUP($C35,非生产人员工资!C:AA,25,FALSE)))</f>
        <v>110.2</v>
      </c>
      <c r="Z35" s="7">
        <f>IF(ISERROR(IF(ISERROR(VLOOKUP($C35,非生产人员工资!C:AB,26,FALSE)),VLOOKUP($C35,生产人员工资!C:X,22,FALSE),VLOOKUP($C35,非生产人员工资!C:AB,26,FALSE))),0,IF(ISERROR(VLOOKUP($C35,非生产人员工资!C:AB,26,FALSE)),VLOOKUP($C35,生产人员工资!C:X,22,FALSE),VLOOKUP($C35,非生产人员工资!C:AB,26,FALSE)))</f>
        <v>26.8</v>
      </c>
      <c r="AA35" s="7">
        <f>IF(ISERROR(IF(ISERROR(VLOOKUP($C35,非生产人员工资!C:AC,27,FALSE)),VLOOKUP($C35,生产人员工资!C:Y,23,FALSE),VLOOKUP($C35,非生产人员工资!C:AC,27,FALSE))),0,IF(ISERROR(VLOOKUP($C35,非生产人员工资!C:AC,27,FALSE)),VLOOKUP($C35,生产人员工资!C:Y,23,FALSE),VLOOKUP($C35,非生产人员工资!C:AC,27,FALSE)))</f>
        <v>420</v>
      </c>
      <c r="AB35" s="7">
        <f>IF(ISERROR(IF(ISERROR(VLOOKUP($C35,非生产人员工资!C:AD,28,FALSE)),VLOOKUP($C35,生产人员工资!C:Z,24,FALSE),VLOOKUP($C35,非生产人员工资!C:AD,28,FALSE))),0,IF(ISERROR(VLOOKUP($C35,非生产人员工资!C:AD,28,FALSE)),VLOOKUP($C35,生产人员工资!C:Z,24,FALSE),VLOOKUP($C35,非生产人员工资!C:AD,28,FALSE)))</f>
        <v>0</v>
      </c>
      <c r="AC35" s="269">
        <f>ROUND(IF(ISERROR(IF(ISERROR(VLOOKUP($C35,非生产人员工资!C:AF,30,FALSE)),VLOOKUP($C35,生产人员工资!C:AB,26,0),VLOOKUP($C35,非生产人员工资!C:AF,30,FALSE))),0,IF(ISERROR(VLOOKUP($C35,非生产人员工资!C:AF,30,FALSE)),VLOOKUP($C35,生产人员工资!C:AB,26,0),VLOOKUP($C35,非生产人员工资!C:AF,30,FALSE))),2)</f>
        <v>0</v>
      </c>
      <c r="AD35" s="269">
        <f t="shared" si="2"/>
        <v>11331.32</v>
      </c>
      <c r="AE35" s="269" t="str">
        <f>VLOOKUP($C35,员工基本信息!$C:$N,10,FALSE)</f>
        <v>管理费用+运营</v>
      </c>
      <c r="AF35" s="265" t="str">
        <f>VLOOKUP($C35,员工基本信息!$C:$O,11,FALSE)</f>
        <v>间接成本</v>
      </c>
      <c r="AG35" s="265" t="str">
        <f>VLOOKUP($C35,员工基本信息!$C:$O,12,FALSE)</f>
        <v>运营管理部</v>
      </c>
      <c r="AH35" s="265" t="str">
        <f>VLOOKUP($C35,员工基本信息!$C:$O,13,FALSE)</f>
        <v>管理人员</v>
      </c>
      <c r="AI35" s="249" t="str">
        <f>VLOOKUP($B35,员工基本信息!$B:$S,16,FALSE)</f>
        <v>6214220101207762775</v>
      </c>
      <c r="AJ35" s="249" t="str">
        <f>VLOOKUP($B35,员工基本信息!$B:$S,18,FALSE)</f>
        <v>沧州</v>
      </c>
      <c r="AK35" s="249" t="str">
        <f>VLOOKUP(C35,员工基本信息!$C:$M,11,0)</f>
        <v>间接成本</v>
      </c>
    </row>
    <row r="36" s="250" customFormat="1" customHeight="1" spans="1:37">
      <c r="A36" s="264">
        <v>33</v>
      </c>
      <c r="B36" s="6" t="str">
        <f>本月员工姓名!B34</f>
        <v>张亚霖</v>
      </c>
      <c r="C36" s="265" t="str">
        <f>VLOOKUP($B36,员工基本信息!$B:$I,2,FALSE)</f>
        <v>132930199002011811</v>
      </c>
      <c r="D36" s="266" t="str">
        <f>VLOOKUP($B36,员工基本信息!$B:$I,4,FALSE)</f>
        <v>制造管理部-后勤</v>
      </c>
      <c r="E36" s="266" t="str">
        <f>VLOOKUP($B36,员工基本信息!$B:$I,5,FALSE)</f>
        <v>副部长</v>
      </c>
      <c r="F36" s="267">
        <f>IF(ISERROR(VLOOKUP($C36,非生产人员工资!C:I,7,FALSE)),0,VLOOKUP($C36,非生产人员工资!C:I,7,FALSE))</f>
        <v>1790</v>
      </c>
      <c r="G36" s="267">
        <f>IF(ISERROR(VLOOKUP($C36,非生产人员工资!C:J,8,0)),0,VLOOKUP($C36,非生产人员工资!C:J,8,FALSE))</f>
        <v>0</v>
      </c>
      <c r="H36" s="7">
        <f>IF(ISERROR(VLOOKUP($C36,非生产人员工资!C:K,9,FALSE)),0,VLOOKUP($C36,非生产人员工资!C:K,9,FALSE))</f>
        <v>4210</v>
      </c>
      <c r="I36" s="7">
        <f>IF(ISERROR(VLOOKUP($C36,非生产人员工资!C:L,10,FALSE)),0,VLOOKUP($C36,非生产人员工资!C:L,10,FALSE))</f>
        <v>1500</v>
      </c>
      <c r="J36" s="7">
        <f>IF(ISERROR(VLOOKUP($C36,生产人员工资!C:I,7,FALSE)),0,VLOOKUP($C36,生产人员工资!C:I,7,FALSE))</f>
        <v>0</v>
      </c>
      <c r="K36" s="7">
        <f>IF(ISERROR(VLOOKUP($C36,生产人员工资!C:J,8,FALSE)),0,VLOOKUP($C36,生产人员工资!C:J,8,FALSE))</f>
        <v>0</v>
      </c>
      <c r="L36" s="7">
        <f>IF(ISERROR(IF(ISERROR(VLOOKUP($C36,非生产人员工资!C:N,12,FALSE)),VLOOKUP($C36,生产人员工资!C:K,9,FALSE),VLOOKUP($C36,非生产人员工资!C:N,12,FALSE))),0,IF(ISERROR(VLOOKUP($C36,非生产人员工资!C:N,12,FALSE)),VLOOKUP($C36,生产人员工资!C:K,9,FALSE),VLOOKUP($C36,非生产人员工资!C:N,12,FALSE)))</f>
        <v>0</v>
      </c>
      <c r="M36" s="7" t="str">
        <f>IF(ISERROR(IF(ISERROR(VLOOKUP($C36,非生产人员工资!$C:$O,13,FALSE)),VLOOKUP($C36,生产人员工资!$C:$L,10,FALSE),VLOOKUP($C36,非生产人员工资!$C:$O,13,FALSE))),0,IF(ISERROR(VLOOKUP($C36,非生产人员工资!$C:$O,13,FALSE)),VLOOKUP($C36,生产人员工资!$C:$L,10,FALSE),VLOOKUP($C36,非生产人员工资!$C:$O,13,FALSE)))</f>
        <v>0.00</v>
      </c>
      <c r="N36" s="7">
        <f>IF(ISERROR(IF(ISERROR(VLOOKUP($C36,非生产人员工资!$C:$P,14,FALSE)),VLOOKUP($C36,生产人员工资!$C:$M,11,FALSE),VLOOKUP($C36,非生产人员工资!$C:$P,14,FALSE))),0,IF(ISERROR(VLOOKUP($C36,非生产人员工资!$C:$P,14,FALSE)),VLOOKUP($C36,生产人员工资!$C:$M,11,FALSE),VLOOKUP($C36,非生产人员工资!$C:$P,14,FALSE)))</f>
        <v>160</v>
      </c>
      <c r="O36" s="7" t="str">
        <f>IF(ISERROR(IF(ISERROR(VLOOKUP($C36,非生产人员工资!C:Q,15,FALSE)),VLOOKUP($C36,生产人员工资!C:N,12,FALSE),VLOOKUP($C36,非生产人员工资!C:Q,15,FALSE))),0,IF(ISERROR(VLOOKUP($C36,非生产人员工资!C:Q,15,FALSE)),VLOOKUP($C36,生产人员工资!C:N,12,FALSE),VLOOKUP($C36,非生产人员工资!C:Q,15,FALSE)))</f>
        <v>0.00</v>
      </c>
      <c r="P36" s="7" t="str">
        <f>IF(ISERROR(IF(ISERROR(VLOOKUP($C36,非生产人员工资!C:R,16,FALSE)),VLOOKUP($C36,生产人员工资!C:O,13,FALSE),VLOOKUP($C36,非生产人员工资!C:R,16,FALSE))),0,IF(ISERROR(VLOOKUP($C36,非生产人员工资!C:R,16,FALSE)),VLOOKUP($C36,生产人员工资!C:O,13,FALSE),VLOOKUP($C36,非生产人员工资!C:R,16,FALSE)))</f>
        <v>0.00</v>
      </c>
      <c r="Q36" s="7" t="str">
        <f>IF(ISERROR(IF(ISERROR(VLOOKUP($C36,非生产人员工资!C:S,17,FALSE)),VLOOKUP($C36,生产人员工资!C:P,14,FALSE),VLOOKUP($C36,非生产人员工资!C:S,17,FALSE))),0,IF(ISERROR(VLOOKUP($C36,非生产人员工资!C:S,17,FALSE)),VLOOKUP($C36,生产人员工资!C:P,14,FALSE),VLOOKUP($C36,非生产人员工资!C:S,17,FALSE)))</f>
        <v>0.00</v>
      </c>
      <c r="R36" s="7" t="str">
        <f>IF(ISERROR(IF(ISERROR(VLOOKUP($C36,非生产人员工资!C:T,18,FALSE)),VLOOKUP($C36,生产人员工资!C:Q,15,FALSE),VLOOKUP($C36,非生产人员工资!C:T,18,FALSE))),0,IF(ISERROR(VLOOKUP($C36,非生产人员工资!C:T,18,FALSE)),VLOOKUP($C36,生产人员工资!C:Q,15,FALSE),VLOOKUP($C36,非生产人员工资!C:T,18,FALSE)))</f>
        <v>0.00</v>
      </c>
      <c r="S36" s="7">
        <f>IF(ISERROR(VLOOKUP($C36,非生产人员工资!C:U,19,FALSE)),0,VLOOKUP($C36,非生产人员工资!C:U,19,FALSE))</f>
        <v>0</v>
      </c>
      <c r="T36" s="7" t="str">
        <f>IF(ISERROR(IF(ISERROR(VLOOKUP($C36,非生产人员工资!C:V,20,FALSE)),VLOOKUP($C36,生产人员工资!C:R,16,FALSE),VLOOKUP($C36,非生产人员工资!C:V,20,FALSE))),0,IF(ISERROR(VLOOKUP($C36,非生产人员工资!C:V,20,FALSE)),VLOOKUP($C36,生产人员工资!$C:$R,16,FALSE),VLOOKUP($C36,非生产人员工资!C:V,20,FALSE)))</f>
        <v>0.00</v>
      </c>
      <c r="U36" s="7" t="str">
        <f>IF(ISERROR(IF(ISERROR(VLOOKUP($C36,非生产人员工资!C:W,21,FALSE)),VLOOKUP($C36,生产人员工资!C:S,17,FALSE),VLOOKUP($C36,非生产人员工资!C:W,21,FALSE))),0,IF(ISERROR(VLOOKUP($C36,非生产人员工资!C:W,21,FALSE)),VLOOKUP($C36,生产人员工资!C:S,17,FALSE),VLOOKUP($C36,非生产人员工资!C:W,21,FALSE)))</f>
        <v>0</v>
      </c>
      <c r="V36" s="7" t="str">
        <f>IF(ISERROR(IF(ISERROR(VLOOKUP($C36,非生产人员工资!C:X,22,FALSE)),VLOOKUP($C36,生产人员工资!C:T,18,FALSE),VLOOKUP($C36,非生产人员工资!C:X,22,FALSE))),0,IF(ISERROR(VLOOKUP($C36,非生产人员工资!C:X,22,FALSE)),VLOOKUP($C36,生产人员工资!C:T,18,FALSE),VLOOKUP($C36,非生产人员工资!C:X,22,FALSE)))</f>
        <v>0.00</v>
      </c>
      <c r="W36" s="7">
        <f t="shared" si="1"/>
        <v>7660</v>
      </c>
      <c r="X36" s="7">
        <f>IF(ISERROR(IF(ISERROR(VLOOKUP($C36,非生产人员工资!C:Z,24,FALSE)),VLOOKUP($C36,生产人员工资!C:V,20,FALSE),VLOOKUP($C36,非生产人员工资!$C:$Z,24,FALSE))),0,IF(ISERROR(VLOOKUP($C36,非生产人员工资!$C:$Z,24,FALSE)),VLOOKUP($C36,生产人员工资!$C:$V,20,FALSE),VLOOKUP($C36,非生产人员工资!$C:$Z,24,FALSE)))</f>
        <v>226.9</v>
      </c>
      <c r="Y36" s="7">
        <f>IF(ISERROR(IF(ISERROR(VLOOKUP($C36,非生产人员工资!C:AA,25,FALSE)),VLOOKUP($C36,生产人员工资!C:W,21,FALSE),VLOOKUP($C36,非生产人员工资!C:AA,25,FALSE))),0,IF(ISERROR(VLOOKUP($C36,非生产人员工资!C:AA,25,FALSE)),VLOOKUP($C36,生产人员工资!C:W,21,FALSE),VLOOKUP($C36,非生产人员工资!C:AA,25,FALSE)))</f>
        <v>104.57</v>
      </c>
      <c r="Z36" s="7">
        <f>IF(ISERROR(IF(ISERROR(VLOOKUP($C36,非生产人员工资!C:AB,26,FALSE)),VLOOKUP($C36,生产人员工资!C:X,22,FALSE),VLOOKUP($C36,非生产人员工资!C:AB,26,FALSE))),0,IF(ISERROR(VLOOKUP($C36,非生产人员工资!C:AB,26,FALSE)),VLOOKUP($C36,生产人员工资!C:X,22,FALSE),VLOOKUP($C36,非生产人员工资!C:AB,26,FALSE)))</f>
        <v>8.51</v>
      </c>
      <c r="AA36" s="7">
        <f>IF(ISERROR(IF(ISERROR(VLOOKUP($C36,非生产人员工资!C:AC,27,FALSE)),VLOOKUP($C36,生产人员工资!C:Y,23,FALSE),VLOOKUP($C36,非生产人员工资!C:AC,27,FALSE))),0,IF(ISERROR(VLOOKUP($C36,非生产人员工资!C:AC,27,FALSE)),VLOOKUP($C36,生产人员工资!C:Y,23,FALSE),VLOOKUP($C36,非生产人员工资!C:AC,27,FALSE)))</f>
        <v>209</v>
      </c>
      <c r="AB36" s="7">
        <f>IF(ISERROR(IF(ISERROR(VLOOKUP($C36,非生产人员工资!C:AD,28,FALSE)),VLOOKUP($C36,生产人员工资!C:Z,24,FALSE),VLOOKUP($C36,非生产人员工资!C:AD,28,FALSE))),0,IF(ISERROR(VLOOKUP($C36,非生产人员工资!C:AD,28,FALSE)),VLOOKUP($C36,生产人员工资!C:Z,24,FALSE),VLOOKUP($C36,非生产人员工资!C:AD,28,FALSE)))</f>
        <v>261.84</v>
      </c>
      <c r="AC36" s="269">
        <f>ROUND(IF(ISERROR(IF(ISERROR(VLOOKUP($C36,非生产人员工资!C:AF,30,FALSE)),VLOOKUP($C36,生产人员工资!C:AB,26,0),VLOOKUP($C36,非生产人员工资!C:AF,30,FALSE))),0,IF(ISERROR(VLOOKUP($C36,非生产人员工资!C:AF,30,FALSE)),VLOOKUP($C36,生产人员工资!C:AB,26,0),VLOOKUP($C36,非生产人员工资!C:AF,30,FALSE))),2)</f>
        <v>0</v>
      </c>
      <c r="AD36" s="269">
        <f t="shared" si="2"/>
        <v>6849.18</v>
      </c>
      <c r="AE36" s="269" t="str">
        <f>VLOOKUP($C36,员工基本信息!$C:$N,10,FALSE)</f>
        <v>管理费用+制造</v>
      </c>
      <c r="AF36" s="265" t="str">
        <f>VLOOKUP($C36,员工基本信息!$C:$O,11,FALSE)</f>
        <v>间接成本</v>
      </c>
      <c r="AG36" s="265" t="str">
        <f>VLOOKUP($C36,员工基本信息!$C:$O,12,FALSE)</f>
        <v>制造管理部</v>
      </c>
      <c r="AH36" s="265" t="str">
        <f>VLOOKUP($C36,员工基本信息!$C:$O,13,FALSE)</f>
        <v>管理人员</v>
      </c>
      <c r="AI36" s="249" t="str">
        <f>VLOOKUP($B36,员工基本信息!$B:$S,16,FALSE)</f>
        <v>6214220101205382683</v>
      </c>
      <c r="AJ36" s="249" t="str">
        <f>VLOOKUP($B36,员工基本信息!$B:$S,18,FALSE)</f>
        <v>沧州</v>
      </c>
      <c r="AK36" s="249" t="str">
        <f>VLOOKUP(C36,员工基本信息!$C:$M,11,0)</f>
        <v>间接成本</v>
      </c>
    </row>
    <row r="37" s="250" customFormat="1" customHeight="1" spans="1:37">
      <c r="A37" s="264">
        <v>34</v>
      </c>
      <c r="B37" s="6" t="str">
        <f>本月员工姓名!B35</f>
        <v>李贵林</v>
      </c>
      <c r="C37" s="265" t="str">
        <f>VLOOKUP($B37,员工基本信息!$B:$I,2,FALSE)</f>
        <v>372324198709253216</v>
      </c>
      <c r="D37" s="266" t="str">
        <f>VLOOKUP($B37,员工基本信息!$B:$I,4,FALSE)</f>
        <v>制造管理部-后勤</v>
      </c>
      <c r="E37" s="266" t="str">
        <f>VLOOKUP($B37,员工基本信息!$B:$I,5,FALSE)</f>
        <v>注塑车间主任</v>
      </c>
      <c r="F37" s="267">
        <f>IF(ISERROR(VLOOKUP($C37,非生产人员工资!C:I,7,FALSE)),0,VLOOKUP($C37,非生产人员工资!C:I,7,FALSE))</f>
        <v>1790</v>
      </c>
      <c r="G37" s="267">
        <f>IF(ISERROR(VLOOKUP($C37,非生产人员工资!C:J,8,0)),0,VLOOKUP($C37,非生产人员工资!C:J,8,FALSE))</f>
        <v>0</v>
      </c>
      <c r="H37" s="7">
        <f>IF(ISERROR(VLOOKUP($C37,非生产人员工资!C:K,9,FALSE)),0,VLOOKUP($C37,非生产人员工资!C:K,9,FALSE))</f>
        <v>10360</v>
      </c>
      <c r="I37" s="7">
        <f>IF(ISERROR(VLOOKUP($C37,非生产人员工资!C:L,10,FALSE)),0,VLOOKUP($C37,非生产人员工资!C:L,10,FALSE))</f>
        <v>1350</v>
      </c>
      <c r="J37" s="7">
        <f>IF(ISERROR(VLOOKUP($C37,生产人员工资!C:I,7,FALSE)),0,VLOOKUP($C37,生产人员工资!C:I,7,FALSE))</f>
        <v>0</v>
      </c>
      <c r="K37" s="7">
        <f>IF(ISERROR(VLOOKUP($C37,生产人员工资!C:J,8,FALSE)),0,VLOOKUP($C37,生产人员工资!C:J,8,FALSE))</f>
        <v>0</v>
      </c>
      <c r="L37" s="7">
        <f>IF(ISERROR(IF(ISERROR(VLOOKUP($C37,非生产人员工资!C:N,12,FALSE)),VLOOKUP($C37,生产人员工资!C:K,9,FALSE),VLOOKUP($C37,非生产人员工资!C:N,12,FALSE))),0,IF(ISERROR(VLOOKUP($C37,非生产人员工资!C:N,12,FALSE)),VLOOKUP($C37,生产人员工资!C:K,9,FALSE),VLOOKUP($C37,非生产人员工资!C:N,12,FALSE)))</f>
        <v>-135</v>
      </c>
      <c r="M37" s="7" t="str">
        <f>IF(ISERROR(IF(ISERROR(VLOOKUP($C37,非生产人员工资!$C:$O,13,FALSE)),VLOOKUP($C37,生产人员工资!$C:$L,10,FALSE),VLOOKUP($C37,非生产人员工资!$C:$O,13,FALSE))),0,IF(ISERROR(VLOOKUP($C37,非生产人员工资!$C:$O,13,FALSE)),VLOOKUP($C37,生产人员工资!$C:$L,10,FALSE),VLOOKUP($C37,非生产人员工资!$C:$O,13,FALSE)))</f>
        <v>0.00</v>
      </c>
      <c r="N37" s="7" t="str">
        <f>IF(ISERROR(IF(ISERROR(VLOOKUP($C37,非生产人员工资!$C:$P,14,FALSE)),VLOOKUP($C37,生产人员工资!$C:$M,11,FALSE),VLOOKUP($C37,非生产人员工资!$C:$P,14,FALSE))),0,IF(ISERROR(VLOOKUP($C37,非生产人员工资!$C:$P,14,FALSE)),VLOOKUP($C37,生产人员工资!$C:$M,11,FALSE),VLOOKUP($C37,非生产人员工资!$C:$P,14,FALSE)))</f>
        <v>0.00</v>
      </c>
      <c r="O37" s="7" t="str">
        <f>IF(ISERROR(IF(ISERROR(VLOOKUP($C37,非生产人员工资!C:Q,15,FALSE)),VLOOKUP($C37,生产人员工资!C:N,12,FALSE),VLOOKUP($C37,非生产人员工资!C:Q,15,FALSE))),0,IF(ISERROR(VLOOKUP($C37,非生产人员工资!C:Q,15,FALSE)),VLOOKUP($C37,生产人员工资!C:N,12,FALSE),VLOOKUP($C37,非生产人员工资!C:Q,15,FALSE)))</f>
        <v>0.00</v>
      </c>
      <c r="P37" s="7" t="str">
        <f>IF(ISERROR(IF(ISERROR(VLOOKUP($C37,非生产人员工资!C:R,16,FALSE)),VLOOKUP($C37,生产人员工资!C:O,13,FALSE),VLOOKUP($C37,非生产人员工资!C:R,16,FALSE))),0,IF(ISERROR(VLOOKUP($C37,非生产人员工资!C:R,16,FALSE)),VLOOKUP($C37,生产人员工资!C:O,13,FALSE),VLOOKUP($C37,非生产人员工资!C:R,16,FALSE)))</f>
        <v>0.00</v>
      </c>
      <c r="Q37" s="7" t="str">
        <f>IF(ISERROR(IF(ISERROR(VLOOKUP($C37,非生产人员工资!C:S,17,FALSE)),VLOOKUP($C37,生产人员工资!C:P,14,FALSE),VLOOKUP($C37,非生产人员工资!C:S,17,FALSE))),0,IF(ISERROR(VLOOKUP($C37,非生产人员工资!C:S,17,FALSE)),VLOOKUP($C37,生产人员工资!C:P,14,FALSE),VLOOKUP($C37,非生产人员工资!C:S,17,FALSE)))</f>
        <v>0.00</v>
      </c>
      <c r="R37" s="7" t="str">
        <f>IF(ISERROR(IF(ISERROR(VLOOKUP($C37,非生产人员工资!C:T,18,FALSE)),VLOOKUP($C37,生产人员工资!C:Q,15,FALSE),VLOOKUP($C37,非生产人员工资!C:T,18,FALSE))),0,IF(ISERROR(VLOOKUP($C37,非生产人员工资!C:T,18,FALSE)),VLOOKUP($C37,生产人员工资!C:Q,15,FALSE),VLOOKUP($C37,非生产人员工资!C:T,18,FALSE)))</f>
        <v>0.00</v>
      </c>
      <c r="S37" s="7">
        <f>IF(ISERROR(VLOOKUP($C37,非生产人员工资!C:U,19,FALSE)),0,VLOOKUP($C37,非生产人员工资!C:U,19,FALSE))</f>
        <v>0</v>
      </c>
      <c r="T37" s="7" t="str">
        <f>IF(ISERROR(IF(ISERROR(VLOOKUP($C37,非生产人员工资!C:V,20,FALSE)),VLOOKUP($C37,生产人员工资!C:R,16,FALSE),VLOOKUP($C37,非生产人员工资!C:V,20,FALSE))),0,IF(ISERROR(VLOOKUP($C37,非生产人员工资!C:V,20,FALSE)),VLOOKUP($C37,生产人员工资!$C:$R,16,FALSE),VLOOKUP($C37,非生产人员工资!C:V,20,FALSE)))</f>
        <v>0.00</v>
      </c>
      <c r="U37" s="7" t="str">
        <f>IF(ISERROR(IF(ISERROR(VLOOKUP($C37,非生产人员工资!C:W,21,FALSE)),VLOOKUP($C37,生产人员工资!C:S,17,FALSE),VLOOKUP($C37,非生产人员工资!C:W,21,FALSE))),0,IF(ISERROR(VLOOKUP($C37,非生产人员工资!C:W,21,FALSE)),VLOOKUP($C37,生产人员工资!C:S,17,FALSE),VLOOKUP($C37,非生产人员工资!C:W,21,FALSE)))</f>
        <v>0</v>
      </c>
      <c r="V37" s="7">
        <f>IF(ISERROR(IF(ISERROR(VLOOKUP($C37,非生产人员工资!C:X,22,FALSE)),VLOOKUP($C37,生产人员工资!C:T,18,FALSE),VLOOKUP($C37,非生产人员工资!C:X,22,FALSE))),0,IF(ISERROR(VLOOKUP($C37,非生产人员工资!C:X,22,FALSE)),VLOOKUP($C37,生产人员工资!C:T,18,FALSE),VLOOKUP($C37,非生产人员工资!C:X,22,FALSE)))</f>
        <v>-60</v>
      </c>
      <c r="W37" s="7">
        <f t="shared" ref="W37:W68" si="3">ROUND(SUM(F37:R37)+S37+T37+U37+V37,2)</f>
        <v>13305</v>
      </c>
      <c r="X37" s="7">
        <f>IF(ISERROR(IF(ISERROR(VLOOKUP($C37,非生产人员工资!C:Z,24,FALSE)),VLOOKUP($C37,生产人员工资!C:V,20,FALSE),VLOOKUP($C37,非生产人员工资!$C:$Z,24,FALSE))),0,IF(ISERROR(VLOOKUP($C37,非生产人员工资!$C:$Z,24,FALSE)),VLOOKUP($C37,生产人员工资!$C:$V,20,FALSE),VLOOKUP($C37,非生产人员工资!$C:$Z,24,FALSE)))</f>
        <v>226.9</v>
      </c>
      <c r="Y37" s="7">
        <f>IF(ISERROR(IF(ISERROR(VLOOKUP($C37,非生产人员工资!C:AA,25,FALSE)),VLOOKUP($C37,生产人员工资!C:W,21,FALSE),VLOOKUP($C37,非生产人员工资!C:AA,25,FALSE))),0,IF(ISERROR(VLOOKUP($C37,非生产人员工资!C:AA,25,FALSE)),VLOOKUP($C37,生产人员工资!C:W,21,FALSE),VLOOKUP($C37,非生产人员工资!C:AA,25,FALSE)))</f>
        <v>104.57</v>
      </c>
      <c r="Z37" s="7">
        <f>IF(ISERROR(IF(ISERROR(VLOOKUP($C37,非生产人员工资!C:AB,26,FALSE)),VLOOKUP($C37,生产人员工资!C:X,22,FALSE),VLOOKUP($C37,非生产人员工资!C:AB,26,FALSE))),0,IF(ISERROR(VLOOKUP($C37,非生产人员工资!C:AB,26,FALSE)),VLOOKUP($C37,生产人员工资!C:X,22,FALSE),VLOOKUP($C37,非生产人员工资!C:AB,26,FALSE)))</f>
        <v>8.51</v>
      </c>
      <c r="AA37" s="7">
        <f>IF(ISERROR(IF(ISERROR(VLOOKUP($C37,非生产人员工资!C:AC,27,FALSE)),VLOOKUP($C37,生产人员工资!C:Y,23,FALSE),VLOOKUP($C37,非生产人员工资!C:AC,27,FALSE))),0,IF(ISERROR(VLOOKUP($C37,非生产人员工资!C:AC,27,FALSE)),VLOOKUP($C37,生产人员工资!C:Y,23,FALSE),VLOOKUP($C37,非生产人员工资!C:AC,27,FALSE)))</f>
        <v>209</v>
      </c>
      <c r="AB37" s="7">
        <f>IF(ISERROR(IF(ISERROR(VLOOKUP($C37,非生产人员工资!C:AD,28,FALSE)),VLOOKUP($C37,生产人员工资!C:Z,24,FALSE),VLOOKUP($C37,非生产人员工资!C:AD,28,FALSE))),0,IF(ISERROR(VLOOKUP($C37,非生产人员工资!C:AD,28,FALSE)),VLOOKUP($C37,生产人员工资!C:Z,24,FALSE),VLOOKUP($C37,非生产人员工资!C:AD,28,FALSE)))</f>
        <v>261.84</v>
      </c>
      <c r="AC37" s="269">
        <f>ROUND(IF(ISERROR(IF(ISERROR(VLOOKUP($C37,非生产人员工资!C:AF,30,FALSE)),VLOOKUP($C37,生产人员工资!C:AB,26,0),VLOOKUP($C37,非生产人员工资!C:AF,30,FALSE))),0,IF(ISERROR(VLOOKUP($C37,非生产人员工资!C:AF,30,FALSE)),VLOOKUP($C37,生产人员工资!C:AB,26,0),VLOOKUP($C37,非生产人员工资!C:AF,30,FALSE))),2)</f>
        <v>770.32</v>
      </c>
      <c r="AD37" s="269">
        <f t="shared" si="2"/>
        <v>11723.86</v>
      </c>
      <c r="AE37" s="269" t="str">
        <f>VLOOKUP($C37,员工基本信息!$C:$N,10,FALSE)</f>
        <v>制造费用+组装</v>
      </c>
      <c r="AF37" s="265" t="str">
        <f>VLOOKUP($C37,员工基本信息!$C:$O,11,FALSE)</f>
        <v>间接成本</v>
      </c>
      <c r="AG37" s="265" t="str">
        <f>VLOOKUP($C37,员工基本信息!$C:$O,12,FALSE)</f>
        <v>制造管理部</v>
      </c>
      <c r="AH37" s="265" t="str">
        <f>VLOOKUP($C37,员工基本信息!$C:$O,13,FALSE)</f>
        <v>制造人员</v>
      </c>
      <c r="AI37" s="249" t="str">
        <f>VLOOKUP($B37,员工基本信息!$B:$S,16,FALSE)</f>
        <v>6217855000046935714</v>
      </c>
      <c r="AJ37" s="249" t="str">
        <f>VLOOKUP($B37,员工基本信息!$B:$S,18,FALSE)</f>
        <v>中行</v>
      </c>
      <c r="AK37" s="249" t="str">
        <f>VLOOKUP(C37,员工基本信息!$C:$M,11,0)</f>
        <v>间接成本</v>
      </c>
    </row>
    <row r="38" s="250" customFormat="1" customHeight="1" spans="1:37">
      <c r="A38" s="264">
        <v>35</v>
      </c>
      <c r="B38" s="6" t="str">
        <f>本月员工姓名!B36</f>
        <v>赵化胜</v>
      </c>
      <c r="C38" s="265" t="str">
        <f>VLOOKUP($B38,员工基本信息!$B:$I,2,FALSE)</f>
        <v>37292219820802479X</v>
      </c>
      <c r="D38" s="266" t="str">
        <f>VLOOKUP($B38,员工基本信息!$B:$I,4,FALSE)</f>
        <v>制造管理部-后勤</v>
      </c>
      <c r="E38" s="266" t="str">
        <f>VLOOKUP($B38,员工基本信息!$B:$I,5,FALSE)</f>
        <v>喷涂车间主任</v>
      </c>
      <c r="F38" s="267">
        <f>IF(ISERROR(VLOOKUP($C38,非生产人员工资!C:I,7,FALSE)),0,VLOOKUP($C38,非生产人员工资!C:I,7,FALSE))</f>
        <v>1790</v>
      </c>
      <c r="G38" s="267">
        <f>IF(ISERROR(VLOOKUP($C38,非生产人员工资!C:J,8,0)),0,VLOOKUP($C38,非生产人员工资!C:J,8,FALSE))</f>
        <v>0</v>
      </c>
      <c r="H38" s="7">
        <f>IF(ISERROR(VLOOKUP($C38,非生产人员工资!C:K,9,FALSE)),0,VLOOKUP($C38,非生产人员工资!C:K,9,FALSE))</f>
        <v>13510</v>
      </c>
      <c r="I38" s="7">
        <f>IF(ISERROR(VLOOKUP($C38,非生产人员工资!C:L,10,FALSE)),0,VLOOKUP($C38,非生产人员工资!C:L,10,FALSE))</f>
        <v>1700</v>
      </c>
      <c r="J38" s="7">
        <f>IF(ISERROR(VLOOKUP($C38,生产人员工资!C:I,7,FALSE)),0,VLOOKUP($C38,生产人员工资!C:I,7,FALSE))</f>
        <v>0</v>
      </c>
      <c r="K38" s="7">
        <f>IF(ISERROR(VLOOKUP($C38,生产人员工资!C:J,8,FALSE)),0,VLOOKUP($C38,生产人员工资!C:J,8,FALSE))</f>
        <v>0</v>
      </c>
      <c r="L38" s="7">
        <f>IF(ISERROR(IF(ISERROR(VLOOKUP($C38,非生产人员工资!C:N,12,FALSE)),VLOOKUP($C38,生产人员工资!C:K,9,FALSE),VLOOKUP($C38,非生产人员工资!C:N,12,FALSE))),0,IF(ISERROR(VLOOKUP($C38,非生产人员工资!C:N,12,FALSE)),VLOOKUP($C38,生产人员工资!C:K,9,FALSE),VLOOKUP($C38,非生产人员工资!C:N,12,FALSE)))</f>
        <v>-170</v>
      </c>
      <c r="M38" s="7" t="str">
        <f>IF(ISERROR(IF(ISERROR(VLOOKUP($C38,非生产人员工资!$C:$O,13,FALSE)),VLOOKUP($C38,生产人员工资!$C:$L,10,FALSE),VLOOKUP($C38,非生产人员工资!$C:$O,13,FALSE))),0,IF(ISERROR(VLOOKUP($C38,非生产人员工资!$C:$O,13,FALSE)),VLOOKUP($C38,生产人员工资!$C:$L,10,FALSE),VLOOKUP($C38,非生产人员工资!$C:$O,13,FALSE)))</f>
        <v>0.00</v>
      </c>
      <c r="N38" s="7">
        <f>IF(ISERROR(IF(ISERROR(VLOOKUP($C38,非生产人员工资!$C:$P,14,FALSE)),VLOOKUP($C38,生产人员工资!$C:$M,11,FALSE),VLOOKUP($C38,非生产人员工资!$C:$P,14,FALSE))),0,IF(ISERROR(VLOOKUP($C38,非生产人员工资!$C:$P,14,FALSE)),VLOOKUP($C38,生产人员工资!$C:$M,11,FALSE),VLOOKUP($C38,非生产人员工资!$C:$P,14,FALSE)))</f>
        <v>100</v>
      </c>
      <c r="O38" s="7" t="str">
        <f>IF(ISERROR(IF(ISERROR(VLOOKUP($C38,非生产人员工资!C:Q,15,FALSE)),VLOOKUP($C38,生产人员工资!C:N,12,FALSE),VLOOKUP($C38,非生产人员工资!C:Q,15,FALSE))),0,IF(ISERROR(VLOOKUP($C38,非生产人员工资!C:Q,15,FALSE)),VLOOKUP($C38,生产人员工资!C:N,12,FALSE),VLOOKUP($C38,非生产人员工资!C:Q,15,FALSE)))</f>
        <v>0.00</v>
      </c>
      <c r="P38" s="7" t="str">
        <f>IF(ISERROR(IF(ISERROR(VLOOKUP($C38,非生产人员工资!C:R,16,FALSE)),VLOOKUP($C38,生产人员工资!C:O,13,FALSE),VLOOKUP($C38,非生产人员工资!C:R,16,FALSE))),0,IF(ISERROR(VLOOKUP($C38,非生产人员工资!C:R,16,FALSE)),VLOOKUP($C38,生产人员工资!C:O,13,FALSE),VLOOKUP($C38,非生产人员工资!C:R,16,FALSE)))</f>
        <v>0.00</v>
      </c>
      <c r="Q38" s="7" t="str">
        <f>IF(ISERROR(IF(ISERROR(VLOOKUP($C38,非生产人员工资!C:S,17,FALSE)),VLOOKUP($C38,生产人员工资!C:P,14,FALSE),VLOOKUP($C38,非生产人员工资!C:S,17,FALSE))),0,IF(ISERROR(VLOOKUP($C38,非生产人员工资!C:S,17,FALSE)),VLOOKUP($C38,生产人员工资!C:P,14,FALSE),VLOOKUP($C38,非生产人员工资!C:S,17,FALSE)))</f>
        <v>0.00</v>
      </c>
      <c r="R38" s="7" t="str">
        <f>IF(ISERROR(IF(ISERROR(VLOOKUP($C38,非生产人员工资!C:T,18,FALSE)),VLOOKUP($C38,生产人员工资!C:Q,15,FALSE),VLOOKUP($C38,非生产人员工资!C:T,18,FALSE))),0,IF(ISERROR(VLOOKUP($C38,非生产人员工资!C:T,18,FALSE)),VLOOKUP($C38,生产人员工资!C:Q,15,FALSE),VLOOKUP($C38,非生产人员工资!C:T,18,FALSE)))</f>
        <v>0.00</v>
      </c>
      <c r="S38" s="7">
        <f>IF(ISERROR(VLOOKUP($C38,非生产人员工资!C:U,19,FALSE)),0,VLOOKUP($C38,非生产人员工资!C:U,19,FALSE))</f>
        <v>0</v>
      </c>
      <c r="T38" s="7" t="str">
        <f>IF(ISERROR(IF(ISERROR(VLOOKUP($C38,非生产人员工资!C:V,20,FALSE)),VLOOKUP($C38,生产人员工资!C:R,16,FALSE),VLOOKUP($C38,非生产人员工资!C:V,20,FALSE))),0,IF(ISERROR(VLOOKUP($C38,非生产人员工资!C:V,20,FALSE)),VLOOKUP($C38,生产人员工资!$C:$R,16,FALSE),VLOOKUP($C38,非生产人员工资!C:V,20,FALSE)))</f>
        <v>0.00</v>
      </c>
      <c r="U38" s="7" t="str">
        <f>IF(ISERROR(IF(ISERROR(VLOOKUP($C38,非生产人员工资!C:W,21,FALSE)),VLOOKUP($C38,生产人员工资!C:S,17,FALSE),VLOOKUP($C38,非生产人员工资!C:W,21,FALSE))),0,IF(ISERROR(VLOOKUP($C38,非生产人员工资!C:W,21,FALSE)),VLOOKUP($C38,生产人员工资!C:S,17,FALSE),VLOOKUP($C38,非生产人员工资!C:W,21,FALSE)))</f>
        <v>0</v>
      </c>
      <c r="V38" s="7" t="str">
        <f>IF(ISERROR(IF(ISERROR(VLOOKUP($C38,非生产人员工资!C:X,22,FALSE)),VLOOKUP($C38,生产人员工资!C:T,18,FALSE),VLOOKUP($C38,非生产人员工资!C:X,22,FALSE))),0,IF(ISERROR(VLOOKUP($C38,非生产人员工资!C:X,22,FALSE)),VLOOKUP($C38,生产人员工资!C:T,18,FALSE),VLOOKUP($C38,非生产人员工资!C:X,22,FALSE)))</f>
        <v>0.00</v>
      </c>
      <c r="W38" s="7">
        <f t="shared" si="3"/>
        <v>16930</v>
      </c>
      <c r="X38" s="7">
        <f>IF(ISERROR(IF(ISERROR(VLOOKUP($C38,非生产人员工资!C:Z,24,FALSE)),VLOOKUP($C38,生产人员工资!C:V,20,FALSE),VLOOKUP($C38,非生产人员工资!$C:$Z,24,FALSE))),0,IF(ISERROR(VLOOKUP($C38,非生产人员工资!$C:$Z,24,FALSE)),VLOOKUP($C38,生产人员工资!$C:$V,20,FALSE),VLOOKUP($C38,非生产人员工资!$C:$Z,24,FALSE)))</f>
        <v>226.9</v>
      </c>
      <c r="Y38" s="7">
        <f>IF(ISERROR(IF(ISERROR(VLOOKUP($C38,非生产人员工资!C:AA,25,FALSE)),VLOOKUP($C38,生产人员工资!C:W,21,FALSE),VLOOKUP($C38,非生产人员工资!C:AA,25,FALSE))),0,IF(ISERROR(VLOOKUP($C38,非生产人员工资!C:AA,25,FALSE)),VLOOKUP($C38,生产人员工资!C:W,21,FALSE),VLOOKUP($C38,非生产人员工资!C:AA,25,FALSE)))</f>
        <v>104.57</v>
      </c>
      <c r="Z38" s="7">
        <f>IF(ISERROR(IF(ISERROR(VLOOKUP($C38,非生产人员工资!C:AB,26,FALSE)),VLOOKUP($C38,生产人员工资!C:X,22,FALSE),VLOOKUP($C38,非生产人员工资!C:AB,26,FALSE))),0,IF(ISERROR(VLOOKUP($C38,非生产人员工资!C:AB,26,FALSE)),VLOOKUP($C38,生产人员工资!C:X,22,FALSE),VLOOKUP($C38,非生产人员工资!C:AB,26,FALSE)))</f>
        <v>8.51</v>
      </c>
      <c r="AA38" s="7">
        <f>IF(ISERROR(IF(ISERROR(VLOOKUP($C38,非生产人员工资!C:AC,27,FALSE)),VLOOKUP($C38,生产人员工资!C:Y,23,FALSE),VLOOKUP($C38,非生产人员工资!C:AC,27,FALSE))),0,IF(ISERROR(VLOOKUP($C38,非生产人员工资!C:AC,27,FALSE)),VLOOKUP($C38,生产人员工资!C:Y,23,FALSE),VLOOKUP($C38,非生产人员工资!C:AC,27,FALSE)))</f>
        <v>159</v>
      </c>
      <c r="AB38" s="7">
        <f>IF(ISERROR(IF(ISERROR(VLOOKUP($C38,非生产人员工资!C:AD,28,FALSE)),VLOOKUP($C38,生产人员工资!C:Z,24,FALSE),VLOOKUP($C38,非生产人员工资!C:AD,28,FALSE))),0,IF(ISERROR(VLOOKUP($C38,非生产人员工资!C:AD,28,FALSE)),VLOOKUP($C38,生产人员工资!C:Z,24,FALSE),VLOOKUP($C38,非生产人员工资!C:AD,28,FALSE)))</f>
        <v>261.84</v>
      </c>
      <c r="AC38" s="269">
        <f>ROUND(IF(ISERROR(IF(ISERROR(VLOOKUP($C38,非生产人员工资!C:AF,30,FALSE)),VLOOKUP($C38,生产人员工资!C:AB,26,0),VLOOKUP($C38,非生产人员工资!C:AF,30,FALSE))),0,IF(ISERROR(VLOOKUP($C38,非生产人员工资!C:AF,30,FALSE)),VLOOKUP($C38,生产人员工资!C:AB,26,0),VLOOKUP($C38,非生产人员工资!C:AF,30,FALSE))),2)</f>
        <v>732.82</v>
      </c>
      <c r="AD38" s="269">
        <f t="shared" si="2"/>
        <v>15436.36</v>
      </c>
      <c r="AE38" s="269" t="str">
        <f>VLOOKUP($C38,员工基本信息!$C:$N,10,FALSE)</f>
        <v>研发费用+制造科室</v>
      </c>
      <c r="AF38" s="265" t="str">
        <f>VLOOKUP($C38,员工基本信息!$C:$O,11,FALSE)</f>
        <v>间接成本</v>
      </c>
      <c r="AG38" s="265" t="str">
        <f>VLOOKUP($C38,员工基本信息!$C:$O,12,FALSE)</f>
        <v>制造管理部</v>
      </c>
      <c r="AH38" s="265" t="str">
        <f>VLOOKUP($C38,员工基本信息!$C:$O,13,FALSE)</f>
        <v>研发人员</v>
      </c>
      <c r="AI38" s="249" t="str">
        <f>VLOOKUP($B38,员工基本信息!$B:$S,16,FALSE)</f>
        <v>6214220101206208879</v>
      </c>
      <c r="AJ38" s="249" t="str">
        <f>VLOOKUP($B38,员工基本信息!$B:$S,18,FALSE)</f>
        <v>沧州</v>
      </c>
      <c r="AK38" s="249" t="str">
        <f>VLOOKUP(C38,员工基本信息!$C:$M,11,0)</f>
        <v>间接成本</v>
      </c>
    </row>
    <row r="39" s="250" customFormat="1" customHeight="1" spans="1:37">
      <c r="A39" s="264">
        <v>36</v>
      </c>
      <c r="B39" s="6" t="str">
        <f>本月员工姓名!B37</f>
        <v>李泉林</v>
      </c>
      <c r="C39" s="265" t="str">
        <f>VLOOKUP($B39,员工基本信息!$B:$I,2,FALSE)</f>
        <v>37232419780708321X</v>
      </c>
      <c r="D39" s="266" t="str">
        <f>VLOOKUP($B39,员工基本信息!$B:$I,4,FALSE)</f>
        <v>制造管理部-喷涂车间</v>
      </c>
      <c r="E39" s="266" t="str">
        <f>VLOOKUP($B39,员工基本信息!$B:$I,5,FALSE)</f>
        <v>喷涂技师</v>
      </c>
      <c r="F39" s="267">
        <f>IF(ISERROR(VLOOKUP($C39,非生产人员工资!C:I,7,FALSE)),0,VLOOKUP($C39,非生产人员工资!C:I,7,FALSE))</f>
        <v>1790</v>
      </c>
      <c r="G39" s="267">
        <f>IF(ISERROR(VLOOKUP($C39,非生产人员工资!C:J,8,0)),0,VLOOKUP($C39,非生产人员工资!C:J,8,FALSE))</f>
        <v>905.287356321839</v>
      </c>
      <c r="H39" s="7">
        <f>IF(ISERROR(VLOOKUP($C39,非生产人员工资!C:K,9,FALSE)),0,VLOOKUP($C39,非生产人员工资!C:K,9,FALSE))</f>
        <v>4054.71264367816</v>
      </c>
      <c r="I39" s="7">
        <f>IF(ISERROR(VLOOKUP($C39,非生产人员工资!C:L,10,FALSE)),0,VLOOKUP($C39,非生产人员工资!C:L,10,FALSE))</f>
        <v>750</v>
      </c>
      <c r="J39" s="7">
        <f>IF(ISERROR(VLOOKUP($C39,生产人员工资!C:I,7,FALSE)),0,VLOOKUP($C39,生产人员工资!C:I,7,FALSE))</f>
        <v>0</v>
      </c>
      <c r="K39" s="7">
        <f>IF(ISERROR(VLOOKUP($C39,生产人员工资!C:J,8,FALSE)),0,VLOOKUP($C39,生产人员工资!C:J,8,FALSE))</f>
        <v>0</v>
      </c>
      <c r="L39" s="7" t="str">
        <f>IF(ISERROR(IF(ISERROR(VLOOKUP($C39,非生产人员工资!C:N,12,FALSE)),VLOOKUP($C39,生产人员工资!C:K,9,FALSE),VLOOKUP($C39,非生产人员工资!C:N,12,FALSE))),0,IF(ISERROR(VLOOKUP($C39,非生产人员工资!C:N,12,FALSE)),VLOOKUP($C39,生产人员工资!C:K,9,FALSE),VLOOKUP($C39,非生产人员工资!C:N,12,FALSE)))</f>
        <v>0.00</v>
      </c>
      <c r="M39" s="7" t="str">
        <f>IF(ISERROR(IF(ISERROR(VLOOKUP($C39,非生产人员工资!$C:$O,13,FALSE)),VLOOKUP($C39,生产人员工资!$C:$L,10,FALSE),VLOOKUP($C39,非生产人员工资!$C:$O,13,FALSE))),0,IF(ISERROR(VLOOKUP($C39,非生产人员工资!$C:$O,13,FALSE)),VLOOKUP($C39,生产人员工资!$C:$L,10,FALSE),VLOOKUP($C39,非生产人员工资!$C:$O,13,FALSE)))</f>
        <v>0.00</v>
      </c>
      <c r="N39" s="7">
        <f>IF(ISERROR(IF(ISERROR(VLOOKUP($C39,非生产人员工资!$C:$P,14,FALSE)),VLOOKUP($C39,生产人员工资!$C:$M,11,FALSE),VLOOKUP($C39,非生产人员工资!$C:$P,14,FALSE))),0,IF(ISERROR(VLOOKUP($C39,非生产人员工资!$C:$P,14,FALSE)),VLOOKUP($C39,生产人员工资!$C:$M,11,FALSE),VLOOKUP($C39,非生产人员工资!$C:$P,14,FALSE)))</f>
        <v>20</v>
      </c>
      <c r="O39" s="7" t="str">
        <f>IF(ISERROR(IF(ISERROR(VLOOKUP($C39,非生产人员工资!C:Q,15,FALSE)),VLOOKUP($C39,生产人员工资!C:N,12,FALSE),VLOOKUP($C39,非生产人员工资!C:Q,15,FALSE))),0,IF(ISERROR(VLOOKUP($C39,非生产人员工资!C:Q,15,FALSE)),VLOOKUP($C39,生产人员工资!C:N,12,FALSE),VLOOKUP($C39,非生产人员工资!C:Q,15,FALSE)))</f>
        <v>0.00</v>
      </c>
      <c r="P39" s="7" t="str">
        <f>IF(ISERROR(IF(ISERROR(VLOOKUP($C39,非生产人员工资!C:R,16,FALSE)),VLOOKUP($C39,生产人员工资!C:O,13,FALSE),VLOOKUP($C39,非生产人员工资!C:R,16,FALSE))),0,IF(ISERROR(VLOOKUP($C39,非生产人员工资!C:R,16,FALSE)),VLOOKUP($C39,生产人员工资!C:O,13,FALSE),VLOOKUP($C39,非生产人员工资!C:R,16,FALSE)))</f>
        <v>0.00</v>
      </c>
      <c r="Q39" s="7" t="str">
        <f>IF(ISERROR(IF(ISERROR(VLOOKUP($C39,非生产人员工资!C:S,17,FALSE)),VLOOKUP($C39,生产人员工资!C:P,14,FALSE),VLOOKUP($C39,非生产人员工资!C:S,17,FALSE))),0,IF(ISERROR(VLOOKUP($C39,非生产人员工资!C:S,17,FALSE)),VLOOKUP($C39,生产人员工资!C:P,14,FALSE),VLOOKUP($C39,非生产人员工资!C:S,17,FALSE)))</f>
        <v>0.00</v>
      </c>
      <c r="R39" s="7" t="str">
        <f>IF(ISERROR(IF(ISERROR(VLOOKUP($C39,非生产人员工资!C:T,18,FALSE)),VLOOKUP($C39,生产人员工资!C:Q,15,FALSE),VLOOKUP($C39,非生产人员工资!C:T,18,FALSE))),0,IF(ISERROR(VLOOKUP($C39,非生产人员工资!C:T,18,FALSE)),VLOOKUP($C39,生产人员工资!C:Q,15,FALSE),VLOOKUP($C39,非生产人员工资!C:T,18,FALSE)))</f>
        <v>0.00</v>
      </c>
      <c r="S39" s="7">
        <f>IF(ISERROR(VLOOKUP($C39,非生产人员工资!C:U,19,FALSE)),0,VLOOKUP($C39,非生产人员工资!C:U,19,FALSE))</f>
        <v>0</v>
      </c>
      <c r="T39" s="7" t="str">
        <f>IF(ISERROR(IF(ISERROR(VLOOKUP($C39,非生产人员工资!C:V,20,FALSE)),VLOOKUP($C39,生产人员工资!C:R,16,FALSE),VLOOKUP($C39,非生产人员工资!C:V,20,FALSE))),0,IF(ISERROR(VLOOKUP($C39,非生产人员工资!C:V,20,FALSE)),VLOOKUP($C39,生产人员工资!$C:$R,16,FALSE),VLOOKUP($C39,非生产人员工资!C:V,20,FALSE)))</f>
        <v>0.00</v>
      </c>
      <c r="U39" s="7" t="str">
        <f>IF(ISERROR(IF(ISERROR(VLOOKUP($C39,非生产人员工资!C:W,21,FALSE)),VLOOKUP($C39,生产人员工资!C:S,17,FALSE),VLOOKUP($C39,非生产人员工资!C:W,21,FALSE))),0,IF(ISERROR(VLOOKUP($C39,非生产人员工资!C:W,21,FALSE)),VLOOKUP($C39,生产人员工资!C:S,17,FALSE),VLOOKUP($C39,非生产人员工资!C:W,21,FALSE)))</f>
        <v>0</v>
      </c>
      <c r="V39" s="7" t="str">
        <f>IF(ISERROR(IF(ISERROR(VLOOKUP($C39,非生产人员工资!C:X,22,FALSE)),VLOOKUP($C39,生产人员工资!C:T,18,FALSE),VLOOKUP($C39,非生产人员工资!C:X,22,FALSE))),0,IF(ISERROR(VLOOKUP($C39,非生产人员工资!C:X,22,FALSE)),VLOOKUP($C39,生产人员工资!C:T,18,FALSE),VLOOKUP($C39,非生产人员工资!C:X,22,FALSE)))</f>
        <v>0.00</v>
      </c>
      <c r="W39" s="7">
        <f t="shared" si="3"/>
        <v>7520</v>
      </c>
      <c r="X39" s="7">
        <f>IF(ISERROR(IF(ISERROR(VLOOKUP($C39,非生产人员工资!C:Z,24,FALSE)),VLOOKUP($C39,生产人员工资!C:V,20,FALSE),VLOOKUP($C39,非生产人员工资!$C:$Z,24,FALSE))),0,IF(ISERROR(VLOOKUP($C39,非生产人员工资!$C:$Z,24,FALSE)),VLOOKUP($C39,生产人员工资!$C:$V,20,FALSE),VLOOKUP($C39,非生产人员工资!$C:$Z,24,FALSE)))</f>
        <v>226.9</v>
      </c>
      <c r="Y39" s="7">
        <f>IF(ISERROR(IF(ISERROR(VLOOKUP($C39,非生产人员工资!C:AA,25,FALSE)),VLOOKUP($C39,生产人员工资!C:W,21,FALSE),VLOOKUP($C39,非生产人员工资!C:AA,25,FALSE))),0,IF(ISERROR(VLOOKUP($C39,非生产人员工资!C:AA,25,FALSE)),VLOOKUP($C39,生产人员工资!C:W,21,FALSE),VLOOKUP($C39,非生产人员工资!C:AA,25,FALSE)))</f>
        <v>104.57</v>
      </c>
      <c r="Z39" s="7">
        <f>IF(ISERROR(IF(ISERROR(VLOOKUP($C39,非生产人员工资!C:AB,26,FALSE)),VLOOKUP($C39,生产人员工资!C:X,22,FALSE),VLOOKUP($C39,非生产人员工资!C:AB,26,FALSE))),0,IF(ISERROR(VLOOKUP($C39,非生产人员工资!C:AB,26,FALSE)),VLOOKUP($C39,生产人员工资!C:X,22,FALSE),VLOOKUP($C39,非生产人员工资!C:AB,26,FALSE)))</f>
        <v>8.51</v>
      </c>
      <c r="AA39" s="7">
        <f>IF(ISERROR(IF(ISERROR(VLOOKUP($C39,非生产人员工资!C:AC,27,FALSE)),VLOOKUP($C39,生产人员工资!C:Y,23,FALSE),VLOOKUP($C39,非生产人员工资!C:AC,27,FALSE))),0,IF(ISERROR(VLOOKUP($C39,非生产人员工资!C:AC,27,FALSE)),VLOOKUP($C39,生产人员工资!C:Y,23,FALSE),VLOOKUP($C39,非生产人员工资!C:AC,27,FALSE)))</f>
        <v>159</v>
      </c>
      <c r="AB39" s="7">
        <f>IF(ISERROR(IF(ISERROR(VLOOKUP($C39,非生产人员工资!C:AD,28,FALSE)),VLOOKUP($C39,生产人员工资!C:Z,24,FALSE),VLOOKUP($C39,非生产人员工资!C:AD,28,FALSE))),0,IF(ISERROR(VLOOKUP($C39,非生产人员工资!C:AD,28,FALSE)),VLOOKUP($C39,生产人员工资!C:Z,24,FALSE),VLOOKUP($C39,非生产人员工资!C:AD,28,FALSE)))</f>
        <v>261.84</v>
      </c>
      <c r="AC39" s="269">
        <f>ROUND(IF(ISERROR(IF(ISERROR(VLOOKUP($C39,非生产人员工资!C:AF,30,FALSE)),VLOOKUP($C39,生产人员工资!C:AB,26,0),VLOOKUP($C39,非生产人员工资!C:AF,30,FALSE))),0,IF(ISERROR(VLOOKUP($C39,非生产人员工资!C:AF,30,FALSE)),VLOOKUP($C39,生产人员工资!C:AB,26,0),VLOOKUP($C39,非生产人员工资!C:AF,30,FALSE))),2)</f>
        <v>0</v>
      </c>
      <c r="AD39" s="269">
        <f t="shared" si="2"/>
        <v>6759.18</v>
      </c>
      <c r="AE39" s="269" t="str">
        <f>VLOOKUP($C39,员工基本信息!$C:$N,10,FALSE)</f>
        <v>生产成本+喷涂</v>
      </c>
      <c r="AF39" s="265" t="str">
        <f>VLOOKUP($C39,员工基本信息!$C:$O,11,FALSE)</f>
        <v>直接成本</v>
      </c>
      <c r="AG39" s="265" t="str">
        <f>VLOOKUP($C39,员工基本信息!$C:$O,12,FALSE)</f>
        <v>涂装车间</v>
      </c>
      <c r="AH39" s="265" t="str">
        <f>VLOOKUP($C39,员工基本信息!$C:$O,13,FALSE)</f>
        <v>生产人员</v>
      </c>
      <c r="AI39" s="249" t="str">
        <f>VLOOKUP($B39,员工基本信息!$B:$S,16,FALSE)</f>
        <v>6214220101207603417</v>
      </c>
      <c r="AJ39" s="249" t="str">
        <f>VLOOKUP($B39,员工基本信息!$B:$S,18,FALSE)</f>
        <v>沧州</v>
      </c>
      <c r="AK39" s="249" t="str">
        <f>VLOOKUP(C39,员工基本信息!$C:$M,11,0)</f>
        <v>直接成本</v>
      </c>
    </row>
    <row r="40" s="250" customFormat="1" customHeight="1" spans="1:37">
      <c r="A40" s="264">
        <v>37</v>
      </c>
      <c r="B40" s="6" t="str">
        <f>本月员工姓名!B38</f>
        <v>古帅</v>
      </c>
      <c r="C40" s="265" t="str">
        <f>VLOOKUP($B40,员工基本信息!$B:$I,2,FALSE)</f>
        <v>130626199101032615</v>
      </c>
      <c r="D40" s="266" t="str">
        <f>VLOOKUP($B40,员工基本信息!$B:$I,4,FALSE)</f>
        <v>制造管理部-喷涂车间</v>
      </c>
      <c r="E40" s="266" t="str">
        <f>VLOOKUP($B40,员工基本信息!$B:$I,5,FALSE)</f>
        <v>班组长</v>
      </c>
      <c r="F40" s="267">
        <f>IF(ISERROR(VLOOKUP($C40,非生产人员工资!C:I,7,FALSE)),0,VLOOKUP($C40,非生产人员工资!C:I,7,FALSE))</f>
        <v>1790</v>
      </c>
      <c r="G40" s="267">
        <f>IF(ISERROR(VLOOKUP($C40,非生产人员工资!C:J,8,0)),0,VLOOKUP($C40,非生产人员工资!C:J,8,FALSE))</f>
        <v>1080.1724137931</v>
      </c>
      <c r="H40" s="7">
        <f>IF(ISERROR(VLOOKUP($C40,非生产人员工资!C:K,9,FALSE)),0,VLOOKUP($C40,非生产人员工资!C:K,9,FALSE))</f>
        <v>3879.8275862069</v>
      </c>
      <c r="I40" s="7">
        <f>IF(ISERROR(VLOOKUP($C40,非生产人员工资!C:L,10,FALSE)),0,VLOOKUP($C40,非生产人员工资!C:L,10,FALSE))</f>
        <v>750</v>
      </c>
      <c r="J40" s="7">
        <f>IF(ISERROR(VLOOKUP($C40,生产人员工资!C:I,7,FALSE)),0,VLOOKUP($C40,生产人员工资!C:I,7,FALSE))</f>
        <v>0</v>
      </c>
      <c r="K40" s="7">
        <f>IF(ISERROR(VLOOKUP($C40,生产人员工资!C:J,8,FALSE)),0,VLOOKUP($C40,生产人员工资!C:J,8,FALSE))</f>
        <v>0</v>
      </c>
      <c r="L40" s="7">
        <f>IF(ISERROR(IF(ISERROR(VLOOKUP($C40,非生产人员工资!C:N,12,FALSE)),VLOOKUP($C40,生产人员工资!C:K,9,FALSE),VLOOKUP($C40,非生产人员工资!C:N,12,FALSE))),0,IF(ISERROR(VLOOKUP($C40,非生产人员工资!C:N,12,FALSE)),VLOOKUP($C40,生产人员工资!C:K,9,FALSE),VLOOKUP($C40,非生产人员工资!C:N,12,FALSE)))</f>
        <v>0</v>
      </c>
      <c r="M40" s="7" t="str">
        <f>IF(ISERROR(IF(ISERROR(VLOOKUP($C40,非生产人员工资!$C:$O,13,FALSE)),VLOOKUP($C40,生产人员工资!$C:$L,10,FALSE),VLOOKUP($C40,非生产人员工资!$C:$O,13,FALSE))),0,IF(ISERROR(VLOOKUP($C40,非生产人员工资!$C:$O,13,FALSE)),VLOOKUP($C40,生产人员工资!$C:$L,10,FALSE),VLOOKUP($C40,非生产人员工资!$C:$O,13,FALSE)))</f>
        <v>0.00</v>
      </c>
      <c r="N40" s="7">
        <f>IF(ISERROR(IF(ISERROR(VLOOKUP($C40,非生产人员工资!$C:$P,14,FALSE)),VLOOKUP($C40,生产人员工资!$C:$M,11,FALSE),VLOOKUP($C40,非生产人员工资!$C:$P,14,FALSE))),0,IF(ISERROR(VLOOKUP($C40,非生产人员工资!$C:$P,14,FALSE)),VLOOKUP($C40,生产人员工资!$C:$M,11,FALSE),VLOOKUP($C40,非生产人员工资!$C:$P,14,FALSE)))</f>
        <v>100</v>
      </c>
      <c r="O40" s="7" t="str">
        <f>IF(ISERROR(IF(ISERROR(VLOOKUP($C40,非生产人员工资!C:Q,15,FALSE)),VLOOKUP($C40,生产人员工资!C:N,12,FALSE),VLOOKUP($C40,非生产人员工资!C:Q,15,FALSE))),0,IF(ISERROR(VLOOKUP($C40,非生产人员工资!C:Q,15,FALSE)),VLOOKUP($C40,生产人员工资!C:N,12,FALSE),VLOOKUP($C40,非生产人员工资!C:Q,15,FALSE)))</f>
        <v>0.00</v>
      </c>
      <c r="P40" s="7" t="str">
        <f>IF(ISERROR(IF(ISERROR(VLOOKUP($C40,非生产人员工资!C:R,16,FALSE)),VLOOKUP($C40,生产人员工资!C:O,13,FALSE),VLOOKUP($C40,非生产人员工资!C:R,16,FALSE))),0,IF(ISERROR(VLOOKUP($C40,非生产人员工资!C:R,16,FALSE)),VLOOKUP($C40,生产人员工资!C:O,13,FALSE),VLOOKUP($C40,非生产人员工资!C:R,16,FALSE)))</f>
        <v>0.00</v>
      </c>
      <c r="Q40" s="7" t="str">
        <f>IF(ISERROR(IF(ISERROR(VLOOKUP($C40,非生产人员工资!C:S,17,FALSE)),VLOOKUP($C40,生产人员工资!C:P,14,FALSE),VLOOKUP($C40,非生产人员工资!C:S,17,FALSE))),0,IF(ISERROR(VLOOKUP($C40,非生产人员工资!C:S,17,FALSE)),VLOOKUP($C40,生产人员工资!C:P,14,FALSE),VLOOKUP($C40,非生产人员工资!C:S,17,FALSE)))</f>
        <v>0.00</v>
      </c>
      <c r="R40" s="7" t="str">
        <f>IF(ISERROR(IF(ISERROR(VLOOKUP($C40,非生产人员工资!C:T,18,FALSE)),VLOOKUP($C40,生产人员工资!C:Q,15,FALSE),VLOOKUP($C40,非生产人员工资!C:T,18,FALSE))),0,IF(ISERROR(VLOOKUP($C40,非生产人员工资!C:T,18,FALSE)),VLOOKUP($C40,生产人员工资!C:Q,15,FALSE),VLOOKUP($C40,非生产人员工资!C:T,18,FALSE)))</f>
        <v>0.00</v>
      </c>
      <c r="S40" s="7">
        <f>IF(ISERROR(VLOOKUP($C40,非生产人员工资!C:U,19,FALSE)),0,VLOOKUP($C40,非生产人员工资!C:U,19,FALSE))</f>
        <v>0</v>
      </c>
      <c r="T40" s="7" t="str">
        <f>IF(ISERROR(IF(ISERROR(VLOOKUP($C40,非生产人员工资!C:V,20,FALSE)),VLOOKUP($C40,生产人员工资!C:R,16,FALSE),VLOOKUP($C40,非生产人员工资!C:V,20,FALSE))),0,IF(ISERROR(VLOOKUP($C40,非生产人员工资!C:V,20,FALSE)),VLOOKUP($C40,生产人员工资!$C:$R,16,FALSE),VLOOKUP($C40,非生产人员工资!C:V,20,FALSE)))</f>
        <v>0.00</v>
      </c>
      <c r="U40" s="7" t="str">
        <f>IF(ISERROR(IF(ISERROR(VLOOKUP($C40,非生产人员工资!C:W,21,FALSE)),VLOOKUP($C40,生产人员工资!C:S,17,FALSE),VLOOKUP($C40,非生产人员工资!C:W,21,FALSE))),0,IF(ISERROR(VLOOKUP($C40,非生产人员工资!C:W,21,FALSE)),VLOOKUP($C40,生产人员工资!C:S,17,FALSE),VLOOKUP($C40,非生产人员工资!C:W,21,FALSE)))</f>
        <v>0</v>
      </c>
      <c r="V40" s="7" t="str">
        <f>IF(ISERROR(IF(ISERROR(VLOOKUP($C40,非生产人员工资!C:X,22,FALSE)),VLOOKUP($C40,生产人员工资!C:T,18,FALSE),VLOOKUP($C40,非生产人员工资!C:X,22,FALSE))),0,IF(ISERROR(VLOOKUP($C40,非生产人员工资!C:X,22,FALSE)),VLOOKUP($C40,生产人员工资!C:T,18,FALSE),VLOOKUP($C40,非生产人员工资!C:X,22,FALSE)))</f>
        <v>0.00</v>
      </c>
      <c r="W40" s="7">
        <f t="shared" si="3"/>
        <v>7600</v>
      </c>
      <c r="X40" s="7">
        <f>IF(ISERROR(IF(ISERROR(VLOOKUP($C40,非生产人员工资!C:Z,24,FALSE)),VLOOKUP($C40,生产人员工资!C:V,20,FALSE),VLOOKUP($C40,非生产人员工资!$C:$Z,24,FALSE))),0,IF(ISERROR(VLOOKUP($C40,非生产人员工资!$C:$Z,24,FALSE)),VLOOKUP($C40,生产人员工资!$C:$V,20,FALSE),VLOOKUP($C40,非生产人员工资!$C:$Z,24,FALSE)))</f>
        <v>226.9</v>
      </c>
      <c r="Y40" s="7">
        <f>IF(ISERROR(IF(ISERROR(VLOOKUP($C40,非生产人员工资!C:AA,25,FALSE)),VLOOKUP($C40,生产人员工资!C:W,21,FALSE),VLOOKUP($C40,非生产人员工资!C:AA,25,FALSE))),0,IF(ISERROR(VLOOKUP($C40,非生产人员工资!C:AA,25,FALSE)),VLOOKUP($C40,生产人员工资!C:W,21,FALSE),VLOOKUP($C40,非生产人员工资!C:AA,25,FALSE)))</f>
        <v>104.57</v>
      </c>
      <c r="Z40" s="7">
        <f>IF(ISERROR(IF(ISERROR(VLOOKUP($C40,非生产人员工资!C:AB,26,FALSE)),VLOOKUP($C40,生产人员工资!C:X,22,FALSE),VLOOKUP($C40,非生产人员工资!C:AB,26,FALSE))),0,IF(ISERROR(VLOOKUP($C40,非生产人员工资!C:AB,26,FALSE)),VLOOKUP($C40,生产人员工资!C:X,22,FALSE),VLOOKUP($C40,非生产人员工资!C:AB,26,FALSE)))</f>
        <v>8.51</v>
      </c>
      <c r="AA40" s="7">
        <f>IF(ISERROR(IF(ISERROR(VLOOKUP($C40,非生产人员工资!C:AC,27,FALSE)),VLOOKUP($C40,生产人员工资!C:Y,23,FALSE),VLOOKUP($C40,非生产人员工资!C:AC,27,FALSE))),0,IF(ISERROR(VLOOKUP($C40,非生产人员工资!C:AC,27,FALSE)),VLOOKUP($C40,生产人员工资!C:Y,23,FALSE),VLOOKUP($C40,非生产人员工资!C:AC,27,FALSE)))</f>
        <v>159</v>
      </c>
      <c r="AB40" s="7">
        <f>IF(ISERROR(IF(ISERROR(VLOOKUP($C40,非生产人员工资!C:AD,28,FALSE)),VLOOKUP($C40,生产人员工资!C:Z,24,FALSE),VLOOKUP($C40,非生产人员工资!C:AD,28,FALSE))),0,IF(ISERROR(VLOOKUP($C40,非生产人员工资!C:AD,28,FALSE)),VLOOKUP($C40,生产人员工资!C:Z,24,FALSE),VLOOKUP($C40,非生产人员工资!C:AD,28,FALSE)))</f>
        <v>261.84</v>
      </c>
      <c r="AC40" s="269">
        <f>ROUND(IF(ISERROR(IF(ISERROR(VLOOKUP($C40,非生产人员工资!C:AF,30,FALSE)),VLOOKUP($C40,生产人员工资!C:AB,26,0),VLOOKUP($C40,非生产人员工资!C:AF,30,FALSE))),0,IF(ISERROR(VLOOKUP($C40,非生产人员工资!C:AF,30,FALSE)),VLOOKUP($C40,生产人员工资!C:AB,26,0),VLOOKUP($C40,非生产人员工资!C:AF,30,FALSE))),2)</f>
        <v>59.95</v>
      </c>
      <c r="AD40" s="269">
        <f t="shared" si="2"/>
        <v>6779.23</v>
      </c>
      <c r="AE40" s="269" t="str">
        <f>VLOOKUP($C40,员工基本信息!$C:$N,10,FALSE)</f>
        <v>生产成本+喷涂</v>
      </c>
      <c r="AF40" s="265" t="str">
        <f>VLOOKUP($C40,员工基本信息!$C:$O,11,FALSE)</f>
        <v>直接成本</v>
      </c>
      <c r="AG40" s="265" t="str">
        <f>VLOOKUP($C40,员工基本信息!$C:$O,12,FALSE)</f>
        <v>涂装车间</v>
      </c>
      <c r="AH40" s="265" t="str">
        <f>VLOOKUP($C40,员工基本信息!$C:$O,13,FALSE)</f>
        <v>生产人员</v>
      </c>
      <c r="AI40" s="249" t="str">
        <f>VLOOKUP($B40,员工基本信息!$B:$S,16,FALSE)</f>
        <v>6214220101206056856</v>
      </c>
      <c r="AJ40" s="249" t="str">
        <f>VLOOKUP($B40,员工基本信息!$B:$S,18,FALSE)</f>
        <v>沧州</v>
      </c>
      <c r="AK40" s="249" t="str">
        <f>VLOOKUP(C40,员工基本信息!$C:$M,11,0)</f>
        <v>直接成本</v>
      </c>
    </row>
    <row r="41" s="250" customFormat="1" customHeight="1" spans="1:37">
      <c r="A41" s="264">
        <v>38</v>
      </c>
      <c r="B41" s="6" t="str">
        <f>本月员工姓名!B39</f>
        <v>褚文吉</v>
      </c>
      <c r="C41" s="265" t="str">
        <f>VLOOKUP($B41,员工基本信息!$B:$I,2,FALSE)</f>
        <v>130983198503111817</v>
      </c>
      <c r="D41" s="266" t="str">
        <f>VLOOKUP($B41,员工基本信息!$B:$I,4,FALSE)</f>
        <v>制造管理部-注塑车间</v>
      </c>
      <c r="E41" s="266" t="str">
        <f>VLOOKUP($B41,员工基本信息!$B:$I,5,FALSE)</f>
        <v>模具维修</v>
      </c>
      <c r="F41" s="267">
        <f>IF(ISERROR(VLOOKUP($C41,非生产人员工资!C:I,7,FALSE)),0,VLOOKUP($C41,非生产人员工资!C:I,7,FALSE))</f>
        <v>1790</v>
      </c>
      <c r="G41" s="267">
        <f>IF(ISERROR(VLOOKUP($C41,非生产人员工资!C:J,8,0)),0,VLOOKUP($C41,非生产人员工资!C:J,8,FALSE))</f>
        <v>0</v>
      </c>
      <c r="H41" s="7">
        <f>IF(ISERROR(VLOOKUP($C41,非生产人员工资!C:K,9,FALSE)),0,VLOOKUP($C41,非生产人员工资!C:K,9,FALSE))</f>
        <v>3430</v>
      </c>
      <c r="I41" s="7">
        <f>IF(ISERROR(VLOOKUP($C41,非生产人员工资!C:L,10,FALSE)),0,VLOOKUP($C41,非生产人员工资!C:L,10,FALSE))</f>
        <v>580</v>
      </c>
      <c r="J41" s="7">
        <f>IF(ISERROR(VLOOKUP($C41,生产人员工资!C:I,7,FALSE)),0,VLOOKUP($C41,生产人员工资!C:I,7,FALSE))</f>
        <v>0</v>
      </c>
      <c r="K41" s="7">
        <f>IF(ISERROR(VLOOKUP($C41,生产人员工资!C:J,8,FALSE)),0,VLOOKUP($C41,生产人员工资!C:J,8,FALSE))</f>
        <v>0</v>
      </c>
      <c r="L41" s="7">
        <f>IF(ISERROR(IF(ISERROR(VLOOKUP($C41,非生产人员工资!C:N,12,FALSE)),VLOOKUP($C41,生产人员工资!C:K,9,FALSE),VLOOKUP($C41,非生产人员工资!C:N,12,FALSE))),0,IF(ISERROR(VLOOKUP($C41,非生产人员工资!C:N,12,FALSE)),VLOOKUP($C41,生产人员工资!C:K,9,FALSE),VLOOKUP($C41,非生产人员工资!C:N,12,FALSE)))</f>
        <v>0</v>
      </c>
      <c r="M41" s="7" t="str">
        <f>IF(ISERROR(IF(ISERROR(VLOOKUP($C41,非生产人员工资!$C:$O,13,FALSE)),VLOOKUP($C41,生产人员工资!$C:$L,10,FALSE),VLOOKUP($C41,非生产人员工资!$C:$O,13,FALSE))),0,IF(ISERROR(VLOOKUP($C41,非生产人员工资!$C:$O,13,FALSE)),VLOOKUP($C41,生产人员工资!$C:$L,10,FALSE),VLOOKUP($C41,非生产人员工资!$C:$O,13,FALSE)))</f>
        <v>0.00</v>
      </c>
      <c r="N41" s="7">
        <f>IF(ISERROR(IF(ISERROR(VLOOKUP($C41,非生产人员工资!$C:$P,14,FALSE)),VLOOKUP($C41,生产人员工资!$C:$M,11,FALSE),VLOOKUP($C41,非生产人员工资!$C:$P,14,FALSE))),0,IF(ISERROR(VLOOKUP($C41,非生产人员工资!$C:$P,14,FALSE)),VLOOKUP($C41,生产人员工资!$C:$M,11,FALSE),VLOOKUP($C41,非生产人员工资!$C:$P,14,FALSE)))</f>
        <v>40</v>
      </c>
      <c r="O41" s="7" t="str">
        <f>IF(ISERROR(IF(ISERROR(VLOOKUP($C41,非生产人员工资!C:Q,15,FALSE)),VLOOKUP($C41,生产人员工资!C:N,12,FALSE),VLOOKUP($C41,非生产人员工资!C:Q,15,FALSE))),0,IF(ISERROR(VLOOKUP($C41,非生产人员工资!C:Q,15,FALSE)),VLOOKUP($C41,生产人员工资!C:N,12,FALSE),VLOOKUP($C41,非生产人员工资!C:Q,15,FALSE)))</f>
        <v>0.00</v>
      </c>
      <c r="P41" s="7" t="str">
        <f>IF(ISERROR(IF(ISERROR(VLOOKUP($C41,非生产人员工资!C:R,16,FALSE)),VLOOKUP($C41,生产人员工资!C:O,13,FALSE),VLOOKUP($C41,非生产人员工资!C:R,16,FALSE))),0,IF(ISERROR(VLOOKUP($C41,非生产人员工资!C:R,16,FALSE)),VLOOKUP($C41,生产人员工资!C:O,13,FALSE),VLOOKUP($C41,非生产人员工资!C:R,16,FALSE)))</f>
        <v>0.00</v>
      </c>
      <c r="Q41" s="7" t="str">
        <f>IF(ISERROR(IF(ISERROR(VLOOKUP($C41,非生产人员工资!C:S,17,FALSE)),VLOOKUP($C41,生产人员工资!C:P,14,FALSE),VLOOKUP($C41,非生产人员工资!C:S,17,FALSE))),0,IF(ISERROR(VLOOKUP($C41,非生产人员工资!C:S,17,FALSE)),VLOOKUP($C41,生产人员工资!C:P,14,FALSE),VLOOKUP($C41,非生产人员工资!C:S,17,FALSE)))</f>
        <v>0.00</v>
      </c>
      <c r="R41" s="7" t="str">
        <f>IF(ISERROR(IF(ISERROR(VLOOKUP($C41,非生产人员工资!C:T,18,FALSE)),VLOOKUP($C41,生产人员工资!C:Q,15,FALSE),VLOOKUP($C41,非生产人员工资!C:T,18,FALSE))),0,IF(ISERROR(VLOOKUP($C41,非生产人员工资!C:T,18,FALSE)),VLOOKUP($C41,生产人员工资!C:Q,15,FALSE),VLOOKUP($C41,非生产人员工资!C:T,18,FALSE)))</f>
        <v>0.00</v>
      </c>
      <c r="S41" s="7">
        <f>IF(ISERROR(VLOOKUP($C41,非生产人员工资!C:U,19,FALSE)),0,VLOOKUP($C41,非生产人员工资!C:U,19,FALSE))</f>
        <v>0</v>
      </c>
      <c r="T41" s="7" t="str">
        <f>IF(ISERROR(IF(ISERROR(VLOOKUP($C41,非生产人员工资!C:V,20,FALSE)),VLOOKUP($C41,生产人员工资!C:R,16,FALSE),VLOOKUP($C41,非生产人员工资!C:V,20,FALSE))),0,IF(ISERROR(VLOOKUP($C41,非生产人员工资!C:V,20,FALSE)),VLOOKUP($C41,生产人员工资!$C:$R,16,FALSE),VLOOKUP($C41,非生产人员工资!C:V,20,FALSE)))</f>
        <v>0.00</v>
      </c>
      <c r="U41" s="7" t="str">
        <f>IF(ISERROR(IF(ISERROR(VLOOKUP($C41,非生产人员工资!C:W,21,FALSE)),VLOOKUP($C41,生产人员工资!C:S,17,FALSE),VLOOKUP($C41,非生产人员工资!C:W,21,FALSE))),0,IF(ISERROR(VLOOKUP($C41,非生产人员工资!C:W,21,FALSE)),VLOOKUP($C41,生产人员工资!C:S,17,FALSE),VLOOKUP($C41,非生产人员工资!C:W,21,FALSE)))</f>
        <v>0</v>
      </c>
      <c r="V41" s="7" t="str">
        <f>IF(ISERROR(IF(ISERROR(VLOOKUP($C41,非生产人员工资!C:X,22,FALSE)),VLOOKUP($C41,生产人员工资!C:T,18,FALSE),VLOOKUP($C41,非生产人员工资!C:X,22,FALSE))),0,IF(ISERROR(VLOOKUP($C41,非生产人员工资!C:X,22,FALSE)),VLOOKUP($C41,生产人员工资!C:T,18,FALSE),VLOOKUP($C41,非生产人员工资!C:X,22,FALSE)))</f>
        <v>0.00</v>
      </c>
      <c r="W41" s="7">
        <f t="shared" si="3"/>
        <v>5840</v>
      </c>
      <c r="X41" s="7">
        <f>IF(ISERROR(IF(ISERROR(VLOOKUP($C41,非生产人员工资!C:Z,24,FALSE)),VLOOKUP($C41,生产人员工资!C:V,20,FALSE),VLOOKUP($C41,非生产人员工资!$C:$Z,24,FALSE))),0,IF(ISERROR(VLOOKUP($C41,非生产人员工资!$C:$Z,24,FALSE)),VLOOKUP($C41,生产人员工资!$C:$V,20,FALSE),VLOOKUP($C41,非生产人员工资!$C:$Z,24,FALSE)))</f>
        <v>226.9</v>
      </c>
      <c r="Y41" s="7">
        <f>IF(ISERROR(IF(ISERROR(VLOOKUP($C41,非生产人员工资!C:AA,25,FALSE)),VLOOKUP($C41,生产人员工资!C:W,21,FALSE),VLOOKUP($C41,非生产人员工资!C:AA,25,FALSE))),0,IF(ISERROR(VLOOKUP($C41,非生产人员工资!C:AA,25,FALSE)),VLOOKUP($C41,生产人员工资!C:W,21,FALSE),VLOOKUP($C41,非生产人员工资!C:AA,25,FALSE)))</f>
        <v>104.57</v>
      </c>
      <c r="Z41" s="7">
        <f>IF(ISERROR(IF(ISERROR(VLOOKUP($C41,非生产人员工资!C:AB,26,FALSE)),VLOOKUP($C41,生产人员工资!C:X,22,FALSE),VLOOKUP($C41,非生产人员工资!C:AB,26,FALSE))),0,IF(ISERROR(VLOOKUP($C41,非生产人员工资!C:AB,26,FALSE)),VLOOKUP($C41,生产人员工资!C:X,22,FALSE),VLOOKUP($C41,非生产人员工资!C:AB,26,FALSE)))</f>
        <v>8.51</v>
      </c>
      <c r="AA41" s="7">
        <f>IF(ISERROR(IF(ISERROR(VLOOKUP($C41,非生产人员工资!C:AC,27,FALSE)),VLOOKUP($C41,生产人员工资!C:Y,23,FALSE),VLOOKUP($C41,非生产人员工资!C:AC,27,FALSE))),0,IF(ISERROR(VLOOKUP($C41,非生产人员工资!C:AC,27,FALSE)),VLOOKUP($C41,生产人员工资!C:Y,23,FALSE),VLOOKUP($C41,非生产人员工资!C:AC,27,FALSE)))</f>
        <v>159</v>
      </c>
      <c r="AB41" s="7">
        <f>IF(ISERROR(IF(ISERROR(VLOOKUP($C41,非生产人员工资!C:AD,28,FALSE)),VLOOKUP($C41,生产人员工资!C:Z,24,FALSE),VLOOKUP($C41,非生产人员工资!C:AD,28,FALSE))),0,IF(ISERROR(VLOOKUP($C41,非生产人员工资!C:AD,28,FALSE)),VLOOKUP($C41,生产人员工资!C:Z,24,FALSE),VLOOKUP($C41,非生产人员工资!C:AD,28,FALSE)))</f>
        <v>261.84</v>
      </c>
      <c r="AC41" s="269">
        <f>ROUND(IF(ISERROR(IF(ISERROR(VLOOKUP($C41,非生产人员工资!C:AF,30,FALSE)),VLOOKUP($C41,生产人员工资!C:AB,26,0),VLOOKUP($C41,非生产人员工资!C:AF,30,FALSE))),0,IF(ISERROR(VLOOKUP($C41,非生产人员工资!C:AF,30,FALSE)),VLOOKUP($C41,生产人员工资!C:AB,26,0),VLOOKUP($C41,非生产人员工资!C:AF,30,FALSE))),2)</f>
        <v>7.15</v>
      </c>
      <c r="AD41" s="269">
        <f t="shared" si="2"/>
        <v>5072.03</v>
      </c>
      <c r="AE41" s="269" t="str">
        <f>VLOOKUP($C41,员工基本信息!$C:$N,10,FALSE)</f>
        <v>生产成本+注塑</v>
      </c>
      <c r="AF41" s="265" t="str">
        <f>VLOOKUP($C41,员工基本信息!$C:$O,11,FALSE)</f>
        <v>直接成本</v>
      </c>
      <c r="AG41" s="265" t="str">
        <f>VLOOKUP($C41,员工基本信息!$C:$O,12,FALSE)</f>
        <v>注塑车间</v>
      </c>
      <c r="AH41" s="265" t="str">
        <f>VLOOKUP($C41,员工基本信息!$C:$O,13,FALSE)</f>
        <v>生产人员</v>
      </c>
      <c r="AI41" s="249" t="str">
        <f>VLOOKUP($B41,员工基本信息!$B:$S,16,FALSE)</f>
        <v>6214220101205943203</v>
      </c>
      <c r="AJ41" s="249" t="str">
        <f>VLOOKUP($B41,员工基本信息!$B:$S,18,FALSE)</f>
        <v>沧州</v>
      </c>
      <c r="AK41" s="249" t="str">
        <f>VLOOKUP(C41,员工基本信息!$C:$M,11,0)</f>
        <v>直接成本</v>
      </c>
    </row>
    <row r="42" s="250" customFormat="1" customHeight="1" spans="1:37">
      <c r="A42" s="264">
        <v>39</v>
      </c>
      <c r="B42" s="6" t="str">
        <f>本月员工姓名!B40</f>
        <v>刘柏林</v>
      </c>
      <c r="C42" s="265" t="str">
        <f>VLOOKUP($B42,员工基本信息!$B:$I,2,FALSE)</f>
        <v>132930199409233512</v>
      </c>
      <c r="D42" s="266" t="str">
        <f>VLOOKUP($B42,员工基本信息!$B:$I,4,FALSE)</f>
        <v>制造管理部-组装车间</v>
      </c>
      <c r="E42" s="266" t="str">
        <f>VLOOKUP($B42,员工基本信息!$B:$I,5,FALSE)</f>
        <v>班组长</v>
      </c>
      <c r="F42" s="267">
        <f>IF(ISERROR(VLOOKUP($C42,非生产人员工资!C:I,7,FALSE)),0,VLOOKUP($C42,非生产人员工资!C:I,7,FALSE))</f>
        <v>1790</v>
      </c>
      <c r="G42" s="267">
        <f>IF(ISERROR(VLOOKUP($C42,非生产人员工资!C:J,8,0)),0,VLOOKUP($C42,非生产人员工资!C:J,8,FALSE))</f>
        <v>761.264367816092</v>
      </c>
      <c r="H42" s="7">
        <f>IF(ISERROR(VLOOKUP($C42,非生产人员工资!C:K,9,FALSE)),0,VLOOKUP($C42,非生产人员工资!C:K,9,FALSE))</f>
        <v>1498.73563218391</v>
      </c>
      <c r="I42" s="7">
        <f>IF(ISERROR(VLOOKUP($C42,非生产人员工资!C:L,10,FALSE)),0,VLOOKUP($C42,非生产人员工资!C:L,10,FALSE))</f>
        <v>450</v>
      </c>
      <c r="J42" s="7">
        <f>IF(ISERROR(VLOOKUP($C42,生产人员工资!C:I,7,FALSE)),0,VLOOKUP($C42,生产人员工资!C:I,7,FALSE))</f>
        <v>0</v>
      </c>
      <c r="K42" s="7">
        <f>IF(ISERROR(VLOOKUP($C42,生产人员工资!C:J,8,FALSE)),0,VLOOKUP($C42,生产人员工资!C:J,8,FALSE))</f>
        <v>0</v>
      </c>
      <c r="L42" s="7">
        <f>IF(ISERROR(IF(ISERROR(VLOOKUP($C42,非生产人员工资!C:N,12,FALSE)),VLOOKUP($C42,生产人员工资!C:K,9,FALSE),VLOOKUP($C42,非生产人员工资!C:N,12,FALSE))),0,IF(ISERROR(VLOOKUP($C42,非生产人员工资!C:N,12,FALSE)),VLOOKUP($C42,生产人员工资!C:K,9,FALSE),VLOOKUP($C42,非生产人员工资!C:N,12,FALSE)))</f>
        <v>-135</v>
      </c>
      <c r="M42" s="7" t="str">
        <f>IF(ISERROR(IF(ISERROR(VLOOKUP($C42,非生产人员工资!$C:$O,13,FALSE)),VLOOKUP($C42,生产人员工资!$C:$L,10,FALSE),VLOOKUP($C42,非生产人员工资!$C:$O,13,FALSE))),0,IF(ISERROR(VLOOKUP($C42,非生产人员工资!$C:$O,13,FALSE)),VLOOKUP($C42,生产人员工资!$C:$L,10,FALSE),VLOOKUP($C42,非生产人员工资!$C:$O,13,FALSE)))</f>
        <v>0.00</v>
      </c>
      <c r="N42" s="7">
        <f>IF(ISERROR(IF(ISERROR(VLOOKUP($C42,非生产人员工资!$C:$P,14,FALSE)),VLOOKUP($C42,生产人员工资!$C:$M,11,FALSE),VLOOKUP($C42,非生产人员工资!$C:$P,14,FALSE))),0,IF(ISERROR(VLOOKUP($C42,非生产人员工资!$C:$P,14,FALSE)),VLOOKUP($C42,生产人员工资!$C:$M,11,FALSE),VLOOKUP($C42,非生产人员工资!$C:$P,14,FALSE)))</f>
        <v>100</v>
      </c>
      <c r="O42" s="7" t="str">
        <f>IF(ISERROR(IF(ISERROR(VLOOKUP($C42,非生产人员工资!C:Q,15,FALSE)),VLOOKUP($C42,生产人员工资!C:N,12,FALSE),VLOOKUP($C42,非生产人员工资!C:Q,15,FALSE))),0,IF(ISERROR(VLOOKUP($C42,非生产人员工资!C:Q,15,FALSE)),VLOOKUP($C42,生产人员工资!C:N,12,FALSE),VLOOKUP($C42,非生产人员工资!C:Q,15,FALSE)))</f>
        <v>0.00</v>
      </c>
      <c r="P42" s="7" t="str">
        <f>IF(ISERROR(IF(ISERROR(VLOOKUP($C42,非生产人员工资!C:R,16,FALSE)),VLOOKUP($C42,生产人员工资!C:O,13,FALSE),VLOOKUP($C42,非生产人员工资!C:R,16,FALSE))),0,IF(ISERROR(VLOOKUP($C42,非生产人员工资!C:R,16,FALSE)),VLOOKUP($C42,生产人员工资!C:O,13,FALSE),VLOOKUP($C42,非生产人员工资!C:R,16,FALSE)))</f>
        <v>0.00</v>
      </c>
      <c r="Q42" s="7" t="str">
        <f>IF(ISERROR(IF(ISERROR(VLOOKUP($C42,非生产人员工资!C:S,17,FALSE)),VLOOKUP($C42,生产人员工资!C:P,14,FALSE),VLOOKUP($C42,非生产人员工资!C:S,17,FALSE))),0,IF(ISERROR(VLOOKUP($C42,非生产人员工资!C:S,17,FALSE)),VLOOKUP($C42,生产人员工资!C:P,14,FALSE),VLOOKUP($C42,非生产人员工资!C:S,17,FALSE)))</f>
        <v>0.00</v>
      </c>
      <c r="R42" s="7" t="str">
        <f>IF(ISERROR(IF(ISERROR(VLOOKUP($C42,非生产人员工资!C:T,18,FALSE)),VLOOKUP($C42,生产人员工资!C:Q,15,FALSE),VLOOKUP($C42,非生产人员工资!C:T,18,FALSE))),0,IF(ISERROR(VLOOKUP($C42,非生产人员工资!C:T,18,FALSE)),VLOOKUP($C42,生产人员工资!C:Q,15,FALSE),VLOOKUP($C42,非生产人员工资!C:T,18,FALSE)))</f>
        <v>0.00</v>
      </c>
      <c r="S42" s="7">
        <f>IF(ISERROR(VLOOKUP($C42,非生产人员工资!C:U,19,FALSE)),0,VLOOKUP($C42,非生产人员工资!C:U,19,FALSE))</f>
        <v>0</v>
      </c>
      <c r="T42" s="7" t="str">
        <f>IF(ISERROR(IF(ISERROR(VLOOKUP($C42,非生产人员工资!C:V,20,FALSE)),VLOOKUP($C42,生产人员工资!C:R,16,FALSE),VLOOKUP($C42,非生产人员工资!C:V,20,FALSE))),0,IF(ISERROR(VLOOKUP($C42,非生产人员工资!C:V,20,FALSE)),VLOOKUP($C42,生产人员工资!$C:$R,16,FALSE),VLOOKUP($C42,非生产人员工资!C:V,20,FALSE)))</f>
        <v>0.00</v>
      </c>
      <c r="U42" s="7" t="str">
        <f>IF(ISERROR(IF(ISERROR(VLOOKUP($C42,非生产人员工资!C:W,21,FALSE)),VLOOKUP($C42,生产人员工资!C:S,17,FALSE),VLOOKUP($C42,非生产人员工资!C:W,21,FALSE))),0,IF(ISERROR(VLOOKUP($C42,非生产人员工资!C:W,21,FALSE)),VLOOKUP($C42,生产人员工资!C:S,17,FALSE),VLOOKUP($C42,非生产人员工资!C:W,21,FALSE)))</f>
        <v>0</v>
      </c>
      <c r="V42" s="7" t="str">
        <f>IF(ISERROR(IF(ISERROR(VLOOKUP($C42,非生产人员工资!C:X,22,FALSE)),VLOOKUP($C42,生产人员工资!C:T,18,FALSE),VLOOKUP($C42,非生产人员工资!C:X,22,FALSE))),0,IF(ISERROR(VLOOKUP($C42,非生产人员工资!C:X,22,FALSE)),VLOOKUP($C42,生产人员工资!C:T,18,FALSE),VLOOKUP($C42,非生产人员工资!C:X,22,FALSE)))</f>
        <v>0.00</v>
      </c>
      <c r="W42" s="7">
        <f t="shared" si="3"/>
        <v>4465</v>
      </c>
      <c r="X42" s="7">
        <f>IF(ISERROR(IF(ISERROR(VLOOKUP($C42,非生产人员工资!C:Z,24,FALSE)),VLOOKUP($C42,生产人员工资!C:V,20,FALSE),VLOOKUP($C42,非生产人员工资!$C:$Z,24,FALSE))),0,IF(ISERROR(VLOOKUP($C42,非生产人员工资!$C:$Z,24,FALSE)),VLOOKUP($C42,生产人员工资!$C:$V,20,FALSE),VLOOKUP($C42,非生产人员工资!$C:$Z,24,FALSE)))</f>
        <v>226.9</v>
      </c>
      <c r="Y42" s="7">
        <f>IF(ISERROR(IF(ISERROR(VLOOKUP($C42,非生产人员工资!C:AA,25,FALSE)),VLOOKUP($C42,生产人员工资!C:W,21,FALSE),VLOOKUP($C42,非生产人员工资!C:AA,25,FALSE))),0,IF(ISERROR(VLOOKUP($C42,非生产人员工资!C:AA,25,FALSE)),VLOOKUP($C42,生产人员工资!C:W,21,FALSE),VLOOKUP($C42,非生产人员工资!C:AA,25,FALSE)))</f>
        <v>104.57</v>
      </c>
      <c r="Z42" s="7">
        <f>IF(ISERROR(IF(ISERROR(VLOOKUP($C42,非生产人员工资!C:AB,26,FALSE)),VLOOKUP($C42,生产人员工资!C:X,22,FALSE),VLOOKUP($C42,非生产人员工资!C:AB,26,FALSE))),0,IF(ISERROR(VLOOKUP($C42,非生产人员工资!C:AB,26,FALSE)),VLOOKUP($C42,生产人员工资!C:X,22,FALSE),VLOOKUP($C42,非生产人员工资!C:AB,26,FALSE)))</f>
        <v>8.51</v>
      </c>
      <c r="AA42" s="7">
        <f>IF(ISERROR(IF(ISERROR(VLOOKUP($C42,非生产人员工资!C:AC,27,FALSE)),VLOOKUP($C42,生产人员工资!C:Y,23,FALSE),VLOOKUP($C42,非生产人员工资!C:AC,27,FALSE))),0,IF(ISERROR(VLOOKUP($C42,非生产人员工资!C:AC,27,FALSE)),VLOOKUP($C42,生产人员工资!C:Y,23,FALSE),VLOOKUP($C42,非生产人员工资!C:AC,27,FALSE)))</f>
        <v>159</v>
      </c>
      <c r="AB42" s="7">
        <f>IF(ISERROR(IF(ISERROR(VLOOKUP($C42,非生产人员工资!C:AD,28,FALSE)),VLOOKUP($C42,生产人员工资!C:Z,24,FALSE),VLOOKUP($C42,非生产人员工资!C:AD,28,FALSE))),0,IF(ISERROR(VLOOKUP($C42,非生产人员工资!C:AD,28,FALSE)),VLOOKUP($C42,生产人员工资!C:Z,24,FALSE),VLOOKUP($C42,非生产人员工资!C:AD,28,FALSE)))</f>
        <v>261.84</v>
      </c>
      <c r="AC42" s="269">
        <f>ROUND(IF(ISERROR(IF(ISERROR(VLOOKUP($C42,非生产人员工资!C:AF,30,FALSE)),VLOOKUP($C42,生产人员工资!C:AB,26,0),VLOOKUP($C42,非生产人员工资!C:AF,30,FALSE))),0,IF(ISERROR(VLOOKUP($C42,非生产人员工资!C:AF,30,FALSE)),VLOOKUP($C42,生产人员工资!C:AB,26,0),VLOOKUP($C42,非生产人员工资!C:AF,30,FALSE))),2)</f>
        <v>0</v>
      </c>
      <c r="AD42" s="269">
        <f t="shared" si="2"/>
        <v>3704.18</v>
      </c>
      <c r="AE42" s="269" t="str">
        <f>VLOOKUP($C42,员工基本信息!$C:$N,10,FALSE)</f>
        <v>生产成本+组装</v>
      </c>
      <c r="AF42" s="265" t="str">
        <f>VLOOKUP($C42,员工基本信息!$C:$O,11,FALSE)</f>
        <v>直接成本</v>
      </c>
      <c r="AG42" s="265" t="str">
        <f>VLOOKUP($C42,员工基本信息!$C:$O,12,FALSE)</f>
        <v>组装车间</v>
      </c>
      <c r="AH42" s="265" t="str">
        <f>VLOOKUP($C42,员工基本信息!$C:$O,13,FALSE)</f>
        <v>生产人员</v>
      </c>
      <c r="AI42" s="249" t="str">
        <f>VLOOKUP($B42,员工基本信息!$B:$S,16,FALSE)</f>
        <v>6214220101205382121</v>
      </c>
      <c r="AJ42" s="249" t="str">
        <f>VLOOKUP($B42,员工基本信息!$B:$S,18,FALSE)</f>
        <v>沧州</v>
      </c>
      <c r="AK42" s="249" t="str">
        <f>VLOOKUP(C42,员工基本信息!$C:$M,11,0)</f>
        <v>直接成本</v>
      </c>
    </row>
    <row r="43" s="250" customFormat="1" customHeight="1" spans="1:37">
      <c r="A43" s="264">
        <v>40</v>
      </c>
      <c r="B43" s="6" t="str">
        <f>本月员工姓名!B41</f>
        <v>王朋</v>
      </c>
      <c r="C43" s="265" t="str">
        <f>VLOOKUP($B43,员工基本信息!$B:$I,2,FALSE)</f>
        <v>130983199403201617</v>
      </c>
      <c r="D43" s="266" t="str">
        <f>VLOOKUP($B43,员工基本信息!$B:$I,4,FALSE)</f>
        <v>制造管理部-喷涂车间</v>
      </c>
      <c r="E43" s="266" t="str">
        <f>VLOOKUP($B43,员工基本信息!$B:$I,5,FALSE)</f>
        <v>点漆</v>
      </c>
      <c r="F43" s="267">
        <f>IF(ISERROR(VLOOKUP($C43,非生产人员工资!C:I,7,FALSE)),0,VLOOKUP($C43,非生产人员工资!C:I,7,FALSE))</f>
        <v>0</v>
      </c>
      <c r="G43" s="267">
        <f>IF(ISERROR(VLOOKUP($C43,非生产人员工资!C:J,8,0)),0,VLOOKUP($C43,非生产人员工资!C:J,8,FALSE))</f>
        <v>0</v>
      </c>
      <c r="H43" s="7">
        <f>IF(ISERROR(VLOOKUP($C43,非生产人员工资!C:K,9,FALSE)),0,VLOOKUP($C43,非生产人员工资!C:K,9,FALSE))</f>
        <v>0</v>
      </c>
      <c r="I43" s="7">
        <f>IF(ISERROR(VLOOKUP($C43,非生产人员工资!C:L,10,FALSE)),0,VLOOKUP($C43,非生产人员工资!C:L,10,FALSE))</f>
        <v>0</v>
      </c>
      <c r="J43" s="7">
        <f>IF(ISERROR(VLOOKUP($C43,生产人员工资!C:I,7,FALSE)),0,VLOOKUP($C43,生产人员工资!C:I,7,FALSE))</f>
        <v>3953.95</v>
      </c>
      <c r="K43" s="7">
        <f>IF(ISERROR(VLOOKUP($C43,生产人员工资!C:J,8,FALSE)),0,VLOOKUP($C43,生产人员工资!C:J,8,FALSE))</f>
        <v>0</v>
      </c>
      <c r="L43" s="7" t="str">
        <f>IF(ISERROR(IF(ISERROR(VLOOKUP($C43,非生产人员工资!C:N,12,FALSE)),VLOOKUP($C43,生产人员工资!C:K,9,FALSE),VLOOKUP($C43,非生产人员工资!C:N,12,FALSE))),0,IF(ISERROR(VLOOKUP($C43,非生产人员工资!C:N,12,FALSE)),VLOOKUP($C43,生产人员工资!C:K,9,FALSE),VLOOKUP($C43,非生产人员工资!C:N,12,FALSE)))</f>
        <v>0.00</v>
      </c>
      <c r="M43" s="7" t="str">
        <f>IF(ISERROR(IF(ISERROR(VLOOKUP($C43,非生产人员工资!$C:$O,13,FALSE)),VLOOKUP($C43,生产人员工资!$C:$L,10,FALSE),VLOOKUP($C43,非生产人员工资!$C:$O,13,FALSE))),0,IF(ISERROR(VLOOKUP($C43,非生产人员工资!$C:$O,13,FALSE)),VLOOKUP($C43,生产人员工资!$C:$L,10,FALSE),VLOOKUP($C43,非生产人员工资!$C:$O,13,FALSE)))</f>
        <v>0.00</v>
      </c>
      <c r="N43" s="7">
        <f>IF(ISERROR(IF(ISERROR(VLOOKUP($C43,非生产人员工资!$C:$P,14,FALSE)),VLOOKUP($C43,生产人员工资!$C:$M,11,FALSE),VLOOKUP($C43,非生产人员工资!$C:$P,14,FALSE))),0,IF(ISERROR(VLOOKUP($C43,非生产人员工资!$C:$P,14,FALSE)),VLOOKUP($C43,生产人员工资!$C:$M,11,FALSE),VLOOKUP($C43,非生产人员工资!$C:$P,14,FALSE)))</f>
        <v>40</v>
      </c>
      <c r="O43" s="7" t="str">
        <f>IF(ISERROR(IF(ISERROR(VLOOKUP($C43,非生产人员工资!C:Q,15,FALSE)),VLOOKUP($C43,生产人员工资!C:N,12,FALSE),VLOOKUP($C43,非生产人员工资!C:Q,15,FALSE))),0,IF(ISERROR(VLOOKUP($C43,非生产人员工资!C:Q,15,FALSE)),VLOOKUP($C43,生产人员工资!C:N,12,FALSE),VLOOKUP($C43,非生产人员工资!C:Q,15,FALSE)))</f>
        <v>0.00</v>
      </c>
      <c r="P43" s="7" t="str">
        <f>IF(ISERROR(IF(ISERROR(VLOOKUP($C43,非生产人员工资!C:R,16,FALSE)),VLOOKUP($C43,生产人员工资!C:O,13,FALSE),VLOOKUP($C43,非生产人员工资!C:R,16,FALSE))),0,IF(ISERROR(VLOOKUP($C43,非生产人员工资!C:R,16,FALSE)),VLOOKUP($C43,生产人员工资!C:O,13,FALSE),VLOOKUP($C43,非生产人员工资!C:R,16,FALSE)))</f>
        <v>0.00</v>
      </c>
      <c r="Q43" s="7" t="str">
        <f>IF(ISERROR(IF(ISERROR(VLOOKUP($C43,非生产人员工资!C:S,17,FALSE)),VLOOKUP($C43,生产人员工资!C:P,14,FALSE),VLOOKUP($C43,非生产人员工资!C:S,17,FALSE))),0,IF(ISERROR(VLOOKUP($C43,非生产人员工资!C:S,17,FALSE)),VLOOKUP($C43,生产人员工资!C:P,14,FALSE),VLOOKUP($C43,非生产人员工资!C:S,17,FALSE)))</f>
        <v>0.00</v>
      </c>
      <c r="R43" s="7" t="str">
        <f>IF(ISERROR(IF(ISERROR(VLOOKUP($C43,非生产人员工资!C:T,18,FALSE)),VLOOKUP($C43,生产人员工资!C:Q,15,FALSE),VLOOKUP($C43,非生产人员工资!C:T,18,FALSE))),0,IF(ISERROR(VLOOKUP($C43,非生产人员工资!C:T,18,FALSE)),VLOOKUP($C43,生产人员工资!C:Q,15,FALSE),VLOOKUP($C43,非生产人员工资!C:T,18,FALSE)))</f>
        <v>0.00</v>
      </c>
      <c r="S43" s="7">
        <f>IF(ISERROR(VLOOKUP($C43,非生产人员工资!C:U,19,FALSE)),0,VLOOKUP($C43,非生产人员工资!C:U,19,FALSE))</f>
        <v>0</v>
      </c>
      <c r="T43" s="7" t="str">
        <f>IF(ISERROR(IF(ISERROR(VLOOKUP($C43,非生产人员工资!C:V,20,FALSE)),VLOOKUP($C43,生产人员工资!C:R,16,FALSE),VLOOKUP($C43,非生产人员工资!C:V,20,FALSE))),0,IF(ISERROR(VLOOKUP($C43,非生产人员工资!C:V,20,FALSE)),VLOOKUP($C43,生产人员工资!$C:$R,16,FALSE),VLOOKUP($C43,非生产人员工资!C:V,20,FALSE)))</f>
        <v>0.00</v>
      </c>
      <c r="U43" s="7" t="str">
        <f>IF(ISERROR(IF(ISERROR(VLOOKUP($C43,非生产人员工资!C:W,21,FALSE)),VLOOKUP($C43,生产人员工资!C:S,17,FALSE),VLOOKUP($C43,非生产人员工资!C:W,21,FALSE))),0,IF(ISERROR(VLOOKUP($C43,非生产人员工资!C:W,21,FALSE)),VLOOKUP($C43,生产人员工资!C:S,17,FALSE),VLOOKUP($C43,非生产人员工资!C:W,21,FALSE)))</f>
        <v>0.00</v>
      </c>
      <c r="V43" s="7" t="str">
        <f>IF(ISERROR(IF(ISERROR(VLOOKUP($C43,非生产人员工资!C:X,22,FALSE)),VLOOKUP($C43,生产人员工资!C:T,18,FALSE),VLOOKUP($C43,非生产人员工资!C:X,22,FALSE))),0,IF(ISERROR(VLOOKUP($C43,非生产人员工资!C:X,22,FALSE)),VLOOKUP($C43,生产人员工资!C:T,18,FALSE),VLOOKUP($C43,非生产人员工资!C:X,22,FALSE)))</f>
        <v>0.00</v>
      </c>
      <c r="W43" s="7">
        <f t="shared" si="3"/>
        <v>3993.95</v>
      </c>
      <c r="X43" s="7">
        <f>IF(ISERROR(IF(ISERROR(VLOOKUP($C43,非生产人员工资!C:Z,24,FALSE)),VLOOKUP($C43,生产人员工资!C:V,20,FALSE),VLOOKUP($C43,非生产人员工资!$C:$Z,24,FALSE))),0,IF(ISERROR(VLOOKUP($C43,非生产人员工资!$C:$Z,24,FALSE)),VLOOKUP($C43,生产人员工资!$C:$V,20,FALSE),VLOOKUP($C43,非生产人员工资!$C:$Z,24,FALSE)))</f>
        <v>226.9</v>
      </c>
      <c r="Y43" s="7">
        <f>IF(ISERROR(IF(ISERROR(VLOOKUP($C43,非生产人员工资!C:AA,25,FALSE)),VLOOKUP($C43,生产人员工资!C:W,21,FALSE),VLOOKUP($C43,非生产人员工资!C:AA,25,FALSE))),0,IF(ISERROR(VLOOKUP($C43,非生产人员工资!C:AA,25,FALSE)),VLOOKUP($C43,生产人员工资!C:W,21,FALSE),VLOOKUP($C43,非生产人员工资!C:AA,25,FALSE)))</f>
        <v>104.57</v>
      </c>
      <c r="Z43" s="7">
        <f>IF(ISERROR(IF(ISERROR(VLOOKUP($C43,非生产人员工资!C:AB,26,FALSE)),VLOOKUP($C43,生产人员工资!C:X,22,FALSE),VLOOKUP($C43,非生产人员工资!C:AB,26,FALSE))),0,IF(ISERROR(VLOOKUP($C43,非生产人员工资!C:AB,26,FALSE)),VLOOKUP($C43,生产人员工资!C:X,22,FALSE),VLOOKUP($C43,非生产人员工资!C:AB,26,FALSE)))</f>
        <v>8.51</v>
      </c>
      <c r="AA43" s="7">
        <f>IF(ISERROR(IF(ISERROR(VLOOKUP($C43,非生产人员工资!C:AC,27,FALSE)),VLOOKUP($C43,生产人员工资!C:Y,23,FALSE),VLOOKUP($C43,非生产人员工资!C:AC,27,FALSE))),0,IF(ISERROR(VLOOKUP($C43,非生产人员工资!C:AC,27,FALSE)),VLOOKUP($C43,生产人员工资!C:Y,23,FALSE),VLOOKUP($C43,非生产人员工资!C:AC,27,FALSE)))</f>
        <v>89.5</v>
      </c>
      <c r="AB43" s="7">
        <f>IF(ISERROR(IF(ISERROR(VLOOKUP($C43,非生产人员工资!C:AD,28,FALSE)),VLOOKUP($C43,生产人员工资!C:Z,24,FALSE),VLOOKUP($C43,非生产人员工资!C:AD,28,FALSE))),0,IF(ISERROR(VLOOKUP($C43,非生产人员工资!C:AD,28,FALSE)),VLOOKUP($C43,生产人员工资!C:Z,24,FALSE),VLOOKUP($C43,非生产人员工资!C:AD,28,FALSE)))</f>
        <v>261.84</v>
      </c>
      <c r="AC43" s="269">
        <f>ROUND(IF(ISERROR(IF(ISERROR(VLOOKUP($C43,非生产人员工资!C:AF,30,FALSE)),VLOOKUP($C43,生产人员工资!C:AB,26,0),VLOOKUP($C43,非生产人员工资!C:AF,30,FALSE))),0,IF(ISERROR(VLOOKUP($C43,非生产人员工资!C:AF,30,FALSE)),VLOOKUP($C43,生产人员工资!C:AB,26,0),VLOOKUP($C43,非生产人员工资!C:AF,30,FALSE))),2)</f>
        <v>0</v>
      </c>
      <c r="AD43" s="269">
        <f t="shared" si="2"/>
        <v>3302.63</v>
      </c>
      <c r="AE43" s="269" t="str">
        <f>VLOOKUP($C43,员工基本信息!$C:$N,10,FALSE)</f>
        <v>生产成本+喷涂</v>
      </c>
      <c r="AF43" s="265" t="str">
        <f>VLOOKUP($C43,员工基本信息!$C:$O,11,FALSE)</f>
        <v>直接成本</v>
      </c>
      <c r="AG43" s="265" t="str">
        <f>VLOOKUP($C43,员工基本信息!$C:$O,12,FALSE)</f>
        <v>涂装车间</v>
      </c>
      <c r="AH43" s="265" t="str">
        <f>VLOOKUP($C43,员工基本信息!$C:$O,13,FALSE)</f>
        <v>生产人员</v>
      </c>
      <c r="AI43" s="249" t="str">
        <f>VLOOKUP($B43,员工基本信息!$B:$S,16,FALSE)</f>
        <v>6214220101205943765</v>
      </c>
      <c r="AJ43" s="249" t="str">
        <f>VLOOKUP($B43,员工基本信息!$B:$S,18,FALSE)</f>
        <v>沧州</v>
      </c>
      <c r="AK43" s="249" t="str">
        <f>VLOOKUP(C43,员工基本信息!$C:$M,11,0)</f>
        <v>直接成本</v>
      </c>
    </row>
    <row r="44" s="250" customFormat="1" customHeight="1" spans="1:37">
      <c r="A44" s="264">
        <v>41</v>
      </c>
      <c r="B44" s="6" t="str">
        <f>本月员工姓名!B42</f>
        <v>王冠文</v>
      </c>
      <c r="C44" s="265" t="str">
        <f>VLOOKUP($B44,员工基本信息!$B:$I,2,FALSE)</f>
        <v>130983199611302818</v>
      </c>
      <c r="D44" s="266" t="str">
        <f>VLOOKUP($B44,员工基本信息!$B:$I,4,FALSE)</f>
        <v>制造管理部-喷涂车间</v>
      </c>
      <c r="E44" s="266" t="str">
        <f>VLOOKUP($B44,员工基本信息!$B:$I,5,FALSE)</f>
        <v>点磨</v>
      </c>
      <c r="F44" s="267">
        <f>IF(ISERROR(VLOOKUP($C44,非生产人员工资!C:I,7,FALSE)),0,VLOOKUP($C44,非生产人员工资!C:I,7,FALSE))</f>
        <v>0</v>
      </c>
      <c r="G44" s="267">
        <f>IF(ISERROR(VLOOKUP($C44,非生产人员工资!C:J,8,0)),0,VLOOKUP($C44,非生产人员工资!C:J,8,FALSE))</f>
        <v>0</v>
      </c>
      <c r="H44" s="7">
        <f>IF(ISERROR(VLOOKUP($C44,非生产人员工资!C:K,9,FALSE)),0,VLOOKUP($C44,非生产人员工资!C:K,9,FALSE))</f>
        <v>0</v>
      </c>
      <c r="I44" s="7">
        <f>IF(ISERROR(VLOOKUP($C44,非生产人员工资!C:L,10,FALSE)),0,VLOOKUP($C44,非生产人员工资!C:L,10,FALSE))</f>
        <v>0</v>
      </c>
      <c r="J44" s="7">
        <f>IF(ISERROR(VLOOKUP($C44,生产人员工资!C:I,7,FALSE)),0,VLOOKUP($C44,生产人员工资!C:I,7,FALSE))</f>
        <v>3982.55</v>
      </c>
      <c r="K44" s="7">
        <f>IF(ISERROR(VLOOKUP($C44,生产人员工资!C:J,8,FALSE)),0,VLOOKUP($C44,生产人员工资!C:J,8,FALSE))</f>
        <v>0</v>
      </c>
      <c r="L44" s="7" t="str">
        <f>IF(ISERROR(IF(ISERROR(VLOOKUP($C44,非生产人员工资!C:N,12,FALSE)),VLOOKUP($C44,生产人员工资!C:K,9,FALSE),VLOOKUP($C44,非生产人员工资!C:N,12,FALSE))),0,IF(ISERROR(VLOOKUP($C44,非生产人员工资!C:N,12,FALSE)),VLOOKUP($C44,生产人员工资!C:K,9,FALSE),VLOOKUP($C44,非生产人员工资!C:N,12,FALSE)))</f>
        <v>0.00</v>
      </c>
      <c r="M44" s="7" t="str">
        <f>IF(ISERROR(IF(ISERROR(VLOOKUP($C44,非生产人员工资!$C:$O,13,FALSE)),VLOOKUP($C44,生产人员工资!$C:$L,10,FALSE),VLOOKUP($C44,非生产人员工资!$C:$O,13,FALSE))),0,IF(ISERROR(VLOOKUP($C44,非生产人员工资!$C:$O,13,FALSE)),VLOOKUP($C44,生产人员工资!$C:$L,10,FALSE),VLOOKUP($C44,非生产人员工资!$C:$O,13,FALSE)))</f>
        <v>0.00</v>
      </c>
      <c r="N44" s="7">
        <f>IF(ISERROR(IF(ISERROR(VLOOKUP($C44,非生产人员工资!$C:$P,14,FALSE)),VLOOKUP($C44,生产人员工资!$C:$M,11,FALSE),VLOOKUP($C44,非生产人员工资!$C:$P,14,FALSE))),0,IF(ISERROR(VLOOKUP($C44,非生产人员工资!$C:$P,14,FALSE)),VLOOKUP($C44,生产人员工资!$C:$M,11,FALSE),VLOOKUP($C44,非生产人员工资!$C:$P,14,FALSE)))</f>
        <v>40</v>
      </c>
      <c r="O44" s="7" t="str">
        <f>IF(ISERROR(IF(ISERROR(VLOOKUP($C44,非生产人员工资!C:Q,15,FALSE)),VLOOKUP($C44,生产人员工资!C:N,12,FALSE),VLOOKUP($C44,非生产人员工资!C:Q,15,FALSE))),0,IF(ISERROR(VLOOKUP($C44,非生产人员工资!C:Q,15,FALSE)),VLOOKUP($C44,生产人员工资!C:N,12,FALSE),VLOOKUP($C44,非生产人员工资!C:Q,15,FALSE)))</f>
        <v>0.00</v>
      </c>
      <c r="P44" s="7" t="str">
        <f>IF(ISERROR(IF(ISERROR(VLOOKUP($C44,非生产人员工资!C:R,16,FALSE)),VLOOKUP($C44,生产人员工资!C:O,13,FALSE),VLOOKUP($C44,非生产人员工资!C:R,16,FALSE))),0,IF(ISERROR(VLOOKUP($C44,非生产人员工资!C:R,16,FALSE)),VLOOKUP($C44,生产人员工资!C:O,13,FALSE),VLOOKUP($C44,非生产人员工资!C:R,16,FALSE)))</f>
        <v>0.00</v>
      </c>
      <c r="Q44" s="7" t="str">
        <f>IF(ISERROR(IF(ISERROR(VLOOKUP($C44,非生产人员工资!C:S,17,FALSE)),VLOOKUP($C44,生产人员工资!C:P,14,FALSE),VLOOKUP($C44,非生产人员工资!C:S,17,FALSE))),0,IF(ISERROR(VLOOKUP($C44,非生产人员工资!C:S,17,FALSE)),VLOOKUP($C44,生产人员工资!C:P,14,FALSE),VLOOKUP($C44,非生产人员工资!C:S,17,FALSE)))</f>
        <v>0.00</v>
      </c>
      <c r="R44" s="7" t="str">
        <f>IF(ISERROR(IF(ISERROR(VLOOKUP($C44,非生产人员工资!C:T,18,FALSE)),VLOOKUP($C44,生产人员工资!C:Q,15,FALSE),VLOOKUP($C44,非生产人员工资!C:T,18,FALSE))),0,IF(ISERROR(VLOOKUP($C44,非生产人员工资!C:T,18,FALSE)),VLOOKUP($C44,生产人员工资!C:Q,15,FALSE),VLOOKUP($C44,非生产人员工资!C:T,18,FALSE)))</f>
        <v>0.00</v>
      </c>
      <c r="S44" s="7">
        <f>IF(ISERROR(VLOOKUP($C44,非生产人员工资!C:U,19,FALSE)),0,VLOOKUP($C44,非生产人员工资!C:U,19,FALSE))</f>
        <v>0</v>
      </c>
      <c r="T44" s="7" t="str">
        <f>IF(ISERROR(IF(ISERROR(VLOOKUP($C44,非生产人员工资!C:V,20,FALSE)),VLOOKUP($C44,生产人员工资!C:R,16,FALSE),VLOOKUP($C44,非生产人员工资!C:V,20,FALSE))),0,IF(ISERROR(VLOOKUP($C44,非生产人员工资!C:V,20,FALSE)),VLOOKUP($C44,生产人员工资!$C:$R,16,FALSE),VLOOKUP($C44,非生产人员工资!C:V,20,FALSE)))</f>
        <v>0.00</v>
      </c>
      <c r="U44" s="7" t="str">
        <f>IF(ISERROR(IF(ISERROR(VLOOKUP($C44,非生产人员工资!C:W,21,FALSE)),VLOOKUP($C44,生产人员工资!C:S,17,FALSE),VLOOKUP($C44,非生产人员工资!C:W,21,FALSE))),0,IF(ISERROR(VLOOKUP($C44,非生产人员工资!C:W,21,FALSE)),VLOOKUP($C44,生产人员工资!C:S,17,FALSE),VLOOKUP($C44,非生产人员工资!C:W,21,FALSE)))</f>
        <v>0.00</v>
      </c>
      <c r="V44" s="7" t="str">
        <f>IF(ISERROR(IF(ISERROR(VLOOKUP($C44,非生产人员工资!C:X,22,FALSE)),VLOOKUP($C44,生产人员工资!C:T,18,FALSE),VLOOKUP($C44,非生产人员工资!C:X,22,FALSE))),0,IF(ISERROR(VLOOKUP($C44,非生产人员工资!C:X,22,FALSE)),VLOOKUP($C44,生产人员工资!C:T,18,FALSE),VLOOKUP($C44,非生产人员工资!C:X,22,FALSE)))</f>
        <v>0.00</v>
      </c>
      <c r="W44" s="7">
        <f t="shared" si="3"/>
        <v>4022.55</v>
      </c>
      <c r="X44" s="7">
        <f>IF(ISERROR(IF(ISERROR(VLOOKUP($C44,非生产人员工资!C:Z,24,FALSE)),VLOOKUP($C44,生产人员工资!C:V,20,FALSE),VLOOKUP($C44,非生产人员工资!$C:$Z,24,FALSE))),0,IF(ISERROR(VLOOKUP($C44,非生产人员工资!$C:$Z,24,FALSE)),VLOOKUP($C44,生产人员工资!$C:$V,20,FALSE),VLOOKUP($C44,非生产人员工资!$C:$Z,24,FALSE)))</f>
        <v>226.9</v>
      </c>
      <c r="Y44" s="7">
        <f>IF(ISERROR(IF(ISERROR(VLOOKUP($C44,非生产人员工资!C:AA,25,FALSE)),VLOOKUP($C44,生产人员工资!C:W,21,FALSE),VLOOKUP($C44,非生产人员工资!C:AA,25,FALSE))),0,IF(ISERROR(VLOOKUP($C44,非生产人员工资!C:AA,25,FALSE)),VLOOKUP($C44,生产人员工资!C:W,21,FALSE),VLOOKUP($C44,非生产人员工资!C:AA,25,FALSE)))</f>
        <v>104.57</v>
      </c>
      <c r="Z44" s="7">
        <f>IF(ISERROR(IF(ISERROR(VLOOKUP($C44,非生产人员工资!C:AB,26,FALSE)),VLOOKUP($C44,生产人员工资!C:X,22,FALSE),VLOOKUP($C44,非生产人员工资!C:AB,26,FALSE))),0,IF(ISERROR(VLOOKUP($C44,非生产人员工资!C:AB,26,FALSE)),VLOOKUP($C44,生产人员工资!C:X,22,FALSE),VLOOKUP($C44,非生产人员工资!C:AB,26,FALSE)))</f>
        <v>8.51</v>
      </c>
      <c r="AA44" s="7">
        <f>IF(ISERROR(IF(ISERROR(VLOOKUP($C44,非生产人员工资!C:AC,27,FALSE)),VLOOKUP($C44,生产人员工资!C:Y,23,FALSE),VLOOKUP($C44,非生产人员工资!C:AC,27,FALSE))),0,IF(ISERROR(VLOOKUP($C44,非生产人员工资!C:AC,27,FALSE)),VLOOKUP($C44,生产人员工资!C:Y,23,FALSE),VLOOKUP($C44,非生产人员工资!C:AC,27,FALSE)))</f>
        <v>89.5</v>
      </c>
      <c r="AB44" s="7">
        <f>IF(ISERROR(IF(ISERROR(VLOOKUP($C44,非生产人员工资!C:AD,28,FALSE)),VLOOKUP($C44,生产人员工资!C:Z,24,FALSE),VLOOKUP($C44,非生产人员工资!C:AD,28,FALSE))),0,IF(ISERROR(VLOOKUP($C44,非生产人员工资!C:AD,28,FALSE)),VLOOKUP($C44,生产人员工资!C:Z,24,FALSE),VLOOKUP($C44,非生产人员工资!C:AD,28,FALSE)))</f>
        <v>261.84</v>
      </c>
      <c r="AC44" s="269">
        <f>ROUND(IF(ISERROR(IF(ISERROR(VLOOKUP($C44,非生产人员工资!C:AF,30,FALSE)),VLOOKUP($C44,生产人员工资!C:AB,26,0),VLOOKUP($C44,非生产人员工资!C:AF,30,FALSE))),0,IF(ISERROR(VLOOKUP($C44,非生产人员工资!C:AF,30,FALSE)),VLOOKUP($C44,生产人员工资!C:AB,26,0),VLOOKUP($C44,非生产人员工资!C:AF,30,FALSE))),2)</f>
        <v>0</v>
      </c>
      <c r="AD44" s="269">
        <f t="shared" si="2"/>
        <v>3331.23</v>
      </c>
      <c r="AE44" s="269" t="str">
        <f>VLOOKUP($C44,员工基本信息!$C:$N,10,FALSE)</f>
        <v>生产成本+喷涂</v>
      </c>
      <c r="AF44" s="265" t="str">
        <f>VLOOKUP($C44,员工基本信息!$C:$O,11,FALSE)</f>
        <v>直接成本</v>
      </c>
      <c r="AG44" s="265" t="str">
        <f>VLOOKUP($C44,员工基本信息!$C:$O,12,FALSE)</f>
        <v>涂装车间</v>
      </c>
      <c r="AH44" s="265" t="str">
        <f>VLOOKUP($C44,员工基本信息!$C:$O,13,FALSE)</f>
        <v>生产人员</v>
      </c>
      <c r="AI44" s="249" t="str">
        <f>VLOOKUP($B44,员工基本信息!$B:$S,16,FALSE)</f>
        <v>6214220101205538235</v>
      </c>
      <c r="AJ44" s="249" t="str">
        <f>VLOOKUP($B44,员工基本信息!$B:$S,18,FALSE)</f>
        <v>沧州</v>
      </c>
      <c r="AK44" s="249" t="str">
        <f>VLOOKUP(C44,员工基本信息!$C:$M,11,0)</f>
        <v>直接成本</v>
      </c>
    </row>
    <row r="45" s="250" customFormat="1" customHeight="1" spans="1:37">
      <c r="A45" s="264">
        <v>42</v>
      </c>
      <c r="B45" s="6" t="str">
        <f>本月员工姓名!B43</f>
        <v>滕红玲</v>
      </c>
      <c r="C45" s="265" t="str">
        <f>VLOOKUP($B45,员工基本信息!$B:$I,2,FALSE)</f>
        <v>132930197910072426</v>
      </c>
      <c r="D45" s="266" t="str">
        <f>VLOOKUP($B45,员工基本信息!$B:$I,4,FALSE)</f>
        <v>制造管理部-喷涂车间</v>
      </c>
      <c r="E45" s="266" t="str">
        <f>VLOOKUP($B45,员工基本信息!$B:$I,5,FALSE)</f>
        <v>复检</v>
      </c>
      <c r="F45" s="267">
        <f>IF(ISERROR(VLOOKUP($C45,非生产人员工资!C:I,7,FALSE)),0,VLOOKUP($C45,非生产人员工资!C:I,7,FALSE))</f>
        <v>0</v>
      </c>
      <c r="G45" s="267">
        <f>IF(ISERROR(VLOOKUP($C45,非生产人员工资!C:J,8,0)),0,VLOOKUP($C45,非生产人员工资!C:J,8,FALSE))</f>
        <v>0</v>
      </c>
      <c r="H45" s="7">
        <f>IF(ISERROR(VLOOKUP($C45,非生产人员工资!C:K,9,FALSE)),0,VLOOKUP($C45,非生产人员工资!C:K,9,FALSE))</f>
        <v>0</v>
      </c>
      <c r="I45" s="7">
        <f>IF(ISERROR(VLOOKUP($C45,非生产人员工资!C:L,10,FALSE)),0,VLOOKUP($C45,非生产人员工资!C:L,10,FALSE))</f>
        <v>0</v>
      </c>
      <c r="J45" s="7">
        <f>IF(ISERROR(VLOOKUP($C45,生产人员工资!C:I,7,FALSE)),0,VLOOKUP($C45,生产人员工资!C:I,7,FALSE))</f>
        <v>3711.5</v>
      </c>
      <c r="K45" s="7">
        <f>IF(ISERROR(VLOOKUP($C45,生产人员工资!C:J,8,FALSE)),0,VLOOKUP($C45,生产人员工资!C:J,8,FALSE))</f>
        <v>0</v>
      </c>
      <c r="L45" s="7" t="str">
        <f>IF(ISERROR(IF(ISERROR(VLOOKUP($C45,非生产人员工资!C:N,12,FALSE)),VLOOKUP($C45,生产人员工资!C:K,9,FALSE),VLOOKUP($C45,非生产人员工资!C:N,12,FALSE))),0,IF(ISERROR(VLOOKUP($C45,非生产人员工资!C:N,12,FALSE)),VLOOKUP($C45,生产人员工资!C:K,9,FALSE),VLOOKUP($C45,非生产人员工资!C:N,12,FALSE)))</f>
        <v>0.00</v>
      </c>
      <c r="M45" s="7" t="str">
        <f>IF(ISERROR(IF(ISERROR(VLOOKUP($C45,非生产人员工资!$C:$O,13,FALSE)),VLOOKUP($C45,生产人员工资!$C:$L,10,FALSE),VLOOKUP($C45,非生产人员工资!$C:$O,13,FALSE))),0,IF(ISERROR(VLOOKUP($C45,非生产人员工资!$C:$O,13,FALSE)),VLOOKUP($C45,生产人员工资!$C:$L,10,FALSE),VLOOKUP($C45,非生产人员工资!$C:$O,13,FALSE)))</f>
        <v>0.00</v>
      </c>
      <c r="N45" s="7">
        <f>IF(ISERROR(IF(ISERROR(VLOOKUP($C45,非生产人员工资!$C:$P,14,FALSE)),VLOOKUP($C45,生产人员工资!$C:$M,11,FALSE),VLOOKUP($C45,非生产人员工资!$C:$P,14,FALSE))),0,IF(ISERROR(VLOOKUP($C45,非生产人员工资!$C:$P,14,FALSE)),VLOOKUP($C45,生产人员工资!$C:$M,11,FALSE),VLOOKUP($C45,非生产人员工资!$C:$P,14,FALSE)))</f>
        <v>40</v>
      </c>
      <c r="O45" s="7" t="str">
        <f>IF(ISERROR(IF(ISERROR(VLOOKUP($C45,非生产人员工资!C:Q,15,FALSE)),VLOOKUP($C45,生产人员工资!C:N,12,FALSE),VLOOKUP($C45,非生产人员工资!C:Q,15,FALSE))),0,IF(ISERROR(VLOOKUP($C45,非生产人员工资!C:Q,15,FALSE)),VLOOKUP($C45,生产人员工资!C:N,12,FALSE),VLOOKUP($C45,非生产人员工资!C:Q,15,FALSE)))</f>
        <v>0.00</v>
      </c>
      <c r="P45" s="7" t="str">
        <f>IF(ISERROR(IF(ISERROR(VLOOKUP($C45,非生产人员工资!C:R,16,FALSE)),VLOOKUP($C45,生产人员工资!C:O,13,FALSE),VLOOKUP($C45,非生产人员工资!C:R,16,FALSE))),0,IF(ISERROR(VLOOKUP($C45,非生产人员工资!C:R,16,FALSE)),VLOOKUP($C45,生产人员工资!C:O,13,FALSE),VLOOKUP($C45,非生产人员工资!C:R,16,FALSE)))</f>
        <v>0.00</v>
      </c>
      <c r="Q45" s="7" t="str">
        <f>IF(ISERROR(IF(ISERROR(VLOOKUP($C45,非生产人员工资!C:S,17,FALSE)),VLOOKUP($C45,生产人员工资!C:P,14,FALSE),VLOOKUP($C45,非生产人员工资!C:S,17,FALSE))),0,IF(ISERROR(VLOOKUP($C45,非生产人员工资!C:S,17,FALSE)),VLOOKUP($C45,生产人员工资!C:P,14,FALSE),VLOOKUP($C45,非生产人员工资!C:S,17,FALSE)))</f>
        <v>0.00</v>
      </c>
      <c r="R45" s="7" t="str">
        <f>IF(ISERROR(IF(ISERROR(VLOOKUP($C45,非生产人员工资!C:T,18,FALSE)),VLOOKUP($C45,生产人员工资!C:Q,15,FALSE),VLOOKUP($C45,非生产人员工资!C:T,18,FALSE))),0,IF(ISERROR(VLOOKUP($C45,非生产人员工资!C:T,18,FALSE)),VLOOKUP($C45,生产人员工资!C:Q,15,FALSE),VLOOKUP($C45,非生产人员工资!C:T,18,FALSE)))</f>
        <v>0.00</v>
      </c>
      <c r="S45" s="7">
        <f>IF(ISERROR(VLOOKUP($C45,非生产人员工资!C:U,19,FALSE)),0,VLOOKUP($C45,非生产人员工资!C:U,19,FALSE))</f>
        <v>0</v>
      </c>
      <c r="T45" s="7" t="str">
        <f>IF(ISERROR(IF(ISERROR(VLOOKUP($C45,非生产人员工资!C:V,20,FALSE)),VLOOKUP($C45,生产人员工资!C:R,16,FALSE),VLOOKUP($C45,非生产人员工资!C:V,20,FALSE))),0,IF(ISERROR(VLOOKUP($C45,非生产人员工资!C:V,20,FALSE)),VLOOKUP($C45,生产人员工资!$C:$R,16,FALSE),VLOOKUP($C45,非生产人员工资!C:V,20,FALSE)))</f>
        <v>0.00</v>
      </c>
      <c r="U45" s="7" t="str">
        <f>IF(ISERROR(IF(ISERROR(VLOOKUP($C45,非生产人员工资!C:W,21,FALSE)),VLOOKUP($C45,生产人员工资!C:S,17,FALSE),VLOOKUP($C45,非生产人员工资!C:W,21,FALSE))),0,IF(ISERROR(VLOOKUP($C45,非生产人员工资!C:W,21,FALSE)),VLOOKUP($C45,生产人员工资!C:S,17,FALSE),VLOOKUP($C45,非生产人员工资!C:W,21,FALSE)))</f>
        <v>0.00</v>
      </c>
      <c r="V45" s="7" t="str">
        <f>IF(ISERROR(IF(ISERROR(VLOOKUP($C45,非生产人员工资!C:X,22,FALSE)),VLOOKUP($C45,生产人员工资!C:T,18,FALSE),VLOOKUP($C45,非生产人员工资!C:X,22,FALSE))),0,IF(ISERROR(VLOOKUP($C45,非生产人员工资!C:X,22,FALSE)),VLOOKUP($C45,生产人员工资!C:T,18,FALSE),VLOOKUP($C45,非生产人员工资!C:X,22,FALSE)))</f>
        <v>0.00</v>
      </c>
      <c r="W45" s="7">
        <f t="shared" si="3"/>
        <v>3751.5</v>
      </c>
      <c r="X45" s="7">
        <f>IF(ISERROR(IF(ISERROR(VLOOKUP($C45,非生产人员工资!C:Z,24,FALSE)),VLOOKUP($C45,生产人员工资!C:V,20,FALSE),VLOOKUP($C45,非生产人员工资!$C:$Z,24,FALSE))),0,IF(ISERROR(VLOOKUP($C45,非生产人员工资!$C:$Z,24,FALSE)),VLOOKUP($C45,生产人员工资!$C:$V,20,FALSE),VLOOKUP($C45,非生产人员工资!$C:$Z,24,FALSE)))</f>
        <v>226.9</v>
      </c>
      <c r="Y45" s="7">
        <f>IF(ISERROR(IF(ISERROR(VLOOKUP($C45,非生产人员工资!C:AA,25,FALSE)),VLOOKUP($C45,生产人员工资!C:W,21,FALSE),VLOOKUP($C45,非生产人员工资!C:AA,25,FALSE))),0,IF(ISERROR(VLOOKUP($C45,非生产人员工资!C:AA,25,FALSE)),VLOOKUP($C45,生产人员工资!C:W,21,FALSE),VLOOKUP($C45,非生产人员工资!C:AA,25,FALSE)))</f>
        <v>104.57</v>
      </c>
      <c r="Z45" s="7">
        <f>IF(ISERROR(IF(ISERROR(VLOOKUP($C45,非生产人员工资!C:AB,26,FALSE)),VLOOKUP($C45,生产人员工资!C:X,22,FALSE),VLOOKUP($C45,非生产人员工资!C:AB,26,FALSE))),0,IF(ISERROR(VLOOKUP($C45,非生产人员工资!C:AB,26,FALSE)),VLOOKUP($C45,生产人员工资!C:X,22,FALSE),VLOOKUP($C45,非生产人员工资!C:AB,26,FALSE)))</f>
        <v>8.51</v>
      </c>
      <c r="AA45" s="7">
        <f>IF(ISERROR(IF(ISERROR(VLOOKUP($C45,非生产人员工资!C:AC,27,FALSE)),VLOOKUP($C45,生产人员工资!C:Y,23,FALSE),VLOOKUP($C45,非生产人员工资!C:AC,27,FALSE))),0,IF(ISERROR(VLOOKUP($C45,非生产人员工资!C:AC,27,FALSE)),VLOOKUP($C45,生产人员工资!C:Y,23,FALSE),VLOOKUP($C45,非生产人员工资!C:AC,27,FALSE)))</f>
        <v>89.5</v>
      </c>
      <c r="AB45" s="7">
        <f>IF(ISERROR(IF(ISERROR(VLOOKUP($C45,非生产人员工资!C:AD,28,FALSE)),VLOOKUP($C45,生产人员工资!C:Z,24,FALSE),VLOOKUP($C45,非生产人员工资!C:AD,28,FALSE))),0,IF(ISERROR(VLOOKUP($C45,非生产人员工资!C:AD,28,FALSE)),VLOOKUP($C45,生产人员工资!C:Z,24,FALSE),VLOOKUP($C45,非生产人员工资!C:AD,28,FALSE)))</f>
        <v>261.84</v>
      </c>
      <c r="AC45" s="269">
        <f>ROUND(IF(ISERROR(IF(ISERROR(VLOOKUP($C45,非生产人员工资!C:AF,30,FALSE)),VLOOKUP($C45,生产人员工资!C:AB,26,0),VLOOKUP($C45,非生产人员工资!C:AF,30,FALSE))),0,IF(ISERROR(VLOOKUP($C45,非生产人员工资!C:AF,30,FALSE)),VLOOKUP($C45,生产人员工资!C:AB,26,0),VLOOKUP($C45,非生产人员工资!C:AF,30,FALSE))),2)</f>
        <v>0</v>
      </c>
      <c r="AD45" s="269">
        <f t="shared" si="2"/>
        <v>3060.18</v>
      </c>
      <c r="AE45" s="269" t="str">
        <f>VLOOKUP($C45,员工基本信息!$C:$N,10,FALSE)</f>
        <v>生产成本+喷涂</v>
      </c>
      <c r="AF45" s="265" t="str">
        <f>VLOOKUP($C45,员工基本信息!$C:$O,11,FALSE)</f>
        <v>直接成本</v>
      </c>
      <c r="AG45" s="265" t="str">
        <f>VLOOKUP($C45,员工基本信息!$C:$O,12,FALSE)</f>
        <v>涂装车间</v>
      </c>
      <c r="AH45" s="265" t="str">
        <f>VLOOKUP($C45,员工基本信息!$C:$O,13,FALSE)</f>
        <v>生产人员</v>
      </c>
      <c r="AI45" s="249" t="str">
        <f>VLOOKUP($B45,员工基本信息!$B:$S,16,FALSE)</f>
        <v>6214220101206057979</v>
      </c>
      <c r="AJ45" s="249" t="str">
        <f>VLOOKUP($B45,员工基本信息!$B:$S,18,FALSE)</f>
        <v>沧州</v>
      </c>
      <c r="AK45" s="249" t="str">
        <f>VLOOKUP(C45,员工基本信息!$C:$M,11,0)</f>
        <v>直接成本</v>
      </c>
    </row>
    <row r="46" s="250" customFormat="1" customHeight="1" spans="1:37">
      <c r="A46" s="264">
        <v>43</v>
      </c>
      <c r="B46" s="6" t="str">
        <f>本月员工姓名!B44</f>
        <v>刘洪荣</v>
      </c>
      <c r="C46" s="265" t="str">
        <f>VLOOKUP($B46,员工基本信息!$B:$I,2,FALSE)</f>
        <v>132930197704042445</v>
      </c>
      <c r="D46" s="266" t="str">
        <f>VLOOKUP($B46,员工基本信息!$B:$I,4,FALSE)</f>
        <v>制造管理部-喷涂车间</v>
      </c>
      <c r="E46" s="266" t="str">
        <f>VLOOKUP($B46,员工基本信息!$B:$I,5,FALSE)</f>
        <v>包装</v>
      </c>
      <c r="F46" s="267">
        <f>IF(ISERROR(VLOOKUP($C46,非生产人员工资!C:I,7,FALSE)),0,VLOOKUP($C46,非生产人员工资!C:I,7,FALSE))</f>
        <v>0</v>
      </c>
      <c r="G46" s="267">
        <f>IF(ISERROR(VLOOKUP($C46,非生产人员工资!C:J,8,0)),0,VLOOKUP($C46,非生产人员工资!C:J,8,FALSE))</f>
        <v>0</v>
      </c>
      <c r="H46" s="7">
        <f>IF(ISERROR(VLOOKUP($C46,非生产人员工资!C:K,9,FALSE)),0,VLOOKUP($C46,非生产人员工资!C:K,9,FALSE))</f>
        <v>0</v>
      </c>
      <c r="I46" s="7">
        <f>IF(ISERROR(VLOOKUP($C46,非生产人员工资!C:L,10,FALSE)),0,VLOOKUP($C46,非生产人员工资!C:L,10,FALSE))</f>
        <v>0</v>
      </c>
      <c r="J46" s="7">
        <f>IF(ISERROR(VLOOKUP($C46,生产人员工资!C:I,7,FALSE)),0,VLOOKUP($C46,生产人员工资!C:I,7,FALSE))</f>
        <v>3061.5</v>
      </c>
      <c r="K46" s="7">
        <f>IF(ISERROR(VLOOKUP($C46,生产人员工资!C:J,8,FALSE)),0,VLOOKUP($C46,生产人员工资!C:J,8,FALSE))</f>
        <v>0</v>
      </c>
      <c r="L46" s="7" t="str">
        <f>IF(ISERROR(IF(ISERROR(VLOOKUP($C46,非生产人员工资!C:N,12,FALSE)),VLOOKUP($C46,生产人员工资!C:K,9,FALSE),VLOOKUP($C46,非生产人员工资!C:N,12,FALSE))),0,IF(ISERROR(VLOOKUP($C46,非生产人员工资!C:N,12,FALSE)),VLOOKUP($C46,生产人员工资!C:K,9,FALSE),VLOOKUP($C46,非生产人员工资!C:N,12,FALSE)))</f>
        <v>0.00</v>
      </c>
      <c r="M46" s="7" t="str">
        <f>IF(ISERROR(IF(ISERROR(VLOOKUP($C46,非生产人员工资!$C:$O,13,FALSE)),VLOOKUP($C46,生产人员工资!$C:$L,10,FALSE),VLOOKUP($C46,非生产人员工资!$C:$O,13,FALSE))),0,IF(ISERROR(VLOOKUP($C46,非生产人员工资!$C:$O,13,FALSE)),VLOOKUP($C46,生产人员工资!$C:$L,10,FALSE),VLOOKUP($C46,非生产人员工资!$C:$O,13,FALSE)))</f>
        <v>0.00</v>
      </c>
      <c r="N46" s="7">
        <f>IF(ISERROR(IF(ISERROR(VLOOKUP($C46,非生产人员工资!$C:$P,14,FALSE)),VLOOKUP($C46,生产人员工资!$C:$M,11,FALSE),VLOOKUP($C46,非生产人员工资!$C:$P,14,FALSE))),0,IF(ISERROR(VLOOKUP($C46,非生产人员工资!$C:$P,14,FALSE)),VLOOKUP($C46,生产人员工资!$C:$M,11,FALSE),VLOOKUP($C46,非生产人员工资!$C:$P,14,FALSE)))</f>
        <v>20</v>
      </c>
      <c r="O46" s="7" t="str">
        <f>IF(ISERROR(IF(ISERROR(VLOOKUP($C46,非生产人员工资!C:Q,15,FALSE)),VLOOKUP($C46,生产人员工资!C:N,12,FALSE),VLOOKUP($C46,非生产人员工资!C:Q,15,FALSE))),0,IF(ISERROR(VLOOKUP($C46,非生产人员工资!C:Q,15,FALSE)),VLOOKUP($C46,生产人员工资!C:N,12,FALSE),VLOOKUP($C46,非生产人员工资!C:Q,15,FALSE)))</f>
        <v>0.00</v>
      </c>
      <c r="P46" s="7" t="str">
        <f>IF(ISERROR(IF(ISERROR(VLOOKUP($C46,非生产人员工资!C:R,16,FALSE)),VLOOKUP($C46,生产人员工资!C:O,13,FALSE),VLOOKUP($C46,非生产人员工资!C:R,16,FALSE))),0,IF(ISERROR(VLOOKUP($C46,非生产人员工资!C:R,16,FALSE)),VLOOKUP($C46,生产人员工资!C:O,13,FALSE),VLOOKUP($C46,非生产人员工资!C:R,16,FALSE)))</f>
        <v>0.00</v>
      </c>
      <c r="Q46" s="7" t="str">
        <f>IF(ISERROR(IF(ISERROR(VLOOKUP($C46,非生产人员工资!C:S,17,FALSE)),VLOOKUP($C46,生产人员工资!C:P,14,FALSE),VLOOKUP($C46,非生产人员工资!C:S,17,FALSE))),0,IF(ISERROR(VLOOKUP($C46,非生产人员工资!C:S,17,FALSE)),VLOOKUP($C46,生产人员工资!C:P,14,FALSE),VLOOKUP($C46,非生产人员工资!C:S,17,FALSE)))</f>
        <v>0.00</v>
      </c>
      <c r="R46" s="7" t="str">
        <f>IF(ISERROR(IF(ISERROR(VLOOKUP($C46,非生产人员工资!C:T,18,FALSE)),VLOOKUP($C46,生产人员工资!C:Q,15,FALSE),VLOOKUP($C46,非生产人员工资!C:T,18,FALSE))),0,IF(ISERROR(VLOOKUP($C46,非生产人员工资!C:T,18,FALSE)),VLOOKUP($C46,生产人员工资!C:Q,15,FALSE),VLOOKUP($C46,非生产人员工资!C:T,18,FALSE)))</f>
        <v>0.00</v>
      </c>
      <c r="S46" s="7">
        <f>IF(ISERROR(VLOOKUP($C46,非生产人员工资!C:U,19,FALSE)),0,VLOOKUP($C46,非生产人员工资!C:U,19,FALSE))</f>
        <v>0</v>
      </c>
      <c r="T46" s="7" t="str">
        <f>IF(ISERROR(IF(ISERROR(VLOOKUP($C46,非生产人员工资!C:V,20,FALSE)),VLOOKUP($C46,生产人员工资!C:R,16,FALSE),VLOOKUP($C46,非生产人员工资!C:V,20,FALSE))),0,IF(ISERROR(VLOOKUP($C46,非生产人员工资!C:V,20,FALSE)),VLOOKUP($C46,生产人员工资!$C:$R,16,FALSE),VLOOKUP($C46,非生产人员工资!C:V,20,FALSE)))</f>
        <v>0.00</v>
      </c>
      <c r="U46" s="7" t="str">
        <f>IF(ISERROR(IF(ISERROR(VLOOKUP($C46,非生产人员工资!C:W,21,FALSE)),VLOOKUP($C46,生产人员工资!C:S,17,FALSE),VLOOKUP($C46,非生产人员工资!C:W,21,FALSE))),0,IF(ISERROR(VLOOKUP($C46,非生产人员工资!C:W,21,FALSE)),VLOOKUP($C46,生产人员工资!C:S,17,FALSE),VLOOKUP($C46,非生产人员工资!C:W,21,FALSE)))</f>
        <v>0.00</v>
      </c>
      <c r="V46" s="7" t="str">
        <f>IF(ISERROR(IF(ISERROR(VLOOKUP($C46,非生产人员工资!C:X,22,FALSE)),VLOOKUP($C46,生产人员工资!C:T,18,FALSE),VLOOKUP($C46,非生产人员工资!C:X,22,FALSE))),0,IF(ISERROR(VLOOKUP($C46,非生产人员工资!C:X,22,FALSE)),VLOOKUP($C46,生产人员工资!C:T,18,FALSE),VLOOKUP($C46,非生产人员工资!C:X,22,FALSE)))</f>
        <v>0.00</v>
      </c>
      <c r="W46" s="7">
        <f t="shared" si="3"/>
        <v>3081.5</v>
      </c>
      <c r="X46" s="7">
        <f>IF(ISERROR(IF(ISERROR(VLOOKUP($C46,非生产人员工资!C:Z,24,FALSE)),VLOOKUP($C46,生产人员工资!C:V,20,FALSE),VLOOKUP($C46,非生产人员工资!$C:$Z,24,FALSE))),0,IF(ISERROR(VLOOKUP($C46,非生产人员工资!$C:$Z,24,FALSE)),VLOOKUP($C46,生产人员工资!$C:$V,20,FALSE),VLOOKUP($C46,非生产人员工资!$C:$Z,24,FALSE)))</f>
        <v>226.9</v>
      </c>
      <c r="Y46" s="7">
        <f>IF(ISERROR(IF(ISERROR(VLOOKUP($C46,非生产人员工资!C:AA,25,FALSE)),VLOOKUP($C46,生产人员工资!C:W,21,FALSE),VLOOKUP($C46,非生产人员工资!C:AA,25,FALSE))),0,IF(ISERROR(VLOOKUP($C46,非生产人员工资!C:AA,25,FALSE)),VLOOKUP($C46,生产人员工资!C:W,21,FALSE),VLOOKUP($C46,非生产人员工资!C:AA,25,FALSE)))</f>
        <v>104.57</v>
      </c>
      <c r="Z46" s="7">
        <f>IF(ISERROR(IF(ISERROR(VLOOKUP($C46,非生产人员工资!C:AB,26,FALSE)),VLOOKUP($C46,生产人员工资!C:X,22,FALSE),VLOOKUP($C46,非生产人员工资!C:AB,26,FALSE))),0,IF(ISERROR(VLOOKUP($C46,非生产人员工资!C:AB,26,FALSE)),VLOOKUP($C46,生产人员工资!C:X,22,FALSE),VLOOKUP($C46,非生产人员工资!C:AB,26,FALSE)))</f>
        <v>8.51</v>
      </c>
      <c r="AA46" s="7">
        <f>IF(ISERROR(IF(ISERROR(VLOOKUP($C46,非生产人员工资!C:AC,27,FALSE)),VLOOKUP($C46,生产人员工资!C:Y,23,FALSE),VLOOKUP($C46,非生产人员工资!C:AC,27,FALSE))),0,IF(ISERROR(VLOOKUP($C46,非生产人员工资!C:AC,27,FALSE)),VLOOKUP($C46,生产人员工资!C:Y,23,FALSE),VLOOKUP($C46,非生产人员工资!C:AC,27,FALSE)))</f>
        <v>89.5</v>
      </c>
      <c r="AB46" s="7">
        <f>IF(ISERROR(IF(ISERROR(VLOOKUP($C46,非生产人员工资!C:AD,28,FALSE)),VLOOKUP($C46,生产人员工资!C:Z,24,FALSE),VLOOKUP($C46,非生产人员工资!C:AD,28,FALSE))),0,IF(ISERROR(VLOOKUP($C46,非生产人员工资!C:AD,28,FALSE)),VLOOKUP($C46,生产人员工资!C:Z,24,FALSE),VLOOKUP($C46,非生产人员工资!C:AD,28,FALSE)))</f>
        <v>261.84</v>
      </c>
      <c r="AC46" s="269">
        <f>ROUND(IF(ISERROR(IF(ISERROR(VLOOKUP($C46,非生产人员工资!C:AF,30,FALSE)),VLOOKUP($C46,生产人员工资!C:AB,26,0),VLOOKUP($C46,非生产人员工资!C:AF,30,FALSE))),0,IF(ISERROR(VLOOKUP($C46,非生产人员工资!C:AF,30,FALSE)),VLOOKUP($C46,生产人员工资!C:AB,26,0),VLOOKUP($C46,非生产人员工资!C:AF,30,FALSE))),2)</f>
        <v>0</v>
      </c>
      <c r="AD46" s="269">
        <f t="shared" si="2"/>
        <v>2390.18</v>
      </c>
      <c r="AE46" s="269" t="str">
        <f>VLOOKUP($C46,员工基本信息!$C:$N,10,FALSE)</f>
        <v>生产成本+喷涂</v>
      </c>
      <c r="AF46" s="265" t="str">
        <f>VLOOKUP($C46,员工基本信息!$C:$O,11,FALSE)</f>
        <v>直接成本</v>
      </c>
      <c r="AG46" s="265" t="str">
        <f>VLOOKUP($C46,员工基本信息!$C:$O,12,FALSE)</f>
        <v>涂装车间</v>
      </c>
      <c r="AH46" s="265" t="str">
        <f>VLOOKUP($C46,员工基本信息!$C:$O,13,FALSE)</f>
        <v>生产人员</v>
      </c>
      <c r="AI46" s="249" t="str">
        <f>VLOOKUP($B46,员工基本信息!$B:$S,16,FALSE)</f>
        <v>6214220101206057672</v>
      </c>
      <c r="AJ46" s="249" t="str">
        <f>VLOOKUP($B46,员工基本信息!$B:$S,18,FALSE)</f>
        <v>沧州</v>
      </c>
      <c r="AK46" s="249" t="str">
        <f>VLOOKUP(C46,员工基本信息!$C:$M,11,0)</f>
        <v>直接成本</v>
      </c>
    </row>
    <row r="47" s="250" customFormat="1" customHeight="1" spans="1:37">
      <c r="A47" s="264">
        <v>44</v>
      </c>
      <c r="B47" s="6" t="str">
        <f>本月员工姓名!B45</f>
        <v>白丽霞</v>
      </c>
      <c r="C47" s="265" t="str">
        <f>VLOOKUP($B47,员工基本信息!$B:$I,2,FALSE)</f>
        <v>132930198105155020</v>
      </c>
      <c r="D47" s="266" t="str">
        <f>VLOOKUP($B47,员工基本信息!$B:$I,4,FALSE)</f>
        <v>制造管理部-注塑车间</v>
      </c>
      <c r="E47" s="266" t="str">
        <f>VLOOKUP($B47,员工基本信息!$B:$I,5,FALSE)</f>
        <v>注塑工</v>
      </c>
      <c r="F47" s="267">
        <f>IF(ISERROR(VLOOKUP($C47,非生产人员工资!C:I,7,FALSE)),0,VLOOKUP($C47,非生产人员工资!C:I,7,FALSE))</f>
        <v>0</v>
      </c>
      <c r="G47" s="267">
        <f>IF(ISERROR(VLOOKUP($C47,非生产人员工资!C:J,8,0)),0,VLOOKUP($C47,非生产人员工资!C:J,8,FALSE))</f>
        <v>0</v>
      </c>
      <c r="H47" s="7">
        <f>IF(ISERROR(VLOOKUP($C47,非生产人员工资!C:K,9,FALSE)),0,VLOOKUP($C47,非生产人员工资!C:K,9,FALSE))</f>
        <v>0</v>
      </c>
      <c r="I47" s="7">
        <f>IF(ISERROR(VLOOKUP($C47,非生产人员工资!C:L,10,FALSE)),0,VLOOKUP($C47,非生产人员工资!C:L,10,FALSE))</f>
        <v>0</v>
      </c>
      <c r="J47" s="7">
        <f>IF(ISERROR(VLOOKUP($C47,生产人员工资!C:I,7,FALSE)),0,VLOOKUP($C47,生产人员工资!C:I,7,FALSE))</f>
        <v>3540</v>
      </c>
      <c r="K47" s="7">
        <f>IF(ISERROR(VLOOKUP($C47,生产人员工资!C:J,8,FALSE)),0,VLOOKUP($C47,生产人员工资!C:J,8,FALSE))</f>
        <v>0</v>
      </c>
      <c r="L47" s="7" t="str">
        <f>IF(ISERROR(IF(ISERROR(VLOOKUP($C47,非生产人员工资!C:N,12,FALSE)),VLOOKUP($C47,生产人员工资!C:K,9,FALSE),VLOOKUP($C47,非生产人员工资!C:N,12,FALSE))),0,IF(ISERROR(VLOOKUP($C47,非生产人员工资!C:N,12,FALSE)),VLOOKUP($C47,生产人员工资!C:K,9,FALSE),VLOOKUP($C47,非生产人员工资!C:N,12,FALSE)))</f>
        <v>0.00</v>
      </c>
      <c r="M47" s="7">
        <f>IF(ISERROR(IF(ISERROR(VLOOKUP($C47,非生产人员工资!$C:$O,13,FALSE)),VLOOKUP($C47,生产人员工资!$C:$L,10,FALSE),VLOOKUP($C47,非生产人员工资!$C:$O,13,FALSE))),0,IF(ISERROR(VLOOKUP($C47,非生产人员工资!$C:$O,13,FALSE)),VLOOKUP($C47,生产人员工资!$C:$L,10,FALSE),VLOOKUP($C47,非生产人员工资!$C:$O,13,FALSE)))</f>
        <v>190</v>
      </c>
      <c r="N47" s="7" t="str">
        <f>IF(ISERROR(IF(ISERROR(VLOOKUP($C47,非生产人员工资!$C:$P,14,FALSE)),VLOOKUP($C47,生产人员工资!$C:$M,11,FALSE),VLOOKUP($C47,非生产人员工资!$C:$P,14,FALSE))),0,IF(ISERROR(VLOOKUP($C47,非生产人员工资!$C:$P,14,FALSE)),VLOOKUP($C47,生产人员工资!$C:$M,11,FALSE),VLOOKUP($C47,非生产人员工资!$C:$P,14,FALSE)))</f>
        <v>0.00</v>
      </c>
      <c r="O47" s="7" t="str">
        <f>IF(ISERROR(IF(ISERROR(VLOOKUP($C47,非生产人员工资!C:Q,15,FALSE)),VLOOKUP($C47,生产人员工资!C:N,12,FALSE),VLOOKUP($C47,非生产人员工资!C:Q,15,FALSE))),0,IF(ISERROR(VLOOKUP($C47,非生产人员工资!C:Q,15,FALSE)),VLOOKUP($C47,生产人员工资!C:N,12,FALSE),VLOOKUP($C47,非生产人员工资!C:Q,15,FALSE)))</f>
        <v>0.00</v>
      </c>
      <c r="P47" s="7" t="str">
        <f>IF(ISERROR(IF(ISERROR(VLOOKUP($C47,非生产人员工资!C:R,16,FALSE)),VLOOKUP($C47,生产人员工资!C:O,13,FALSE),VLOOKUP($C47,非生产人员工资!C:R,16,FALSE))),0,IF(ISERROR(VLOOKUP($C47,非生产人员工资!C:R,16,FALSE)),VLOOKUP($C47,生产人员工资!C:O,13,FALSE),VLOOKUP($C47,非生产人员工资!C:R,16,FALSE)))</f>
        <v>0.00</v>
      </c>
      <c r="Q47" s="7" t="str">
        <f>IF(ISERROR(IF(ISERROR(VLOOKUP($C47,非生产人员工资!C:S,17,FALSE)),VLOOKUP($C47,生产人员工资!C:P,14,FALSE),VLOOKUP($C47,非生产人员工资!C:S,17,FALSE))),0,IF(ISERROR(VLOOKUP($C47,非生产人员工资!C:S,17,FALSE)),VLOOKUP($C47,生产人员工资!C:P,14,FALSE),VLOOKUP($C47,非生产人员工资!C:S,17,FALSE)))</f>
        <v>0.00</v>
      </c>
      <c r="R47" s="7" t="str">
        <f>IF(ISERROR(IF(ISERROR(VLOOKUP($C47,非生产人员工资!C:T,18,FALSE)),VLOOKUP($C47,生产人员工资!C:Q,15,FALSE),VLOOKUP($C47,非生产人员工资!C:T,18,FALSE))),0,IF(ISERROR(VLOOKUP($C47,非生产人员工资!C:T,18,FALSE)),VLOOKUP($C47,生产人员工资!C:Q,15,FALSE),VLOOKUP($C47,非生产人员工资!C:T,18,FALSE)))</f>
        <v>0.00</v>
      </c>
      <c r="S47" s="7">
        <f>IF(ISERROR(VLOOKUP($C47,非生产人员工资!C:U,19,FALSE)),0,VLOOKUP($C47,非生产人员工资!C:U,19,FALSE))</f>
        <v>0</v>
      </c>
      <c r="T47" s="7" t="str">
        <f>IF(ISERROR(IF(ISERROR(VLOOKUP($C47,非生产人员工资!C:V,20,FALSE)),VLOOKUP($C47,生产人员工资!C:R,16,FALSE),VLOOKUP($C47,非生产人员工资!C:V,20,FALSE))),0,IF(ISERROR(VLOOKUP($C47,非生产人员工资!C:V,20,FALSE)),VLOOKUP($C47,生产人员工资!$C:$R,16,FALSE),VLOOKUP($C47,非生产人员工资!C:V,20,FALSE)))</f>
        <v>0.00</v>
      </c>
      <c r="U47" s="7" t="str">
        <f>IF(ISERROR(IF(ISERROR(VLOOKUP($C47,非生产人员工资!C:W,21,FALSE)),VLOOKUP($C47,生产人员工资!C:S,17,FALSE),VLOOKUP($C47,非生产人员工资!C:W,21,FALSE))),0,IF(ISERROR(VLOOKUP($C47,非生产人员工资!C:W,21,FALSE)),VLOOKUP($C47,生产人员工资!C:S,17,FALSE),VLOOKUP($C47,非生产人员工资!C:W,21,FALSE)))</f>
        <v>0.00</v>
      </c>
      <c r="V47" s="7" t="str">
        <f>IF(ISERROR(IF(ISERROR(VLOOKUP($C47,非生产人员工资!C:X,22,FALSE)),VLOOKUP($C47,生产人员工资!C:T,18,FALSE),VLOOKUP($C47,非生产人员工资!C:X,22,FALSE))),0,IF(ISERROR(VLOOKUP($C47,非生产人员工资!C:X,22,FALSE)),VLOOKUP($C47,生产人员工资!C:T,18,FALSE),VLOOKUP($C47,非生产人员工资!C:X,22,FALSE)))</f>
        <v>0.00</v>
      </c>
      <c r="W47" s="7">
        <f t="shared" si="3"/>
        <v>3730</v>
      </c>
      <c r="X47" s="7">
        <f>IF(ISERROR(IF(ISERROR(VLOOKUP($C47,非生产人员工资!C:Z,24,FALSE)),VLOOKUP($C47,生产人员工资!C:V,20,FALSE),VLOOKUP($C47,非生产人员工资!$C:$Z,24,FALSE))),0,IF(ISERROR(VLOOKUP($C47,非生产人员工资!$C:$Z,24,FALSE)),VLOOKUP($C47,生产人员工资!$C:$V,20,FALSE),VLOOKUP($C47,非生产人员工资!$C:$Z,24,FALSE)))</f>
        <v>243.36</v>
      </c>
      <c r="Y47" s="7">
        <f>IF(ISERROR(IF(ISERROR(VLOOKUP($C47,非生产人员工资!C:AA,25,FALSE)),VLOOKUP($C47,生产人员工资!C:W,21,FALSE),VLOOKUP($C47,非生产人员工资!C:AA,25,FALSE))),0,IF(ISERROR(VLOOKUP($C47,非生产人员工资!C:AA,25,FALSE)),VLOOKUP($C47,生产人员工资!C:W,21,FALSE),VLOOKUP($C47,非生产人员工资!C:AA,25,FALSE)))</f>
        <v>104.57</v>
      </c>
      <c r="Z47" s="7">
        <f>IF(ISERROR(IF(ISERROR(VLOOKUP($C47,非生产人员工资!C:AB,26,FALSE)),VLOOKUP($C47,生产人员工资!C:X,22,FALSE),VLOOKUP($C47,非生产人员工资!C:AB,26,FALSE))),0,IF(ISERROR(VLOOKUP($C47,非生产人员工资!C:AB,26,FALSE)),VLOOKUP($C47,生产人员工资!C:X,22,FALSE),VLOOKUP($C47,非生产人员工资!C:AB,26,FALSE)))</f>
        <v>9.13</v>
      </c>
      <c r="AA47" s="7">
        <f>IF(ISERROR(IF(ISERROR(VLOOKUP($C47,非生产人员工资!C:AC,27,FALSE)),VLOOKUP($C47,生产人员工资!C:Y,23,FALSE),VLOOKUP($C47,非生产人员工资!C:AC,27,FALSE))),0,IF(ISERROR(VLOOKUP($C47,非生产人员工资!C:AC,27,FALSE)),VLOOKUP($C47,生产人员工资!C:Y,23,FALSE),VLOOKUP($C47,非生产人员工资!C:AC,27,FALSE)))</f>
        <v>0</v>
      </c>
      <c r="AB47" s="7">
        <f>IF(ISERROR(IF(ISERROR(VLOOKUP($C47,非生产人员工资!C:AD,28,FALSE)),VLOOKUP($C47,生产人员工资!C:Z,24,FALSE),VLOOKUP($C47,非生产人员工资!C:AD,28,FALSE))),0,IF(ISERROR(VLOOKUP($C47,非生产人员工资!C:AD,28,FALSE)),VLOOKUP($C47,生产人员工资!C:Z,24,FALSE),VLOOKUP($C47,非生产人员工资!C:AD,28,FALSE)))</f>
        <v>65.08</v>
      </c>
      <c r="AC47" s="269">
        <f>ROUND(IF(ISERROR(IF(ISERROR(VLOOKUP($C47,非生产人员工资!C:AF,30,FALSE)),VLOOKUP($C47,生产人员工资!C:AB,26,0),VLOOKUP($C47,非生产人员工资!C:AF,30,FALSE))),0,IF(ISERROR(VLOOKUP($C47,非生产人员工资!C:AF,30,FALSE)),VLOOKUP($C47,生产人员工资!C:AB,26,0),VLOOKUP($C47,非生产人员工资!C:AF,30,FALSE))),2)</f>
        <v>0</v>
      </c>
      <c r="AD47" s="269">
        <f t="shared" si="2"/>
        <v>3307.86</v>
      </c>
      <c r="AE47" s="269" t="str">
        <f>VLOOKUP($C47,员工基本信息!$C:$N,10,FALSE)</f>
        <v>生产成本+注塑</v>
      </c>
      <c r="AF47" s="265" t="str">
        <f>VLOOKUP($C47,员工基本信息!$C:$O,11,FALSE)</f>
        <v>直接成本</v>
      </c>
      <c r="AG47" s="265" t="str">
        <f>VLOOKUP($C47,员工基本信息!$C:$O,12,FALSE)</f>
        <v>注塑车间</v>
      </c>
      <c r="AH47" s="265" t="str">
        <f>VLOOKUP($C47,员工基本信息!$C:$O,13,FALSE)</f>
        <v>生产人员</v>
      </c>
      <c r="AI47" s="249" t="str">
        <f>VLOOKUP($B47,员工基本信息!$B:$S,16,FALSE)</f>
        <v>6214220101206034580</v>
      </c>
      <c r="AJ47" s="249" t="str">
        <f>VLOOKUP($B47,员工基本信息!$B:$S,18,FALSE)</f>
        <v>沧州</v>
      </c>
      <c r="AK47" s="249" t="str">
        <f>VLOOKUP(C47,员工基本信息!$C:$M,11,0)</f>
        <v>直接成本</v>
      </c>
    </row>
    <row r="48" s="250" customFormat="1" customHeight="1" spans="1:37">
      <c r="A48" s="264">
        <v>45</v>
      </c>
      <c r="B48" s="6" t="str">
        <f>本月员工姓名!B46</f>
        <v>邓海旺</v>
      </c>
      <c r="C48" s="265" t="str">
        <f>VLOOKUP($B48,员工基本信息!$B:$I,2,FALSE)</f>
        <v>13098319971108167x</v>
      </c>
      <c r="D48" s="266" t="str">
        <f>VLOOKUP($B48,员工基本信息!$B:$I,4,FALSE)</f>
        <v>制造管理部-注塑车间</v>
      </c>
      <c r="E48" s="266" t="str">
        <f>VLOOKUP($B48,员工基本信息!$B:$I,5,FALSE)</f>
        <v>注塑工</v>
      </c>
      <c r="F48" s="267">
        <f>IF(ISERROR(VLOOKUP($C48,非生产人员工资!C:I,7,FALSE)),0,VLOOKUP($C48,非生产人员工资!C:I,7,FALSE))</f>
        <v>0</v>
      </c>
      <c r="G48" s="267">
        <f>IF(ISERROR(VLOOKUP($C48,非生产人员工资!C:J,8,0)),0,VLOOKUP($C48,非生产人员工资!C:J,8,FALSE))</f>
        <v>0</v>
      </c>
      <c r="H48" s="7">
        <f>IF(ISERROR(VLOOKUP($C48,非生产人员工资!C:K,9,FALSE)),0,VLOOKUP($C48,非生产人员工资!C:K,9,FALSE))</f>
        <v>0</v>
      </c>
      <c r="I48" s="7">
        <f>IF(ISERROR(VLOOKUP($C48,非生产人员工资!C:L,10,FALSE)),0,VLOOKUP($C48,非生产人员工资!C:L,10,FALSE))</f>
        <v>0</v>
      </c>
      <c r="J48" s="7">
        <f>IF(ISERROR(VLOOKUP($C48,生产人员工资!C:I,7,FALSE)),0,VLOOKUP($C48,生产人员工资!C:I,7,FALSE))</f>
        <v>3570</v>
      </c>
      <c r="K48" s="7">
        <f>IF(ISERROR(VLOOKUP($C48,生产人员工资!C:J,8,FALSE)),0,VLOOKUP($C48,生产人员工资!C:J,8,FALSE))</f>
        <v>0</v>
      </c>
      <c r="L48" s="7" t="str">
        <f>IF(ISERROR(IF(ISERROR(VLOOKUP($C48,非生产人员工资!C:N,12,FALSE)),VLOOKUP($C48,生产人员工资!C:K,9,FALSE),VLOOKUP($C48,非生产人员工资!C:N,12,FALSE))),0,IF(ISERROR(VLOOKUP($C48,非生产人员工资!C:N,12,FALSE)),VLOOKUP($C48,生产人员工资!C:K,9,FALSE),VLOOKUP($C48,非生产人员工资!C:N,12,FALSE)))</f>
        <v>0.00</v>
      </c>
      <c r="M48" s="7">
        <f>IF(ISERROR(IF(ISERROR(VLOOKUP($C48,非生产人员工资!$C:$O,13,FALSE)),VLOOKUP($C48,生产人员工资!$C:$L,10,FALSE),VLOOKUP($C48,非生产人员工资!$C:$O,13,FALSE))),0,IF(ISERROR(VLOOKUP($C48,非生产人员工资!$C:$O,13,FALSE)),VLOOKUP($C48,生产人员工资!$C:$L,10,FALSE),VLOOKUP($C48,非生产人员工资!$C:$O,13,FALSE)))</f>
        <v>120</v>
      </c>
      <c r="N48" s="7" t="str">
        <f>IF(ISERROR(IF(ISERROR(VLOOKUP($C48,非生产人员工资!$C:$P,14,FALSE)),VLOOKUP($C48,生产人员工资!$C:$M,11,FALSE),VLOOKUP($C48,非生产人员工资!$C:$P,14,FALSE))),0,IF(ISERROR(VLOOKUP($C48,非生产人员工资!$C:$P,14,FALSE)),VLOOKUP($C48,生产人员工资!$C:$M,11,FALSE),VLOOKUP($C48,非生产人员工资!$C:$P,14,FALSE)))</f>
        <v>0.00</v>
      </c>
      <c r="O48" s="7" t="str">
        <f>IF(ISERROR(IF(ISERROR(VLOOKUP($C48,非生产人员工资!C:Q,15,FALSE)),VLOOKUP($C48,生产人员工资!C:N,12,FALSE),VLOOKUP($C48,非生产人员工资!C:Q,15,FALSE))),0,IF(ISERROR(VLOOKUP($C48,非生产人员工资!C:Q,15,FALSE)),VLOOKUP($C48,生产人员工资!C:N,12,FALSE),VLOOKUP($C48,非生产人员工资!C:Q,15,FALSE)))</f>
        <v>0.00</v>
      </c>
      <c r="P48" s="7" t="str">
        <f>IF(ISERROR(IF(ISERROR(VLOOKUP($C48,非生产人员工资!C:R,16,FALSE)),VLOOKUP($C48,生产人员工资!C:O,13,FALSE),VLOOKUP($C48,非生产人员工资!C:R,16,FALSE))),0,IF(ISERROR(VLOOKUP($C48,非生产人员工资!C:R,16,FALSE)),VLOOKUP($C48,生产人员工资!C:O,13,FALSE),VLOOKUP($C48,非生产人员工资!C:R,16,FALSE)))</f>
        <v>0.00</v>
      </c>
      <c r="Q48" s="7" t="str">
        <f>IF(ISERROR(IF(ISERROR(VLOOKUP($C48,非生产人员工资!C:S,17,FALSE)),VLOOKUP($C48,生产人员工资!C:P,14,FALSE),VLOOKUP($C48,非生产人员工资!C:S,17,FALSE))),0,IF(ISERROR(VLOOKUP($C48,非生产人员工资!C:S,17,FALSE)),VLOOKUP($C48,生产人员工资!C:P,14,FALSE),VLOOKUP($C48,非生产人员工资!C:S,17,FALSE)))</f>
        <v>0.00</v>
      </c>
      <c r="R48" s="7" t="str">
        <f>IF(ISERROR(IF(ISERROR(VLOOKUP($C48,非生产人员工资!C:T,18,FALSE)),VLOOKUP($C48,生产人员工资!C:Q,15,FALSE),VLOOKUP($C48,非生产人员工资!C:T,18,FALSE))),0,IF(ISERROR(VLOOKUP($C48,非生产人员工资!C:T,18,FALSE)),VLOOKUP($C48,生产人员工资!C:Q,15,FALSE),VLOOKUP($C48,非生产人员工资!C:T,18,FALSE)))</f>
        <v>0.00</v>
      </c>
      <c r="S48" s="7">
        <f>IF(ISERROR(VLOOKUP($C48,非生产人员工资!C:U,19,FALSE)),0,VLOOKUP($C48,非生产人员工资!C:U,19,FALSE))</f>
        <v>0</v>
      </c>
      <c r="T48" s="7" t="str">
        <f>IF(ISERROR(IF(ISERROR(VLOOKUP($C48,非生产人员工资!C:V,20,FALSE)),VLOOKUP($C48,生产人员工资!C:R,16,FALSE),VLOOKUP($C48,非生产人员工资!C:V,20,FALSE))),0,IF(ISERROR(VLOOKUP($C48,非生产人员工资!C:V,20,FALSE)),VLOOKUP($C48,生产人员工资!$C:$R,16,FALSE),VLOOKUP($C48,非生产人员工资!C:V,20,FALSE)))</f>
        <v>0.00</v>
      </c>
      <c r="U48" s="7" t="str">
        <f>IF(ISERROR(IF(ISERROR(VLOOKUP($C48,非生产人员工资!C:W,21,FALSE)),VLOOKUP($C48,生产人员工资!C:S,17,FALSE),VLOOKUP($C48,非生产人员工资!C:W,21,FALSE))),0,IF(ISERROR(VLOOKUP($C48,非生产人员工资!C:W,21,FALSE)),VLOOKUP($C48,生产人员工资!C:S,17,FALSE),VLOOKUP($C48,非生产人员工资!C:W,21,FALSE)))</f>
        <v>0.00</v>
      </c>
      <c r="V48" s="7" t="str">
        <f>IF(ISERROR(IF(ISERROR(VLOOKUP($C48,非生产人员工资!C:X,22,FALSE)),VLOOKUP($C48,生产人员工资!C:T,18,FALSE),VLOOKUP($C48,非生产人员工资!C:X,22,FALSE))),0,IF(ISERROR(VLOOKUP($C48,非生产人员工资!C:X,22,FALSE)),VLOOKUP($C48,生产人员工资!C:T,18,FALSE),VLOOKUP($C48,非生产人员工资!C:X,22,FALSE)))</f>
        <v>0.00</v>
      </c>
      <c r="W48" s="7">
        <f t="shared" si="3"/>
        <v>3690</v>
      </c>
      <c r="X48" s="7">
        <f>IF(ISERROR(IF(ISERROR(VLOOKUP($C48,非生产人员工资!C:Z,24,FALSE)),VLOOKUP($C48,生产人员工资!C:V,20,FALSE),VLOOKUP($C48,非生产人员工资!$C:$Z,24,FALSE))),0,IF(ISERROR(VLOOKUP($C48,非生产人员工资!$C:$Z,24,FALSE)),VLOOKUP($C48,生产人员工资!$C:$V,20,FALSE),VLOOKUP($C48,非生产人员工资!$C:$Z,24,FALSE)))</f>
        <v>243.36</v>
      </c>
      <c r="Y48" s="7">
        <f>IF(ISERROR(IF(ISERROR(VLOOKUP($C48,非生产人员工资!C:AA,25,FALSE)),VLOOKUP($C48,生产人员工资!C:W,21,FALSE),VLOOKUP($C48,非生产人员工资!C:AA,25,FALSE))),0,IF(ISERROR(VLOOKUP($C48,非生产人员工资!C:AA,25,FALSE)),VLOOKUP($C48,生产人员工资!C:W,21,FALSE),VLOOKUP($C48,非生产人员工资!C:AA,25,FALSE)))</f>
        <v>104.57</v>
      </c>
      <c r="Z48" s="7">
        <f>IF(ISERROR(IF(ISERROR(VLOOKUP($C48,非生产人员工资!C:AB,26,FALSE)),VLOOKUP($C48,生产人员工资!C:X,22,FALSE),VLOOKUP($C48,非生产人员工资!C:AB,26,FALSE))),0,IF(ISERROR(VLOOKUP($C48,非生产人员工资!C:AB,26,FALSE)),VLOOKUP($C48,生产人员工资!C:X,22,FALSE),VLOOKUP($C48,非生产人员工资!C:AB,26,FALSE)))</f>
        <v>9.13</v>
      </c>
      <c r="AA48" s="7">
        <f>IF(ISERROR(IF(ISERROR(VLOOKUP($C48,非生产人员工资!C:AC,27,FALSE)),VLOOKUP($C48,生产人员工资!C:Y,23,FALSE),VLOOKUP($C48,非生产人员工资!C:AC,27,FALSE))),0,IF(ISERROR(VLOOKUP($C48,非生产人员工资!C:AC,27,FALSE)),VLOOKUP($C48,生产人员工资!C:Y,23,FALSE),VLOOKUP($C48,非生产人员工资!C:AC,27,FALSE)))</f>
        <v>89.5</v>
      </c>
      <c r="AB48" s="7">
        <f>IF(ISERROR(IF(ISERROR(VLOOKUP($C48,非生产人员工资!C:AD,28,FALSE)),VLOOKUP($C48,生产人员工资!C:Z,24,FALSE),VLOOKUP($C48,非生产人员工资!C:AD,28,FALSE))),0,IF(ISERROR(VLOOKUP($C48,非生产人员工资!C:AD,28,FALSE)),VLOOKUP($C48,生产人员工资!C:Z,24,FALSE),VLOOKUP($C48,非生产人员工资!C:AD,28,FALSE)))</f>
        <v>48.81</v>
      </c>
      <c r="AC48" s="269">
        <f>ROUND(IF(ISERROR(IF(ISERROR(VLOOKUP($C48,非生产人员工资!C:AF,30,FALSE)),VLOOKUP($C48,生产人员工资!C:AB,26,0),VLOOKUP($C48,非生产人员工资!C:AF,30,FALSE))),0,IF(ISERROR(VLOOKUP($C48,非生产人员工资!C:AF,30,FALSE)),VLOOKUP($C48,生产人员工资!C:AB,26,0),VLOOKUP($C48,非生产人员工资!C:AF,30,FALSE))),2)</f>
        <v>0</v>
      </c>
      <c r="AD48" s="269">
        <f t="shared" si="2"/>
        <v>3194.63</v>
      </c>
      <c r="AE48" s="269" t="str">
        <f>VLOOKUP($C48,员工基本信息!$C:$N,10,FALSE)</f>
        <v>生产成本+注塑</v>
      </c>
      <c r="AF48" s="265" t="str">
        <f>VLOOKUP($C48,员工基本信息!$C:$O,11,FALSE)</f>
        <v>直接成本</v>
      </c>
      <c r="AG48" s="265" t="str">
        <f>VLOOKUP($C48,员工基本信息!$C:$O,12,FALSE)</f>
        <v>注塑车间</v>
      </c>
      <c r="AH48" s="265" t="str">
        <f>VLOOKUP($C48,员工基本信息!$C:$O,13,FALSE)</f>
        <v>生产人员</v>
      </c>
      <c r="AI48" s="249" t="str">
        <f>VLOOKUP($B48,员工基本信息!$B:$S,16,FALSE)</f>
        <v>6214220126200027736</v>
      </c>
      <c r="AJ48" s="249" t="str">
        <f>VLOOKUP($B48,员工基本信息!$B:$S,18,FALSE)</f>
        <v>沧州</v>
      </c>
      <c r="AK48" s="249" t="str">
        <f>VLOOKUP(C48,员工基本信息!$C:$M,11,0)</f>
        <v>直接成本</v>
      </c>
    </row>
    <row r="49" s="250" customFormat="1" customHeight="1" spans="1:37">
      <c r="A49" s="264">
        <v>46</v>
      </c>
      <c r="B49" s="6" t="str">
        <f>本月员工姓名!B47</f>
        <v>高建芳</v>
      </c>
      <c r="C49" s="265" t="str">
        <f>VLOOKUP($B49,员工基本信息!$B:$I,2,FALSE)</f>
        <v>130924198011184227</v>
      </c>
      <c r="D49" s="266" t="str">
        <f>VLOOKUP($B49,员工基本信息!$B:$I,4,FALSE)</f>
        <v>制造管理部-注塑车间</v>
      </c>
      <c r="E49" s="266" t="str">
        <f>VLOOKUP($B49,员工基本信息!$B:$I,5,FALSE)</f>
        <v>注塑工</v>
      </c>
      <c r="F49" s="267">
        <f>IF(ISERROR(VLOOKUP($C49,非生产人员工资!C:I,7,FALSE)),0,VLOOKUP($C49,非生产人员工资!C:I,7,FALSE))</f>
        <v>0</v>
      </c>
      <c r="G49" s="267">
        <f>IF(ISERROR(VLOOKUP($C49,非生产人员工资!C:J,8,0)),0,VLOOKUP($C49,非生产人员工资!C:J,8,FALSE))</f>
        <v>0</v>
      </c>
      <c r="H49" s="7">
        <f>IF(ISERROR(VLOOKUP($C49,非生产人员工资!C:K,9,FALSE)),0,VLOOKUP($C49,非生产人员工资!C:K,9,FALSE))</f>
        <v>0</v>
      </c>
      <c r="I49" s="7">
        <f>IF(ISERROR(VLOOKUP($C49,非生产人员工资!C:L,10,FALSE)),0,VLOOKUP($C49,非生产人员工资!C:L,10,FALSE))</f>
        <v>0</v>
      </c>
      <c r="J49" s="7">
        <f>IF(ISERROR(VLOOKUP($C49,生产人员工资!C:I,7,FALSE)),0,VLOOKUP($C49,生产人员工资!C:I,7,FALSE))</f>
        <v>4192.5</v>
      </c>
      <c r="K49" s="7">
        <f>IF(ISERROR(VLOOKUP($C49,生产人员工资!C:J,8,FALSE)),0,VLOOKUP($C49,生产人员工资!C:J,8,FALSE))</f>
        <v>0</v>
      </c>
      <c r="L49" s="7" t="str">
        <f>IF(ISERROR(IF(ISERROR(VLOOKUP($C49,非生产人员工资!C:N,12,FALSE)),VLOOKUP($C49,生产人员工资!C:K,9,FALSE),VLOOKUP($C49,非生产人员工资!C:N,12,FALSE))),0,IF(ISERROR(VLOOKUP($C49,非生产人员工资!C:N,12,FALSE)),VLOOKUP($C49,生产人员工资!C:K,9,FALSE),VLOOKUP($C49,非生产人员工资!C:N,12,FALSE)))</f>
        <v>0.00</v>
      </c>
      <c r="M49" s="7">
        <f>IF(ISERROR(IF(ISERROR(VLOOKUP($C49,非生产人员工资!$C:$O,13,FALSE)),VLOOKUP($C49,生产人员工资!$C:$L,10,FALSE),VLOOKUP($C49,非生产人员工资!$C:$O,13,FALSE))),0,IF(ISERROR(VLOOKUP($C49,非生产人员工资!$C:$O,13,FALSE)),VLOOKUP($C49,生产人员工资!$C:$L,10,FALSE),VLOOKUP($C49,非生产人员工资!$C:$O,13,FALSE)))</f>
        <v>160</v>
      </c>
      <c r="N49" s="7" t="str">
        <f>IF(ISERROR(IF(ISERROR(VLOOKUP($C49,非生产人员工资!$C:$P,14,FALSE)),VLOOKUP($C49,生产人员工资!$C:$M,11,FALSE),VLOOKUP($C49,非生产人员工资!$C:$P,14,FALSE))),0,IF(ISERROR(VLOOKUP($C49,非生产人员工资!$C:$P,14,FALSE)),VLOOKUP($C49,生产人员工资!$C:$M,11,FALSE),VLOOKUP($C49,非生产人员工资!$C:$P,14,FALSE)))</f>
        <v>0.00</v>
      </c>
      <c r="O49" s="7" t="str">
        <f>IF(ISERROR(IF(ISERROR(VLOOKUP($C49,非生产人员工资!C:Q,15,FALSE)),VLOOKUP($C49,生产人员工资!C:N,12,FALSE),VLOOKUP($C49,非生产人员工资!C:Q,15,FALSE))),0,IF(ISERROR(VLOOKUP($C49,非生产人员工资!C:Q,15,FALSE)),VLOOKUP($C49,生产人员工资!C:N,12,FALSE),VLOOKUP($C49,非生产人员工资!C:Q,15,FALSE)))</f>
        <v>0.00</v>
      </c>
      <c r="P49" s="7" t="str">
        <f>IF(ISERROR(IF(ISERROR(VLOOKUP($C49,非生产人员工资!C:R,16,FALSE)),VLOOKUP($C49,生产人员工资!C:O,13,FALSE),VLOOKUP($C49,非生产人员工资!C:R,16,FALSE))),0,IF(ISERROR(VLOOKUP($C49,非生产人员工资!C:R,16,FALSE)),VLOOKUP($C49,生产人员工资!C:O,13,FALSE),VLOOKUP($C49,非生产人员工资!C:R,16,FALSE)))</f>
        <v>0.00</v>
      </c>
      <c r="Q49" s="7" t="str">
        <f>IF(ISERROR(IF(ISERROR(VLOOKUP($C49,非生产人员工资!C:S,17,FALSE)),VLOOKUP($C49,生产人员工资!C:P,14,FALSE),VLOOKUP($C49,非生产人员工资!C:S,17,FALSE))),0,IF(ISERROR(VLOOKUP($C49,非生产人员工资!C:S,17,FALSE)),VLOOKUP($C49,生产人员工资!C:P,14,FALSE),VLOOKUP($C49,非生产人员工资!C:S,17,FALSE)))</f>
        <v>0.00</v>
      </c>
      <c r="R49" s="7" t="str">
        <f>IF(ISERROR(IF(ISERROR(VLOOKUP($C49,非生产人员工资!C:T,18,FALSE)),VLOOKUP($C49,生产人员工资!C:Q,15,FALSE),VLOOKUP($C49,非生产人员工资!C:T,18,FALSE))),0,IF(ISERROR(VLOOKUP($C49,非生产人员工资!C:T,18,FALSE)),VLOOKUP($C49,生产人员工资!C:Q,15,FALSE),VLOOKUP($C49,非生产人员工资!C:T,18,FALSE)))</f>
        <v>0.00</v>
      </c>
      <c r="S49" s="7">
        <f>IF(ISERROR(VLOOKUP($C49,非生产人员工资!C:U,19,FALSE)),0,VLOOKUP($C49,非生产人员工资!C:U,19,FALSE))</f>
        <v>0</v>
      </c>
      <c r="T49" s="7" t="str">
        <f>IF(ISERROR(IF(ISERROR(VLOOKUP($C49,非生产人员工资!C:V,20,FALSE)),VLOOKUP($C49,生产人员工资!C:R,16,FALSE),VLOOKUP($C49,非生产人员工资!C:V,20,FALSE))),0,IF(ISERROR(VLOOKUP($C49,非生产人员工资!C:V,20,FALSE)),VLOOKUP($C49,生产人员工资!$C:$R,16,FALSE),VLOOKUP($C49,非生产人员工资!C:V,20,FALSE)))</f>
        <v>0.00</v>
      </c>
      <c r="U49" s="7" t="str">
        <f>IF(ISERROR(IF(ISERROR(VLOOKUP($C49,非生产人员工资!C:W,21,FALSE)),VLOOKUP($C49,生产人员工资!C:S,17,FALSE),VLOOKUP($C49,非生产人员工资!C:W,21,FALSE))),0,IF(ISERROR(VLOOKUP($C49,非生产人员工资!C:W,21,FALSE)),VLOOKUP($C49,生产人员工资!C:S,17,FALSE),VLOOKUP($C49,非生产人员工资!C:W,21,FALSE)))</f>
        <v>0.00</v>
      </c>
      <c r="V49" s="7" t="str">
        <f>IF(ISERROR(IF(ISERROR(VLOOKUP($C49,非生产人员工资!C:X,22,FALSE)),VLOOKUP($C49,生产人员工资!C:T,18,FALSE),VLOOKUP($C49,非生产人员工资!C:X,22,FALSE))),0,IF(ISERROR(VLOOKUP($C49,非生产人员工资!C:X,22,FALSE)),VLOOKUP($C49,生产人员工资!C:T,18,FALSE),VLOOKUP($C49,非生产人员工资!C:X,22,FALSE)))</f>
        <v>0.00</v>
      </c>
      <c r="W49" s="7">
        <f t="shared" si="3"/>
        <v>4352.5</v>
      </c>
      <c r="X49" s="7">
        <f>IF(ISERROR(IF(ISERROR(VLOOKUP($C49,非生产人员工资!C:Z,24,FALSE)),VLOOKUP($C49,生产人员工资!C:V,20,FALSE),VLOOKUP($C49,非生产人员工资!$C:$Z,24,FALSE))),0,IF(ISERROR(VLOOKUP($C49,非生产人员工资!$C:$Z,24,FALSE)),VLOOKUP($C49,生产人员工资!$C:$V,20,FALSE),VLOOKUP($C49,非生产人员工资!$C:$Z,24,FALSE)))</f>
        <v>243.36</v>
      </c>
      <c r="Y49" s="7">
        <f>IF(ISERROR(IF(ISERROR(VLOOKUP($C49,非生产人员工资!C:AA,25,FALSE)),VLOOKUP($C49,生产人员工资!C:W,21,FALSE),VLOOKUP($C49,非生产人员工资!C:AA,25,FALSE))),0,IF(ISERROR(VLOOKUP($C49,非生产人员工资!C:AA,25,FALSE)),VLOOKUP($C49,生产人员工资!C:W,21,FALSE),VLOOKUP($C49,非生产人员工资!C:AA,25,FALSE)))</f>
        <v>104.57</v>
      </c>
      <c r="Z49" s="7">
        <f>IF(ISERROR(IF(ISERROR(VLOOKUP($C49,非生产人员工资!C:AB,26,FALSE)),VLOOKUP($C49,生产人员工资!C:X,22,FALSE),VLOOKUP($C49,非生产人员工资!C:AB,26,FALSE))),0,IF(ISERROR(VLOOKUP($C49,非生产人员工资!C:AB,26,FALSE)),VLOOKUP($C49,生产人员工资!C:X,22,FALSE),VLOOKUP($C49,非生产人员工资!C:AB,26,FALSE)))</f>
        <v>9.13</v>
      </c>
      <c r="AA49" s="7">
        <f>IF(ISERROR(IF(ISERROR(VLOOKUP($C49,非生产人员工资!C:AC,27,FALSE)),VLOOKUP($C49,生产人员工资!C:Y,23,FALSE),VLOOKUP($C49,非生产人员工资!C:AC,27,FALSE))),0,IF(ISERROR(VLOOKUP($C49,非生产人员工资!C:AC,27,FALSE)),VLOOKUP($C49,生产人员工资!C:Y,23,FALSE),VLOOKUP($C49,非生产人员工资!C:AC,27,FALSE)))</f>
        <v>0</v>
      </c>
      <c r="AB49" s="7">
        <f>IF(ISERROR(IF(ISERROR(VLOOKUP($C49,非生产人员工资!C:AD,28,FALSE)),VLOOKUP($C49,生产人员工资!C:Z,24,FALSE),VLOOKUP($C49,非生产人员工资!C:AD,28,FALSE))),0,IF(ISERROR(VLOOKUP($C49,非生产人员工资!C:AD,28,FALSE)),VLOOKUP($C49,生产人员工资!C:Z,24,FALSE),VLOOKUP($C49,非生产人员工资!C:AD,28,FALSE)))</f>
        <v>81.35</v>
      </c>
      <c r="AC49" s="269">
        <f>ROUND(IF(ISERROR(IF(ISERROR(VLOOKUP($C49,非生产人员工资!C:AF,30,FALSE)),VLOOKUP($C49,生产人员工资!C:AB,26,0),VLOOKUP($C49,非生产人员工资!C:AF,30,FALSE))),0,IF(ISERROR(VLOOKUP($C49,非生产人员工资!C:AF,30,FALSE)),VLOOKUP($C49,生产人员工资!C:AB,26,0),VLOOKUP($C49,非生产人员工资!C:AF,30,FALSE))),2)</f>
        <v>0</v>
      </c>
      <c r="AD49" s="269">
        <f t="shared" si="2"/>
        <v>3914.09</v>
      </c>
      <c r="AE49" s="269" t="str">
        <f>VLOOKUP($C49,员工基本信息!$C:$N,10,FALSE)</f>
        <v>生产成本+注塑</v>
      </c>
      <c r="AF49" s="265" t="str">
        <f>VLOOKUP($C49,员工基本信息!$C:$O,11,FALSE)</f>
        <v>直接成本</v>
      </c>
      <c r="AG49" s="265" t="str">
        <f>VLOOKUP($C49,员工基本信息!$C:$O,12,FALSE)</f>
        <v>注塑车间</v>
      </c>
      <c r="AH49" s="265" t="str">
        <f>VLOOKUP($C49,员工基本信息!$C:$O,13,FALSE)</f>
        <v>生产人员</v>
      </c>
      <c r="AI49" s="249" t="str">
        <f>VLOOKUP($B49,员工基本信息!$B:$S,16,FALSE)</f>
        <v>6214220101208886086</v>
      </c>
      <c r="AJ49" s="249" t="str">
        <f>VLOOKUP($B49,员工基本信息!$B:$S,18,FALSE)</f>
        <v>沧州</v>
      </c>
      <c r="AK49" s="249" t="str">
        <f>VLOOKUP(C49,员工基本信息!$C:$M,11,0)</f>
        <v>直接成本</v>
      </c>
    </row>
    <row r="50" s="250" customFormat="1" customHeight="1" spans="1:37">
      <c r="A50" s="264">
        <v>47</v>
      </c>
      <c r="B50" s="6" t="str">
        <f>本月员工姓名!B48</f>
        <v>吴金凤</v>
      </c>
      <c r="C50" s="265" t="str">
        <f>VLOOKUP($B50,员工基本信息!$B:$I,2,FALSE)</f>
        <v>132934198102141526</v>
      </c>
      <c r="D50" s="266" t="str">
        <f>VLOOKUP($B50,员工基本信息!$B:$I,4,FALSE)</f>
        <v>制造管理部-注塑车间</v>
      </c>
      <c r="E50" s="266" t="str">
        <f>VLOOKUP($B50,员工基本信息!$B:$I,5,FALSE)</f>
        <v>注塑工</v>
      </c>
      <c r="F50" s="267">
        <f>IF(ISERROR(VLOOKUP($C50,非生产人员工资!C:I,7,FALSE)),0,VLOOKUP($C50,非生产人员工资!C:I,7,FALSE))</f>
        <v>0</v>
      </c>
      <c r="G50" s="267">
        <f>IF(ISERROR(VLOOKUP($C50,非生产人员工资!C:J,8,0)),0,VLOOKUP($C50,非生产人员工资!C:J,8,FALSE))</f>
        <v>0</v>
      </c>
      <c r="H50" s="7">
        <f>IF(ISERROR(VLOOKUP($C50,非生产人员工资!C:K,9,FALSE)),0,VLOOKUP($C50,非生产人员工资!C:K,9,FALSE))</f>
        <v>0</v>
      </c>
      <c r="I50" s="7">
        <f>IF(ISERROR(VLOOKUP($C50,非生产人员工资!C:L,10,FALSE)),0,VLOOKUP($C50,非生产人员工资!C:L,10,FALSE))</f>
        <v>0</v>
      </c>
      <c r="J50" s="7">
        <f>IF(ISERROR(VLOOKUP($C50,生产人员工资!C:I,7,FALSE)),0,VLOOKUP($C50,生产人员工资!C:I,7,FALSE))</f>
        <v>3285</v>
      </c>
      <c r="K50" s="7">
        <f>IF(ISERROR(VLOOKUP($C50,生产人员工资!C:J,8,FALSE)),0,VLOOKUP($C50,生产人员工资!C:J,8,FALSE))</f>
        <v>0</v>
      </c>
      <c r="L50" s="7" t="str">
        <f>IF(ISERROR(IF(ISERROR(VLOOKUP($C50,非生产人员工资!C:N,12,FALSE)),VLOOKUP($C50,生产人员工资!C:K,9,FALSE),VLOOKUP($C50,非生产人员工资!C:N,12,FALSE))),0,IF(ISERROR(VLOOKUP($C50,非生产人员工资!C:N,12,FALSE)),VLOOKUP($C50,生产人员工资!C:K,9,FALSE),VLOOKUP($C50,非生产人员工资!C:N,12,FALSE)))</f>
        <v>0.00</v>
      </c>
      <c r="M50" s="7">
        <f>IF(ISERROR(IF(ISERROR(VLOOKUP($C50,非生产人员工资!$C:$O,13,FALSE)),VLOOKUP($C50,生产人员工资!$C:$L,10,FALSE),VLOOKUP($C50,非生产人员工资!$C:$O,13,FALSE))),0,IF(ISERROR(VLOOKUP($C50,非生产人员工资!$C:$O,13,FALSE)),VLOOKUP($C50,生产人员工资!$C:$L,10,FALSE),VLOOKUP($C50,非生产人员工资!$C:$O,13,FALSE)))</f>
        <v>130</v>
      </c>
      <c r="N50" s="7" t="str">
        <f>IF(ISERROR(IF(ISERROR(VLOOKUP($C50,非生产人员工资!$C:$P,14,FALSE)),VLOOKUP($C50,生产人员工资!$C:$M,11,FALSE),VLOOKUP($C50,非生产人员工资!$C:$P,14,FALSE))),0,IF(ISERROR(VLOOKUP($C50,非生产人员工资!$C:$P,14,FALSE)),VLOOKUP($C50,生产人员工资!$C:$M,11,FALSE),VLOOKUP($C50,非生产人员工资!$C:$P,14,FALSE)))</f>
        <v>0.00</v>
      </c>
      <c r="O50" s="7" t="str">
        <f>IF(ISERROR(IF(ISERROR(VLOOKUP($C50,非生产人员工资!C:Q,15,FALSE)),VLOOKUP($C50,生产人员工资!C:N,12,FALSE),VLOOKUP($C50,非生产人员工资!C:Q,15,FALSE))),0,IF(ISERROR(VLOOKUP($C50,非生产人员工资!C:Q,15,FALSE)),VLOOKUP($C50,生产人员工资!C:N,12,FALSE),VLOOKUP($C50,非生产人员工资!C:Q,15,FALSE)))</f>
        <v>0.00</v>
      </c>
      <c r="P50" s="7" t="str">
        <f>IF(ISERROR(IF(ISERROR(VLOOKUP($C50,非生产人员工资!C:R,16,FALSE)),VLOOKUP($C50,生产人员工资!C:O,13,FALSE),VLOOKUP($C50,非生产人员工资!C:R,16,FALSE))),0,IF(ISERROR(VLOOKUP($C50,非生产人员工资!C:R,16,FALSE)),VLOOKUP($C50,生产人员工资!C:O,13,FALSE),VLOOKUP($C50,非生产人员工资!C:R,16,FALSE)))</f>
        <v>0.00</v>
      </c>
      <c r="Q50" s="7">
        <f>IF(ISERROR(IF(ISERROR(VLOOKUP($C50,非生产人员工资!C:S,17,FALSE)),VLOOKUP($C50,生产人员工资!C:P,14,FALSE),VLOOKUP($C50,非生产人员工资!C:S,17,FALSE))),0,IF(ISERROR(VLOOKUP($C50,非生产人员工资!C:S,17,FALSE)),VLOOKUP($C50,生产人员工资!C:P,14,FALSE),VLOOKUP($C50,非生产人员工资!C:S,17,FALSE)))</f>
        <v>20</v>
      </c>
      <c r="R50" s="7" t="str">
        <f>IF(ISERROR(IF(ISERROR(VLOOKUP($C50,非生产人员工资!C:T,18,FALSE)),VLOOKUP($C50,生产人员工资!C:Q,15,FALSE),VLOOKUP($C50,非生产人员工资!C:T,18,FALSE))),0,IF(ISERROR(VLOOKUP($C50,非生产人员工资!C:T,18,FALSE)),VLOOKUP($C50,生产人员工资!C:Q,15,FALSE),VLOOKUP($C50,非生产人员工资!C:T,18,FALSE)))</f>
        <v>0.00</v>
      </c>
      <c r="S50" s="7">
        <f>IF(ISERROR(VLOOKUP($C50,非生产人员工资!C:U,19,FALSE)),0,VLOOKUP($C50,非生产人员工资!C:U,19,FALSE))</f>
        <v>0</v>
      </c>
      <c r="T50" s="7" t="str">
        <f>IF(ISERROR(IF(ISERROR(VLOOKUP($C50,非生产人员工资!C:V,20,FALSE)),VLOOKUP($C50,生产人员工资!C:R,16,FALSE),VLOOKUP($C50,非生产人员工资!C:V,20,FALSE))),0,IF(ISERROR(VLOOKUP($C50,非生产人员工资!C:V,20,FALSE)),VLOOKUP($C50,生产人员工资!$C:$R,16,FALSE),VLOOKUP($C50,非生产人员工资!C:V,20,FALSE)))</f>
        <v>0.00</v>
      </c>
      <c r="U50" s="7" t="str">
        <f>IF(ISERROR(IF(ISERROR(VLOOKUP($C50,非生产人员工资!C:W,21,FALSE)),VLOOKUP($C50,生产人员工资!C:S,17,FALSE),VLOOKUP($C50,非生产人员工资!C:W,21,FALSE))),0,IF(ISERROR(VLOOKUP($C50,非生产人员工资!C:W,21,FALSE)),VLOOKUP($C50,生产人员工资!C:S,17,FALSE),VLOOKUP($C50,非生产人员工资!C:W,21,FALSE)))</f>
        <v>0.00</v>
      </c>
      <c r="V50" s="7" t="str">
        <f>IF(ISERROR(IF(ISERROR(VLOOKUP($C50,非生产人员工资!C:X,22,FALSE)),VLOOKUP($C50,生产人员工资!C:T,18,FALSE),VLOOKUP($C50,非生产人员工资!C:X,22,FALSE))),0,IF(ISERROR(VLOOKUP($C50,非生产人员工资!C:X,22,FALSE)),VLOOKUP($C50,生产人员工资!C:T,18,FALSE),VLOOKUP($C50,非生产人员工资!C:X,22,FALSE)))</f>
        <v>0.00</v>
      </c>
      <c r="W50" s="7">
        <f t="shared" si="3"/>
        <v>3435</v>
      </c>
      <c r="X50" s="7">
        <f>IF(ISERROR(IF(ISERROR(VLOOKUP($C50,非生产人员工资!C:Z,24,FALSE)),VLOOKUP($C50,生产人员工资!C:V,20,FALSE),VLOOKUP($C50,非生产人员工资!$C:$Z,24,FALSE))),0,IF(ISERROR(VLOOKUP($C50,非生产人员工资!$C:$Z,24,FALSE)),VLOOKUP($C50,生产人员工资!$C:$V,20,FALSE),VLOOKUP($C50,非生产人员工资!$C:$Z,24,FALSE)))</f>
        <v>243.44</v>
      </c>
      <c r="Y50" s="7">
        <f>IF(ISERROR(IF(ISERROR(VLOOKUP($C50,非生产人员工资!C:AA,25,FALSE)),VLOOKUP($C50,生产人员工资!C:W,21,FALSE),VLOOKUP($C50,非生产人员工资!C:AA,25,FALSE))),0,IF(ISERROR(VLOOKUP($C50,非生产人员工资!C:AA,25,FALSE)),VLOOKUP($C50,生产人员工资!C:W,21,FALSE),VLOOKUP($C50,非生产人员工资!C:AA,25,FALSE)))</f>
        <v>104.57</v>
      </c>
      <c r="Z50" s="7">
        <f>IF(ISERROR(IF(ISERROR(VLOOKUP($C50,非生产人员工资!C:AB,26,FALSE)),VLOOKUP($C50,生产人员工资!C:X,22,FALSE),VLOOKUP($C50,非生产人员工资!C:AB,26,FALSE))),0,IF(ISERROR(VLOOKUP($C50,非生产人员工资!C:AB,26,FALSE)),VLOOKUP($C50,生产人员工资!C:X,22,FALSE),VLOOKUP($C50,非生产人员工资!C:AB,26,FALSE)))</f>
        <v>9.13</v>
      </c>
      <c r="AA50" s="7">
        <f>IF(ISERROR(IF(ISERROR(VLOOKUP($C50,非生产人员工资!C:AC,27,FALSE)),VLOOKUP($C50,生产人员工资!C:Y,23,FALSE),VLOOKUP($C50,非生产人员工资!C:AC,27,FALSE))),0,IF(ISERROR(VLOOKUP($C50,非生产人员工资!C:AC,27,FALSE)),VLOOKUP($C50,生产人员工资!C:Y,23,FALSE),VLOOKUP($C50,非生产人员工资!C:AC,27,FALSE)))</f>
        <v>89.5</v>
      </c>
      <c r="AB50" s="7">
        <f>IF(ISERROR(IF(ISERROR(VLOOKUP($C50,非生产人员工资!C:AD,28,FALSE)),VLOOKUP($C50,生产人员工资!C:Z,24,FALSE),VLOOKUP($C50,非生产人员工资!C:AD,28,FALSE))),0,IF(ISERROR(VLOOKUP($C50,非生产人员工资!C:AD,28,FALSE)),VLOOKUP($C50,生产人员工资!C:Z,24,FALSE),VLOOKUP($C50,非生产人员工资!C:AD,28,FALSE)))</f>
        <v>48.81</v>
      </c>
      <c r="AC50" s="269">
        <f>ROUND(IF(ISERROR(IF(ISERROR(VLOOKUP($C50,非生产人员工资!C:AF,30,FALSE)),VLOOKUP($C50,生产人员工资!C:AB,26,0),VLOOKUP($C50,非生产人员工资!C:AF,30,FALSE))),0,IF(ISERROR(VLOOKUP($C50,非生产人员工资!C:AF,30,FALSE)),VLOOKUP($C50,生产人员工资!C:AB,26,0),VLOOKUP($C50,非生产人员工资!C:AF,30,FALSE))),2)</f>
        <v>0</v>
      </c>
      <c r="AD50" s="269">
        <f t="shared" si="2"/>
        <v>2939.55</v>
      </c>
      <c r="AE50" s="269" t="str">
        <f>VLOOKUP($C50,员工基本信息!$C:$N,10,FALSE)</f>
        <v>生产成本+注塑</v>
      </c>
      <c r="AF50" s="265" t="str">
        <f>VLOOKUP($C50,员工基本信息!$C:$O,11,FALSE)</f>
        <v>直接成本</v>
      </c>
      <c r="AG50" s="265" t="str">
        <f>VLOOKUP($C50,员工基本信息!$C:$O,12,FALSE)</f>
        <v>注塑车间</v>
      </c>
      <c r="AH50" s="265" t="str">
        <f>VLOOKUP($C50,员工基本信息!$C:$O,13,FALSE)</f>
        <v>生产人员</v>
      </c>
      <c r="AI50" s="249" t="str">
        <f>VLOOKUP($B50,员工基本信息!$B:$S,16,FALSE)</f>
        <v>6214220101208763525</v>
      </c>
      <c r="AJ50" s="249" t="str">
        <f>VLOOKUP($B50,员工基本信息!$B:$S,18,FALSE)</f>
        <v>沧州</v>
      </c>
      <c r="AK50" s="249" t="str">
        <f>VLOOKUP(C50,员工基本信息!$C:$M,11,0)</f>
        <v>直接成本</v>
      </c>
    </row>
    <row r="51" s="250" customFormat="1" customHeight="1" spans="1:37">
      <c r="A51" s="264">
        <v>48</v>
      </c>
      <c r="B51" s="6" t="str">
        <f>本月员工姓名!B49</f>
        <v>许志飞</v>
      </c>
      <c r="C51" s="265" t="str">
        <f>VLOOKUP($B51,员工基本信息!$B:$I,2,FALSE)</f>
        <v>130924200302083514</v>
      </c>
      <c r="D51" s="266" t="str">
        <f>VLOOKUP($B51,员工基本信息!$B:$I,4,FALSE)</f>
        <v>制造管理部-注塑车间</v>
      </c>
      <c r="E51" s="266" t="str">
        <f>VLOOKUP($B51,员工基本信息!$B:$I,5,FALSE)</f>
        <v>注塑工</v>
      </c>
      <c r="F51" s="267">
        <f>IF(ISERROR(VLOOKUP($C51,非生产人员工资!C:I,7,FALSE)),0,VLOOKUP($C51,非生产人员工资!C:I,7,FALSE))</f>
        <v>0</v>
      </c>
      <c r="G51" s="267">
        <f>IF(ISERROR(VLOOKUP($C51,非生产人员工资!C:J,8,0)),0,VLOOKUP($C51,非生产人员工资!C:J,8,FALSE))</f>
        <v>0</v>
      </c>
      <c r="H51" s="7">
        <f>IF(ISERROR(VLOOKUP($C51,非生产人员工资!C:K,9,FALSE)),0,VLOOKUP($C51,非生产人员工资!C:K,9,FALSE))</f>
        <v>0</v>
      </c>
      <c r="I51" s="7">
        <f>IF(ISERROR(VLOOKUP($C51,非生产人员工资!C:L,10,FALSE)),0,VLOOKUP($C51,非生产人员工资!C:L,10,FALSE))</f>
        <v>0</v>
      </c>
      <c r="J51" s="7">
        <f>IF(ISERROR(VLOOKUP($C51,生产人员工资!C:I,7,FALSE)),0,VLOOKUP($C51,生产人员工资!C:I,7,FALSE))</f>
        <v>180</v>
      </c>
      <c r="K51" s="7">
        <f>IF(ISERROR(VLOOKUP($C51,生产人员工资!C:J,8,FALSE)),0,VLOOKUP($C51,生产人员工资!C:J,8,FALSE))</f>
        <v>0</v>
      </c>
      <c r="L51" s="7" t="str">
        <f>IF(ISERROR(IF(ISERROR(VLOOKUP($C51,非生产人员工资!C:N,12,FALSE)),VLOOKUP($C51,生产人员工资!C:K,9,FALSE),VLOOKUP($C51,非生产人员工资!C:N,12,FALSE))),0,IF(ISERROR(VLOOKUP($C51,非生产人员工资!C:N,12,FALSE)),VLOOKUP($C51,生产人员工资!C:K,9,FALSE),VLOOKUP($C51,非生产人员工资!C:N,12,FALSE)))</f>
        <v>0.00</v>
      </c>
      <c r="M51" s="7" t="str">
        <f>IF(ISERROR(IF(ISERROR(VLOOKUP($C51,非生产人员工资!$C:$O,13,FALSE)),VLOOKUP($C51,生产人员工资!$C:$L,10,FALSE),VLOOKUP($C51,非生产人员工资!$C:$O,13,FALSE))),0,IF(ISERROR(VLOOKUP($C51,非生产人员工资!$C:$O,13,FALSE)),VLOOKUP($C51,生产人员工资!$C:$L,10,FALSE),VLOOKUP($C51,非生产人员工资!$C:$O,13,FALSE)))</f>
        <v>0.00</v>
      </c>
      <c r="N51" s="7" t="str">
        <f>IF(ISERROR(IF(ISERROR(VLOOKUP($C51,非生产人员工资!$C:$P,14,FALSE)),VLOOKUP($C51,生产人员工资!$C:$M,11,FALSE),VLOOKUP($C51,非生产人员工资!$C:$P,14,FALSE))),0,IF(ISERROR(VLOOKUP($C51,非生产人员工资!$C:$P,14,FALSE)),VLOOKUP($C51,生产人员工资!$C:$M,11,FALSE),VLOOKUP($C51,非生产人员工资!$C:$P,14,FALSE)))</f>
        <v>0.00</v>
      </c>
      <c r="O51" s="7" t="str">
        <f>IF(ISERROR(IF(ISERROR(VLOOKUP($C51,非生产人员工资!C:Q,15,FALSE)),VLOOKUP($C51,生产人员工资!C:N,12,FALSE),VLOOKUP($C51,非生产人员工资!C:Q,15,FALSE))),0,IF(ISERROR(VLOOKUP($C51,非生产人员工资!C:Q,15,FALSE)),VLOOKUP($C51,生产人员工资!C:N,12,FALSE),VLOOKUP($C51,非生产人员工资!C:Q,15,FALSE)))</f>
        <v>0.00</v>
      </c>
      <c r="P51" s="7" t="str">
        <f>IF(ISERROR(IF(ISERROR(VLOOKUP($C51,非生产人员工资!C:R,16,FALSE)),VLOOKUP($C51,生产人员工资!C:O,13,FALSE),VLOOKUP($C51,非生产人员工资!C:R,16,FALSE))),0,IF(ISERROR(VLOOKUP($C51,非生产人员工资!C:R,16,FALSE)),VLOOKUP($C51,生产人员工资!C:O,13,FALSE),VLOOKUP($C51,非生产人员工资!C:R,16,FALSE)))</f>
        <v>0.00</v>
      </c>
      <c r="Q51" s="7" t="str">
        <f>IF(ISERROR(IF(ISERROR(VLOOKUP($C51,非生产人员工资!C:S,17,FALSE)),VLOOKUP($C51,生产人员工资!C:P,14,FALSE),VLOOKUP($C51,非生产人员工资!C:S,17,FALSE))),0,IF(ISERROR(VLOOKUP($C51,非生产人员工资!C:S,17,FALSE)),VLOOKUP($C51,生产人员工资!C:P,14,FALSE),VLOOKUP($C51,非生产人员工资!C:S,17,FALSE)))</f>
        <v>0.00</v>
      </c>
      <c r="R51" s="7" t="str">
        <f>IF(ISERROR(IF(ISERROR(VLOOKUP($C51,非生产人员工资!C:T,18,FALSE)),VLOOKUP($C51,生产人员工资!C:Q,15,FALSE),VLOOKUP($C51,非生产人员工资!C:T,18,FALSE))),0,IF(ISERROR(VLOOKUP($C51,非生产人员工资!C:T,18,FALSE)),VLOOKUP($C51,生产人员工资!C:Q,15,FALSE),VLOOKUP($C51,非生产人员工资!C:T,18,FALSE)))</f>
        <v>0.00</v>
      </c>
      <c r="S51" s="7">
        <f>IF(ISERROR(VLOOKUP($C51,非生产人员工资!C:U,19,FALSE)),0,VLOOKUP($C51,非生产人员工资!C:U,19,FALSE))</f>
        <v>0</v>
      </c>
      <c r="T51" s="7" t="str">
        <f>IF(ISERROR(IF(ISERROR(VLOOKUP($C51,非生产人员工资!C:V,20,FALSE)),VLOOKUP($C51,生产人员工资!C:R,16,FALSE),VLOOKUP($C51,非生产人员工资!C:V,20,FALSE))),0,IF(ISERROR(VLOOKUP($C51,非生产人员工资!C:V,20,FALSE)),VLOOKUP($C51,生产人员工资!$C:$R,16,FALSE),VLOOKUP($C51,非生产人员工资!C:V,20,FALSE)))</f>
        <v>0.00</v>
      </c>
      <c r="U51" s="7" t="str">
        <f>IF(ISERROR(IF(ISERROR(VLOOKUP($C51,非生产人员工资!C:W,21,FALSE)),VLOOKUP($C51,生产人员工资!C:S,17,FALSE),VLOOKUP($C51,非生产人员工资!C:W,21,FALSE))),0,IF(ISERROR(VLOOKUP($C51,非生产人员工资!C:W,21,FALSE)),VLOOKUP($C51,生产人员工资!C:S,17,FALSE),VLOOKUP($C51,非生产人员工资!C:W,21,FALSE)))</f>
        <v>0.00</v>
      </c>
      <c r="V51" s="7" t="str">
        <f>IF(ISERROR(IF(ISERROR(VLOOKUP($C51,非生产人员工资!C:X,22,FALSE)),VLOOKUP($C51,生产人员工资!C:T,18,FALSE),VLOOKUP($C51,非生产人员工资!C:X,22,FALSE))),0,IF(ISERROR(VLOOKUP($C51,非生产人员工资!C:X,22,FALSE)),VLOOKUP($C51,生产人员工资!C:T,18,FALSE),VLOOKUP($C51,非生产人员工资!C:X,22,FALSE)))</f>
        <v>0.00</v>
      </c>
      <c r="W51" s="7">
        <f t="shared" si="3"/>
        <v>180</v>
      </c>
      <c r="X51" s="7" t="str">
        <f>IF(ISERROR(IF(ISERROR(VLOOKUP($C51,非生产人员工资!C:Z,24,FALSE)),VLOOKUP($C51,生产人员工资!C:V,20,FALSE),VLOOKUP($C51,非生产人员工资!$C:$Z,24,FALSE))),0,IF(ISERROR(VLOOKUP($C51,非生产人员工资!$C:$Z,24,FALSE)),VLOOKUP($C51,生产人员工资!$C:$V,20,FALSE),VLOOKUP($C51,非生产人员工资!$C:$Z,24,FALSE)))</f>
        <v>0.00</v>
      </c>
      <c r="Y51" s="7" t="str">
        <f>IF(ISERROR(IF(ISERROR(VLOOKUP($C51,非生产人员工资!C:AA,25,FALSE)),VLOOKUP($C51,生产人员工资!C:W,21,FALSE),VLOOKUP($C51,非生产人员工资!C:AA,25,FALSE))),0,IF(ISERROR(VLOOKUP($C51,非生产人员工资!C:AA,25,FALSE)),VLOOKUP($C51,生产人员工资!C:W,21,FALSE),VLOOKUP($C51,非生产人员工资!C:AA,25,FALSE)))</f>
        <v>0.00</v>
      </c>
      <c r="Z51" s="7" t="str">
        <f>IF(ISERROR(IF(ISERROR(VLOOKUP($C51,非生产人员工资!C:AB,26,FALSE)),VLOOKUP($C51,生产人员工资!C:X,22,FALSE),VLOOKUP($C51,非生产人员工资!C:AB,26,FALSE))),0,IF(ISERROR(VLOOKUP($C51,非生产人员工资!C:AB,26,FALSE)),VLOOKUP($C51,生产人员工资!C:X,22,FALSE),VLOOKUP($C51,非生产人员工资!C:AB,26,FALSE)))</f>
        <v>0.00</v>
      </c>
      <c r="AA51" s="7" t="str">
        <f>IF(ISERROR(IF(ISERROR(VLOOKUP($C51,非生产人员工资!C:AC,27,FALSE)),VLOOKUP($C51,生产人员工资!C:Y,23,FALSE),VLOOKUP($C51,非生产人员工资!C:AC,27,FALSE))),0,IF(ISERROR(VLOOKUP($C51,非生产人员工资!C:AC,27,FALSE)),VLOOKUP($C51,生产人员工资!C:Y,23,FALSE),VLOOKUP($C51,非生产人员工资!C:AC,27,FALSE)))</f>
        <v>0.00</v>
      </c>
      <c r="AB51" s="7">
        <f>IF(ISERROR(IF(ISERROR(VLOOKUP($C51,非生产人员工资!C:AD,28,FALSE)),VLOOKUP($C51,生产人员工资!C:Z,24,FALSE),VLOOKUP($C51,非生产人员工资!C:AD,28,FALSE))),0,IF(ISERROR(VLOOKUP($C51,非生产人员工资!C:AD,28,FALSE)),VLOOKUP($C51,生产人员工资!C:Z,24,FALSE),VLOOKUP($C51,非生产人员工资!C:AD,28,FALSE)))</f>
        <v>0</v>
      </c>
      <c r="AC51" s="269">
        <f>ROUND(IF(ISERROR(IF(ISERROR(VLOOKUP($C51,非生产人员工资!C:AF,30,FALSE)),VLOOKUP($C51,生产人员工资!C:AB,26,0),VLOOKUP($C51,非生产人员工资!C:AF,30,FALSE))),0,IF(ISERROR(VLOOKUP($C51,非生产人员工资!C:AF,30,FALSE)),VLOOKUP($C51,生产人员工资!C:AB,26,0),VLOOKUP($C51,非生产人员工资!C:AF,30,FALSE))),2)</f>
        <v>0</v>
      </c>
      <c r="AD51" s="269">
        <f t="shared" si="2"/>
        <v>180</v>
      </c>
      <c r="AE51" s="269" t="str">
        <f>VLOOKUP($C51,员工基本信息!$C:$N,10,FALSE)</f>
        <v>生产成本+注塑</v>
      </c>
      <c r="AF51" s="265" t="str">
        <f>VLOOKUP($C51,员工基本信息!$C:$O,11,FALSE)</f>
        <v>直接成本</v>
      </c>
      <c r="AG51" s="265" t="str">
        <f>VLOOKUP($C51,员工基本信息!$C:$O,12,FALSE)</f>
        <v>注塑车间</v>
      </c>
      <c r="AH51" s="265" t="str">
        <f>VLOOKUP($C51,员工基本信息!$C:$O,13,FALSE)</f>
        <v>生产人员</v>
      </c>
      <c r="AI51" s="249" t="str">
        <f>VLOOKUP($B51,员工基本信息!$B:$S,16,FALSE)</f>
        <v>6214220126200086724</v>
      </c>
      <c r="AJ51" s="249" t="str">
        <f>VLOOKUP($B51,员工基本信息!$B:$S,18,FALSE)</f>
        <v>沧州</v>
      </c>
      <c r="AK51" s="249" t="str">
        <f>VLOOKUP(C51,员工基本信息!$C:$M,11,0)</f>
        <v>直接成本</v>
      </c>
    </row>
    <row r="52" s="250" customFormat="1" customHeight="1" spans="1:37">
      <c r="A52" s="264">
        <v>49</v>
      </c>
      <c r="B52" s="6" t="str">
        <f>本月员工姓名!B50</f>
        <v>张占利</v>
      </c>
      <c r="C52" s="265" t="str">
        <f>VLOOKUP($B52,员工基本信息!$B:$I,2,FALSE)</f>
        <v>13293419750911092x</v>
      </c>
      <c r="D52" s="266" t="str">
        <f>VLOOKUP($B52,员工基本信息!$B:$I,4,FALSE)</f>
        <v>制造管理部-注塑车间</v>
      </c>
      <c r="E52" s="266" t="str">
        <f>VLOOKUP($B52,员工基本信息!$B:$I,5,FALSE)</f>
        <v>注塑工</v>
      </c>
      <c r="F52" s="267">
        <f>IF(ISERROR(VLOOKUP($C52,非生产人员工资!C:I,7,FALSE)),0,VLOOKUP($C52,非生产人员工资!C:I,7,FALSE))</f>
        <v>0</v>
      </c>
      <c r="G52" s="267">
        <f>IF(ISERROR(VLOOKUP($C52,非生产人员工资!C:J,8,0)),0,VLOOKUP($C52,非生产人员工资!C:J,8,FALSE))</f>
        <v>0</v>
      </c>
      <c r="H52" s="7">
        <f>IF(ISERROR(VLOOKUP($C52,非生产人员工资!C:K,9,FALSE)),0,VLOOKUP($C52,非生产人员工资!C:K,9,FALSE))</f>
        <v>0</v>
      </c>
      <c r="I52" s="7">
        <f>IF(ISERROR(VLOOKUP($C52,非生产人员工资!C:L,10,FALSE)),0,VLOOKUP($C52,非生产人员工资!C:L,10,FALSE))</f>
        <v>0</v>
      </c>
      <c r="J52" s="7">
        <f>IF(ISERROR(VLOOKUP($C52,生产人员工资!C:I,7,FALSE)),0,VLOOKUP($C52,生产人员工资!C:I,7,FALSE))</f>
        <v>3742.5</v>
      </c>
      <c r="K52" s="7">
        <f>IF(ISERROR(VLOOKUP($C52,生产人员工资!C:J,8,FALSE)),0,VLOOKUP($C52,生产人员工资!C:J,8,FALSE))</f>
        <v>0</v>
      </c>
      <c r="L52" s="7" t="str">
        <f>IF(ISERROR(IF(ISERROR(VLOOKUP($C52,非生产人员工资!C:N,12,FALSE)),VLOOKUP($C52,生产人员工资!C:K,9,FALSE),VLOOKUP($C52,非生产人员工资!C:N,12,FALSE))),0,IF(ISERROR(VLOOKUP($C52,非生产人员工资!C:N,12,FALSE)),VLOOKUP($C52,生产人员工资!C:K,9,FALSE),VLOOKUP($C52,非生产人员工资!C:N,12,FALSE)))</f>
        <v>0.00</v>
      </c>
      <c r="M52" s="7">
        <f>IF(ISERROR(IF(ISERROR(VLOOKUP($C52,非生产人员工资!$C:$O,13,FALSE)),VLOOKUP($C52,生产人员工资!$C:$L,10,FALSE),VLOOKUP($C52,非生产人员工资!$C:$O,13,FALSE))),0,IF(ISERROR(VLOOKUP($C52,非生产人员工资!$C:$O,13,FALSE)),VLOOKUP($C52,生产人员工资!$C:$L,10,FALSE),VLOOKUP($C52,非生产人员工资!$C:$O,13,FALSE)))</f>
        <v>200</v>
      </c>
      <c r="N52" s="7" t="str">
        <f>IF(ISERROR(IF(ISERROR(VLOOKUP($C52,非生产人员工资!$C:$P,14,FALSE)),VLOOKUP($C52,生产人员工资!$C:$M,11,FALSE),VLOOKUP($C52,非生产人员工资!$C:$P,14,FALSE))),0,IF(ISERROR(VLOOKUP($C52,非生产人员工资!$C:$P,14,FALSE)),VLOOKUP($C52,生产人员工资!$C:$M,11,FALSE),VLOOKUP($C52,非生产人员工资!$C:$P,14,FALSE)))</f>
        <v>0.00</v>
      </c>
      <c r="O52" s="7" t="str">
        <f>IF(ISERROR(IF(ISERROR(VLOOKUP($C52,非生产人员工资!C:Q,15,FALSE)),VLOOKUP($C52,生产人员工资!C:N,12,FALSE),VLOOKUP($C52,非生产人员工资!C:Q,15,FALSE))),0,IF(ISERROR(VLOOKUP($C52,非生产人员工资!C:Q,15,FALSE)),VLOOKUP($C52,生产人员工资!C:N,12,FALSE),VLOOKUP($C52,非生产人员工资!C:Q,15,FALSE)))</f>
        <v>0.00</v>
      </c>
      <c r="P52" s="7" t="str">
        <f>IF(ISERROR(IF(ISERROR(VLOOKUP($C52,非生产人员工资!C:R,16,FALSE)),VLOOKUP($C52,生产人员工资!C:O,13,FALSE),VLOOKUP($C52,非生产人员工资!C:R,16,FALSE))),0,IF(ISERROR(VLOOKUP($C52,非生产人员工资!C:R,16,FALSE)),VLOOKUP($C52,生产人员工资!C:O,13,FALSE),VLOOKUP($C52,非生产人员工资!C:R,16,FALSE)))</f>
        <v>0.00</v>
      </c>
      <c r="Q52" s="7" t="str">
        <f>IF(ISERROR(IF(ISERROR(VLOOKUP($C52,非生产人员工资!C:S,17,FALSE)),VLOOKUP($C52,生产人员工资!C:P,14,FALSE),VLOOKUP($C52,非生产人员工资!C:S,17,FALSE))),0,IF(ISERROR(VLOOKUP($C52,非生产人员工资!C:S,17,FALSE)),VLOOKUP($C52,生产人员工资!C:P,14,FALSE),VLOOKUP($C52,非生产人员工资!C:S,17,FALSE)))</f>
        <v>0.00</v>
      </c>
      <c r="R52" s="7" t="str">
        <f>IF(ISERROR(IF(ISERROR(VLOOKUP($C52,非生产人员工资!C:T,18,FALSE)),VLOOKUP($C52,生产人员工资!C:Q,15,FALSE),VLOOKUP($C52,非生产人员工资!C:T,18,FALSE))),0,IF(ISERROR(VLOOKUP($C52,非生产人员工资!C:T,18,FALSE)),VLOOKUP($C52,生产人员工资!C:Q,15,FALSE),VLOOKUP($C52,非生产人员工资!C:T,18,FALSE)))</f>
        <v>0.00</v>
      </c>
      <c r="S52" s="7">
        <f>IF(ISERROR(VLOOKUP($C52,非生产人员工资!C:U,19,FALSE)),0,VLOOKUP($C52,非生产人员工资!C:U,19,FALSE))</f>
        <v>0</v>
      </c>
      <c r="T52" s="7" t="str">
        <f>IF(ISERROR(IF(ISERROR(VLOOKUP($C52,非生产人员工资!C:V,20,FALSE)),VLOOKUP($C52,生产人员工资!C:R,16,FALSE),VLOOKUP($C52,非生产人员工资!C:V,20,FALSE))),0,IF(ISERROR(VLOOKUP($C52,非生产人员工资!C:V,20,FALSE)),VLOOKUP($C52,生产人员工资!$C:$R,16,FALSE),VLOOKUP($C52,非生产人员工资!C:V,20,FALSE)))</f>
        <v>0.00</v>
      </c>
      <c r="U52" s="7" t="str">
        <f>IF(ISERROR(IF(ISERROR(VLOOKUP($C52,非生产人员工资!C:W,21,FALSE)),VLOOKUP($C52,生产人员工资!C:S,17,FALSE),VLOOKUP($C52,非生产人员工资!C:W,21,FALSE))),0,IF(ISERROR(VLOOKUP($C52,非生产人员工资!C:W,21,FALSE)),VLOOKUP($C52,生产人员工资!C:S,17,FALSE),VLOOKUP($C52,非生产人员工资!C:W,21,FALSE)))</f>
        <v>0.00</v>
      </c>
      <c r="V52" s="7" t="str">
        <f>IF(ISERROR(IF(ISERROR(VLOOKUP($C52,非生产人员工资!C:X,22,FALSE)),VLOOKUP($C52,生产人员工资!C:T,18,FALSE),VLOOKUP($C52,非生产人员工资!C:X,22,FALSE))),0,IF(ISERROR(VLOOKUP($C52,非生产人员工资!C:X,22,FALSE)),VLOOKUP($C52,生产人员工资!C:T,18,FALSE),VLOOKUP($C52,非生产人员工资!C:X,22,FALSE)))</f>
        <v>0.00</v>
      </c>
      <c r="W52" s="7">
        <f t="shared" si="3"/>
        <v>3942.5</v>
      </c>
      <c r="X52" s="7" t="str">
        <f>IF(ISERROR(IF(ISERROR(VLOOKUP($C52,非生产人员工资!C:Z,24,FALSE)),VLOOKUP($C52,生产人员工资!C:V,20,FALSE),VLOOKUP($C52,非生产人员工资!$C:$Z,24,FALSE))),0,IF(ISERROR(VLOOKUP($C52,非生产人员工资!$C:$Z,24,FALSE)),VLOOKUP($C52,生产人员工资!$C:$V,20,FALSE),VLOOKUP($C52,非生产人员工资!$C:$Z,24,FALSE)))</f>
        <v>0.00</v>
      </c>
      <c r="Y52" s="7" t="str">
        <f>IF(ISERROR(IF(ISERROR(VLOOKUP($C52,非生产人员工资!C:AA,25,FALSE)),VLOOKUP($C52,生产人员工资!C:W,21,FALSE),VLOOKUP($C52,非生产人员工资!C:AA,25,FALSE))),0,IF(ISERROR(VLOOKUP($C52,非生产人员工资!C:AA,25,FALSE)),VLOOKUP($C52,生产人员工资!C:W,21,FALSE),VLOOKUP($C52,非生产人员工资!C:AA,25,FALSE)))</f>
        <v>0.00</v>
      </c>
      <c r="Z52" s="7" t="str">
        <f>IF(ISERROR(IF(ISERROR(VLOOKUP($C52,非生产人员工资!C:AB,26,FALSE)),VLOOKUP($C52,生产人员工资!C:X,22,FALSE),VLOOKUP($C52,非生产人员工资!C:AB,26,FALSE))),0,IF(ISERROR(VLOOKUP($C52,非生产人员工资!C:AB,26,FALSE)),VLOOKUP($C52,生产人员工资!C:X,22,FALSE),VLOOKUP($C52,非生产人员工资!C:AB,26,FALSE)))</f>
        <v>0.00</v>
      </c>
      <c r="AA52" s="7" t="str">
        <f>IF(ISERROR(IF(ISERROR(VLOOKUP($C52,非生产人员工资!C:AC,27,FALSE)),VLOOKUP($C52,生产人员工资!C:Y,23,FALSE),VLOOKUP($C52,非生产人员工资!C:AC,27,FALSE))),0,IF(ISERROR(VLOOKUP($C52,非生产人员工资!C:AC,27,FALSE)),VLOOKUP($C52,生产人员工资!C:Y,23,FALSE),VLOOKUP($C52,非生产人员工资!C:AC,27,FALSE)))</f>
        <v>0.00</v>
      </c>
      <c r="AB52" s="7">
        <f>IF(ISERROR(IF(ISERROR(VLOOKUP($C52,非生产人员工资!C:AD,28,FALSE)),VLOOKUP($C52,生产人员工资!C:Z,24,FALSE),VLOOKUP($C52,非生产人员工资!C:AD,28,FALSE))),0,IF(ISERROR(VLOOKUP($C52,非生产人员工资!C:AD,28,FALSE)),VLOOKUP($C52,生产人员工资!C:Z,24,FALSE),VLOOKUP($C52,非生产人员工资!C:AD,28,FALSE)))</f>
        <v>0</v>
      </c>
      <c r="AC52" s="269">
        <f>ROUND(IF(ISERROR(IF(ISERROR(VLOOKUP($C52,非生产人员工资!C:AF,30,FALSE)),VLOOKUP($C52,生产人员工资!C:AB,26,0),VLOOKUP($C52,非生产人员工资!C:AF,30,FALSE))),0,IF(ISERROR(VLOOKUP($C52,非生产人员工资!C:AF,30,FALSE)),VLOOKUP($C52,生产人员工资!C:AB,26,0),VLOOKUP($C52,非生产人员工资!C:AF,30,FALSE))),2)</f>
        <v>0</v>
      </c>
      <c r="AD52" s="269">
        <f t="shared" si="2"/>
        <v>3942.5</v>
      </c>
      <c r="AE52" s="269" t="str">
        <f>VLOOKUP($C52,员工基本信息!$C:$N,10,FALSE)</f>
        <v>生产成本+注塑</v>
      </c>
      <c r="AF52" s="265" t="str">
        <f>VLOOKUP($C52,员工基本信息!$C:$O,11,FALSE)</f>
        <v>直接成本</v>
      </c>
      <c r="AG52" s="265" t="str">
        <f>VLOOKUP($C52,员工基本信息!$C:$O,12,FALSE)</f>
        <v>注塑车间</v>
      </c>
      <c r="AH52" s="265" t="str">
        <f>VLOOKUP($C52,员工基本信息!$C:$O,13,FALSE)</f>
        <v>生产人员</v>
      </c>
      <c r="AI52" s="249" t="str">
        <f>VLOOKUP($B52,员工基本信息!$B:$S,16,FALSE)</f>
        <v>6214220101208765496</v>
      </c>
      <c r="AJ52" s="249" t="str">
        <f>VLOOKUP($B52,员工基本信息!$B:$S,18,FALSE)</f>
        <v>沧州</v>
      </c>
      <c r="AK52" s="249" t="str">
        <f>VLOOKUP(C52,员工基本信息!$C:$M,11,0)</f>
        <v>直接成本</v>
      </c>
    </row>
    <row r="53" s="250" customFormat="1" customHeight="1" spans="1:37">
      <c r="A53" s="264">
        <v>50</v>
      </c>
      <c r="B53" s="6" t="str">
        <f>本月员工姓名!B51</f>
        <v>杨宝亮</v>
      </c>
      <c r="C53" s="265" t="str">
        <f>VLOOKUP($B53,员工基本信息!$B:$I,2,FALSE)</f>
        <v>132934198205293514</v>
      </c>
      <c r="D53" s="266" t="str">
        <f>VLOOKUP($B53,员工基本信息!$B:$I,4,FALSE)</f>
        <v>制造管理部-注塑车间</v>
      </c>
      <c r="E53" s="266" t="str">
        <f>VLOOKUP($B53,员工基本信息!$B:$I,5,FALSE)</f>
        <v>班组长</v>
      </c>
      <c r="F53" s="267">
        <f>IF(ISERROR(VLOOKUP($C53,非生产人员工资!$C:$AD,6,FALSE)),0,VLOOKUP($C53,非生产人员工资!$C:$AD,6,FALSE))</f>
        <v>0</v>
      </c>
      <c r="G53" s="267">
        <f>IF(ISERROR(VLOOKUP($C53,非生产人员工资!C:J,8,0)),0,VLOOKUP($C53,非生产人员工资!C:J,8,FALSE))</f>
        <v>0</v>
      </c>
      <c r="H53" s="7">
        <f>IF(ISERROR(VLOOKUP($C53,非生产人员工资!C:K,9,FALSE)),0,VLOOKUP($C53,非生产人员工资!C:K,9,FALSE))</f>
        <v>0</v>
      </c>
      <c r="I53" s="7">
        <f>IF(ISERROR(VLOOKUP($C53,非生产人员工资!C:L,10,FALSE)),0,VLOOKUP($C53,非生产人员工资!C:L,10,FALSE))</f>
        <v>0</v>
      </c>
      <c r="J53" s="7">
        <f>IF(ISERROR(VLOOKUP($C53,生产人员工资!C:I,7,FALSE)),0,VLOOKUP($C53,生产人员工资!C:I,7,FALSE))</f>
        <v>3705</v>
      </c>
      <c r="K53" s="7">
        <f>IF(ISERROR(VLOOKUP($C53,生产人员工资!C:J,8,FALSE)),0,VLOOKUP($C53,生产人员工资!C:J,8,FALSE))</f>
        <v>0</v>
      </c>
      <c r="L53" s="7">
        <f>IF(ISERROR(IF(ISERROR(VLOOKUP($C53,非生产人员工资!C:N,12,FALSE)),VLOOKUP($C53,生产人员工资!C:K,9,FALSE),VLOOKUP($C53,非生产人员工资!C:N,12,FALSE))),0,IF(ISERROR(VLOOKUP($C53,非生产人员工资!C:N,12,FALSE)),VLOOKUP($C53,生产人员工资!C:K,9,FALSE),VLOOKUP($C53,非生产人员工资!C:N,12,FALSE)))</f>
        <v>900</v>
      </c>
      <c r="M53" s="7">
        <f>IF(ISERROR(IF(ISERROR(VLOOKUP($C53,非生产人员工资!$C:$O,13,FALSE)),VLOOKUP($C53,生产人员工资!$C:$L,10,FALSE),VLOOKUP($C53,非生产人员工资!$C:$O,13,FALSE))),0,IF(ISERROR(VLOOKUP($C53,非生产人员工资!$C:$O,13,FALSE)),VLOOKUP($C53,生产人员工资!$C:$L,10,FALSE),VLOOKUP($C53,非生产人员工资!$C:$O,13,FALSE)))</f>
        <v>190</v>
      </c>
      <c r="N53" s="7">
        <f>IF(ISERROR(IF(ISERROR(VLOOKUP($C53,非生产人员工资!$C:$P,14,FALSE)),VLOOKUP($C53,生产人员工资!$C:$M,11,FALSE),VLOOKUP($C53,非生产人员工资!$C:$P,14,FALSE))),0,IF(ISERROR(VLOOKUP($C53,非生产人员工资!$C:$P,14,FALSE)),VLOOKUP($C53,生产人员工资!$C:$M,11,FALSE),VLOOKUP($C53,非生产人员工资!$C:$P,14,FALSE)))</f>
        <v>40</v>
      </c>
      <c r="O53" s="7" t="str">
        <f>IF(ISERROR(IF(ISERROR(VLOOKUP($C53,非生产人员工资!C:Q,15,FALSE)),VLOOKUP($C53,生产人员工资!C:N,12,FALSE),VLOOKUP($C53,非生产人员工资!C:Q,15,FALSE))),0,IF(ISERROR(VLOOKUP($C53,非生产人员工资!C:Q,15,FALSE)),VLOOKUP($C53,生产人员工资!C:N,12,FALSE),VLOOKUP($C53,非生产人员工资!C:Q,15,FALSE)))</f>
        <v>0.00</v>
      </c>
      <c r="P53" s="7" t="str">
        <f>IF(ISERROR(IF(ISERROR(VLOOKUP($C53,非生产人员工资!C:R,16,FALSE)),VLOOKUP($C53,生产人员工资!C:O,13,FALSE),VLOOKUP($C53,非生产人员工资!C:R,16,FALSE))),0,IF(ISERROR(VLOOKUP($C53,非生产人员工资!C:R,16,FALSE)),VLOOKUP($C53,生产人员工资!C:O,13,FALSE),VLOOKUP($C53,非生产人员工资!C:R,16,FALSE)))</f>
        <v>0.00</v>
      </c>
      <c r="Q53" s="7" t="str">
        <f>IF(ISERROR(IF(ISERROR(VLOOKUP($C53,非生产人员工资!C:S,17,FALSE)),VLOOKUP($C53,生产人员工资!C:P,14,FALSE),VLOOKUP($C53,非生产人员工资!C:S,17,FALSE))),0,IF(ISERROR(VLOOKUP($C53,非生产人员工资!C:S,17,FALSE)),VLOOKUP($C53,生产人员工资!C:P,14,FALSE),VLOOKUP($C53,非生产人员工资!C:S,17,FALSE)))</f>
        <v>0.00</v>
      </c>
      <c r="R53" s="7" t="str">
        <f>IF(ISERROR(IF(ISERROR(VLOOKUP($C53,非生产人员工资!C:T,18,FALSE)),VLOOKUP($C53,生产人员工资!C:Q,15,FALSE),VLOOKUP($C53,非生产人员工资!C:T,18,FALSE))),0,IF(ISERROR(VLOOKUP($C53,非生产人员工资!C:T,18,FALSE)),VLOOKUP($C53,生产人员工资!C:Q,15,FALSE),VLOOKUP($C53,非生产人员工资!C:T,18,FALSE)))</f>
        <v>0.00</v>
      </c>
      <c r="S53" s="7">
        <f>IF(ISERROR(VLOOKUP($C53,非生产人员工资!C:U,19,FALSE)),0,VLOOKUP($C53,非生产人员工资!C:U,19,FALSE))</f>
        <v>0</v>
      </c>
      <c r="T53" s="7" t="str">
        <f>IF(ISERROR(IF(ISERROR(VLOOKUP($C53,非生产人员工资!C:V,20,FALSE)),VLOOKUP($C53,生产人员工资!C:R,16,FALSE),VLOOKUP($C53,非生产人员工资!C:V,20,FALSE))),0,IF(ISERROR(VLOOKUP($C53,非生产人员工资!C:V,20,FALSE)),VLOOKUP($C53,生产人员工资!$C:$R,16,FALSE),VLOOKUP($C53,非生产人员工资!C:V,20,FALSE)))</f>
        <v>0.00</v>
      </c>
      <c r="U53" s="7" t="str">
        <f>IF(ISERROR(IF(ISERROR(VLOOKUP($C53,非生产人员工资!C:W,21,FALSE)),VLOOKUP($C53,生产人员工资!C:S,17,FALSE),VLOOKUP($C53,非生产人员工资!C:W,21,FALSE))),0,IF(ISERROR(VLOOKUP($C53,非生产人员工资!C:W,21,FALSE)),VLOOKUP($C53,生产人员工资!C:S,17,FALSE),VLOOKUP($C53,非生产人员工资!C:W,21,FALSE)))</f>
        <v>0.00</v>
      </c>
      <c r="V53" s="7" t="str">
        <f>IF(ISERROR(IF(ISERROR(VLOOKUP($C53,非生产人员工资!C:X,22,FALSE)),VLOOKUP($C53,生产人员工资!C:T,18,FALSE),VLOOKUP($C53,非生产人员工资!C:X,22,FALSE))),0,IF(ISERROR(VLOOKUP($C53,非生产人员工资!C:X,22,FALSE)),VLOOKUP($C53,生产人员工资!C:T,18,FALSE),VLOOKUP($C53,非生产人员工资!C:X,22,FALSE)))</f>
        <v>0.00</v>
      </c>
      <c r="W53" s="7">
        <f t="shared" si="3"/>
        <v>4835</v>
      </c>
      <c r="X53" s="7">
        <f>IF(ISERROR(IF(ISERROR(VLOOKUP($C53,非生产人员工资!C:Z,24,FALSE)),VLOOKUP($C53,生产人员工资!C:V,20,FALSE),VLOOKUP($C53,非生产人员工资!$C:$Z,24,FALSE))),0,IF(ISERROR(VLOOKUP($C53,非生产人员工资!$C:$Z,24,FALSE)),VLOOKUP($C53,生产人员工资!$C:$V,20,FALSE),VLOOKUP($C53,非生产人员工资!$C:$Z,24,FALSE)))</f>
        <v>226.9</v>
      </c>
      <c r="Y53" s="7">
        <f>IF(ISERROR(IF(ISERROR(VLOOKUP($C53,非生产人员工资!C:AA,25,FALSE)),VLOOKUP($C53,生产人员工资!C:W,21,FALSE),VLOOKUP($C53,非生产人员工资!C:AA,25,FALSE))),0,IF(ISERROR(VLOOKUP($C53,非生产人员工资!C:AA,25,FALSE)),VLOOKUP($C53,生产人员工资!C:W,21,FALSE),VLOOKUP($C53,非生产人员工资!C:AA,25,FALSE)))</f>
        <v>104.57</v>
      </c>
      <c r="Z53" s="7">
        <f>IF(ISERROR(IF(ISERROR(VLOOKUP($C53,非生产人员工资!C:AB,26,FALSE)),VLOOKUP($C53,生产人员工资!C:X,22,FALSE),VLOOKUP($C53,非生产人员工资!C:AB,26,FALSE))),0,IF(ISERROR(VLOOKUP($C53,非生产人员工资!C:AB,26,FALSE)),VLOOKUP($C53,生产人员工资!C:X,22,FALSE),VLOOKUP($C53,非生产人员工资!C:AB,26,FALSE)))</f>
        <v>8.51</v>
      </c>
      <c r="AA53" s="7">
        <f>IF(ISERROR(IF(ISERROR(VLOOKUP($C53,非生产人员工资!C:AC,27,FALSE)),VLOOKUP($C53,生产人员工资!C:Y,23,FALSE),VLOOKUP($C53,非生产人员工资!C:AC,27,FALSE))),0,IF(ISERROR(VLOOKUP($C53,非生产人员工资!C:AC,27,FALSE)),VLOOKUP($C53,生产人员工资!C:Y,23,FALSE),VLOOKUP($C53,非生产人员工资!C:AC,27,FALSE)))</f>
        <v>89.5</v>
      </c>
      <c r="AB53" s="7">
        <f>IF(ISERROR(IF(ISERROR(VLOOKUP($C53,非生产人员工资!C:AD,28,FALSE)),VLOOKUP($C53,生产人员工资!C:Z,24,FALSE),VLOOKUP($C53,非生产人员工资!C:AD,28,FALSE))),0,IF(ISERROR(VLOOKUP($C53,非生产人员工资!C:AD,28,FALSE)),VLOOKUP($C53,生产人员工资!C:Z,24,FALSE),VLOOKUP($C53,非生产人员工资!C:AD,28,FALSE)))</f>
        <v>261.84</v>
      </c>
      <c r="AC53" s="269">
        <f>ROUND(IF(ISERROR(IF(ISERROR(VLOOKUP($C53,非生产人员工资!C:AF,30,FALSE)),VLOOKUP($C53,生产人员工资!C:AB,26,0),VLOOKUP($C53,非生产人员工资!C:AF,30,FALSE))),0,IF(ISERROR(VLOOKUP($C53,非生产人员工资!C:AF,30,FALSE)),VLOOKUP($C53,生产人员工资!C:AB,26,0),VLOOKUP($C53,非生产人员工资!C:AF,30,FALSE))),2)</f>
        <v>0</v>
      </c>
      <c r="AD53" s="269">
        <f t="shared" si="2"/>
        <v>4143.68</v>
      </c>
      <c r="AE53" s="269" t="str">
        <f>VLOOKUP($C53,员工基本信息!$C:$N,10,FALSE)</f>
        <v>生产成本+注塑</v>
      </c>
      <c r="AF53" s="265" t="str">
        <f>VLOOKUP($C53,员工基本信息!$C:$O,11,FALSE)</f>
        <v>直接成本</v>
      </c>
      <c r="AG53" s="265" t="str">
        <f>VLOOKUP($C53,员工基本信息!$C:$O,12,FALSE)</f>
        <v>注塑车间</v>
      </c>
      <c r="AH53" s="265" t="str">
        <f>VLOOKUP($C53,员工基本信息!$C:$O,13,FALSE)</f>
        <v>生产人员</v>
      </c>
      <c r="AI53" s="249" t="str">
        <f>VLOOKUP($B53,员工基本信息!$B:$S,16,FALSE)</f>
        <v>6214220101204642715</v>
      </c>
      <c r="AJ53" s="249" t="str">
        <f>VLOOKUP($B53,员工基本信息!$B:$S,18,FALSE)</f>
        <v>沧州</v>
      </c>
      <c r="AK53" s="249" t="str">
        <f>VLOOKUP(C53,员工基本信息!$C:$M,11,0)</f>
        <v>直接成本</v>
      </c>
    </row>
    <row r="54" s="250" customFormat="1" customHeight="1" spans="1:37">
      <c r="A54" s="264">
        <v>51</v>
      </c>
      <c r="B54" s="6" t="str">
        <f>本月员工姓名!B52</f>
        <v>刘宝臣</v>
      </c>
      <c r="C54" s="265" t="str">
        <f>VLOOKUP($B54,员工基本信息!$B:$I,2,FALSE)</f>
        <v>130924199905103216</v>
      </c>
      <c r="D54" s="266" t="str">
        <f>VLOOKUP($B54,员工基本信息!$B:$I,4,FALSE)</f>
        <v>制造管理部-注塑车间</v>
      </c>
      <c r="E54" s="266" t="str">
        <f>VLOOKUP($B54,员工基本信息!$B:$I,5,FALSE)</f>
        <v>班组长</v>
      </c>
      <c r="F54" s="267">
        <f>IF(ISERROR(VLOOKUP($C54,非生产人员工资!$C:$AD,6,FALSE)),0,VLOOKUP($C54,非生产人员工资!$C:$AD,6,FALSE))</f>
        <v>0</v>
      </c>
      <c r="G54" s="267">
        <f>IF(ISERROR(VLOOKUP($C54,非生产人员工资!C:J,8,0)),0,VLOOKUP($C54,非生产人员工资!C:J,8,FALSE))</f>
        <v>0</v>
      </c>
      <c r="H54" s="7">
        <f>IF(ISERROR(VLOOKUP($C54,非生产人员工资!C:K,9,FALSE)),0,VLOOKUP($C54,非生产人员工资!C:K,9,FALSE))</f>
        <v>0</v>
      </c>
      <c r="I54" s="7">
        <f>IF(ISERROR(VLOOKUP($C54,非生产人员工资!C:L,10,FALSE)),0,VLOOKUP($C54,非生产人员工资!C:L,10,FALSE))</f>
        <v>0</v>
      </c>
      <c r="J54" s="7">
        <f>IF(ISERROR(VLOOKUP($C54,生产人员工资!C:I,7,FALSE)),0,VLOOKUP($C54,生产人员工资!C:I,7,FALSE))</f>
        <v>3922.5</v>
      </c>
      <c r="K54" s="7">
        <f>IF(ISERROR(VLOOKUP($C54,生产人员工资!C:J,8,FALSE)),0,VLOOKUP($C54,生产人员工资!C:J,8,FALSE))</f>
        <v>0</v>
      </c>
      <c r="L54" s="7">
        <f>IF(ISERROR(IF(ISERROR(VLOOKUP($C54,非生产人员工资!C:N,12,FALSE)),VLOOKUP($C54,生产人员工资!C:K,9,FALSE),VLOOKUP($C54,非生产人员工资!C:N,12,FALSE))),0,IF(ISERROR(VLOOKUP($C54,非生产人员工资!C:N,12,FALSE)),VLOOKUP($C54,生产人员工资!C:K,9,FALSE),VLOOKUP($C54,非生产人员工资!C:N,12,FALSE)))</f>
        <v>900</v>
      </c>
      <c r="M54" s="7" t="str">
        <f>IF(ISERROR(IF(ISERROR(VLOOKUP($C54,非生产人员工资!$C:$O,13,FALSE)),VLOOKUP($C54,生产人员工资!$C:$L,10,FALSE),VLOOKUP($C54,非生产人员工资!$C:$O,13,FALSE))),0,IF(ISERROR(VLOOKUP($C54,非生产人员工资!$C:$O,13,FALSE)),VLOOKUP($C54,生产人员工资!$C:$L,10,FALSE),VLOOKUP($C54,非生产人员工资!$C:$O,13,FALSE)))</f>
        <v>0.00</v>
      </c>
      <c r="N54" s="7">
        <f>IF(ISERROR(IF(ISERROR(VLOOKUP($C54,非生产人员工资!$C:$P,14,FALSE)),VLOOKUP($C54,生产人员工资!$C:$M,11,FALSE),VLOOKUP($C54,非生产人员工资!$C:$P,14,FALSE))),0,IF(ISERROR(VLOOKUP($C54,非生产人员工资!$C:$P,14,FALSE)),VLOOKUP($C54,生产人员工资!$C:$M,11,FALSE),VLOOKUP($C54,非生产人员工资!$C:$P,14,FALSE)))</f>
        <v>40</v>
      </c>
      <c r="O54" s="7" t="str">
        <f>IF(ISERROR(IF(ISERROR(VLOOKUP($C54,非生产人员工资!C:Q,15,FALSE)),VLOOKUP($C54,生产人员工资!C:N,12,FALSE),VLOOKUP($C54,非生产人员工资!C:Q,15,FALSE))),0,IF(ISERROR(VLOOKUP($C54,非生产人员工资!C:Q,15,FALSE)),VLOOKUP($C54,生产人员工资!C:N,12,FALSE),VLOOKUP($C54,非生产人员工资!C:Q,15,FALSE)))</f>
        <v>0.00</v>
      </c>
      <c r="P54" s="7" t="str">
        <f>IF(ISERROR(IF(ISERROR(VLOOKUP($C54,非生产人员工资!C:R,16,FALSE)),VLOOKUP($C54,生产人员工资!C:O,13,FALSE),VLOOKUP($C54,非生产人员工资!C:R,16,FALSE))),0,IF(ISERROR(VLOOKUP($C54,非生产人员工资!C:R,16,FALSE)),VLOOKUP($C54,生产人员工资!C:O,13,FALSE),VLOOKUP($C54,非生产人员工资!C:R,16,FALSE)))</f>
        <v>0.00</v>
      </c>
      <c r="Q54" s="7" t="str">
        <f>IF(ISERROR(IF(ISERROR(VLOOKUP($C54,非生产人员工资!C:S,17,FALSE)),VLOOKUP($C54,生产人员工资!C:P,14,FALSE),VLOOKUP($C54,非生产人员工资!C:S,17,FALSE))),0,IF(ISERROR(VLOOKUP($C54,非生产人员工资!C:S,17,FALSE)),VLOOKUP($C54,生产人员工资!C:P,14,FALSE),VLOOKUP($C54,非生产人员工资!C:S,17,FALSE)))</f>
        <v>0.00</v>
      </c>
      <c r="R54" s="7" t="str">
        <f>IF(ISERROR(IF(ISERROR(VLOOKUP($C54,非生产人员工资!C:T,18,FALSE)),VLOOKUP($C54,生产人员工资!C:Q,15,FALSE),VLOOKUP($C54,非生产人员工资!C:T,18,FALSE))),0,IF(ISERROR(VLOOKUP($C54,非生产人员工资!C:T,18,FALSE)),VLOOKUP($C54,生产人员工资!C:Q,15,FALSE),VLOOKUP($C54,非生产人员工资!C:T,18,FALSE)))</f>
        <v>0.00</v>
      </c>
      <c r="S54" s="7">
        <f>IF(ISERROR(VLOOKUP($C54,非生产人员工资!C:U,19,FALSE)),0,VLOOKUP($C54,非生产人员工资!C:U,19,FALSE))</f>
        <v>0</v>
      </c>
      <c r="T54" s="7" t="str">
        <f>IF(ISERROR(IF(ISERROR(VLOOKUP($C54,非生产人员工资!C:V,20,FALSE)),VLOOKUP($C54,生产人员工资!C:R,16,FALSE),VLOOKUP($C54,非生产人员工资!C:V,20,FALSE))),0,IF(ISERROR(VLOOKUP($C54,非生产人员工资!C:V,20,FALSE)),VLOOKUP($C54,生产人员工资!$C:$R,16,FALSE),VLOOKUP($C54,非生产人员工资!C:V,20,FALSE)))</f>
        <v>0.00</v>
      </c>
      <c r="U54" s="7" t="str">
        <f>IF(ISERROR(IF(ISERROR(VLOOKUP($C54,非生产人员工资!C:W,21,FALSE)),VLOOKUP($C54,生产人员工资!C:S,17,FALSE),VLOOKUP($C54,非生产人员工资!C:W,21,FALSE))),0,IF(ISERROR(VLOOKUP($C54,非生产人员工资!C:W,21,FALSE)),VLOOKUP($C54,生产人员工资!C:S,17,FALSE),VLOOKUP($C54,非生产人员工资!C:W,21,FALSE)))</f>
        <v>0.00</v>
      </c>
      <c r="V54" s="7" t="str">
        <f>IF(ISERROR(IF(ISERROR(VLOOKUP($C54,非生产人员工资!C:X,22,FALSE)),VLOOKUP($C54,生产人员工资!C:T,18,FALSE),VLOOKUP($C54,非生产人员工资!C:X,22,FALSE))),0,IF(ISERROR(VLOOKUP($C54,非生产人员工资!C:X,22,FALSE)),VLOOKUP($C54,生产人员工资!C:T,18,FALSE),VLOOKUP($C54,非生产人员工资!C:X,22,FALSE)))</f>
        <v>0.00</v>
      </c>
      <c r="W54" s="7">
        <f t="shared" si="3"/>
        <v>4862.5</v>
      </c>
      <c r="X54" s="7">
        <f>IF(ISERROR(IF(ISERROR(VLOOKUP($C54,非生产人员工资!C:Z,24,FALSE)),VLOOKUP($C54,生产人员工资!C:V,20,FALSE),VLOOKUP($C54,非生产人员工资!$C:$Z,24,FALSE))),0,IF(ISERROR(VLOOKUP($C54,非生产人员工资!$C:$Z,24,FALSE)),VLOOKUP($C54,生产人员工资!$C:$V,20,FALSE),VLOOKUP($C54,非生产人员工资!$C:$Z,24,FALSE)))</f>
        <v>226.9</v>
      </c>
      <c r="Y54" s="7">
        <f>IF(ISERROR(IF(ISERROR(VLOOKUP($C54,非生产人员工资!C:AA,25,FALSE)),VLOOKUP($C54,生产人员工资!C:W,21,FALSE),VLOOKUP($C54,非生产人员工资!C:AA,25,FALSE))),0,IF(ISERROR(VLOOKUP($C54,非生产人员工资!C:AA,25,FALSE)),VLOOKUP($C54,生产人员工资!C:W,21,FALSE),VLOOKUP($C54,非生产人员工资!C:AA,25,FALSE)))</f>
        <v>104.57</v>
      </c>
      <c r="Z54" s="7">
        <f>IF(ISERROR(IF(ISERROR(VLOOKUP($C54,非生产人员工资!C:AB,26,FALSE)),VLOOKUP($C54,生产人员工资!C:X,22,FALSE),VLOOKUP($C54,非生产人员工资!C:AB,26,FALSE))),0,IF(ISERROR(VLOOKUP($C54,非生产人员工资!C:AB,26,FALSE)),VLOOKUP($C54,生产人员工资!C:X,22,FALSE),VLOOKUP($C54,非生产人员工资!C:AB,26,FALSE)))</f>
        <v>8.51</v>
      </c>
      <c r="AA54" s="7">
        <f>IF(ISERROR(IF(ISERROR(VLOOKUP($C54,非生产人员工资!C:AC,27,FALSE)),VLOOKUP($C54,生产人员工资!C:Y,23,FALSE),VLOOKUP($C54,非生产人员工资!C:AC,27,FALSE))),0,IF(ISERROR(VLOOKUP($C54,非生产人员工资!C:AC,27,FALSE)),VLOOKUP($C54,生产人员工资!C:Y,23,FALSE),VLOOKUP($C54,非生产人员工资!C:AC,27,FALSE)))</f>
        <v>89.5</v>
      </c>
      <c r="AB54" s="7">
        <f>IF(ISERROR(IF(ISERROR(VLOOKUP($C54,非生产人员工资!C:AD,28,FALSE)),VLOOKUP($C54,生产人员工资!C:Z,24,FALSE),VLOOKUP($C54,非生产人员工资!C:AD,28,FALSE))),0,IF(ISERROR(VLOOKUP($C54,非生产人员工资!C:AD,28,FALSE)),VLOOKUP($C54,生产人员工资!C:Z,24,FALSE),VLOOKUP($C54,非生产人员工资!C:AD,28,FALSE)))</f>
        <v>261.84</v>
      </c>
      <c r="AC54" s="269">
        <f>ROUND(IF(ISERROR(IF(ISERROR(VLOOKUP($C54,非生产人员工资!C:AF,30,FALSE)),VLOOKUP($C54,生产人员工资!C:AB,26,0),VLOOKUP($C54,非生产人员工资!C:AF,30,FALSE))),0,IF(ISERROR(VLOOKUP($C54,非生产人员工资!C:AF,30,FALSE)),VLOOKUP($C54,生产人员工资!C:AB,26,0),VLOOKUP($C54,非生产人员工资!C:AF,30,FALSE))),2)</f>
        <v>0</v>
      </c>
      <c r="AD54" s="269">
        <f t="shared" si="2"/>
        <v>4171.18</v>
      </c>
      <c r="AE54" s="269" t="str">
        <f>VLOOKUP($C54,员工基本信息!$C:$N,10,FALSE)</f>
        <v>生产成本+注塑</v>
      </c>
      <c r="AF54" s="265" t="str">
        <f>VLOOKUP($C54,员工基本信息!$C:$O,11,FALSE)</f>
        <v>直接成本</v>
      </c>
      <c r="AG54" s="265" t="str">
        <f>VLOOKUP($C54,员工基本信息!$C:$O,12,FALSE)</f>
        <v>注塑车间</v>
      </c>
      <c r="AH54" s="265" t="str">
        <f>VLOOKUP($C54,员工基本信息!$C:$O,13,FALSE)</f>
        <v>生产人员</v>
      </c>
      <c r="AI54" s="249" t="str">
        <f>VLOOKUP($B54,员工基本信息!$B:$S,16,FALSE)</f>
        <v>6214220101206209380</v>
      </c>
      <c r="AJ54" s="249" t="str">
        <f>VLOOKUP($B54,员工基本信息!$B:$S,18,FALSE)</f>
        <v>沧州</v>
      </c>
      <c r="AK54" s="249" t="str">
        <f>VLOOKUP(C54,员工基本信息!$C:$M,11,0)</f>
        <v>直接成本</v>
      </c>
    </row>
    <row r="55" s="250" customFormat="1" customHeight="1" spans="1:37">
      <c r="A55" s="264">
        <v>52</v>
      </c>
      <c r="B55" s="6" t="str">
        <f>本月员工姓名!B53</f>
        <v>刘贺</v>
      </c>
      <c r="C55" s="265" t="str">
        <f>VLOOKUP($B55,员工基本信息!$B:$I,2,FALSE)</f>
        <v>220821198701024826</v>
      </c>
      <c r="D55" s="266" t="str">
        <f>VLOOKUP($B55,员工基本信息!$B:$I,4,FALSE)</f>
        <v>制造管理部-注塑车间</v>
      </c>
      <c r="E55" s="266" t="str">
        <f>VLOOKUP($B55,员工基本信息!$B:$I,5,FALSE)</f>
        <v>注塑工</v>
      </c>
      <c r="F55" s="267">
        <f>IF(ISERROR(VLOOKUP($C55,非生产人员工资!$C:$AD,6,FALSE)),0,VLOOKUP($C55,非生产人员工资!$C:$AD,6,FALSE))</f>
        <v>0</v>
      </c>
      <c r="G55" s="267">
        <f>IF(ISERROR(VLOOKUP($C55,非生产人员工资!C:J,8,0)),0,VLOOKUP($C55,非生产人员工资!C:J,8,FALSE))</f>
        <v>0</v>
      </c>
      <c r="H55" s="7">
        <f>IF(ISERROR(VLOOKUP($C55,非生产人员工资!C:K,9,FALSE)),0,VLOOKUP($C55,非生产人员工资!C:K,9,FALSE))</f>
        <v>0</v>
      </c>
      <c r="I55" s="7">
        <f>IF(ISERROR(VLOOKUP($C55,非生产人员工资!C:L,10,FALSE)),0,VLOOKUP($C55,非生产人员工资!C:L,10,FALSE))</f>
        <v>0</v>
      </c>
      <c r="J55" s="7">
        <f>IF(ISERROR(VLOOKUP($C55,生产人员工资!C:I,7,FALSE)),0,VLOOKUP($C55,生产人员工资!C:I,7,FALSE))</f>
        <v>3300</v>
      </c>
      <c r="K55" s="7">
        <f>IF(ISERROR(VLOOKUP($C55,生产人员工资!C:J,8,FALSE)),0,VLOOKUP($C55,生产人员工资!C:J,8,FALSE))</f>
        <v>0</v>
      </c>
      <c r="L55" s="7" t="str">
        <f>IF(ISERROR(IF(ISERROR(VLOOKUP($C55,非生产人员工资!C:N,12,FALSE)),VLOOKUP($C55,生产人员工资!C:K,9,FALSE),VLOOKUP($C55,非生产人员工资!C:N,12,FALSE))),0,IF(ISERROR(VLOOKUP($C55,非生产人员工资!C:N,12,FALSE)),VLOOKUP($C55,生产人员工资!C:K,9,FALSE),VLOOKUP($C55,非生产人员工资!C:N,12,FALSE)))</f>
        <v>0.00</v>
      </c>
      <c r="M55" s="7">
        <f>IF(ISERROR(IF(ISERROR(VLOOKUP($C55,非生产人员工资!$C:$O,13,FALSE)),VLOOKUP($C55,生产人员工资!$C:$L,10,FALSE),VLOOKUP($C55,非生产人员工资!$C:$O,13,FALSE))),0,IF(ISERROR(VLOOKUP($C55,非生产人员工资!$C:$O,13,FALSE)),VLOOKUP($C55,生产人员工资!$C:$L,10,FALSE),VLOOKUP($C55,非生产人员工资!$C:$O,13,FALSE)))</f>
        <v>20</v>
      </c>
      <c r="N55" s="7" t="str">
        <f>IF(ISERROR(IF(ISERROR(VLOOKUP($C55,非生产人员工资!$C:$P,14,FALSE)),VLOOKUP($C55,生产人员工资!$C:$M,11,FALSE),VLOOKUP($C55,非生产人员工资!$C:$P,14,FALSE))),0,IF(ISERROR(VLOOKUP($C55,非生产人员工资!$C:$P,14,FALSE)),VLOOKUP($C55,生产人员工资!$C:$M,11,FALSE),VLOOKUP($C55,非生产人员工资!$C:$P,14,FALSE)))</f>
        <v>0.00</v>
      </c>
      <c r="O55" s="7" t="str">
        <f>IF(ISERROR(IF(ISERROR(VLOOKUP($C55,非生产人员工资!C:Q,15,FALSE)),VLOOKUP($C55,生产人员工资!C:N,12,FALSE),VLOOKUP($C55,非生产人员工资!C:Q,15,FALSE))),0,IF(ISERROR(VLOOKUP($C55,非生产人员工资!C:Q,15,FALSE)),VLOOKUP($C55,生产人员工资!C:N,12,FALSE),VLOOKUP($C55,非生产人员工资!C:Q,15,FALSE)))</f>
        <v>0.00</v>
      </c>
      <c r="P55" s="7" t="str">
        <f>IF(ISERROR(IF(ISERROR(VLOOKUP($C55,非生产人员工资!C:R,16,FALSE)),VLOOKUP($C55,生产人员工资!C:O,13,FALSE),VLOOKUP($C55,非生产人员工资!C:R,16,FALSE))),0,IF(ISERROR(VLOOKUP($C55,非生产人员工资!C:R,16,FALSE)),VLOOKUP($C55,生产人员工资!C:O,13,FALSE),VLOOKUP($C55,非生产人员工资!C:R,16,FALSE)))</f>
        <v>0.00</v>
      </c>
      <c r="Q55" s="7" t="str">
        <f>IF(ISERROR(IF(ISERROR(VLOOKUP($C55,非生产人员工资!C:S,17,FALSE)),VLOOKUP($C55,生产人员工资!C:P,14,FALSE),VLOOKUP($C55,非生产人员工资!C:S,17,FALSE))),0,IF(ISERROR(VLOOKUP($C55,非生产人员工资!C:S,17,FALSE)),VLOOKUP($C55,生产人员工资!C:P,14,FALSE),VLOOKUP($C55,非生产人员工资!C:S,17,FALSE)))</f>
        <v>0.00</v>
      </c>
      <c r="R55" s="7" t="str">
        <f>IF(ISERROR(IF(ISERROR(VLOOKUP($C55,非生产人员工资!C:T,18,FALSE)),VLOOKUP($C55,生产人员工资!C:Q,15,FALSE),VLOOKUP($C55,非生产人员工资!C:T,18,FALSE))),0,IF(ISERROR(VLOOKUP($C55,非生产人员工资!C:T,18,FALSE)),VLOOKUP($C55,生产人员工资!C:Q,15,FALSE),VLOOKUP($C55,非生产人员工资!C:T,18,FALSE)))</f>
        <v>0.00</v>
      </c>
      <c r="S55" s="7">
        <f>IF(ISERROR(VLOOKUP($C55,非生产人员工资!C:U,19,FALSE)),0,VLOOKUP($C55,非生产人员工资!C:U,19,FALSE))</f>
        <v>0</v>
      </c>
      <c r="T55" s="7" t="str">
        <f>IF(ISERROR(IF(ISERROR(VLOOKUP($C55,非生产人员工资!C:V,20,FALSE)),VLOOKUP($C55,生产人员工资!C:R,16,FALSE),VLOOKUP($C55,非生产人员工资!C:V,20,FALSE))),0,IF(ISERROR(VLOOKUP($C55,非生产人员工资!C:V,20,FALSE)),VLOOKUP($C55,生产人员工资!$C:$R,16,FALSE),VLOOKUP($C55,非生产人员工资!C:V,20,FALSE)))</f>
        <v>0.00</v>
      </c>
      <c r="U55" s="7" t="str">
        <f>IF(ISERROR(IF(ISERROR(VLOOKUP($C55,非生产人员工资!C:W,21,FALSE)),VLOOKUP($C55,生产人员工资!C:S,17,FALSE),VLOOKUP($C55,非生产人员工资!C:W,21,FALSE))),0,IF(ISERROR(VLOOKUP($C55,非生产人员工资!C:W,21,FALSE)),VLOOKUP($C55,生产人员工资!C:S,17,FALSE),VLOOKUP($C55,非生产人员工资!C:W,21,FALSE)))</f>
        <v>0.00</v>
      </c>
      <c r="V55" s="7" t="str">
        <f>IF(ISERROR(IF(ISERROR(VLOOKUP($C55,非生产人员工资!C:X,22,FALSE)),VLOOKUP($C55,生产人员工资!C:T,18,FALSE),VLOOKUP($C55,非生产人员工资!C:X,22,FALSE))),0,IF(ISERROR(VLOOKUP($C55,非生产人员工资!C:X,22,FALSE)),VLOOKUP($C55,生产人员工资!C:T,18,FALSE),VLOOKUP($C55,非生产人员工资!C:X,22,FALSE)))</f>
        <v>0.00</v>
      </c>
      <c r="W55" s="7">
        <f t="shared" si="3"/>
        <v>3320</v>
      </c>
      <c r="X55" s="7">
        <f>IF(ISERROR(IF(ISERROR(VLOOKUP($C55,非生产人员工资!C:Z,24,FALSE)),VLOOKUP($C55,生产人员工资!C:V,20,FALSE),VLOOKUP($C55,非生产人员工资!$C:$Z,24,FALSE))),0,IF(ISERROR(VLOOKUP($C55,非生产人员工资!$C:$Z,24,FALSE)),VLOOKUP($C55,生产人员工资!$C:$V,20,FALSE),VLOOKUP($C55,非生产人员工资!$C:$Z,24,FALSE)))</f>
        <v>226.9</v>
      </c>
      <c r="Y55" s="7">
        <f>IF(ISERROR(IF(ISERROR(VLOOKUP($C55,非生产人员工资!C:AA,25,FALSE)),VLOOKUP($C55,生产人员工资!C:W,21,FALSE),VLOOKUP($C55,非生产人员工资!C:AA,25,FALSE))),0,IF(ISERROR(VLOOKUP($C55,非生产人员工资!C:AA,25,FALSE)),VLOOKUP($C55,生产人员工资!C:W,21,FALSE),VLOOKUP($C55,非生产人员工资!C:AA,25,FALSE)))</f>
        <v>104.57</v>
      </c>
      <c r="Z55" s="7">
        <f>IF(ISERROR(IF(ISERROR(VLOOKUP($C55,非生产人员工资!C:AB,26,FALSE)),VLOOKUP($C55,生产人员工资!C:X,22,FALSE),VLOOKUP($C55,非生产人员工资!C:AB,26,FALSE))),0,IF(ISERROR(VLOOKUP($C55,非生产人员工资!C:AB,26,FALSE)),VLOOKUP($C55,生产人员工资!C:X,22,FALSE),VLOOKUP($C55,非生产人员工资!C:AB,26,FALSE)))</f>
        <v>8.51</v>
      </c>
      <c r="AA55" s="7">
        <f>IF(ISERROR(IF(ISERROR(VLOOKUP($C55,非生产人员工资!C:AC,27,FALSE)),VLOOKUP($C55,生产人员工资!C:Y,23,FALSE),VLOOKUP($C55,非生产人员工资!C:AC,27,FALSE))),0,IF(ISERROR(VLOOKUP($C55,非生产人员工资!C:AC,27,FALSE)),VLOOKUP($C55,生产人员工资!C:Y,23,FALSE),VLOOKUP($C55,非生产人员工资!C:AC,27,FALSE)))</f>
        <v>89.5</v>
      </c>
      <c r="AB55" s="7">
        <f>IF(ISERROR(IF(ISERROR(VLOOKUP($C55,非生产人员工资!C:AD,28,FALSE)),VLOOKUP($C55,生产人员工资!C:Z,24,FALSE),VLOOKUP($C55,非生产人员工资!C:AD,28,FALSE))),0,IF(ISERROR(VLOOKUP($C55,非生产人员工资!C:AD,28,FALSE)),VLOOKUP($C55,生产人员工资!C:Z,24,FALSE),VLOOKUP($C55,非生产人员工资!C:AD,28,FALSE)))</f>
        <v>261.84</v>
      </c>
      <c r="AC55" s="269">
        <f>ROUND(IF(ISERROR(IF(ISERROR(VLOOKUP($C55,非生产人员工资!C:AF,30,FALSE)),VLOOKUP($C55,生产人员工资!C:AB,26,0),VLOOKUP($C55,非生产人员工资!C:AF,30,FALSE))),0,IF(ISERROR(VLOOKUP($C55,非生产人员工资!C:AF,30,FALSE)),VLOOKUP($C55,生产人员工资!C:AB,26,0),VLOOKUP($C55,非生产人员工资!C:AF,30,FALSE))),2)</f>
        <v>0</v>
      </c>
      <c r="AD55" s="269">
        <f t="shared" si="2"/>
        <v>2628.68</v>
      </c>
      <c r="AE55" s="269" t="str">
        <f>VLOOKUP($C55,员工基本信息!$C:$N,10,FALSE)</f>
        <v>生产成本+注塑</v>
      </c>
      <c r="AF55" s="265" t="str">
        <f>VLOOKUP($C55,员工基本信息!$C:$O,11,FALSE)</f>
        <v>直接成本</v>
      </c>
      <c r="AG55" s="265" t="str">
        <f>VLOOKUP($C55,员工基本信息!$C:$O,12,FALSE)</f>
        <v>注塑车间</v>
      </c>
      <c r="AH55" s="265" t="str">
        <f>VLOOKUP($C55,员工基本信息!$C:$O,13,FALSE)</f>
        <v>生产人员</v>
      </c>
      <c r="AI55" s="249" t="str">
        <f>VLOOKUP($B55,员工基本信息!$B:$S,16,FALSE)</f>
        <v>6214220101208651233</v>
      </c>
      <c r="AJ55" s="249" t="str">
        <f>VLOOKUP($B55,员工基本信息!$B:$S,18,FALSE)</f>
        <v>沧州</v>
      </c>
      <c r="AK55" s="249" t="str">
        <f>VLOOKUP(C55,员工基本信息!$C:$M,11,0)</f>
        <v>直接成本</v>
      </c>
    </row>
    <row r="56" s="250" customFormat="1" customHeight="1" spans="1:37">
      <c r="A56" s="264">
        <v>53</v>
      </c>
      <c r="B56" s="6" t="str">
        <f>本月员工姓名!B54</f>
        <v>王金来</v>
      </c>
      <c r="C56" s="265" t="str">
        <f>VLOOKUP($B56,员工基本信息!$B:$I,2,FALSE)</f>
        <v>130983198703063936</v>
      </c>
      <c r="D56" s="266" t="str">
        <f>VLOOKUP($B56,员工基本信息!$B:$I,4,FALSE)</f>
        <v>制造管理部-注塑车间</v>
      </c>
      <c r="E56" s="266" t="str">
        <f>VLOOKUP($B56,员工基本信息!$B:$I,5,FALSE)</f>
        <v>注塑工</v>
      </c>
      <c r="F56" s="267">
        <f>IF(ISERROR(VLOOKUP($C56,非生产人员工资!$C:$AD,6,FALSE)),0,VLOOKUP($C56,非生产人员工资!$C:$AD,6,FALSE))</f>
        <v>0</v>
      </c>
      <c r="G56" s="267">
        <f>IF(ISERROR(VLOOKUP($C56,非生产人员工资!C:J,8,0)),0,VLOOKUP($C56,非生产人员工资!C:J,8,FALSE))</f>
        <v>0</v>
      </c>
      <c r="H56" s="7">
        <f>IF(ISERROR(VLOOKUP($C56,非生产人员工资!C:K,9,FALSE)),0,VLOOKUP($C56,非生产人员工资!C:K,9,FALSE))</f>
        <v>0</v>
      </c>
      <c r="I56" s="7">
        <f>IF(ISERROR(VLOOKUP($C56,非生产人员工资!C:L,10,FALSE)),0,VLOOKUP($C56,非生产人员工资!C:L,10,FALSE))</f>
        <v>0</v>
      </c>
      <c r="J56" s="7">
        <f>IF(ISERROR(VLOOKUP($C56,生产人员工资!C:I,7,FALSE)),0,VLOOKUP($C56,生产人员工资!C:I,7,FALSE))</f>
        <v>720</v>
      </c>
      <c r="K56" s="7">
        <f>IF(ISERROR(VLOOKUP($C56,生产人员工资!C:J,8,FALSE)),0,VLOOKUP($C56,生产人员工资!C:J,8,FALSE))</f>
        <v>0</v>
      </c>
      <c r="L56" s="7" t="str">
        <f>IF(ISERROR(IF(ISERROR(VLOOKUP($C56,非生产人员工资!C:N,12,FALSE)),VLOOKUP($C56,生产人员工资!C:K,9,FALSE),VLOOKUP($C56,非生产人员工资!C:N,12,FALSE))),0,IF(ISERROR(VLOOKUP($C56,非生产人员工资!C:N,12,FALSE)),VLOOKUP($C56,生产人员工资!C:K,9,FALSE),VLOOKUP($C56,非生产人员工资!C:N,12,FALSE)))</f>
        <v>0.00</v>
      </c>
      <c r="M56" s="7" t="str">
        <f>IF(ISERROR(IF(ISERROR(VLOOKUP($C56,非生产人员工资!$C:$O,13,FALSE)),VLOOKUP($C56,生产人员工资!$C:$L,10,FALSE),VLOOKUP($C56,非生产人员工资!$C:$O,13,FALSE))),0,IF(ISERROR(VLOOKUP($C56,非生产人员工资!$C:$O,13,FALSE)),VLOOKUP($C56,生产人员工资!$C:$L,10,FALSE),VLOOKUP($C56,非生产人员工资!$C:$O,13,FALSE)))</f>
        <v>0.00</v>
      </c>
      <c r="N56" s="7" t="str">
        <f>IF(ISERROR(IF(ISERROR(VLOOKUP($C56,非生产人员工资!$C:$P,14,FALSE)),VLOOKUP($C56,生产人员工资!$C:$M,11,FALSE),VLOOKUP($C56,非生产人员工资!$C:$P,14,FALSE))),0,IF(ISERROR(VLOOKUP($C56,非生产人员工资!$C:$P,14,FALSE)),VLOOKUP($C56,生产人员工资!$C:$M,11,FALSE),VLOOKUP($C56,非生产人员工资!$C:$P,14,FALSE)))</f>
        <v>0.00</v>
      </c>
      <c r="O56" s="7" t="str">
        <f>IF(ISERROR(IF(ISERROR(VLOOKUP($C56,非生产人员工资!C:Q,15,FALSE)),VLOOKUP($C56,生产人员工资!C:N,12,FALSE),VLOOKUP($C56,非生产人员工资!C:Q,15,FALSE))),0,IF(ISERROR(VLOOKUP($C56,非生产人员工资!C:Q,15,FALSE)),VLOOKUP($C56,生产人员工资!C:N,12,FALSE),VLOOKUP($C56,非生产人员工资!C:Q,15,FALSE)))</f>
        <v>0.00</v>
      </c>
      <c r="P56" s="7" t="str">
        <f>IF(ISERROR(IF(ISERROR(VLOOKUP($C56,非生产人员工资!C:R,16,FALSE)),VLOOKUP($C56,生产人员工资!C:O,13,FALSE),VLOOKUP($C56,非生产人员工资!C:R,16,FALSE))),0,IF(ISERROR(VLOOKUP($C56,非生产人员工资!C:R,16,FALSE)),VLOOKUP($C56,生产人员工资!C:O,13,FALSE),VLOOKUP($C56,非生产人员工资!C:R,16,FALSE)))</f>
        <v>0.00</v>
      </c>
      <c r="Q56" s="7" t="str">
        <f>IF(ISERROR(IF(ISERROR(VLOOKUP($C56,非生产人员工资!C:S,17,FALSE)),VLOOKUP($C56,生产人员工资!C:P,14,FALSE),VLOOKUP($C56,非生产人员工资!C:S,17,FALSE))),0,IF(ISERROR(VLOOKUP($C56,非生产人员工资!C:S,17,FALSE)),VLOOKUP($C56,生产人员工资!C:P,14,FALSE),VLOOKUP($C56,非生产人员工资!C:S,17,FALSE)))</f>
        <v>0.00</v>
      </c>
      <c r="R56" s="7" t="str">
        <f>IF(ISERROR(IF(ISERROR(VLOOKUP($C56,非生产人员工资!C:T,18,FALSE)),VLOOKUP($C56,生产人员工资!C:Q,15,FALSE),VLOOKUP($C56,非生产人员工资!C:T,18,FALSE))),0,IF(ISERROR(VLOOKUP($C56,非生产人员工资!C:T,18,FALSE)),VLOOKUP($C56,生产人员工资!C:Q,15,FALSE),VLOOKUP($C56,非生产人员工资!C:T,18,FALSE)))</f>
        <v>0.00</v>
      </c>
      <c r="S56" s="7">
        <f>IF(ISERROR(VLOOKUP($C56,非生产人员工资!C:U,19,FALSE)),0,VLOOKUP($C56,非生产人员工资!C:U,19,FALSE))</f>
        <v>0</v>
      </c>
      <c r="T56" s="7" t="str">
        <f>IF(ISERROR(IF(ISERROR(VLOOKUP($C56,非生产人员工资!C:V,20,FALSE)),VLOOKUP($C56,生产人员工资!C:R,16,FALSE),VLOOKUP($C56,非生产人员工资!C:V,20,FALSE))),0,IF(ISERROR(VLOOKUP($C56,非生产人员工资!C:V,20,FALSE)),VLOOKUP($C56,生产人员工资!$C:$R,16,FALSE),VLOOKUP($C56,非生产人员工资!C:V,20,FALSE)))</f>
        <v>0.00</v>
      </c>
      <c r="U56" s="7" t="str">
        <f>IF(ISERROR(IF(ISERROR(VLOOKUP($C56,非生产人员工资!C:W,21,FALSE)),VLOOKUP($C56,生产人员工资!C:S,17,FALSE),VLOOKUP($C56,非生产人员工资!C:W,21,FALSE))),0,IF(ISERROR(VLOOKUP($C56,非生产人员工资!C:W,21,FALSE)),VLOOKUP($C56,生产人员工资!C:S,17,FALSE),VLOOKUP($C56,非生产人员工资!C:W,21,FALSE)))</f>
        <v>0.00</v>
      </c>
      <c r="V56" s="7" t="str">
        <f>IF(ISERROR(IF(ISERROR(VLOOKUP($C56,非生产人员工资!C:X,22,FALSE)),VLOOKUP($C56,生产人员工资!C:T,18,FALSE),VLOOKUP($C56,非生产人员工资!C:X,22,FALSE))),0,IF(ISERROR(VLOOKUP($C56,非生产人员工资!C:X,22,FALSE)),VLOOKUP($C56,生产人员工资!C:T,18,FALSE),VLOOKUP($C56,非生产人员工资!C:X,22,FALSE)))</f>
        <v>0.00</v>
      </c>
      <c r="W56" s="7">
        <f t="shared" si="3"/>
        <v>720</v>
      </c>
      <c r="X56" s="7">
        <f>IF(ISERROR(IF(ISERROR(VLOOKUP($C56,非生产人员工资!C:Z,24,FALSE)),VLOOKUP($C56,生产人员工资!C:V,20,FALSE),VLOOKUP($C56,非生产人员工资!$C:$Z,24,FALSE))),0,IF(ISERROR(VLOOKUP($C56,非生产人员工资!$C:$Z,24,FALSE)),VLOOKUP($C56,生产人员工资!$C:$V,20,FALSE),VLOOKUP($C56,非生产人员工资!$C:$Z,24,FALSE)))</f>
        <v>243.36</v>
      </c>
      <c r="Y56" s="7">
        <f>IF(ISERROR(IF(ISERROR(VLOOKUP($C56,非生产人员工资!C:AA,25,FALSE)),VLOOKUP($C56,生产人员工资!C:W,21,FALSE),VLOOKUP($C56,非生产人员工资!C:AA,25,FALSE))),0,IF(ISERROR(VLOOKUP($C56,非生产人员工资!C:AA,25,FALSE)),VLOOKUP($C56,生产人员工资!C:W,21,FALSE),VLOOKUP($C56,非生产人员工资!C:AA,25,FALSE)))</f>
        <v>0</v>
      </c>
      <c r="Z56" s="7">
        <f>IF(ISERROR(IF(ISERROR(VLOOKUP($C56,非生产人员工资!C:AB,26,FALSE)),VLOOKUP($C56,生产人员工资!C:X,22,FALSE),VLOOKUP($C56,非生产人员工资!C:AB,26,FALSE))),0,IF(ISERROR(VLOOKUP($C56,非生产人员工资!C:AB,26,FALSE)),VLOOKUP($C56,生产人员工资!C:X,22,FALSE),VLOOKUP($C56,非生产人员工资!C:AB,26,FALSE)))</f>
        <v>9.13</v>
      </c>
      <c r="AA56" s="7">
        <f>IF(ISERROR(IF(ISERROR(VLOOKUP($C56,非生产人员工资!C:AC,27,FALSE)),VLOOKUP($C56,生产人员工资!C:Y,23,FALSE),VLOOKUP($C56,非生产人员工资!C:AC,27,FALSE))),0,IF(ISERROR(VLOOKUP($C56,非生产人员工资!C:AC,27,FALSE)),VLOOKUP($C56,生产人员工资!C:Y,23,FALSE),VLOOKUP($C56,非生产人员工资!C:AC,27,FALSE)))</f>
        <v>0</v>
      </c>
      <c r="AB56" s="7">
        <f>IF(ISERROR(IF(ISERROR(VLOOKUP($C56,非生产人员工资!C:AD,28,FALSE)),VLOOKUP($C56,生产人员工资!C:Z,24,FALSE),VLOOKUP($C56,非生产人员工资!C:AD,28,FALSE))),0,IF(ISERROR(VLOOKUP($C56,非生产人员工资!C:AD,28,FALSE)),VLOOKUP($C56,生产人员工资!C:Z,24,FALSE),VLOOKUP($C56,非生产人员工资!C:AD,28,FALSE)))</f>
        <v>0</v>
      </c>
      <c r="AC56" s="269">
        <f>ROUND(IF(ISERROR(IF(ISERROR(VLOOKUP($C56,非生产人员工资!C:AF,30,FALSE)),VLOOKUP($C56,生产人员工资!C:AB,26,0),VLOOKUP($C56,非生产人员工资!C:AF,30,FALSE))),0,IF(ISERROR(VLOOKUP($C56,非生产人员工资!C:AF,30,FALSE)),VLOOKUP($C56,生产人员工资!C:AB,26,0),VLOOKUP($C56,非生产人员工资!C:AF,30,FALSE))),2)</f>
        <v>0</v>
      </c>
      <c r="AD56" s="269">
        <f t="shared" si="2"/>
        <v>467.51</v>
      </c>
      <c r="AE56" s="269" t="str">
        <f>VLOOKUP($C56,员工基本信息!$C:$N,10,FALSE)</f>
        <v>生产成本+注塑</v>
      </c>
      <c r="AF56" s="265" t="str">
        <f>VLOOKUP($C56,员工基本信息!$C:$O,11,FALSE)</f>
        <v>直接成本</v>
      </c>
      <c r="AG56" s="265" t="str">
        <f>VLOOKUP($C56,员工基本信息!$C:$O,12,FALSE)</f>
        <v>注塑车间</v>
      </c>
      <c r="AH56" s="265" t="str">
        <f>VLOOKUP($C56,员工基本信息!$C:$O,13,FALSE)</f>
        <v>生产人员</v>
      </c>
      <c r="AI56" s="249" t="str">
        <f>VLOOKUP($B56,员工基本信息!$B:$S,16,FALSE)</f>
        <v>6214220101209098459</v>
      </c>
      <c r="AJ56" s="249" t="str">
        <f>VLOOKUP($B56,员工基本信息!$B:$S,18,FALSE)</f>
        <v>沧州</v>
      </c>
      <c r="AK56" s="249" t="str">
        <f>VLOOKUP(C56,员工基本信息!$C:$M,11,0)</f>
        <v>直接成本</v>
      </c>
    </row>
    <row r="57" s="250" customFormat="1" customHeight="1" spans="1:37">
      <c r="A57" s="264">
        <v>54</v>
      </c>
      <c r="B57" s="6" t="str">
        <f>本月员工姓名!B55</f>
        <v>韩胜利</v>
      </c>
      <c r="C57" s="265" t="str">
        <f>VLOOKUP($B57,员工基本信息!$B:$I,2,FALSE)</f>
        <v>220581198111061213</v>
      </c>
      <c r="D57" s="266" t="str">
        <f>VLOOKUP($B57,员工基本信息!$B:$I,4,FALSE)</f>
        <v>制造管理部-注塑车间</v>
      </c>
      <c r="E57" s="266" t="str">
        <f>VLOOKUP($B57,员工基本信息!$B:$I,5,FALSE)</f>
        <v>注塑工</v>
      </c>
      <c r="F57" s="267">
        <f>IF(ISERROR(VLOOKUP($C57,非生产人员工资!$C:$AD,6,FALSE)),0,VLOOKUP($C57,非生产人员工资!$C:$AD,6,FALSE))</f>
        <v>0</v>
      </c>
      <c r="G57" s="267">
        <f>IF(ISERROR(VLOOKUP($C57,非生产人员工资!C:J,8,0)),0,VLOOKUP($C57,非生产人员工资!C:J,8,FALSE))</f>
        <v>0</v>
      </c>
      <c r="H57" s="7">
        <f>IF(ISERROR(VLOOKUP($C57,非生产人员工资!C:K,9,FALSE)),0,VLOOKUP($C57,非生产人员工资!C:K,9,FALSE))</f>
        <v>0</v>
      </c>
      <c r="I57" s="7">
        <f>IF(ISERROR(VLOOKUP($C57,非生产人员工资!C:L,10,FALSE)),0,VLOOKUP($C57,非生产人员工资!C:L,10,FALSE))</f>
        <v>0</v>
      </c>
      <c r="J57" s="7">
        <f>IF(ISERROR(VLOOKUP($C57,生产人员工资!C:I,7,FALSE)),0,VLOOKUP($C57,生产人员工资!C:I,7,FALSE))</f>
        <v>705</v>
      </c>
      <c r="K57" s="7">
        <f>IF(ISERROR(VLOOKUP($C57,生产人员工资!C:J,8,FALSE)),0,VLOOKUP($C57,生产人员工资!C:J,8,FALSE))</f>
        <v>0</v>
      </c>
      <c r="L57" s="7" t="str">
        <f>IF(ISERROR(IF(ISERROR(VLOOKUP($C57,非生产人员工资!C:N,12,FALSE)),VLOOKUP($C57,生产人员工资!C:K,9,FALSE),VLOOKUP($C57,非生产人员工资!C:N,12,FALSE))),0,IF(ISERROR(VLOOKUP($C57,非生产人员工资!C:N,12,FALSE)),VLOOKUP($C57,生产人员工资!C:K,9,FALSE),VLOOKUP($C57,非生产人员工资!C:N,12,FALSE)))</f>
        <v>0.00</v>
      </c>
      <c r="M57" s="7">
        <f>IF(ISERROR(IF(ISERROR(VLOOKUP($C57,非生产人员工资!$C:$O,13,FALSE)),VLOOKUP($C57,生产人员工资!$C:$L,10,FALSE),VLOOKUP($C57,非生产人员工资!$C:$O,13,FALSE))),0,IF(ISERROR(VLOOKUP($C57,非生产人员工资!$C:$O,13,FALSE)),VLOOKUP($C57,生产人员工资!$C:$L,10,FALSE),VLOOKUP($C57,非生产人员工资!$C:$O,13,FALSE)))</f>
        <v>40</v>
      </c>
      <c r="N57" s="7" t="str">
        <f>IF(ISERROR(IF(ISERROR(VLOOKUP($C57,非生产人员工资!$C:$P,14,FALSE)),VLOOKUP($C57,生产人员工资!$C:$M,11,FALSE),VLOOKUP($C57,非生产人员工资!$C:$P,14,FALSE))),0,IF(ISERROR(VLOOKUP($C57,非生产人员工资!$C:$P,14,FALSE)),VLOOKUP($C57,生产人员工资!$C:$M,11,FALSE),VLOOKUP($C57,非生产人员工资!$C:$P,14,FALSE)))</f>
        <v>0.00</v>
      </c>
      <c r="O57" s="7" t="str">
        <f>IF(ISERROR(IF(ISERROR(VLOOKUP($C57,非生产人员工资!C:Q,15,FALSE)),VLOOKUP($C57,生产人员工资!C:N,12,FALSE),VLOOKUP($C57,非生产人员工资!C:Q,15,FALSE))),0,IF(ISERROR(VLOOKUP($C57,非生产人员工资!C:Q,15,FALSE)),VLOOKUP($C57,生产人员工资!C:N,12,FALSE),VLOOKUP($C57,非生产人员工资!C:Q,15,FALSE)))</f>
        <v>0.00</v>
      </c>
      <c r="P57" s="7">
        <f>IF(ISERROR(IF(ISERROR(VLOOKUP($C57,非生产人员工资!C:R,16,FALSE)),VLOOKUP($C57,生产人员工资!C:O,13,FALSE),VLOOKUP($C57,非生产人员工资!C:R,16,FALSE))),0,IF(ISERROR(VLOOKUP($C57,非生产人员工资!C:R,16,FALSE)),VLOOKUP($C57,生产人员工资!C:O,13,FALSE),VLOOKUP($C57,非生产人员工资!C:R,16,FALSE)))</f>
        <v>40</v>
      </c>
      <c r="Q57" s="7" t="str">
        <f>IF(ISERROR(IF(ISERROR(VLOOKUP($C57,非生产人员工资!C:S,17,FALSE)),VLOOKUP($C57,生产人员工资!C:P,14,FALSE),VLOOKUP($C57,非生产人员工资!C:S,17,FALSE))),0,IF(ISERROR(VLOOKUP($C57,非生产人员工资!C:S,17,FALSE)),VLOOKUP($C57,生产人员工资!C:P,14,FALSE),VLOOKUP($C57,非生产人员工资!C:S,17,FALSE)))</f>
        <v>0.00</v>
      </c>
      <c r="R57" s="7" t="str">
        <f>IF(ISERROR(IF(ISERROR(VLOOKUP($C57,非生产人员工资!C:T,18,FALSE)),VLOOKUP($C57,生产人员工资!C:Q,15,FALSE),VLOOKUP($C57,非生产人员工资!C:T,18,FALSE))),0,IF(ISERROR(VLOOKUP($C57,非生产人员工资!C:T,18,FALSE)),VLOOKUP($C57,生产人员工资!C:Q,15,FALSE),VLOOKUP($C57,非生产人员工资!C:T,18,FALSE)))</f>
        <v>0.00</v>
      </c>
      <c r="S57" s="7">
        <f>IF(ISERROR(VLOOKUP($C57,非生产人员工资!C:U,19,FALSE)),0,VLOOKUP($C57,非生产人员工资!C:U,19,FALSE))</f>
        <v>0</v>
      </c>
      <c r="T57" s="7" t="str">
        <f>IF(ISERROR(IF(ISERROR(VLOOKUP($C57,非生产人员工资!C:V,20,FALSE)),VLOOKUP($C57,生产人员工资!C:R,16,FALSE),VLOOKUP($C57,非生产人员工资!C:V,20,FALSE))),0,IF(ISERROR(VLOOKUP($C57,非生产人员工资!C:V,20,FALSE)),VLOOKUP($C57,生产人员工资!$C:$R,16,FALSE),VLOOKUP($C57,非生产人员工资!C:V,20,FALSE)))</f>
        <v>0.00</v>
      </c>
      <c r="U57" s="7" t="str">
        <f>IF(ISERROR(IF(ISERROR(VLOOKUP($C57,非生产人员工资!C:W,21,FALSE)),VLOOKUP($C57,生产人员工资!C:S,17,FALSE),VLOOKUP($C57,非生产人员工资!C:W,21,FALSE))),0,IF(ISERROR(VLOOKUP($C57,非生产人员工资!C:W,21,FALSE)),VLOOKUP($C57,生产人员工资!C:S,17,FALSE),VLOOKUP($C57,非生产人员工资!C:W,21,FALSE)))</f>
        <v>0.00</v>
      </c>
      <c r="V57" s="7" t="str">
        <f>IF(ISERROR(IF(ISERROR(VLOOKUP($C57,非生产人员工资!C:X,22,FALSE)),VLOOKUP($C57,生产人员工资!C:T,18,FALSE),VLOOKUP($C57,非生产人员工资!C:X,22,FALSE))),0,IF(ISERROR(VLOOKUP($C57,非生产人员工资!C:X,22,FALSE)),VLOOKUP($C57,生产人员工资!C:T,18,FALSE),VLOOKUP($C57,非生产人员工资!C:X,22,FALSE)))</f>
        <v>0.00</v>
      </c>
      <c r="W57" s="7">
        <f t="shared" si="3"/>
        <v>785</v>
      </c>
      <c r="X57" s="7" t="str">
        <f>IF(ISERROR(IF(ISERROR(VLOOKUP($C57,非生产人员工资!C:Z,24,FALSE)),VLOOKUP($C57,生产人员工资!C:V,20,FALSE),VLOOKUP($C57,非生产人员工资!$C:$Z,24,FALSE))),0,IF(ISERROR(VLOOKUP($C57,非生产人员工资!$C:$Z,24,FALSE)),VLOOKUP($C57,生产人员工资!$C:$V,20,FALSE),VLOOKUP($C57,非生产人员工资!$C:$Z,24,FALSE)))</f>
        <v>0.00</v>
      </c>
      <c r="Y57" s="7" t="str">
        <f>IF(ISERROR(IF(ISERROR(VLOOKUP($C57,非生产人员工资!C:AA,25,FALSE)),VLOOKUP($C57,生产人员工资!C:W,21,FALSE),VLOOKUP($C57,非生产人员工资!C:AA,25,FALSE))),0,IF(ISERROR(VLOOKUP($C57,非生产人员工资!C:AA,25,FALSE)),VLOOKUP($C57,生产人员工资!C:W,21,FALSE),VLOOKUP($C57,非生产人员工资!C:AA,25,FALSE)))</f>
        <v>0.00</v>
      </c>
      <c r="Z57" s="7" t="str">
        <f>IF(ISERROR(IF(ISERROR(VLOOKUP($C57,非生产人员工资!C:AB,26,FALSE)),VLOOKUP($C57,生产人员工资!C:X,22,FALSE),VLOOKUP($C57,非生产人员工资!C:AB,26,FALSE))),0,IF(ISERROR(VLOOKUP($C57,非生产人员工资!C:AB,26,FALSE)),VLOOKUP($C57,生产人员工资!C:X,22,FALSE),VLOOKUP($C57,非生产人员工资!C:AB,26,FALSE)))</f>
        <v>0.00</v>
      </c>
      <c r="AA57" s="7" t="str">
        <f>IF(ISERROR(IF(ISERROR(VLOOKUP($C57,非生产人员工资!C:AC,27,FALSE)),VLOOKUP($C57,生产人员工资!C:Y,23,FALSE),VLOOKUP($C57,非生产人员工资!C:AC,27,FALSE))),0,IF(ISERROR(VLOOKUP($C57,非生产人员工资!C:AC,27,FALSE)),VLOOKUP($C57,生产人员工资!C:Y,23,FALSE),VLOOKUP($C57,非生产人员工资!C:AC,27,FALSE)))</f>
        <v>0.00</v>
      </c>
      <c r="AB57" s="7">
        <f>IF(ISERROR(IF(ISERROR(VLOOKUP($C57,非生产人员工资!C:AD,28,FALSE)),VLOOKUP($C57,生产人员工资!C:Z,24,FALSE),VLOOKUP($C57,非生产人员工资!C:AD,28,FALSE))),0,IF(ISERROR(VLOOKUP($C57,非生产人员工资!C:AD,28,FALSE)),VLOOKUP($C57,生产人员工资!C:Z,24,FALSE),VLOOKUP($C57,非生产人员工资!C:AD,28,FALSE)))</f>
        <v>0</v>
      </c>
      <c r="AC57" s="269">
        <f>ROUND(IF(ISERROR(IF(ISERROR(VLOOKUP($C57,非生产人员工资!C:AF,30,FALSE)),VLOOKUP($C57,生产人员工资!C:AB,26,0),VLOOKUP($C57,非生产人员工资!C:AF,30,FALSE))),0,IF(ISERROR(VLOOKUP($C57,非生产人员工资!C:AF,30,FALSE)),VLOOKUP($C57,生产人员工资!C:AB,26,0),VLOOKUP($C57,非生产人员工资!C:AF,30,FALSE))),2)</f>
        <v>0</v>
      </c>
      <c r="AD57" s="269">
        <f t="shared" si="2"/>
        <v>785</v>
      </c>
      <c r="AE57" s="269" t="str">
        <f>VLOOKUP($C57,员工基本信息!$C:$N,10,FALSE)</f>
        <v>生产成本+注塑</v>
      </c>
      <c r="AF57" s="265" t="str">
        <f>VLOOKUP($C57,员工基本信息!$C:$O,11,FALSE)</f>
        <v>直接成本</v>
      </c>
      <c r="AG57" s="265" t="str">
        <f>VLOOKUP($C57,员工基本信息!$C:$O,12,FALSE)</f>
        <v>注塑车间</v>
      </c>
      <c r="AH57" s="265" t="str">
        <f>VLOOKUP($C57,员工基本信息!$C:$O,13,FALSE)</f>
        <v>生产人员</v>
      </c>
      <c r="AI57" s="249" t="str">
        <f>VLOOKUP($B57,员工基本信息!$B:$S,16,FALSE)</f>
        <v>6214220101209132456</v>
      </c>
      <c r="AJ57" s="249" t="str">
        <f>VLOOKUP($B57,员工基本信息!$B:$S,18,FALSE)</f>
        <v>沧州</v>
      </c>
      <c r="AK57" s="249" t="str">
        <f>VLOOKUP(C57,员工基本信息!$C:$M,11,0)</f>
        <v>直接成本</v>
      </c>
    </row>
    <row r="58" s="250" customFormat="1" customHeight="1" spans="1:37">
      <c r="A58" s="264">
        <v>55</v>
      </c>
      <c r="B58" s="6" t="str">
        <f>本月员工姓名!B56</f>
        <v>郑艳红</v>
      </c>
      <c r="C58" s="265" t="str">
        <f>VLOOKUP($B58,员工基本信息!$B:$I,2,FALSE)</f>
        <v>132930198111202823</v>
      </c>
      <c r="D58" s="266" t="str">
        <f>VLOOKUP($B58,员工基本信息!$B:$I,4,FALSE)</f>
        <v>制造管理部-注塑车间</v>
      </c>
      <c r="E58" s="266" t="str">
        <f>VLOOKUP($B58,员工基本信息!$B:$I,5,FALSE)</f>
        <v>注塑工</v>
      </c>
      <c r="F58" s="267">
        <f>IF(ISERROR(VLOOKUP($C58,非生产人员工资!$C:$AD,6,FALSE)),0,VLOOKUP($C58,非生产人员工资!$C:$AD,6,FALSE))</f>
        <v>0</v>
      </c>
      <c r="G58" s="267">
        <f>IF(ISERROR(VLOOKUP($C58,非生产人员工资!C:J,8,0)),0,VLOOKUP($C58,非生产人员工资!C:J,8,FALSE))</f>
        <v>0</v>
      </c>
      <c r="H58" s="7">
        <f>IF(ISERROR(VLOOKUP($C58,非生产人员工资!C:K,9,FALSE)),0,VLOOKUP($C58,非生产人员工资!C:K,9,FALSE))</f>
        <v>0</v>
      </c>
      <c r="I58" s="7">
        <f>IF(ISERROR(VLOOKUP($C58,非生产人员工资!C:L,10,FALSE)),0,VLOOKUP($C58,非生产人员工资!C:L,10,FALSE))</f>
        <v>0</v>
      </c>
      <c r="J58" s="7">
        <f>IF(ISERROR(VLOOKUP($C58,生产人员工资!C:I,7,FALSE)),0,VLOOKUP($C58,生产人员工资!C:I,7,FALSE))</f>
        <v>3592.5</v>
      </c>
      <c r="K58" s="7">
        <f>IF(ISERROR(VLOOKUP($C58,生产人员工资!C:J,8,FALSE)),0,VLOOKUP($C58,生产人员工资!C:J,8,FALSE))</f>
        <v>0</v>
      </c>
      <c r="L58" s="7" t="str">
        <f>IF(ISERROR(IF(ISERROR(VLOOKUP($C58,非生产人员工资!C:N,12,FALSE)),VLOOKUP($C58,生产人员工资!C:K,9,FALSE),VLOOKUP($C58,非生产人员工资!C:N,12,FALSE))),0,IF(ISERROR(VLOOKUP($C58,非生产人员工资!C:N,12,FALSE)),VLOOKUP($C58,生产人员工资!C:K,9,FALSE),VLOOKUP($C58,非生产人员工资!C:N,12,FALSE)))</f>
        <v>0.00</v>
      </c>
      <c r="M58" s="7">
        <f>IF(ISERROR(IF(ISERROR(VLOOKUP($C58,非生产人员工资!$C:$O,13,FALSE)),VLOOKUP($C58,生产人员工资!$C:$L,10,FALSE),VLOOKUP($C58,非生产人员工资!$C:$O,13,FALSE))),0,IF(ISERROR(VLOOKUP($C58,非生产人员工资!$C:$O,13,FALSE)),VLOOKUP($C58,生产人员工资!$C:$L,10,FALSE),VLOOKUP($C58,非生产人员工资!$C:$O,13,FALSE)))</f>
        <v>130</v>
      </c>
      <c r="N58" s="7" t="str">
        <f>IF(ISERROR(IF(ISERROR(VLOOKUP($C58,非生产人员工资!$C:$P,14,FALSE)),VLOOKUP($C58,生产人员工资!$C:$M,11,FALSE),VLOOKUP($C58,非生产人员工资!$C:$P,14,FALSE))),0,IF(ISERROR(VLOOKUP($C58,非生产人员工资!$C:$P,14,FALSE)),VLOOKUP($C58,生产人员工资!$C:$M,11,FALSE),VLOOKUP($C58,非生产人员工资!$C:$P,14,FALSE)))</f>
        <v>0.00</v>
      </c>
      <c r="O58" s="7" t="str">
        <f>IF(ISERROR(IF(ISERROR(VLOOKUP($C58,非生产人员工资!C:Q,15,FALSE)),VLOOKUP($C58,生产人员工资!C:N,12,FALSE),VLOOKUP($C58,非生产人员工资!C:Q,15,FALSE))),0,IF(ISERROR(VLOOKUP($C58,非生产人员工资!C:Q,15,FALSE)),VLOOKUP($C58,生产人员工资!C:N,12,FALSE),VLOOKUP($C58,非生产人员工资!C:Q,15,FALSE)))</f>
        <v>0.00</v>
      </c>
      <c r="P58" s="7" t="str">
        <f>IF(ISERROR(IF(ISERROR(VLOOKUP($C58,非生产人员工资!C:R,16,FALSE)),VLOOKUP($C58,生产人员工资!C:O,13,FALSE),VLOOKUP($C58,非生产人员工资!C:R,16,FALSE))),0,IF(ISERROR(VLOOKUP($C58,非生产人员工资!C:R,16,FALSE)),VLOOKUP($C58,生产人员工资!C:O,13,FALSE),VLOOKUP($C58,非生产人员工资!C:R,16,FALSE)))</f>
        <v>0.00</v>
      </c>
      <c r="Q58" s="7" t="str">
        <f>IF(ISERROR(IF(ISERROR(VLOOKUP($C58,非生产人员工资!C:S,17,FALSE)),VLOOKUP($C58,生产人员工资!C:P,14,FALSE),VLOOKUP($C58,非生产人员工资!C:S,17,FALSE))),0,IF(ISERROR(VLOOKUP($C58,非生产人员工资!C:S,17,FALSE)),VLOOKUP($C58,生产人员工资!C:P,14,FALSE),VLOOKUP($C58,非生产人员工资!C:S,17,FALSE)))</f>
        <v>0.00</v>
      </c>
      <c r="R58" s="7" t="str">
        <f>IF(ISERROR(IF(ISERROR(VLOOKUP($C58,非生产人员工资!C:T,18,FALSE)),VLOOKUP($C58,生产人员工资!C:Q,15,FALSE),VLOOKUP($C58,非生产人员工资!C:T,18,FALSE))),0,IF(ISERROR(VLOOKUP($C58,非生产人员工资!C:T,18,FALSE)),VLOOKUP($C58,生产人员工资!C:Q,15,FALSE),VLOOKUP($C58,非生产人员工资!C:T,18,FALSE)))</f>
        <v>0.00</v>
      </c>
      <c r="S58" s="7">
        <f>IF(ISERROR(VLOOKUP($C58,非生产人员工资!C:U,19,FALSE)),0,VLOOKUP($C58,非生产人员工资!C:U,19,FALSE))</f>
        <v>0</v>
      </c>
      <c r="T58" s="7" t="str">
        <f>IF(ISERROR(IF(ISERROR(VLOOKUP($C58,非生产人员工资!C:V,20,FALSE)),VLOOKUP($C58,生产人员工资!C:R,16,FALSE),VLOOKUP($C58,非生产人员工资!C:V,20,FALSE))),0,IF(ISERROR(VLOOKUP($C58,非生产人员工资!C:V,20,FALSE)),VLOOKUP($C58,生产人员工资!$C:$R,16,FALSE),VLOOKUP($C58,非生产人员工资!C:V,20,FALSE)))</f>
        <v>0.00</v>
      </c>
      <c r="U58" s="7" t="str">
        <f>IF(ISERROR(IF(ISERROR(VLOOKUP($C58,非生产人员工资!C:W,21,FALSE)),VLOOKUP($C58,生产人员工资!C:S,17,FALSE),VLOOKUP($C58,非生产人员工资!C:W,21,FALSE))),0,IF(ISERROR(VLOOKUP($C58,非生产人员工资!C:W,21,FALSE)),VLOOKUP($C58,生产人员工资!C:S,17,FALSE),VLOOKUP($C58,非生产人员工资!C:W,21,FALSE)))</f>
        <v>0.00</v>
      </c>
      <c r="V58" s="7" t="str">
        <f>IF(ISERROR(IF(ISERROR(VLOOKUP($C58,非生产人员工资!C:X,22,FALSE)),VLOOKUP($C58,生产人员工资!C:T,18,FALSE),VLOOKUP($C58,非生产人员工资!C:X,22,FALSE))),0,IF(ISERROR(VLOOKUP($C58,非生产人员工资!C:X,22,FALSE)),VLOOKUP($C58,生产人员工资!C:T,18,FALSE),VLOOKUP($C58,非生产人员工资!C:X,22,FALSE)))</f>
        <v>0.00</v>
      </c>
      <c r="W58" s="7">
        <f t="shared" si="3"/>
        <v>3722.5</v>
      </c>
      <c r="X58" s="7">
        <f>IF(ISERROR(IF(ISERROR(VLOOKUP($C58,非生产人员工资!C:Z,24,FALSE)),VLOOKUP($C58,生产人员工资!C:V,20,FALSE),VLOOKUP($C58,非生产人员工资!$C:$Z,24,FALSE))),0,IF(ISERROR(VLOOKUP($C58,非生产人员工资!$C:$Z,24,FALSE)),VLOOKUP($C58,生产人员工资!$C:$V,20,FALSE),VLOOKUP($C58,非生产人员工资!$C:$Z,24,FALSE)))</f>
        <v>243.36</v>
      </c>
      <c r="Y58" s="7">
        <f>IF(ISERROR(IF(ISERROR(VLOOKUP($C58,非生产人员工资!C:AA,25,FALSE)),VLOOKUP($C58,生产人员工资!C:W,21,FALSE),VLOOKUP($C58,非生产人员工资!C:AA,25,FALSE))),0,IF(ISERROR(VLOOKUP($C58,非生产人员工资!C:AA,25,FALSE)),VLOOKUP($C58,生产人员工资!C:W,21,FALSE),VLOOKUP($C58,非生产人员工资!C:AA,25,FALSE)))</f>
        <v>104.57</v>
      </c>
      <c r="Z58" s="7">
        <f>IF(ISERROR(IF(ISERROR(VLOOKUP($C58,非生产人员工资!C:AB,26,FALSE)),VLOOKUP($C58,生产人员工资!C:X,22,FALSE),VLOOKUP($C58,非生产人员工资!C:AB,26,FALSE))),0,IF(ISERROR(VLOOKUP($C58,非生产人员工资!C:AB,26,FALSE)),VLOOKUP($C58,生产人员工资!C:X,22,FALSE),VLOOKUP($C58,非生产人员工资!C:AB,26,FALSE)))</f>
        <v>9.13</v>
      </c>
      <c r="AA58" s="7">
        <f>IF(ISERROR(IF(ISERROR(VLOOKUP($C58,非生产人员工资!C:AC,27,FALSE)),VLOOKUP($C58,生产人员工资!C:Y,23,FALSE),VLOOKUP($C58,非生产人员工资!C:AC,27,FALSE))),0,IF(ISERROR(VLOOKUP($C58,非生产人员工资!C:AC,27,FALSE)),VLOOKUP($C58,生产人员工资!C:Y,23,FALSE),VLOOKUP($C58,非生产人员工资!C:AC,27,FALSE)))</f>
        <v>0</v>
      </c>
      <c r="AB58" s="7">
        <f>IF(ISERROR(IF(ISERROR(VLOOKUP($C58,非生产人员工资!C:AD,28,FALSE)),VLOOKUP($C58,生产人员工资!C:Z,24,FALSE),VLOOKUP($C58,非生产人员工资!C:AD,28,FALSE))),0,IF(ISERROR(VLOOKUP($C58,非生产人员工资!C:AD,28,FALSE)),VLOOKUP($C58,生产人员工资!C:Z,24,FALSE),VLOOKUP($C58,非生产人员工资!C:AD,28,FALSE)))</f>
        <v>48.81</v>
      </c>
      <c r="AC58" s="269">
        <f>ROUND(IF(ISERROR(IF(ISERROR(VLOOKUP($C58,非生产人员工资!C:AF,30,FALSE)),VLOOKUP($C58,生产人员工资!C:AB,26,0),VLOOKUP($C58,非生产人员工资!C:AF,30,FALSE))),0,IF(ISERROR(VLOOKUP($C58,非生产人员工资!C:AF,30,FALSE)),VLOOKUP($C58,生产人员工资!C:AB,26,0),VLOOKUP($C58,非生产人员工资!C:AF,30,FALSE))),2)</f>
        <v>0</v>
      </c>
      <c r="AD58" s="269">
        <f t="shared" si="2"/>
        <v>3316.63</v>
      </c>
      <c r="AE58" s="269" t="str">
        <f>VLOOKUP($C58,员工基本信息!$C:$N,10,FALSE)</f>
        <v>生产成本+注塑</v>
      </c>
      <c r="AF58" s="265" t="str">
        <f>VLOOKUP($C58,员工基本信息!$C:$O,11,FALSE)</f>
        <v>直接成本</v>
      </c>
      <c r="AG58" s="265" t="str">
        <f>VLOOKUP($C58,员工基本信息!$C:$O,12,FALSE)</f>
        <v>注塑车间</v>
      </c>
      <c r="AH58" s="265" t="str">
        <f>VLOOKUP($C58,员工基本信息!$C:$O,13,FALSE)</f>
        <v>生产人员</v>
      </c>
      <c r="AI58" s="249" t="str">
        <f>VLOOKUP($B58,员工基本信息!$B:$S,16,FALSE)</f>
        <v>6214220101209130716</v>
      </c>
      <c r="AJ58" s="249" t="str">
        <f>VLOOKUP($B58,员工基本信息!$B:$S,18,FALSE)</f>
        <v>沧州</v>
      </c>
      <c r="AK58" s="249" t="str">
        <f>VLOOKUP(C58,员工基本信息!$C:$M,11,0)</f>
        <v>直接成本</v>
      </c>
    </row>
    <row r="59" s="250" customFormat="1" customHeight="1" spans="1:37">
      <c r="A59" s="264">
        <v>56</v>
      </c>
      <c r="B59" s="6" t="str">
        <f>本月员工姓名!B57</f>
        <v>田高峰</v>
      </c>
      <c r="C59" s="265" t="str">
        <f>VLOOKUP($B59,员工基本信息!$B:$I,2,FALSE)</f>
        <v>132930199202191116</v>
      </c>
      <c r="D59" s="266" t="str">
        <f>VLOOKUP($B59,员工基本信息!$B:$I,4,FALSE)</f>
        <v>制造管理部-注塑车间</v>
      </c>
      <c r="E59" s="266" t="str">
        <f>VLOOKUP($B59,员工基本信息!$B:$I,5,FALSE)</f>
        <v>注塑工</v>
      </c>
      <c r="F59" s="267">
        <f>IF(ISERROR(VLOOKUP($C59,非生产人员工资!$C:$AD,6,FALSE)),0,VLOOKUP($C59,非生产人员工资!$C:$AD,6,FALSE))</f>
        <v>0</v>
      </c>
      <c r="G59" s="267">
        <f>IF(ISERROR(VLOOKUP($C59,非生产人员工资!C:J,8,0)),0,VLOOKUP($C59,非生产人员工资!C:J,8,FALSE))</f>
        <v>0</v>
      </c>
      <c r="H59" s="7">
        <f>IF(ISERROR(VLOOKUP($C59,非生产人员工资!C:K,9,FALSE)),0,VLOOKUP($C59,非生产人员工资!C:K,9,FALSE))</f>
        <v>0</v>
      </c>
      <c r="I59" s="7">
        <f>IF(ISERROR(VLOOKUP($C59,非生产人员工资!C:L,10,FALSE)),0,VLOOKUP($C59,非生产人员工资!C:L,10,FALSE))</f>
        <v>0</v>
      </c>
      <c r="J59" s="7">
        <f>IF(ISERROR(VLOOKUP($C59,生产人员工资!C:I,7,FALSE)),0,VLOOKUP($C59,生产人员工资!C:I,7,FALSE))</f>
        <v>3000</v>
      </c>
      <c r="K59" s="7">
        <f>IF(ISERROR(VLOOKUP($C59,生产人员工资!C:J,8,FALSE)),0,VLOOKUP($C59,生产人员工资!C:J,8,FALSE))</f>
        <v>0</v>
      </c>
      <c r="L59" s="7" t="str">
        <f>IF(ISERROR(IF(ISERROR(VLOOKUP($C59,非生产人员工资!C:N,12,FALSE)),VLOOKUP($C59,生产人员工资!C:K,9,FALSE),VLOOKUP($C59,非生产人员工资!C:N,12,FALSE))),0,IF(ISERROR(VLOOKUP($C59,非生产人员工资!C:N,12,FALSE)),VLOOKUP($C59,生产人员工资!C:K,9,FALSE),VLOOKUP($C59,非生产人员工资!C:N,12,FALSE)))</f>
        <v>0.00</v>
      </c>
      <c r="M59" s="7" t="str">
        <f>IF(ISERROR(IF(ISERROR(VLOOKUP($C59,非生产人员工资!$C:$O,13,FALSE)),VLOOKUP($C59,生产人员工资!$C:$L,10,FALSE),VLOOKUP($C59,非生产人员工资!$C:$O,13,FALSE))),0,IF(ISERROR(VLOOKUP($C59,非生产人员工资!$C:$O,13,FALSE)),VLOOKUP($C59,生产人员工资!$C:$L,10,FALSE),VLOOKUP($C59,非生产人员工资!$C:$O,13,FALSE)))</f>
        <v>0.00</v>
      </c>
      <c r="N59" s="7" t="str">
        <f>IF(ISERROR(IF(ISERROR(VLOOKUP($C59,非生产人员工资!$C:$P,14,FALSE)),VLOOKUP($C59,生产人员工资!$C:$M,11,FALSE),VLOOKUP($C59,非生产人员工资!$C:$P,14,FALSE))),0,IF(ISERROR(VLOOKUP($C59,非生产人员工资!$C:$P,14,FALSE)),VLOOKUP($C59,生产人员工资!$C:$M,11,FALSE),VLOOKUP($C59,非生产人员工资!$C:$P,14,FALSE)))</f>
        <v>0.00</v>
      </c>
      <c r="O59" s="7" t="str">
        <f>IF(ISERROR(IF(ISERROR(VLOOKUP($C59,非生产人员工资!C:Q,15,FALSE)),VLOOKUP($C59,生产人员工资!C:N,12,FALSE),VLOOKUP($C59,非生产人员工资!C:Q,15,FALSE))),0,IF(ISERROR(VLOOKUP($C59,非生产人员工资!C:Q,15,FALSE)),VLOOKUP($C59,生产人员工资!C:N,12,FALSE),VLOOKUP($C59,非生产人员工资!C:Q,15,FALSE)))</f>
        <v>0.00</v>
      </c>
      <c r="P59" s="7" t="str">
        <f>IF(ISERROR(IF(ISERROR(VLOOKUP($C59,非生产人员工资!C:R,16,FALSE)),VLOOKUP($C59,生产人员工资!C:O,13,FALSE),VLOOKUP($C59,非生产人员工资!C:R,16,FALSE))),0,IF(ISERROR(VLOOKUP($C59,非生产人员工资!C:R,16,FALSE)),VLOOKUP($C59,生产人员工资!C:O,13,FALSE),VLOOKUP($C59,非生产人员工资!C:R,16,FALSE)))</f>
        <v>0.00</v>
      </c>
      <c r="Q59" s="7" t="str">
        <f>IF(ISERROR(IF(ISERROR(VLOOKUP($C59,非生产人员工资!C:S,17,FALSE)),VLOOKUP($C59,生产人员工资!C:P,14,FALSE),VLOOKUP($C59,非生产人员工资!C:S,17,FALSE))),0,IF(ISERROR(VLOOKUP($C59,非生产人员工资!C:S,17,FALSE)),VLOOKUP($C59,生产人员工资!C:P,14,FALSE),VLOOKUP($C59,非生产人员工资!C:S,17,FALSE)))</f>
        <v>0.00</v>
      </c>
      <c r="R59" s="7" t="str">
        <f>IF(ISERROR(IF(ISERROR(VLOOKUP($C59,非生产人员工资!C:T,18,FALSE)),VLOOKUP($C59,生产人员工资!C:Q,15,FALSE),VLOOKUP($C59,非生产人员工资!C:T,18,FALSE))),0,IF(ISERROR(VLOOKUP($C59,非生产人员工资!C:T,18,FALSE)),VLOOKUP($C59,生产人员工资!C:Q,15,FALSE),VLOOKUP($C59,非生产人员工资!C:T,18,FALSE)))</f>
        <v>0.00</v>
      </c>
      <c r="S59" s="7">
        <f>IF(ISERROR(VLOOKUP($C59,非生产人员工资!C:U,19,FALSE)),0,VLOOKUP($C59,非生产人员工资!C:U,19,FALSE))</f>
        <v>0</v>
      </c>
      <c r="T59" s="7" t="str">
        <f>IF(ISERROR(IF(ISERROR(VLOOKUP($C59,非生产人员工资!C:V,20,FALSE)),VLOOKUP($C59,生产人员工资!C:R,16,FALSE),VLOOKUP($C59,非生产人员工资!C:V,20,FALSE))),0,IF(ISERROR(VLOOKUP($C59,非生产人员工资!C:V,20,FALSE)),VLOOKUP($C59,生产人员工资!$C:$R,16,FALSE),VLOOKUP($C59,非生产人员工资!C:V,20,FALSE)))</f>
        <v>0.00</v>
      </c>
      <c r="U59" s="7" t="str">
        <f>IF(ISERROR(IF(ISERROR(VLOOKUP($C59,非生产人员工资!C:W,21,FALSE)),VLOOKUP($C59,生产人员工资!C:S,17,FALSE),VLOOKUP($C59,非生产人员工资!C:W,21,FALSE))),0,IF(ISERROR(VLOOKUP($C59,非生产人员工资!C:W,21,FALSE)),VLOOKUP($C59,生产人员工资!C:S,17,FALSE),VLOOKUP($C59,非生产人员工资!C:W,21,FALSE)))</f>
        <v>0.00</v>
      </c>
      <c r="V59" s="7" t="str">
        <f>IF(ISERROR(IF(ISERROR(VLOOKUP($C59,非生产人员工资!C:X,22,FALSE)),VLOOKUP($C59,生产人员工资!C:T,18,FALSE),VLOOKUP($C59,非生产人员工资!C:X,22,FALSE))),0,IF(ISERROR(VLOOKUP($C59,非生产人员工资!C:X,22,FALSE)),VLOOKUP($C59,生产人员工资!C:T,18,FALSE),VLOOKUP($C59,非生产人员工资!C:X,22,FALSE)))</f>
        <v>0.00</v>
      </c>
      <c r="W59" s="7">
        <f t="shared" si="3"/>
        <v>3000</v>
      </c>
      <c r="X59" s="7" t="str">
        <f>IF(ISERROR(IF(ISERROR(VLOOKUP($C59,非生产人员工资!C:Z,24,FALSE)),VLOOKUP($C59,生产人员工资!C:V,20,FALSE),VLOOKUP($C59,非生产人员工资!$C:$Z,24,FALSE))),0,IF(ISERROR(VLOOKUP($C59,非生产人员工资!$C:$Z,24,FALSE)),VLOOKUP($C59,生产人员工资!$C:$V,20,FALSE),VLOOKUP($C59,非生产人员工资!$C:$Z,24,FALSE)))</f>
        <v>0.00</v>
      </c>
      <c r="Y59" s="7" t="str">
        <f>IF(ISERROR(IF(ISERROR(VLOOKUP($C59,非生产人员工资!C:AA,25,FALSE)),VLOOKUP($C59,生产人员工资!C:W,21,FALSE),VLOOKUP($C59,非生产人员工资!C:AA,25,FALSE))),0,IF(ISERROR(VLOOKUP($C59,非生产人员工资!C:AA,25,FALSE)),VLOOKUP($C59,生产人员工资!C:W,21,FALSE),VLOOKUP($C59,非生产人员工资!C:AA,25,FALSE)))</f>
        <v>0.00</v>
      </c>
      <c r="Z59" s="7" t="str">
        <f>IF(ISERROR(IF(ISERROR(VLOOKUP($C59,非生产人员工资!C:AB,26,FALSE)),VLOOKUP($C59,生产人员工资!C:X,22,FALSE),VLOOKUP($C59,非生产人员工资!C:AB,26,FALSE))),0,IF(ISERROR(VLOOKUP($C59,非生产人员工资!C:AB,26,FALSE)),VLOOKUP($C59,生产人员工资!C:X,22,FALSE),VLOOKUP($C59,非生产人员工资!C:AB,26,FALSE)))</f>
        <v>0.00</v>
      </c>
      <c r="AA59" s="7" t="str">
        <f>IF(ISERROR(IF(ISERROR(VLOOKUP($C59,非生产人员工资!C:AC,27,FALSE)),VLOOKUP($C59,生产人员工资!C:Y,23,FALSE),VLOOKUP($C59,非生产人员工资!C:AC,27,FALSE))),0,IF(ISERROR(VLOOKUP($C59,非生产人员工资!C:AC,27,FALSE)),VLOOKUP($C59,生产人员工资!C:Y,23,FALSE),VLOOKUP($C59,非生产人员工资!C:AC,27,FALSE)))</f>
        <v>0.00</v>
      </c>
      <c r="AB59" s="7">
        <f>IF(ISERROR(IF(ISERROR(VLOOKUP($C59,非生产人员工资!C:AD,28,FALSE)),VLOOKUP($C59,生产人员工资!C:Z,24,FALSE),VLOOKUP($C59,非生产人员工资!C:AD,28,FALSE))),0,IF(ISERROR(VLOOKUP($C59,非生产人员工资!C:AD,28,FALSE)),VLOOKUP($C59,生产人员工资!C:Z,24,FALSE),VLOOKUP($C59,非生产人员工资!C:AD,28,FALSE)))</f>
        <v>0</v>
      </c>
      <c r="AC59" s="269">
        <f>ROUND(IF(ISERROR(IF(ISERROR(VLOOKUP($C59,非生产人员工资!C:AF,30,FALSE)),VLOOKUP($C59,生产人员工资!C:AB,26,0),VLOOKUP($C59,非生产人员工资!C:AF,30,FALSE))),0,IF(ISERROR(VLOOKUP($C59,非生产人员工资!C:AF,30,FALSE)),VLOOKUP($C59,生产人员工资!C:AB,26,0),VLOOKUP($C59,非生产人员工资!C:AF,30,FALSE))),2)</f>
        <v>0</v>
      </c>
      <c r="AD59" s="269">
        <f t="shared" si="2"/>
        <v>3000</v>
      </c>
      <c r="AE59" s="269" t="str">
        <f>VLOOKUP($C59,员工基本信息!$C:$N,10,FALSE)</f>
        <v>生产成本+注塑</v>
      </c>
      <c r="AF59" s="265" t="str">
        <f>VLOOKUP($C59,员工基本信息!$C:$O,11,FALSE)</f>
        <v>直接成本</v>
      </c>
      <c r="AG59" s="271" t="s">
        <v>50</v>
      </c>
      <c r="AH59" s="265" t="str">
        <f>VLOOKUP($C59,员工基本信息!$C:$O,13,FALSE)</f>
        <v>生产人员</v>
      </c>
      <c r="AI59" s="297" t="str">
        <f>VLOOKUP($B59,员工基本信息!$B:$S,16,FALSE)</f>
        <v>6214220101209474247</v>
      </c>
      <c r="AJ59" s="249" t="str">
        <f>VLOOKUP($B59,员工基本信息!$B:$S,18,FALSE)</f>
        <v>沧州</v>
      </c>
      <c r="AK59" s="249" t="str">
        <f>VLOOKUP(C59,员工基本信息!$C:$M,11,0)</f>
        <v>直接成本</v>
      </c>
    </row>
    <row r="60" s="250" customFormat="1" customHeight="1" spans="1:37">
      <c r="A60" s="264">
        <v>57</v>
      </c>
      <c r="B60" s="6" t="str">
        <f>本月员工姓名!B58</f>
        <v>胡占伟</v>
      </c>
      <c r="C60" s="265" t="str">
        <f>VLOOKUP($B60,员工基本信息!$B:$I,2,FALSE)</f>
        <v>13293019940201371X</v>
      </c>
      <c r="D60" s="266" t="str">
        <f>VLOOKUP($B60,员工基本信息!$B:$I,4,FALSE)</f>
        <v>制造管理部-注塑车间</v>
      </c>
      <c r="E60" s="266" t="str">
        <f>VLOOKUP($B60,员工基本信息!$B:$I,5,FALSE)</f>
        <v>检验员</v>
      </c>
      <c r="F60" s="267">
        <f>IF(ISERROR(VLOOKUP($C60,非生产人员工资!$C:$AD,6,FALSE)),0,VLOOKUP($C60,非生产人员工资!$C:$AD,6,FALSE))</f>
        <v>0</v>
      </c>
      <c r="G60" s="267">
        <f>IF(ISERROR(VLOOKUP($C60,非生产人员工资!C:J,8,0)),0,VLOOKUP($C60,非生产人员工资!C:J,8,FALSE))</f>
        <v>0</v>
      </c>
      <c r="H60" s="7">
        <f>IF(ISERROR(VLOOKUP($C60,非生产人员工资!C:K,9,FALSE)),0,VLOOKUP($C60,非生产人员工资!C:K,9,FALSE))</f>
        <v>0</v>
      </c>
      <c r="I60" s="7">
        <f>IF(ISERROR(VLOOKUP($C60,非生产人员工资!C:L,10,FALSE)),0,VLOOKUP($C60,非生产人员工资!C:L,10,FALSE))</f>
        <v>0</v>
      </c>
      <c r="J60" s="7">
        <f>IF(ISERROR(VLOOKUP($C60,生产人员工资!C:I,7,FALSE)),0,VLOOKUP($C60,生产人员工资!C:I,7,FALSE))</f>
        <v>3795</v>
      </c>
      <c r="K60" s="7">
        <f>IF(ISERROR(VLOOKUP($C60,生产人员工资!C:J,8,FALSE)),0,VLOOKUP($C60,生产人员工资!C:J,8,FALSE))</f>
        <v>0</v>
      </c>
      <c r="L60" s="7">
        <f>IF(ISERROR(IF(ISERROR(VLOOKUP($C60,非生产人员工资!C:N,12,FALSE)),VLOOKUP($C60,生产人员工资!C:K,9,FALSE),VLOOKUP($C60,非生产人员工资!C:N,12,FALSE))),0,IF(ISERROR(VLOOKUP($C60,非生产人员工资!C:N,12,FALSE)),VLOOKUP($C60,生产人员工资!C:K,9,FALSE),VLOOKUP($C60,非生产人员工资!C:N,12,FALSE)))</f>
        <v>-37.95</v>
      </c>
      <c r="M60" s="7">
        <f>IF(ISERROR(IF(ISERROR(VLOOKUP($C60,非生产人员工资!$C:$O,13,FALSE)),VLOOKUP($C60,生产人员工资!$C:$L,10,FALSE),VLOOKUP($C60,非生产人员工资!$C:$O,13,FALSE))),0,IF(ISERROR(VLOOKUP($C60,非生产人员工资!$C:$O,13,FALSE)),VLOOKUP($C60,生产人员工资!$C:$L,10,FALSE),VLOOKUP($C60,非生产人员工资!$C:$O,13,FALSE)))</f>
        <v>20</v>
      </c>
      <c r="N60" s="7">
        <f>IF(ISERROR(IF(ISERROR(VLOOKUP($C60,非生产人员工资!$C:$P,14,FALSE)),VLOOKUP($C60,生产人员工资!$C:$M,11,FALSE),VLOOKUP($C60,非生产人员工资!$C:$P,14,FALSE))),0,IF(ISERROR(VLOOKUP($C60,非生产人员工资!$C:$P,14,FALSE)),VLOOKUP($C60,生产人员工资!$C:$M,11,FALSE),VLOOKUP($C60,非生产人员工资!$C:$P,14,FALSE)))</f>
        <v>40</v>
      </c>
      <c r="O60" s="7" t="str">
        <f>IF(ISERROR(IF(ISERROR(VLOOKUP($C60,非生产人员工资!C:Q,15,FALSE)),VLOOKUP($C60,生产人员工资!C:N,12,FALSE),VLOOKUP($C60,非生产人员工资!C:Q,15,FALSE))),0,IF(ISERROR(VLOOKUP($C60,非生产人员工资!C:Q,15,FALSE)),VLOOKUP($C60,生产人员工资!C:N,12,FALSE),VLOOKUP($C60,非生产人员工资!C:Q,15,FALSE)))</f>
        <v>0.00</v>
      </c>
      <c r="P60" s="7" t="str">
        <f>IF(ISERROR(IF(ISERROR(VLOOKUP($C60,非生产人员工资!C:R,16,FALSE)),VLOOKUP($C60,生产人员工资!C:O,13,FALSE),VLOOKUP($C60,非生产人员工资!C:R,16,FALSE))),0,IF(ISERROR(VLOOKUP($C60,非生产人员工资!C:R,16,FALSE)),VLOOKUP($C60,生产人员工资!C:O,13,FALSE),VLOOKUP($C60,非生产人员工资!C:R,16,FALSE)))</f>
        <v>0.00</v>
      </c>
      <c r="Q60" s="7" t="str">
        <f>IF(ISERROR(IF(ISERROR(VLOOKUP($C60,非生产人员工资!C:S,17,FALSE)),VLOOKUP($C60,生产人员工资!C:P,14,FALSE),VLOOKUP($C60,非生产人员工资!C:S,17,FALSE))),0,IF(ISERROR(VLOOKUP($C60,非生产人员工资!C:S,17,FALSE)),VLOOKUP($C60,生产人员工资!C:P,14,FALSE),VLOOKUP($C60,非生产人员工资!C:S,17,FALSE)))</f>
        <v>0.00</v>
      </c>
      <c r="R60" s="7" t="str">
        <f>IF(ISERROR(IF(ISERROR(VLOOKUP($C60,非生产人员工资!C:T,18,FALSE)),VLOOKUP($C60,生产人员工资!C:Q,15,FALSE),VLOOKUP($C60,非生产人员工资!C:T,18,FALSE))),0,IF(ISERROR(VLOOKUP($C60,非生产人员工资!C:T,18,FALSE)),VLOOKUP($C60,生产人员工资!C:Q,15,FALSE),VLOOKUP($C60,非生产人员工资!C:T,18,FALSE)))</f>
        <v>0.00</v>
      </c>
      <c r="S60" s="7">
        <f>IF(ISERROR(VLOOKUP($C60,非生产人员工资!C:U,19,FALSE)),0,VLOOKUP($C60,非生产人员工资!C:U,19,FALSE))</f>
        <v>0</v>
      </c>
      <c r="T60" s="7" t="str">
        <f>IF(ISERROR(IF(ISERROR(VLOOKUP($C60,非生产人员工资!C:V,20,FALSE)),VLOOKUP($C60,生产人员工资!C:R,16,FALSE),VLOOKUP($C60,非生产人员工资!C:V,20,FALSE))),0,IF(ISERROR(VLOOKUP($C60,非生产人员工资!C:V,20,FALSE)),VLOOKUP($C60,生产人员工资!$C:$R,16,FALSE),VLOOKUP($C60,非生产人员工资!C:V,20,FALSE)))</f>
        <v>0.00</v>
      </c>
      <c r="U60" s="7" t="str">
        <f>IF(ISERROR(IF(ISERROR(VLOOKUP($C60,非生产人员工资!C:W,21,FALSE)),VLOOKUP($C60,生产人员工资!C:S,17,FALSE),VLOOKUP($C60,非生产人员工资!C:W,21,FALSE))),0,IF(ISERROR(VLOOKUP($C60,非生产人员工资!C:W,21,FALSE)),VLOOKUP($C60,生产人员工资!C:S,17,FALSE),VLOOKUP($C60,非生产人员工资!C:W,21,FALSE)))</f>
        <v>0.00</v>
      </c>
      <c r="V60" s="7">
        <f>IF(ISERROR(IF(ISERROR(VLOOKUP($C60,非生产人员工资!C:X,22,FALSE)),VLOOKUP($C60,生产人员工资!C:T,18,FALSE),VLOOKUP($C60,非生产人员工资!C:X,22,FALSE))),0,IF(ISERROR(VLOOKUP($C60,非生产人员工资!C:X,22,FALSE)),VLOOKUP($C60,生产人员工资!C:T,18,FALSE),VLOOKUP($C60,非生产人员工资!C:X,22,FALSE)))</f>
        <v>-30</v>
      </c>
      <c r="W60" s="7">
        <f t="shared" si="3"/>
        <v>3787.05</v>
      </c>
      <c r="X60" s="7">
        <f>IF(ISERROR(IF(ISERROR(VLOOKUP($C60,非生产人员工资!C:Z,24,FALSE)),VLOOKUP($C60,生产人员工资!C:V,20,FALSE),VLOOKUP($C60,非生产人员工资!$C:$Z,24,FALSE))),0,IF(ISERROR(VLOOKUP($C60,非生产人员工资!$C:$Z,24,FALSE)),VLOOKUP($C60,生产人员工资!$C:$V,20,FALSE),VLOOKUP($C60,非生产人员工资!$C:$Z,24,FALSE)))</f>
        <v>226.9</v>
      </c>
      <c r="Y60" s="7">
        <f>IF(ISERROR(IF(ISERROR(VLOOKUP($C60,非生产人员工资!C:AA,25,FALSE)),VLOOKUP($C60,生产人员工资!C:W,21,FALSE),VLOOKUP($C60,非生产人员工资!C:AA,25,FALSE))),0,IF(ISERROR(VLOOKUP($C60,非生产人员工资!C:AA,25,FALSE)),VLOOKUP($C60,生产人员工资!C:W,21,FALSE),VLOOKUP($C60,非生产人员工资!C:AA,25,FALSE)))</f>
        <v>104.57</v>
      </c>
      <c r="Z60" s="7">
        <f>IF(ISERROR(IF(ISERROR(VLOOKUP($C60,非生产人员工资!C:AB,26,FALSE)),VLOOKUP($C60,生产人员工资!C:X,22,FALSE),VLOOKUP($C60,非生产人员工资!C:AB,26,FALSE))),0,IF(ISERROR(VLOOKUP($C60,非生产人员工资!C:AB,26,FALSE)),VLOOKUP($C60,生产人员工资!C:X,22,FALSE),VLOOKUP($C60,非生产人员工资!C:AB,26,FALSE)))</f>
        <v>8.51</v>
      </c>
      <c r="AA60" s="7">
        <f>IF(ISERROR(IF(ISERROR(VLOOKUP($C60,非生产人员工资!C:AC,27,FALSE)),VLOOKUP($C60,生产人员工资!C:Y,23,FALSE),VLOOKUP($C60,非生产人员工资!C:AC,27,FALSE))),0,IF(ISERROR(VLOOKUP($C60,非生产人员工资!C:AC,27,FALSE)),VLOOKUP($C60,生产人员工资!C:Y,23,FALSE),VLOOKUP($C60,非生产人员工资!C:AC,27,FALSE)))</f>
        <v>159</v>
      </c>
      <c r="AB60" s="7">
        <f>IF(ISERROR(IF(ISERROR(VLOOKUP($C60,非生产人员工资!C:AD,28,FALSE)),VLOOKUP($C60,生产人员工资!C:Z,24,FALSE),VLOOKUP($C60,非生产人员工资!C:AD,28,FALSE))),0,IF(ISERROR(VLOOKUP($C60,非生产人员工资!C:AD,28,FALSE)),VLOOKUP($C60,生产人员工资!C:Z,24,FALSE),VLOOKUP($C60,非生产人员工资!C:AD,28,FALSE)))</f>
        <v>261.84</v>
      </c>
      <c r="AC60" s="269">
        <f>ROUND(IF(ISERROR(IF(ISERROR(VLOOKUP($C60,非生产人员工资!C:AF,30,FALSE)),VLOOKUP($C60,生产人员工资!C:AB,26,0),VLOOKUP($C60,非生产人员工资!C:AF,30,FALSE))),0,IF(ISERROR(VLOOKUP($C60,非生产人员工资!C:AF,30,FALSE)),VLOOKUP($C60,生产人员工资!C:AB,26,0),VLOOKUP($C60,非生产人员工资!C:AF,30,FALSE))),2)</f>
        <v>0</v>
      </c>
      <c r="AD60" s="269">
        <f t="shared" si="2"/>
        <v>3026.23</v>
      </c>
      <c r="AE60" s="269" t="str">
        <f>VLOOKUP($C60,员工基本信息!$C:$N,10,FALSE)</f>
        <v>生产成本+注塑</v>
      </c>
      <c r="AF60" s="265" t="str">
        <f>VLOOKUP($C60,员工基本信息!$C:$O,11,FALSE)</f>
        <v>直接成本</v>
      </c>
      <c r="AG60" s="265" t="str">
        <f>VLOOKUP($C60,员工基本信息!$C:$O,12,FALSE)</f>
        <v>注塑车间</v>
      </c>
      <c r="AH60" s="265" t="str">
        <f>VLOOKUP($C60,员工基本信息!$C:$O,13,FALSE)</f>
        <v>生产人员</v>
      </c>
      <c r="AI60" s="249" t="str">
        <f>VLOOKUP($B60,员工基本信息!$B:$S,16,FALSE)</f>
        <v>6214220101205939607</v>
      </c>
      <c r="AJ60" s="249" t="str">
        <f>VLOOKUP($B60,员工基本信息!$B:$S,18,FALSE)</f>
        <v>沧州</v>
      </c>
      <c r="AK60" s="249" t="str">
        <f>VLOOKUP(C60,员工基本信息!$C:$M,11,0)</f>
        <v>直接成本</v>
      </c>
    </row>
    <row r="61" s="250" customFormat="1" customHeight="1" spans="1:37">
      <c r="A61" s="264">
        <v>58</v>
      </c>
      <c r="B61" s="6" t="str">
        <f>本月员工姓名!B59</f>
        <v>赵云香</v>
      </c>
      <c r="C61" s="265" t="str">
        <f>VLOOKUP($B61,员工基本信息!$B:$I,2,FALSE)</f>
        <v>132930197209050085</v>
      </c>
      <c r="D61" s="266" t="str">
        <f>VLOOKUP($B61,员工基本信息!$B:$I,4,FALSE)</f>
        <v>制造管理部-注塑车间</v>
      </c>
      <c r="E61" s="266" t="str">
        <f>VLOOKUP($B61,员工基本信息!$B:$I,5,FALSE)</f>
        <v>注塑工</v>
      </c>
      <c r="F61" s="267">
        <f>IF(ISERROR(VLOOKUP($C61,非生产人员工资!$C:$AD,6,FALSE)),0,VLOOKUP($C61,非生产人员工资!$C:$AD,6,FALSE))</f>
        <v>0</v>
      </c>
      <c r="G61" s="267">
        <f>IF(ISERROR(VLOOKUP($C61,非生产人员工资!C:J,8,0)),0,VLOOKUP($C61,非生产人员工资!C:J,8,FALSE))</f>
        <v>0</v>
      </c>
      <c r="H61" s="7">
        <f>IF(ISERROR(VLOOKUP($C61,非生产人员工资!C:K,9,FALSE)),0,VLOOKUP($C61,非生产人员工资!C:K,9,FALSE))</f>
        <v>0</v>
      </c>
      <c r="I61" s="7">
        <f>IF(ISERROR(VLOOKUP($C61,非生产人员工资!C:L,10,FALSE)),0,VLOOKUP($C61,非生产人员工资!C:L,10,FALSE))</f>
        <v>0</v>
      </c>
      <c r="J61" s="7">
        <f>IF(ISERROR(VLOOKUP($C61,生产人员工资!C:I,7,FALSE)),0,VLOOKUP($C61,生产人员工资!C:I,7,FALSE))</f>
        <v>690</v>
      </c>
      <c r="K61" s="7">
        <f>IF(ISERROR(VLOOKUP($C61,生产人员工资!C:J,8,FALSE)),0,VLOOKUP($C61,生产人员工资!C:J,8,FALSE))</f>
        <v>0</v>
      </c>
      <c r="L61" s="7" t="str">
        <f>IF(ISERROR(IF(ISERROR(VLOOKUP($C61,非生产人员工资!C:N,12,FALSE)),VLOOKUP($C61,生产人员工资!C:K,9,FALSE),VLOOKUP($C61,非生产人员工资!C:N,12,FALSE))),0,IF(ISERROR(VLOOKUP($C61,非生产人员工资!C:N,12,FALSE)),VLOOKUP($C61,生产人员工资!C:K,9,FALSE),VLOOKUP($C61,非生产人员工资!C:N,12,FALSE)))</f>
        <v>0.00</v>
      </c>
      <c r="M61" s="7" t="str">
        <f>IF(ISERROR(IF(ISERROR(VLOOKUP($C61,非生产人员工资!$C:$O,13,FALSE)),VLOOKUP($C61,生产人员工资!$C:$L,10,FALSE),VLOOKUP($C61,非生产人员工资!$C:$O,13,FALSE))),0,IF(ISERROR(VLOOKUP($C61,非生产人员工资!$C:$O,13,FALSE)),VLOOKUP($C61,生产人员工资!$C:$L,10,FALSE),VLOOKUP($C61,非生产人员工资!$C:$O,13,FALSE)))</f>
        <v>0.00</v>
      </c>
      <c r="N61" s="7" t="str">
        <f>IF(ISERROR(IF(ISERROR(VLOOKUP($C61,非生产人员工资!$C:$P,14,FALSE)),VLOOKUP($C61,生产人员工资!$C:$M,11,FALSE),VLOOKUP($C61,非生产人员工资!$C:$P,14,FALSE))),0,IF(ISERROR(VLOOKUP($C61,非生产人员工资!$C:$P,14,FALSE)),VLOOKUP($C61,生产人员工资!$C:$M,11,FALSE),VLOOKUP($C61,非生产人员工资!$C:$P,14,FALSE)))</f>
        <v>0.00</v>
      </c>
      <c r="O61" s="7" t="str">
        <f>IF(ISERROR(IF(ISERROR(VLOOKUP($C61,非生产人员工资!C:Q,15,FALSE)),VLOOKUP($C61,生产人员工资!C:N,12,FALSE),VLOOKUP($C61,非生产人员工资!C:Q,15,FALSE))),0,IF(ISERROR(VLOOKUP($C61,非生产人员工资!C:Q,15,FALSE)),VLOOKUP($C61,生产人员工资!C:N,12,FALSE),VLOOKUP($C61,非生产人员工资!C:Q,15,FALSE)))</f>
        <v>0.00</v>
      </c>
      <c r="P61" s="7">
        <f>IF(ISERROR(IF(ISERROR(VLOOKUP($C61,非生产人员工资!C:R,16,FALSE)),VLOOKUP($C61,生产人员工资!C:O,13,FALSE),VLOOKUP($C61,非生产人员工资!C:R,16,FALSE))),0,IF(ISERROR(VLOOKUP($C61,非生产人员工资!C:R,16,FALSE)),VLOOKUP($C61,生产人员工资!C:O,13,FALSE),VLOOKUP($C61,非生产人员工资!C:R,16,FALSE)))</f>
        <v>50</v>
      </c>
      <c r="Q61" s="7" t="str">
        <f>IF(ISERROR(IF(ISERROR(VLOOKUP($C61,非生产人员工资!C:S,17,FALSE)),VLOOKUP($C61,生产人员工资!C:P,14,FALSE),VLOOKUP($C61,非生产人员工资!C:S,17,FALSE))),0,IF(ISERROR(VLOOKUP($C61,非生产人员工资!C:S,17,FALSE)),VLOOKUP($C61,生产人员工资!C:P,14,FALSE),VLOOKUP($C61,非生产人员工资!C:S,17,FALSE)))</f>
        <v>0.00</v>
      </c>
      <c r="R61" s="7" t="str">
        <f>IF(ISERROR(IF(ISERROR(VLOOKUP($C61,非生产人员工资!C:T,18,FALSE)),VLOOKUP($C61,生产人员工资!C:Q,15,FALSE),VLOOKUP($C61,非生产人员工资!C:T,18,FALSE))),0,IF(ISERROR(VLOOKUP($C61,非生产人员工资!C:T,18,FALSE)),VLOOKUP($C61,生产人员工资!C:Q,15,FALSE),VLOOKUP($C61,非生产人员工资!C:T,18,FALSE)))</f>
        <v>0.00</v>
      </c>
      <c r="S61" s="7">
        <f>IF(ISERROR(VLOOKUP($C61,非生产人员工资!C:U,19,FALSE)),0,VLOOKUP($C61,非生产人员工资!C:U,19,FALSE))</f>
        <v>0</v>
      </c>
      <c r="T61" s="7" t="str">
        <f>IF(ISERROR(IF(ISERROR(VLOOKUP($C61,非生产人员工资!C:V,20,FALSE)),VLOOKUP($C61,生产人员工资!C:R,16,FALSE),VLOOKUP($C61,非生产人员工资!C:V,20,FALSE))),0,IF(ISERROR(VLOOKUP($C61,非生产人员工资!C:V,20,FALSE)),VLOOKUP($C61,生产人员工资!$C:$R,16,FALSE),VLOOKUP($C61,非生产人员工资!C:V,20,FALSE)))</f>
        <v>0.00</v>
      </c>
      <c r="U61" s="7" t="str">
        <f>IF(ISERROR(IF(ISERROR(VLOOKUP($C61,非生产人员工资!C:W,21,FALSE)),VLOOKUP($C61,生产人员工资!C:S,17,FALSE),VLOOKUP($C61,非生产人员工资!C:W,21,FALSE))),0,IF(ISERROR(VLOOKUP($C61,非生产人员工资!C:W,21,FALSE)),VLOOKUP($C61,生产人员工资!C:S,17,FALSE),VLOOKUP($C61,非生产人员工资!C:W,21,FALSE)))</f>
        <v>0.00</v>
      </c>
      <c r="V61" s="7" t="str">
        <f>IF(ISERROR(IF(ISERROR(VLOOKUP($C61,非生产人员工资!C:X,22,FALSE)),VLOOKUP($C61,生产人员工资!C:T,18,FALSE),VLOOKUP($C61,非生产人员工资!C:X,22,FALSE))),0,IF(ISERROR(VLOOKUP($C61,非生产人员工资!C:X,22,FALSE)),VLOOKUP($C61,生产人员工资!C:T,18,FALSE),VLOOKUP($C61,非生产人员工资!C:X,22,FALSE)))</f>
        <v>0.00</v>
      </c>
      <c r="W61" s="7">
        <f t="shared" si="3"/>
        <v>740</v>
      </c>
      <c r="X61" s="7" t="str">
        <f>IF(ISERROR(IF(ISERROR(VLOOKUP($C61,非生产人员工资!C:Z,24,FALSE)),VLOOKUP($C61,生产人员工资!C:V,20,FALSE),VLOOKUP($C61,非生产人员工资!$C:$Z,24,FALSE))),0,IF(ISERROR(VLOOKUP($C61,非生产人员工资!$C:$Z,24,FALSE)),VLOOKUP($C61,生产人员工资!$C:$V,20,FALSE),VLOOKUP($C61,非生产人员工资!$C:$Z,24,FALSE)))</f>
        <v>0.00</v>
      </c>
      <c r="Y61" s="7" t="str">
        <f>IF(ISERROR(IF(ISERROR(VLOOKUP($C61,非生产人员工资!C:AA,25,FALSE)),VLOOKUP($C61,生产人员工资!C:W,21,FALSE),VLOOKUP($C61,非生产人员工资!C:AA,25,FALSE))),0,IF(ISERROR(VLOOKUP($C61,非生产人员工资!C:AA,25,FALSE)),VLOOKUP($C61,生产人员工资!C:W,21,FALSE),VLOOKUP($C61,非生产人员工资!C:AA,25,FALSE)))</f>
        <v>0.00</v>
      </c>
      <c r="Z61" s="7" t="str">
        <f>IF(ISERROR(IF(ISERROR(VLOOKUP($C61,非生产人员工资!C:AB,26,FALSE)),VLOOKUP($C61,生产人员工资!C:X,22,FALSE),VLOOKUP($C61,非生产人员工资!C:AB,26,FALSE))),0,IF(ISERROR(VLOOKUP($C61,非生产人员工资!C:AB,26,FALSE)),VLOOKUP($C61,生产人员工资!C:X,22,FALSE),VLOOKUP($C61,非生产人员工资!C:AB,26,FALSE)))</f>
        <v>0.00</v>
      </c>
      <c r="AA61" s="7" t="str">
        <f>IF(ISERROR(IF(ISERROR(VLOOKUP($C61,非生产人员工资!C:AC,27,FALSE)),VLOOKUP($C61,生产人员工资!C:Y,23,FALSE),VLOOKUP($C61,非生产人员工资!C:AC,27,FALSE))),0,IF(ISERROR(VLOOKUP($C61,非生产人员工资!C:AC,27,FALSE)),VLOOKUP($C61,生产人员工资!C:Y,23,FALSE),VLOOKUP($C61,非生产人员工资!C:AC,27,FALSE)))</f>
        <v>0.00</v>
      </c>
      <c r="AB61" s="7">
        <f>IF(ISERROR(IF(ISERROR(VLOOKUP($C61,非生产人员工资!C:AD,28,FALSE)),VLOOKUP($C61,生产人员工资!C:Z,24,FALSE),VLOOKUP($C61,非生产人员工资!C:AD,28,FALSE))),0,IF(ISERROR(VLOOKUP($C61,非生产人员工资!C:AD,28,FALSE)),VLOOKUP($C61,生产人员工资!C:Z,24,FALSE),VLOOKUP($C61,非生产人员工资!C:AD,28,FALSE)))</f>
        <v>0</v>
      </c>
      <c r="AC61" s="269">
        <f>ROUND(IF(ISERROR(IF(ISERROR(VLOOKUP($C61,非生产人员工资!C:AF,30,FALSE)),VLOOKUP($C61,生产人员工资!C:AB,26,0),VLOOKUP($C61,非生产人员工资!C:AF,30,FALSE))),0,IF(ISERROR(VLOOKUP($C61,非生产人员工资!C:AF,30,FALSE)),VLOOKUP($C61,生产人员工资!C:AB,26,0),VLOOKUP($C61,非生产人员工资!C:AF,30,FALSE))),2)</f>
        <v>0</v>
      </c>
      <c r="AD61" s="269">
        <f t="shared" si="2"/>
        <v>740</v>
      </c>
      <c r="AE61" s="269" t="str">
        <f>VLOOKUP($C61,员工基本信息!$C:$N,10,FALSE)</f>
        <v>生产成本+注塑</v>
      </c>
      <c r="AF61" s="265" t="str">
        <f>VLOOKUP($C61,员工基本信息!$C:$O,11,FALSE)</f>
        <v>直接成本</v>
      </c>
      <c r="AG61" s="265" t="str">
        <f>VLOOKUP($C61,员工基本信息!$C:$O,12,FALSE)</f>
        <v>注塑车间</v>
      </c>
      <c r="AH61" s="265" t="str">
        <f>VLOOKUP($C61,员工基本信息!$C:$O,13,FALSE)</f>
        <v>生产人员</v>
      </c>
      <c r="AI61" s="249" t="str">
        <f>VLOOKUP($B61,员工基本信息!$B:$S,16,FALSE)</f>
        <v>6214220101209250670</v>
      </c>
      <c r="AJ61" s="249" t="str">
        <f>VLOOKUP($B61,员工基本信息!$B:$S,18,FALSE)</f>
        <v>沧州</v>
      </c>
      <c r="AK61" s="249" t="str">
        <f>VLOOKUP(C61,员工基本信息!$C:$M,11,0)</f>
        <v>直接成本</v>
      </c>
    </row>
    <row r="62" s="250" customFormat="1" customHeight="1" spans="1:37">
      <c r="A62" s="264">
        <v>59</v>
      </c>
      <c r="B62" s="6" t="str">
        <f>本月员工姓名!B60</f>
        <v>刘瑜</v>
      </c>
      <c r="C62" s="265" t="str">
        <f>VLOOKUP($B62,员工基本信息!$B:$I,2,FALSE)</f>
        <v>13098319860907142X</v>
      </c>
      <c r="D62" s="266" t="str">
        <f>VLOOKUP($B62,员工基本信息!$B:$I,4,FALSE)</f>
        <v>制造管理部-组装车间</v>
      </c>
      <c r="E62" s="266" t="str">
        <f>VLOOKUP($B62,员工基本信息!$B:$I,5,FALSE)</f>
        <v>组装工</v>
      </c>
      <c r="F62" s="267">
        <f>IF(ISERROR(VLOOKUP($C62,非生产人员工资!$C:$AD,6,FALSE)),0,VLOOKUP($C62,非生产人员工资!$C:$AD,6,FALSE))</f>
        <v>0</v>
      </c>
      <c r="G62" s="267">
        <f>IF(ISERROR(VLOOKUP($C62,非生产人员工资!C:J,8,0)),0,VLOOKUP($C62,非生产人员工资!C:J,8,FALSE))</f>
        <v>0</v>
      </c>
      <c r="H62" s="7">
        <f>IF(ISERROR(VLOOKUP($C62,非生产人员工资!C:K,9,FALSE)),0,VLOOKUP($C62,非生产人员工资!C:K,9,FALSE))</f>
        <v>0</v>
      </c>
      <c r="I62" s="7">
        <f>IF(ISERROR(VLOOKUP($C62,非生产人员工资!C:L,10,FALSE)),0,VLOOKUP($C62,非生产人员工资!C:L,10,FALSE))</f>
        <v>0</v>
      </c>
      <c r="J62" s="7">
        <f>IF(ISERROR(VLOOKUP($C62,生产人员工资!C:I,7,FALSE)),0,VLOOKUP($C62,生产人员工资!C:I,7,FALSE))</f>
        <v>2592</v>
      </c>
      <c r="K62" s="7">
        <f>IF(ISERROR(VLOOKUP($C62,生产人员工资!C:J,8,FALSE)),0,VLOOKUP($C62,生产人员工资!C:J,8,FALSE))</f>
        <v>375.1</v>
      </c>
      <c r="L62" s="7" t="str">
        <f>IF(ISERROR(IF(ISERROR(VLOOKUP($C62,非生产人员工资!C:N,12,FALSE)),VLOOKUP($C62,生产人员工资!C:K,9,FALSE),VLOOKUP($C62,非生产人员工资!C:N,12,FALSE))),0,IF(ISERROR(VLOOKUP($C62,非生产人员工资!C:N,12,FALSE)),VLOOKUP($C62,生产人员工资!C:K,9,FALSE),VLOOKUP($C62,非生产人员工资!C:N,12,FALSE)))</f>
        <v>0.00</v>
      </c>
      <c r="M62" s="7" t="str">
        <f>IF(ISERROR(IF(ISERROR(VLOOKUP($C62,非生产人员工资!$C:$O,13,FALSE)),VLOOKUP($C62,生产人员工资!$C:$L,10,FALSE),VLOOKUP($C62,非生产人员工资!$C:$O,13,FALSE))),0,IF(ISERROR(VLOOKUP($C62,非生产人员工资!$C:$O,13,FALSE)),VLOOKUP($C62,生产人员工资!$C:$L,10,FALSE),VLOOKUP($C62,非生产人员工资!$C:$O,13,FALSE)))</f>
        <v>0.00</v>
      </c>
      <c r="N62" s="7" t="str">
        <f>IF(ISERROR(IF(ISERROR(VLOOKUP($C62,非生产人员工资!$C:$P,14,FALSE)),VLOOKUP($C62,生产人员工资!$C:$M,11,FALSE),VLOOKUP($C62,非生产人员工资!$C:$P,14,FALSE))),0,IF(ISERROR(VLOOKUP($C62,非生产人员工资!$C:$P,14,FALSE)),VLOOKUP($C62,生产人员工资!$C:$M,11,FALSE),VLOOKUP($C62,非生产人员工资!$C:$P,14,FALSE)))</f>
        <v>0.00</v>
      </c>
      <c r="O62" s="7" t="str">
        <f>IF(ISERROR(IF(ISERROR(VLOOKUP($C62,非生产人员工资!C:Q,15,FALSE)),VLOOKUP($C62,生产人员工资!C:N,12,FALSE),VLOOKUP($C62,非生产人员工资!C:Q,15,FALSE))),0,IF(ISERROR(VLOOKUP($C62,非生产人员工资!C:Q,15,FALSE)),VLOOKUP($C62,生产人员工资!C:N,12,FALSE),VLOOKUP($C62,非生产人员工资!C:Q,15,FALSE)))</f>
        <v>0.00</v>
      </c>
      <c r="P62" s="7" t="str">
        <f>IF(ISERROR(IF(ISERROR(VLOOKUP($C62,非生产人员工资!C:R,16,FALSE)),VLOOKUP($C62,生产人员工资!C:O,13,FALSE),VLOOKUP($C62,非生产人员工资!C:R,16,FALSE))),0,IF(ISERROR(VLOOKUP($C62,非生产人员工资!C:R,16,FALSE)),VLOOKUP($C62,生产人员工资!C:O,13,FALSE),VLOOKUP($C62,非生产人员工资!C:R,16,FALSE)))</f>
        <v>0.00</v>
      </c>
      <c r="Q62" s="7" t="str">
        <f>IF(ISERROR(IF(ISERROR(VLOOKUP($C62,非生产人员工资!C:S,17,FALSE)),VLOOKUP($C62,生产人员工资!C:P,14,FALSE),VLOOKUP($C62,非生产人员工资!C:S,17,FALSE))),0,IF(ISERROR(VLOOKUP($C62,非生产人员工资!C:S,17,FALSE)),VLOOKUP($C62,生产人员工资!C:P,14,FALSE),VLOOKUP($C62,非生产人员工资!C:S,17,FALSE)))</f>
        <v>0.00</v>
      </c>
      <c r="R62" s="7" t="str">
        <f>IF(ISERROR(IF(ISERROR(VLOOKUP($C62,非生产人员工资!C:T,18,FALSE)),VLOOKUP($C62,生产人员工资!C:Q,15,FALSE),VLOOKUP($C62,非生产人员工资!C:T,18,FALSE))),0,IF(ISERROR(VLOOKUP($C62,非生产人员工资!C:T,18,FALSE)),VLOOKUP($C62,生产人员工资!C:Q,15,FALSE),VLOOKUP($C62,非生产人员工资!C:T,18,FALSE)))</f>
        <v>0.00</v>
      </c>
      <c r="S62" s="7">
        <f>IF(ISERROR(VLOOKUP($C62,非生产人员工资!C:U,19,FALSE)),0,VLOOKUP($C62,非生产人员工资!C:U,19,FALSE))</f>
        <v>0</v>
      </c>
      <c r="T62" s="7" t="str">
        <f>IF(ISERROR(IF(ISERROR(VLOOKUP($C62,非生产人员工资!C:V,20,FALSE)),VLOOKUP($C62,生产人员工资!C:R,16,FALSE),VLOOKUP($C62,非生产人员工资!C:V,20,FALSE))),0,IF(ISERROR(VLOOKUP($C62,非生产人员工资!C:V,20,FALSE)),VLOOKUP($C62,生产人员工资!$C:$R,16,FALSE),VLOOKUP($C62,非生产人员工资!C:V,20,FALSE)))</f>
        <v>0.00</v>
      </c>
      <c r="U62" s="7" t="str">
        <f>IF(ISERROR(IF(ISERROR(VLOOKUP($C62,非生产人员工资!C:W,21,FALSE)),VLOOKUP($C62,生产人员工资!C:S,17,FALSE),VLOOKUP($C62,非生产人员工资!C:W,21,FALSE))),0,IF(ISERROR(VLOOKUP($C62,非生产人员工资!C:W,21,FALSE)),VLOOKUP($C62,生产人员工资!C:S,17,FALSE),VLOOKUP($C62,非生产人员工资!C:W,21,FALSE)))</f>
        <v>0.00</v>
      </c>
      <c r="V62" s="7" t="str">
        <f>IF(ISERROR(IF(ISERROR(VLOOKUP($C62,非生产人员工资!C:X,22,FALSE)),VLOOKUP($C62,生产人员工资!C:T,18,FALSE),VLOOKUP($C62,非生产人员工资!C:X,22,FALSE))),0,IF(ISERROR(VLOOKUP($C62,非生产人员工资!C:X,22,FALSE)),VLOOKUP($C62,生产人员工资!C:T,18,FALSE),VLOOKUP($C62,非生产人员工资!C:X,22,FALSE)))</f>
        <v>0.00</v>
      </c>
      <c r="W62" s="7">
        <f t="shared" si="3"/>
        <v>2967.1</v>
      </c>
      <c r="X62" s="7">
        <f>IF(ISERROR(IF(ISERROR(VLOOKUP($C62,非生产人员工资!C:Z,24,FALSE)),VLOOKUP($C62,生产人员工资!C:V,20,FALSE),VLOOKUP($C62,非生产人员工资!$C:$Z,24,FALSE))),0,IF(ISERROR(VLOOKUP($C62,非生产人员工资!$C:$Z,24,FALSE)),VLOOKUP($C62,生产人员工资!$C:$V,20,FALSE),VLOOKUP($C62,非生产人员工资!$C:$Z,24,FALSE)))</f>
        <v>243.36</v>
      </c>
      <c r="Y62" s="7">
        <f>IF(ISERROR(IF(ISERROR(VLOOKUP($C62,非生产人员工资!C:AA,25,FALSE)),VLOOKUP($C62,生产人员工资!C:W,21,FALSE),VLOOKUP($C62,非生产人员工资!C:AA,25,FALSE))),0,IF(ISERROR(VLOOKUP($C62,非生产人员工资!C:AA,25,FALSE)),VLOOKUP($C62,生产人员工资!C:W,21,FALSE),VLOOKUP($C62,非生产人员工资!C:AA,25,FALSE)))</f>
        <v>104.57</v>
      </c>
      <c r="Z62" s="7">
        <f>IF(ISERROR(IF(ISERROR(VLOOKUP($C62,非生产人员工资!C:AB,26,FALSE)),VLOOKUP($C62,生产人员工资!C:X,22,FALSE),VLOOKUP($C62,非生产人员工资!C:AB,26,FALSE))),0,IF(ISERROR(VLOOKUP($C62,非生产人员工资!C:AB,26,FALSE)),VLOOKUP($C62,生产人员工资!C:X,22,FALSE),VLOOKUP($C62,非生产人员工资!C:AB,26,FALSE)))</f>
        <v>9.13</v>
      </c>
      <c r="AA62" s="7">
        <f>IF(ISERROR(IF(ISERROR(VLOOKUP($C62,非生产人员工资!C:AC,27,FALSE)),VLOOKUP($C62,生产人员工资!C:Y,23,FALSE),VLOOKUP($C62,非生产人员工资!C:AC,27,FALSE))),0,IF(ISERROR(VLOOKUP($C62,非生产人员工资!C:AC,27,FALSE)),VLOOKUP($C62,生产人员工资!C:Y,23,FALSE),VLOOKUP($C62,非生产人员工资!C:AC,27,FALSE)))</f>
        <v>89.5</v>
      </c>
      <c r="AB62" s="7">
        <f>IF(ISERROR(IF(ISERROR(VLOOKUP($C62,非生产人员工资!C:AD,28,FALSE)),VLOOKUP($C62,生产人员工资!C:Z,24,FALSE),VLOOKUP($C62,非生产人员工资!C:AD,28,FALSE))),0,IF(ISERROR(VLOOKUP($C62,非生产人员工资!C:AD,28,FALSE)),VLOOKUP($C62,生产人员工资!C:Z,24,FALSE),VLOOKUP($C62,非生产人员工资!C:AD,28,FALSE)))</f>
        <v>65.08</v>
      </c>
      <c r="AC62" s="269">
        <f>ROUND(IF(ISERROR(IF(ISERROR(VLOOKUP($C62,非生产人员工资!C:AF,30,FALSE)),VLOOKUP($C62,生产人员工资!C:AB,26,0),VLOOKUP($C62,非生产人员工资!C:AF,30,FALSE))),0,IF(ISERROR(VLOOKUP($C62,非生产人员工资!C:AF,30,FALSE)),VLOOKUP($C62,生产人员工资!C:AB,26,0),VLOOKUP($C62,非生产人员工资!C:AF,30,FALSE))),2)</f>
        <v>0</v>
      </c>
      <c r="AD62" s="269">
        <f t="shared" si="2"/>
        <v>2455.46</v>
      </c>
      <c r="AE62" s="269" t="str">
        <f>VLOOKUP($C62,员工基本信息!$C:$N,10,FALSE)</f>
        <v>生产成本+组装</v>
      </c>
      <c r="AF62" s="265" t="str">
        <f>VLOOKUP($C62,员工基本信息!$C:$O,11,FALSE)</f>
        <v>直接成本</v>
      </c>
      <c r="AG62" s="265" t="str">
        <f>VLOOKUP($C62,员工基本信息!$C:$O,12,FALSE)</f>
        <v>组装车间</v>
      </c>
      <c r="AH62" s="265" t="str">
        <f>VLOOKUP($C62,员工基本信息!$C:$O,13,FALSE)</f>
        <v>生产人员</v>
      </c>
      <c r="AI62" s="249" t="str">
        <f>VLOOKUP($B62,员工基本信息!$B:$S,16,FALSE)</f>
        <v>6214220101209042457</v>
      </c>
      <c r="AJ62" s="249" t="str">
        <f>VLOOKUP($B62,员工基本信息!$B:$S,18,FALSE)</f>
        <v>沧州</v>
      </c>
      <c r="AK62" s="249" t="str">
        <f>VLOOKUP(C62,员工基本信息!$C:$M,11,0)</f>
        <v>直接成本</v>
      </c>
    </row>
    <row r="63" s="250" customFormat="1" customHeight="1" spans="1:37">
      <c r="A63" s="264">
        <v>60</v>
      </c>
      <c r="B63" s="6" t="str">
        <f>本月员工姓名!B61</f>
        <v>滕志勇</v>
      </c>
      <c r="C63" s="265" t="str">
        <f>VLOOKUP($B63,员工基本信息!$B:$I,2,FALSE)</f>
        <v>130983199909282418</v>
      </c>
      <c r="D63" s="266" t="str">
        <f>VLOOKUP($B63,员工基本信息!$B:$I,4,FALSE)</f>
        <v>制造管理部-组装车间</v>
      </c>
      <c r="E63" s="266" t="str">
        <f>VLOOKUP($B63,员工基本信息!$B:$I,5,FALSE)</f>
        <v>组装工</v>
      </c>
      <c r="F63" s="267">
        <f>IF(ISERROR(VLOOKUP($C63,非生产人员工资!$C:$AD,6,FALSE)),0,VLOOKUP($C63,非生产人员工资!$C:$AD,6,FALSE))</f>
        <v>0</v>
      </c>
      <c r="G63" s="267">
        <f>IF(ISERROR(VLOOKUP($C63,非生产人员工资!C:J,8,0)),0,VLOOKUP($C63,非生产人员工资!C:J,8,FALSE))</f>
        <v>0</v>
      </c>
      <c r="H63" s="7">
        <f>IF(ISERROR(VLOOKUP($C63,非生产人员工资!C:K,9,FALSE)),0,VLOOKUP($C63,非生产人员工资!C:K,9,FALSE))</f>
        <v>0</v>
      </c>
      <c r="I63" s="7">
        <f>IF(ISERROR(VLOOKUP($C63,非生产人员工资!C:L,10,FALSE)),0,VLOOKUP($C63,非生产人员工资!C:L,10,FALSE))</f>
        <v>0</v>
      </c>
      <c r="J63" s="7">
        <f>IF(ISERROR(VLOOKUP($C63,生产人员工资!C:I,7,FALSE)),0,VLOOKUP($C63,生产人员工资!C:I,7,FALSE))</f>
        <v>1609.3</v>
      </c>
      <c r="K63" s="7">
        <f>IF(ISERROR(VLOOKUP($C63,生产人员工资!C:J,8,FALSE)),0,VLOOKUP($C63,生产人员工资!C:J,8,FALSE))</f>
        <v>248.71</v>
      </c>
      <c r="L63" s="7" t="str">
        <f>IF(ISERROR(IF(ISERROR(VLOOKUP($C63,非生产人员工资!C:N,12,FALSE)),VLOOKUP($C63,生产人员工资!C:K,9,FALSE),VLOOKUP($C63,非生产人员工资!C:N,12,FALSE))),0,IF(ISERROR(VLOOKUP($C63,非生产人员工资!C:N,12,FALSE)),VLOOKUP($C63,生产人员工资!C:K,9,FALSE),VLOOKUP($C63,非生产人员工资!C:N,12,FALSE)))</f>
        <v>0.00</v>
      </c>
      <c r="M63" s="7" t="str">
        <f>IF(ISERROR(IF(ISERROR(VLOOKUP($C63,非生产人员工资!$C:$O,13,FALSE)),VLOOKUP($C63,生产人员工资!$C:$L,10,FALSE),VLOOKUP($C63,非生产人员工资!$C:$O,13,FALSE))),0,IF(ISERROR(VLOOKUP($C63,非生产人员工资!$C:$O,13,FALSE)),VLOOKUP($C63,生产人员工资!$C:$L,10,FALSE),VLOOKUP($C63,非生产人员工资!$C:$O,13,FALSE)))</f>
        <v>0.00</v>
      </c>
      <c r="N63" s="7" t="str">
        <f>IF(ISERROR(IF(ISERROR(VLOOKUP($C63,非生产人员工资!$C:$P,14,FALSE)),VLOOKUP($C63,生产人员工资!$C:$M,11,FALSE),VLOOKUP($C63,非生产人员工资!$C:$P,14,FALSE))),0,IF(ISERROR(VLOOKUP($C63,非生产人员工资!$C:$P,14,FALSE)),VLOOKUP($C63,生产人员工资!$C:$M,11,FALSE),VLOOKUP($C63,非生产人员工资!$C:$P,14,FALSE)))</f>
        <v>0.00</v>
      </c>
      <c r="O63" s="7" t="str">
        <f>IF(ISERROR(IF(ISERROR(VLOOKUP($C63,非生产人员工资!C:Q,15,FALSE)),VLOOKUP($C63,生产人员工资!C:N,12,FALSE),VLOOKUP($C63,非生产人员工资!C:Q,15,FALSE))),0,IF(ISERROR(VLOOKUP($C63,非生产人员工资!C:Q,15,FALSE)),VLOOKUP($C63,生产人员工资!C:N,12,FALSE),VLOOKUP($C63,非生产人员工资!C:Q,15,FALSE)))</f>
        <v>0.00</v>
      </c>
      <c r="P63" s="7" t="str">
        <f>IF(ISERROR(IF(ISERROR(VLOOKUP($C63,非生产人员工资!C:R,16,FALSE)),VLOOKUP($C63,生产人员工资!C:O,13,FALSE),VLOOKUP($C63,非生产人员工资!C:R,16,FALSE))),0,IF(ISERROR(VLOOKUP($C63,非生产人员工资!C:R,16,FALSE)),VLOOKUP($C63,生产人员工资!C:O,13,FALSE),VLOOKUP($C63,非生产人员工资!C:R,16,FALSE)))</f>
        <v>0.00</v>
      </c>
      <c r="Q63" s="7" t="str">
        <f>IF(ISERROR(IF(ISERROR(VLOOKUP($C63,非生产人员工资!C:S,17,FALSE)),VLOOKUP($C63,生产人员工资!C:P,14,FALSE),VLOOKUP($C63,非生产人员工资!C:S,17,FALSE))),0,IF(ISERROR(VLOOKUP($C63,非生产人员工资!C:S,17,FALSE)),VLOOKUP($C63,生产人员工资!C:P,14,FALSE),VLOOKUP($C63,非生产人员工资!C:S,17,FALSE)))</f>
        <v>0.00</v>
      </c>
      <c r="R63" s="7" t="str">
        <f>IF(ISERROR(IF(ISERROR(VLOOKUP($C63,非生产人员工资!C:T,18,FALSE)),VLOOKUP($C63,生产人员工资!C:Q,15,FALSE),VLOOKUP($C63,非生产人员工资!C:T,18,FALSE))),0,IF(ISERROR(VLOOKUP($C63,非生产人员工资!C:T,18,FALSE)),VLOOKUP($C63,生产人员工资!C:Q,15,FALSE),VLOOKUP($C63,非生产人员工资!C:T,18,FALSE)))</f>
        <v>0.00</v>
      </c>
      <c r="S63" s="7">
        <f>IF(ISERROR(VLOOKUP($C63,非生产人员工资!C:U,19,FALSE)),0,VLOOKUP($C63,非生产人员工资!C:U,19,FALSE))</f>
        <v>0</v>
      </c>
      <c r="T63" s="7" t="str">
        <f>IF(ISERROR(IF(ISERROR(VLOOKUP($C63,非生产人员工资!C:V,20,FALSE)),VLOOKUP($C63,生产人员工资!C:R,16,FALSE),VLOOKUP($C63,非生产人员工资!C:V,20,FALSE))),0,IF(ISERROR(VLOOKUP($C63,非生产人员工资!C:V,20,FALSE)),VLOOKUP($C63,生产人员工资!$C:$R,16,FALSE),VLOOKUP($C63,非生产人员工资!C:V,20,FALSE)))</f>
        <v>0.00</v>
      </c>
      <c r="U63" s="7" t="str">
        <f>IF(ISERROR(IF(ISERROR(VLOOKUP($C63,非生产人员工资!C:W,21,FALSE)),VLOOKUP($C63,生产人员工资!C:S,17,FALSE),VLOOKUP($C63,非生产人员工资!C:W,21,FALSE))),0,IF(ISERROR(VLOOKUP($C63,非生产人员工资!C:W,21,FALSE)),VLOOKUP($C63,生产人员工资!C:S,17,FALSE),VLOOKUP($C63,非生产人员工资!C:W,21,FALSE)))</f>
        <v>0.00</v>
      </c>
      <c r="V63" s="7" t="str">
        <f>IF(ISERROR(IF(ISERROR(VLOOKUP($C63,非生产人员工资!C:X,22,FALSE)),VLOOKUP($C63,生产人员工资!C:T,18,FALSE),VLOOKUP($C63,非生产人员工资!C:X,22,FALSE))),0,IF(ISERROR(VLOOKUP($C63,非生产人员工资!C:X,22,FALSE)),VLOOKUP($C63,生产人员工资!C:T,18,FALSE),VLOOKUP($C63,非生产人员工资!C:X,22,FALSE)))</f>
        <v>0.00</v>
      </c>
      <c r="W63" s="7">
        <f t="shared" si="3"/>
        <v>1858.01</v>
      </c>
      <c r="X63" s="7">
        <f>IF(ISERROR(IF(ISERROR(VLOOKUP($C63,非生产人员工资!C:Z,24,FALSE)),VLOOKUP($C63,生产人员工资!C:V,20,FALSE),VLOOKUP($C63,非生产人员工资!$C:$Z,24,FALSE))),0,IF(ISERROR(VLOOKUP($C63,非生产人员工资!$C:$Z,24,FALSE)),VLOOKUP($C63,生产人员工资!$C:$V,20,FALSE),VLOOKUP($C63,非生产人员工资!$C:$Z,24,FALSE)))</f>
        <v>243.36</v>
      </c>
      <c r="Y63" s="7">
        <f>IF(ISERROR(IF(ISERROR(VLOOKUP($C63,非生产人员工资!C:AA,25,FALSE)),VLOOKUP($C63,生产人员工资!C:W,21,FALSE),VLOOKUP($C63,非生产人员工资!C:AA,25,FALSE))),0,IF(ISERROR(VLOOKUP($C63,非生产人员工资!C:AA,25,FALSE)),VLOOKUP($C63,生产人员工资!C:W,21,FALSE),VLOOKUP($C63,非生产人员工资!C:AA,25,FALSE)))</f>
        <v>104.57</v>
      </c>
      <c r="Z63" s="7">
        <f>IF(ISERROR(IF(ISERROR(VLOOKUP($C63,非生产人员工资!C:AB,26,FALSE)),VLOOKUP($C63,生产人员工资!C:X,22,FALSE),VLOOKUP($C63,非生产人员工资!C:AB,26,FALSE))),0,IF(ISERROR(VLOOKUP($C63,非生产人员工资!C:AB,26,FALSE)),VLOOKUP($C63,生产人员工资!C:X,22,FALSE),VLOOKUP($C63,非生产人员工资!C:AB,26,FALSE)))</f>
        <v>9.13</v>
      </c>
      <c r="AA63" s="7">
        <f>IF(ISERROR(IF(ISERROR(VLOOKUP($C63,非生产人员工资!C:AC,27,FALSE)),VLOOKUP($C63,生产人员工资!C:Y,23,FALSE),VLOOKUP($C63,非生产人员工资!C:AC,27,FALSE))),0,IF(ISERROR(VLOOKUP($C63,非生产人员工资!C:AC,27,FALSE)),VLOOKUP($C63,生产人员工资!C:Y,23,FALSE),VLOOKUP($C63,非生产人员工资!C:AC,27,FALSE)))</f>
        <v>89.5</v>
      </c>
      <c r="AB63" s="7">
        <f>IF(ISERROR(IF(ISERROR(VLOOKUP($C63,非生产人员工资!C:AD,28,FALSE)),VLOOKUP($C63,生产人员工资!C:Z,24,FALSE),VLOOKUP($C63,非生产人员工资!C:AD,28,FALSE))),0,IF(ISERROR(VLOOKUP($C63,非生产人员工资!C:AD,28,FALSE)),VLOOKUP($C63,生产人员工资!C:Z,24,FALSE),VLOOKUP($C63,非生产人员工资!C:AD,28,FALSE)))</f>
        <v>48.81</v>
      </c>
      <c r="AC63" s="269">
        <f>ROUND(IF(ISERROR(IF(ISERROR(VLOOKUP($C63,非生产人员工资!C:AF,30,FALSE)),VLOOKUP($C63,生产人员工资!C:AB,26,0),VLOOKUP($C63,非生产人员工资!C:AF,30,FALSE))),0,IF(ISERROR(VLOOKUP($C63,非生产人员工资!C:AF,30,FALSE)),VLOOKUP($C63,生产人员工资!C:AB,26,0),VLOOKUP($C63,非生产人员工资!C:AF,30,FALSE))),2)</f>
        <v>0</v>
      </c>
      <c r="AD63" s="269">
        <f t="shared" si="2"/>
        <v>1362.64</v>
      </c>
      <c r="AE63" s="269" t="str">
        <f>VLOOKUP($C63,员工基本信息!$C:$N,10,FALSE)</f>
        <v>生产成本+组装</v>
      </c>
      <c r="AF63" s="265" t="str">
        <f>VLOOKUP($C63,员工基本信息!$C:$O,11,FALSE)</f>
        <v>直接成本</v>
      </c>
      <c r="AG63" s="265" t="str">
        <f>VLOOKUP($C63,员工基本信息!$C:$O,12,FALSE)</f>
        <v>组装车间</v>
      </c>
      <c r="AH63" s="265" t="str">
        <f>VLOOKUP($C63,员工基本信息!$C:$O,13,FALSE)</f>
        <v>生产人员</v>
      </c>
      <c r="AI63" s="298" t="s">
        <v>51</v>
      </c>
      <c r="AJ63" s="249" t="str">
        <f>VLOOKUP($B63,员工基本信息!$B:$S,18,FALSE)</f>
        <v>沧州</v>
      </c>
      <c r="AK63" s="249" t="str">
        <f>VLOOKUP(C63,员工基本信息!$C:$M,11,0)</f>
        <v>直接成本</v>
      </c>
    </row>
    <row r="64" s="250" customFormat="1" customHeight="1" spans="1:37">
      <c r="A64" s="264">
        <v>61</v>
      </c>
      <c r="B64" s="6" t="str">
        <f>本月员工姓名!B62</f>
        <v>白月</v>
      </c>
      <c r="C64" s="265" t="str">
        <f>VLOOKUP($B64,员工基本信息!$B:$I,2,FALSE)</f>
        <v>132930197709123543</v>
      </c>
      <c r="D64" s="266" t="str">
        <f>VLOOKUP($B64,员工基本信息!$B:$I,4,FALSE)</f>
        <v>制造管理部-组装车间</v>
      </c>
      <c r="E64" s="266" t="str">
        <f>VLOOKUP($B64,员工基本信息!$B:$I,5,FALSE)</f>
        <v>组装工</v>
      </c>
      <c r="F64" s="267">
        <f>IF(ISERROR(VLOOKUP($C64,非生产人员工资!$C:$AD,6,FALSE)),0,VLOOKUP($C64,非生产人员工资!$C:$AD,6,FALSE))</f>
        <v>0</v>
      </c>
      <c r="G64" s="267">
        <f>IF(ISERROR(VLOOKUP($C64,非生产人员工资!C:J,8,0)),0,VLOOKUP($C64,非生产人员工资!C:J,8,FALSE))</f>
        <v>0</v>
      </c>
      <c r="H64" s="7">
        <f>IF(ISERROR(VLOOKUP($C64,非生产人员工资!C:K,9,FALSE)),0,VLOOKUP($C64,非生产人员工资!C:K,9,FALSE))</f>
        <v>0</v>
      </c>
      <c r="I64" s="7">
        <f>IF(ISERROR(VLOOKUP($C64,非生产人员工资!C:L,10,FALSE)),0,VLOOKUP($C64,非生产人员工资!C:L,10,FALSE))</f>
        <v>0</v>
      </c>
      <c r="J64" s="7">
        <f>IF(ISERROR(VLOOKUP($C64,生产人员工资!C:I,7,FALSE)),0,VLOOKUP($C64,生产人员工资!C:I,7,FALSE))</f>
        <v>1639.55</v>
      </c>
      <c r="K64" s="7">
        <f>IF(ISERROR(VLOOKUP($C64,生产人员工资!C:J,8,FALSE)),0,VLOOKUP($C64,生产人员工资!C:J,8,FALSE))</f>
        <v>130.08</v>
      </c>
      <c r="L64" s="7" t="str">
        <f>IF(ISERROR(IF(ISERROR(VLOOKUP($C64,非生产人员工资!C:N,12,FALSE)),VLOOKUP($C64,生产人员工资!C:K,9,FALSE),VLOOKUP($C64,非生产人员工资!C:N,12,FALSE))),0,IF(ISERROR(VLOOKUP($C64,非生产人员工资!C:N,12,FALSE)),VLOOKUP($C64,生产人员工资!C:K,9,FALSE),VLOOKUP($C64,非生产人员工资!C:N,12,FALSE)))</f>
        <v>0.00</v>
      </c>
      <c r="M64" s="7" t="str">
        <f>IF(ISERROR(IF(ISERROR(VLOOKUP($C64,非生产人员工资!$C:$O,13,FALSE)),VLOOKUP($C64,生产人员工资!$C:$L,10,FALSE),VLOOKUP($C64,非生产人员工资!$C:$O,13,FALSE))),0,IF(ISERROR(VLOOKUP($C64,非生产人员工资!$C:$O,13,FALSE)),VLOOKUP($C64,生产人员工资!$C:$L,10,FALSE),VLOOKUP($C64,非生产人员工资!$C:$O,13,FALSE)))</f>
        <v>0.00</v>
      </c>
      <c r="N64" s="7" t="str">
        <f>IF(ISERROR(IF(ISERROR(VLOOKUP($C64,非生产人员工资!$C:$P,14,FALSE)),VLOOKUP($C64,生产人员工资!$C:$M,11,FALSE),VLOOKUP($C64,非生产人员工资!$C:$P,14,FALSE))),0,IF(ISERROR(VLOOKUP($C64,非生产人员工资!$C:$P,14,FALSE)),VLOOKUP($C64,生产人员工资!$C:$M,11,FALSE),VLOOKUP($C64,非生产人员工资!$C:$P,14,FALSE)))</f>
        <v>0.00</v>
      </c>
      <c r="O64" s="7" t="str">
        <f>IF(ISERROR(IF(ISERROR(VLOOKUP($C64,非生产人员工资!C:Q,15,FALSE)),VLOOKUP($C64,生产人员工资!C:N,12,FALSE),VLOOKUP($C64,非生产人员工资!C:Q,15,FALSE))),0,IF(ISERROR(VLOOKUP($C64,非生产人员工资!C:Q,15,FALSE)),VLOOKUP($C64,生产人员工资!C:N,12,FALSE),VLOOKUP($C64,非生产人员工资!C:Q,15,FALSE)))</f>
        <v>0.00</v>
      </c>
      <c r="P64" s="7" t="str">
        <f>IF(ISERROR(IF(ISERROR(VLOOKUP($C64,非生产人员工资!C:R,16,FALSE)),VLOOKUP($C64,生产人员工资!C:O,13,FALSE),VLOOKUP($C64,非生产人员工资!C:R,16,FALSE))),0,IF(ISERROR(VLOOKUP($C64,非生产人员工资!C:R,16,FALSE)),VLOOKUP($C64,生产人员工资!C:O,13,FALSE),VLOOKUP($C64,非生产人员工资!C:R,16,FALSE)))</f>
        <v>0.00</v>
      </c>
      <c r="Q64" s="7" t="str">
        <f>IF(ISERROR(IF(ISERROR(VLOOKUP($C64,非生产人员工资!C:S,17,FALSE)),VLOOKUP($C64,生产人员工资!C:P,14,FALSE),VLOOKUP($C64,非生产人员工资!C:S,17,FALSE))),0,IF(ISERROR(VLOOKUP($C64,非生产人员工资!C:S,17,FALSE)),VLOOKUP($C64,生产人员工资!C:P,14,FALSE),VLOOKUP($C64,非生产人员工资!C:S,17,FALSE)))</f>
        <v>0.00</v>
      </c>
      <c r="R64" s="7" t="str">
        <f>IF(ISERROR(IF(ISERROR(VLOOKUP($C64,非生产人员工资!C:T,18,FALSE)),VLOOKUP($C64,生产人员工资!C:Q,15,FALSE),VLOOKUP($C64,非生产人员工资!C:T,18,FALSE))),0,IF(ISERROR(VLOOKUP($C64,非生产人员工资!C:T,18,FALSE)),VLOOKUP($C64,生产人员工资!C:Q,15,FALSE),VLOOKUP($C64,非生产人员工资!C:T,18,FALSE)))</f>
        <v>0.00</v>
      </c>
      <c r="S64" s="7">
        <f>IF(ISERROR(VLOOKUP($C64,非生产人员工资!C:U,19,FALSE)),0,VLOOKUP($C64,非生产人员工资!C:U,19,FALSE))</f>
        <v>0</v>
      </c>
      <c r="T64" s="7" t="str">
        <f>IF(ISERROR(IF(ISERROR(VLOOKUP($C64,非生产人员工资!C:V,20,FALSE)),VLOOKUP($C64,生产人员工资!C:R,16,FALSE),VLOOKUP($C64,非生产人员工资!C:V,20,FALSE))),0,IF(ISERROR(VLOOKUP($C64,非生产人员工资!C:V,20,FALSE)),VLOOKUP($C64,生产人员工资!$C:$R,16,FALSE),VLOOKUP($C64,非生产人员工资!C:V,20,FALSE)))</f>
        <v>0.00</v>
      </c>
      <c r="U64" s="7" t="str">
        <f>IF(ISERROR(IF(ISERROR(VLOOKUP($C64,非生产人员工资!C:W,21,FALSE)),VLOOKUP($C64,生产人员工资!C:S,17,FALSE),VLOOKUP($C64,非生产人员工资!C:W,21,FALSE))),0,IF(ISERROR(VLOOKUP($C64,非生产人员工资!C:W,21,FALSE)),VLOOKUP($C64,生产人员工资!C:S,17,FALSE),VLOOKUP($C64,非生产人员工资!C:W,21,FALSE)))</f>
        <v>0.00</v>
      </c>
      <c r="V64" s="7" t="str">
        <f>IF(ISERROR(IF(ISERROR(VLOOKUP($C64,非生产人员工资!C:X,22,FALSE)),VLOOKUP($C64,生产人员工资!C:T,18,FALSE),VLOOKUP($C64,非生产人员工资!C:X,22,FALSE))),0,IF(ISERROR(VLOOKUP($C64,非生产人员工资!C:X,22,FALSE)),VLOOKUP($C64,生产人员工资!C:T,18,FALSE),VLOOKUP($C64,非生产人员工资!C:X,22,FALSE)))</f>
        <v>0.00</v>
      </c>
      <c r="W64" s="7">
        <f t="shared" si="3"/>
        <v>1769.63</v>
      </c>
      <c r="X64" s="7">
        <f>IF(ISERROR(IF(ISERROR(VLOOKUP($C64,非生产人员工资!C:Z,24,FALSE)),VLOOKUP($C64,生产人员工资!C:V,20,FALSE),VLOOKUP($C64,非生产人员工资!$C:$Z,24,FALSE))),0,IF(ISERROR(VLOOKUP($C64,非生产人员工资!$C:$Z,24,FALSE)),VLOOKUP($C64,生产人员工资!$C:$V,20,FALSE),VLOOKUP($C64,非生产人员工资!$C:$Z,24,FALSE)))</f>
        <v>243.36</v>
      </c>
      <c r="Y64" s="7">
        <f>IF(ISERROR(IF(ISERROR(VLOOKUP($C64,非生产人员工资!C:AA,25,FALSE)),VLOOKUP($C64,生产人员工资!C:W,21,FALSE),VLOOKUP($C64,非生产人员工资!C:AA,25,FALSE))),0,IF(ISERROR(VLOOKUP($C64,非生产人员工资!C:AA,25,FALSE)),VLOOKUP($C64,生产人员工资!C:W,21,FALSE),VLOOKUP($C64,非生产人员工资!C:AA,25,FALSE)))</f>
        <v>104.57</v>
      </c>
      <c r="Z64" s="7">
        <f>IF(ISERROR(IF(ISERROR(VLOOKUP($C64,非生产人员工资!C:AB,26,FALSE)),VLOOKUP($C64,生产人员工资!C:X,22,FALSE),VLOOKUP($C64,非生产人员工资!C:AB,26,FALSE))),0,IF(ISERROR(VLOOKUP($C64,非生产人员工资!C:AB,26,FALSE)),VLOOKUP($C64,生产人员工资!C:X,22,FALSE),VLOOKUP($C64,非生产人员工资!C:AB,26,FALSE)))</f>
        <v>9.13</v>
      </c>
      <c r="AA64" s="7">
        <f>IF(ISERROR(IF(ISERROR(VLOOKUP($C64,非生产人员工资!C:AC,27,FALSE)),VLOOKUP($C64,生产人员工资!C:Y,23,FALSE),VLOOKUP($C64,非生产人员工资!C:AC,27,FALSE))),0,IF(ISERROR(VLOOKUP($C64,非生产人员工资!C:AC,27,FALSE)),VLOOKUP($C64,生产人员工资!C:Y,23,FALSE),VLOOKUP($C64,非生产人员工资!C:AC,27,FALSE)))</f>
        <v>89.5</v>
      </c>
      <c r="AB64" s="7">
        <f>IF(ISERROR(IF(ISERROR(VLOOKUP($C64,非生产人员工资!C:AD,28,FALSE)),VLOOKUP($C64,生产人员工资!C:Z,24,FALSE),VLOOKUP($C64,非生产人员工资!C:AD,28,FALSE))),0,IF(ISERROR(VLOOKUP($C64,非生产人员工资!C:AD,28,FALSE)),VLOOKUP($C64,生产人员工资!C:Z,24,FALSE),VLOOKUP($C64,非生产人员工资!C:AD,28,FALSE)))</f>
        <v>81.35</v>
      </c>
      <c r="AC64" s="269">
        <f>ROUND(IF(ISERROR(IF(ISERROR(VLOOKUP($C64,非生产人员工资!C:AF,30,FALSE)),VLOOKUP($C64,生产人员工资!C:AB,26,0),VLOOKUP($C64,非生产人员工资!C:AF,30,FALSE))),0,IF(ISERROR(VLOOKUP($C64,非生产人员工资!C:AF,30,FALSE)),VLOOKUP($C64,生产人员工资!C:AB,26,0),VLOOKUP($C64,非生产人员工资!C:AF,30,FALSE))),2)</f>
        <v>0</v>
      </c>
      <c r="AD64" s="269">
        <f t="shared" si="2"/>
        <v>1241.72</v>
      </c>
      <c r="AE64" s="269" t="str">
        <f>VLOOKUP($C64,员工基本信息!$C:$N,10,FALSE)</f>
        <v>生产成本+组装</v>
      </c>
      <c r="AF64" s="265" t="str">
        <f>VLOOKUP($C64,员工基本信息!$C:$O,11,FALSE)</f>
        <v>直接成本</v>
      </c>
      <c r="AG64" s="265" t="str">
        <f>VLOOKUP($C64,员工基本信息!$C:$O,12,FALSE)</f>
        <v>组装车间</v>
      </c>
      <c r="AH64" s="265" t="str">
        <f>VLOOKUP($C64,员工基本信息!$C:$O,13,FALSE)</f>
        <v>生产人员</v>
      </c>
      <c r="AI64" s="249" t="str">
        <f>VLOOKUP($B64,员工基本信息!$B:$S,16,FALSE)</f>
        <v>6214220101208598814</v>
      </c>
      <c r="AJ64" s="249" t="str">
        <f>VLOOKUP($B64,员工基本信息!$B:$S,18,FALSE)</f>
        <v>沧州</v>
      </c>
      <c r="AK64" s="249" t="str">
        <f>VLOOKUP(C64,员工基本信息!$C:$M,11,0)</f>
        <v>直接成本</v>
      </c>
    </row>
    <row r="65" s="250" customFormat="1" customHeight="1" spans="1:37">
      <c r="A65" s="264">
        <v>62</v>
      </c>
      <c r="B65" s="6" t="str">
        <f>本月员工姓名!B63</f>
        <v>陈淑贞</v>
      </c>
      <c r="C65" s="265" t="str">
        <f>VLOOKUP($B65,员工基本信息!$B:$I,2,FALSE)</f>
        <v>132930198012132225</v>
      </c>
      <c r="D65" s="266" t="str">
        <f>VLOOKUP($B65,员工基本信息!$B:$I,4,FALSE)</f>
        <v>制造管理部-组装车间</v>
      </c>
      <c r="E65" s="266" t="str">
        <f>VLOOKUP($B65,员工基本信息!$B:$I,5,FALSE)</f>
        <v>组装工</v>
      </c>
      <c r="F65" s="267">
        <f>IF(ISERROR(VLOOKUP($C65,非生产人员工资!$C:$AD,6,FALSE)),0,VLOOKUP($C65,非生产人员工资!$C:$AD,6,FALSE))</f>
        <v>0</v>
      </c>
      <c r="G65" s="267">
        <f>IF(ISERROR(VLOOKUP($C65,非生产人员工资!C:J,8,0)),0,VLOOKUP($C65,非生产人员工资!C:J,8,FALSE))</f>
        <v>0</v>
      </c>
      <c r="H65" s="7">
        <f>IF(ISERROR(VLOOKUP($C65,非生产人员工资!C:K,9,FALSE)),0,VLOOKUP($C65,非生产人员工资!C:K,9,FALSE))</f>
        <v>0</v>
      </c>
      <c r="I65" s="7">
        <f>IF(ISERROR(VLOOKUP($C65,非生产人员工资!C:L,10,FALSE)),0,VLOOKUP($C65,非生产人员工资!C:L,10,FALSE))</f>
        <v>0</v>
      </c>
      <c r="J65" s="7">
        <f>IF(ISERROR(VLOOKUP($C65,生产人员工资!C:I,7,FALSE)),0,VLOOKUP($C65,生产人员工资!C:I,7,FALSE))</f>
        <v>1633.5</v>
      </c>
      <c r="K65" s="7">
        <f>IF(ISERROR(VLOOKUP($C65,生产人员工资!C:J,8,FALSE)),0,VLOOKUP($C65,生产人员工资!C:J,8,FALSE))</f>
        <v>129.6</v>
      </c>
      <c r="L65" s="7" t="str">
        <f>IF(ISERROR(IF(ISERROR(VLOOKUP($C65,非生产人员工资!C:N,12,FALSE)),VLOOKUP($C65,生产人员工资!C:K,9,FALSE),VLOOKUP($C65,非生产人员工资!C:N,12,FALSE))),0,IF(ISERROR(VLOOKUP($C65,非生产人员工资!C:N,12,FALSE)),VLOOKUP($C65,生产人员工资!C:K,9,FALSE),VLOOKUP($C65,非生产人员工资!C:N,12,FALSE)))</f>
        <v>0.00</v>
      </c>
      <c r="M65" s="7" t="str">
        <f>IF(ISERROR(IF(ISERROR(VLOOKUP($C65,非生产人员工资!$C:$O,13,FALSE)),VLOOKUP($C65,生产人员工资!$C:$L,10,FALSE),VLOOKUP($C65,非生产人员工资!$C:$O,13,FALSE))),0,IF(ISERROR(VLOOKUP($C65,非生产人员工资!$C:$O,13,FALSE)),VLOOKUP($C65,生产人员工资!$C:$L,10,FALSE),VLOOKUP($C65,非生产人员工资!$C:$O,13,FALSE)))</f>
        <v>0.00</v>
      </c>
      <c r="N65" s="7" t="str">
        <f>IF(ISERROR(IF(ISERROR(VLOOKUP($C65,非生产人员工资!$C:$P,14,FALSE)),VLOOKUP($C65,生产人员工资!$C:$M,11,FALSE),VLOOKUP($C65,非生产人员工资!$C:$P,14,FALSE))),0,IF(ISERROR(VLOOKUP($C65,非生产人员工资!$C:$P,14,FALSE)),VLOOKUP($C65,生产人员工资!$C:$M,11,FALSE),VLOOKUP($C65,非生产人员工资!$C:$P,14,FALSE)))</f>
        <v>0.00</v>
      </c>
      <c r="O65" s="7" t="str">
        <f>IF(ISERROR(IF(ISERROR(VLOOKUP($C65,非生产人员工资!C:Q,15,FALSE)),VLOOKUP($C65,生产人员工资!C:N,12,FALSE),VLOOKUP($C65,非生产人员工资!C:Q,15,FALSE))),0,IF(ISERROR(VLOOKUP($C65,非生产人员工资!C:Q,15,FALSE)),VLOOKUP($C65,生产人员工资!C:N,12,FALSE),VLOOKUP($C65,非生产人员工资!C:Q,15,FALSE)))</f>
        <v>0.00</v>
      </c>
      <c r="P65" s="7" t="str">
        <f>IF(ISERROR(IF(ISERROR(VLOOKUP($C65,非生产人员工资!C:R,16,FALSE)),VLOOKUP($C65,生产人员工资!C:O,13,FALSE),VLOOKUP($C65,非生产人员工资!C:R,16,FALSE))),0,IF(ISERROR(VLOOKUP($C65,非生产人员工资!C:R,16,FALSE)),VLOOKUP($C65,生产人员工资!C:O,13,FALSE),VLOOKUP($C65,非生产人员工资!C:R,16,FALSE)))</f>
        <v>0.00</v>
      </c>
      <c r="Q65" s="7">
        <f>IF(ISERROR(IF(ISERROR(VLOOKUP($C65,非生产人员工资!C:S,17,FALSE)),VLOOKUP($C65,生产人员工资!C:P,14,FALSE),VLOOKUP($C65,非生产人员工资!C:S,17,FALSE))),0,IF(ISERROR(VLOOKUP($C65,非生产人员工资!C:S,17,FALSE)),VLOOKUP($C65,生产人员工资!C:P,14,FALSE),VLOOKUP($C65,非生产人员工资!C:S,17,FALSE)))</f>
        <v>20</v>
      </c>
      <c r="R65" s="7" t="str">
        <f>IF(ISERROR(IF(ISERROR(VLOOKUP($C65,非生产人员工资!C:T,18,FALSE)),VLOOKUP($C65,生产人员工资!C:Q,15,FALSE),VLOOKUP($C65,非生产人员工资!C:T,18,FALSE))),0,IF(ISERROR(VLOOKUP($C65,非生产人员工资!C:T,18,FALSE)),VLOOKUP($C65,生产人员工资!C:Q,15,FALSE),VLOOKUP($C65,非生产人员工资!C:T,18,FALSE)))</f>
        <v>0.00</v>
      </c>
      <c r="S65" s="7">
        <f>IF(ISERROR(VLOOKUP($C65,非生产人员工资!C:U,19,FALSE)),0,VLOOKUP($C65,非生产人员工资!C:U,19,FALSE))</f>
        <v>0</v>
      </c>
      <c r="T65" s="7" t="str">
        <f>IF(ISERROR(IF(ISERROR(VLOOKUP($C65,非生产人员工资!C:V,20,FALSE)),VLOOKUP($C65,生产人员工资!C:R,16,FALSE),VLOOKUP($C65,非生产人员工资!C:V,20,FALSE))),0,IF(ISERROR(VLOOKUP($C65,非生产人员工资!C:V,20,FALSE)),VLOOKUP($C65,生产人员工资!$C:$R,16,FALSE),VLOOKUP($C65,非生产人员工资!C:V,20,FALSE)))</f>
        <v>0.00</v>
      </c>
      <c r="U65" s="7" t="str">
        <f>IF(ISERROR(IF(ISERROR(VLOOKUP($C65,非生产人员工资!C:W,21,FALSE)),VLOOKUP($C65,生产人员工资!C:S,17,FALSE),VLOOKUP($C65,非生产人员工资!C:W,21,FALSE))),0,IF(ISERROR(VLOOKUP($C65,非生产人员工资!C:W,21,FALSE)),VLOOKUP($C65,生产人员工资!C:S,17,FALSE),VLOOKUP($C65,非生产人员工资!C:W,21,FALSE)))</f>
        <v>0.00</v>
      </c>
      <c r="V65" s="7" t="str">
        <f>IF(ISERROR(IF(ISERROR(VLOOKUP($C65,非生产人员工资!C:X,22,FALSE)),VLOOKUP($C65,生产人员工资!C:T,18,FALSE),VLOOKUP($C65,非生产人员工资!C:X,22,FALSE))),0,IF(ISERROR(VLOOKUP($C65,非生产人员工资!C:X,22,FALSE)),VLOOKUP($C65,生产人员工资!C:T,18,FALSE),VLOOKUP($C65,非生产人员工资!C:X,22,FALSE)))</f>
        <v>0.00</v>
      </c>
      <c r="W65" s="7">
        <f t="shared" si="3"/>
        <v>1783.1</v>
      </c>
      <c r="X65" s="7">
        <f>IF(ISERROR(IF(ISERROR(VLOOKUP($C65,非生产人员工资!C:Z,24,FALSE)),VLOOKUP($C65,生产人员工资!C:V,20,FALSE),VLOOKUP($C65,非生产人员工资!$C:$Z,24,FALSE))),0,IF(ISERROR(VLOOKUP($C65,非生产人员工资!$C:$Z,24,FALSE)),VLOOKUP($C65,生产人员工资!$C:$V,20,FALSE),VLOOKUP($C65,非生产人员工资!$C:$Z,24,FALSE)))</f>
        <v>243.36</v>
      </c>
      <c r="Y65" s="7">
        <f>IF(ISERROR(IF(ISERROR(VLOOKUP($C65,非生产人员工资!C:AA,25,FALSE)),VLOOKUP($C65,生产人员工资!C:W,21,FALSE),VLOOKUP($C65,非生产人员工资!C:AA,25,FALSE))),0,IF(ISERROR(VLOOKUP($C65,非生产人员工资!C:AA,25,FALSE)),VLOOKUP($C65,生产人员工资!C:W,21,FALSE),VLOOKUP($C65,非生产人员工资!C:AA,25,FALSE)))</f>
        <v>104.57</v>
      </c>
      <c r="Z65" s="7">
        <f>IF(ISERROR(IF(ISERROR(VLOOKUP($C65,非生产人员工资!C:AB,26,FALSE)),VLOOKUP($C65,生产人员工资!C:X,22,FALSE),VLOOKUP($C65,非生产人员工资!C:AB,26,FALSE))),0,IF(ISERROR(VLOOKUP($C65,非生产人员工资!C:AB,26,FALSE)),VLOOKUP($C65,生产人员工资!C:X,22,FALSE),VLOOKUP($C65,非生产人员工资!C:AB,26,FALSE)))</f>
        <v>9.13</v>
      </c>
      <c r="AA65" s="7">
        <f>IF(ISERROR(IF(ISERROR(VLOOKUP($C65,非生产人员工资!C:AC,27,FALSE)),VLOOKUP($C65,生产人员工资!C:Y,23,FALSE),VLOOKUP($C65,非生产人员工资!C:AC,27,FALSE))),0,IF(ISERROR(VLOOKUP($C65,非生产人员工资!C:AC,27,FALSE)),VLOOKUP($C65,生产人员工资!C:Y,23,FALSE),VLOOKUP($C65,非生产人员工资!C:AC,27,FALSE)))</f>
        <v>89.5</v>
      </c>
      <c r="AB65" s="7">
        <f>IF(ISERROR(IF(ISERROR(VLOOKUP($C65,非生产人员工资!C:AD,28,FALSE)),VLOOKUP($C65,生产人员工资!C:Z,24,FALSE),VLOOKUP($C65,非生产人员工资!C:AD,28,FALSE))),0,IF(ISERROR(VLOOKUP($C65,非生产人员工资!C:AD,28,FALSE)),VLOOKUP($C65,生产人员工资!C:Z,24,FALSE),VLOOKUP($C65,非生产人员工资!C:AD,28,FALSE)))</f>
        <v>65.08</v>
      </c>
      <c r="AC65" s="269">
        <f>ROUND(IF(ISERROR(IF(ISERROR(VLOOKUP($C65,非生产人员工资!C:AF,30,FALSE)),VLOOKUP($C65,生产人员工资!C:AB,26,0),VLOOKUP($C65,非生产人员工资!C:AF,30,FALSE))),0,IF(ISERROR(VLOOKUP($C65,非生产人员工资!C:AF,30,FALSE)),VLOOKUP($C65,生产人员工资!C:AB,26,0),VLOOKUP($C65,非生产人员工资!C:AF,30,FALSE))),2)</f>
        <v>0</v>
      </c>
      <c r="AD65" s="269">
        <f t="shared" si="2"/>
        <v>1271.46</v>
      </c>
      <c r="AE65" s="269" t="str">
        <f>VLOOKUP($C65,员工基本信息!$C:$N,10,FALSE)</f>
        <v>生产成本+组装</v>
      </c>
      <c r="AF65" s="265" t="str">
        <f>VLOOKUP($C65,员工基本信息!$C:$O,11,FALSE)</f>
        <v>直接成本</v>
      </c>
      <c r="AG65" s="265" t="str">
        <f>VLOOKUP($C65,员工基本信息!$C:$O,12,FALSE)</f>
        <v>组装车间</v>
      </c>
      <c r="AH65" s="265" t="str">
        <f>VLOOKUP($C65,员工基本信息!$C:$O,13,FALSE)</f>
        <v>生产人员</v>
      </c>
      <c r="AI65" s="298" t="s">
        <v>52</v>
      </c>
      <c r="AJ65" s="249" t="str">
        <f>VLOOKUP($B65,员工基本信息!$B:$S,18,FALSE)</f>
        <v>沧州</v>
      </c>
      <c r="AK65" s="249" t="str">
        <f>VLOOKUP(C65,员工基本信息!$C:$M,11,0)</f>
        <v>直接成本</v>
      </c>
    </row>
    <row r="66" s="250" customFormat="1" customHeight="1" spans="1:37">
      <c r="A66" s="264">
        <v>63</v>
      </c>
      <c r="B66" s="6" t="str">
        <f>本月员工姓名!B64</f>
        <v>滕令驹</v>
      </c>
      <c r="C66" s="265" t="str">
        <f>VLOOKUP($B66,员工基本信息!$B:$I,2,FALSE)</f>
        <v>130921199502202018</v>
      </c>
      <c r="D66" s="266" t="str">
        <f>VLOOKUP($B66,员工基本信息!$B:$I,4,FALSE)</f>
        <v>制造管理部-组装车间</v>
      </c>
      <c r="E66" s="266" t="str">
        <f>VLOOKUP($B66,员工基本信息!$B:$I,5,FALSE)</f>
        <v>组装工</v>
      </c>
      <c r="F66" s="267">
        <f>IF(ISERROR(VLOOKUP($C66,非生产人员工资!$C:$AD,6,FALSE)),0,VLOOKUP($C66,非生产人员工资!$C:$AD,6,FALSE))</f>
        <v>0</v>
      </c>
      <c r="G66" s="267">
        <f>IF(ISERROR(VLOOKUP($C66,非生产人员工资!C:J,8,0)),0,VLOOKUP($C66,非生产人员工资!C:J,8,FALSE))</f>
        <v>0</v>
      </c>
      <c r="H66" s="7">
        <f>IF(ISERROR(VLOOKUP($C66,非生产人员工资!C:K,9,FALSE)),0,VLOOKUP($C66,非生产人员工资!C:K,9,FALSE))</f>
        <v>0</v>
      </c>
      <c r="I66" s="7">
        <f>IF(ISERROR(VLOOKUP($C66,非生产人员工资!C:L,10,FALSE)),0,VLOOKUP($C66,非生产人员工资!C:L,10,FALSE))</f>
        <v>0</v>
      </c>
      <c r="J66" s="7">
        <f>IF(ISERROR(VLOOKUP($C66,生产人员工资!C:I,7,FALSE)),0,VLOOKUP($C66,生产人员工资!C:I,7,FALSE))</f>
        <v>1662</v>
      </c>
      <c r="K66" s="7">
        <f>IF(ISERROR(VLOOKUP($C66,生产人员工资!C:J,8,FALSE)),0,VLOOKUP($C66,生产人员工资!C:J,8,FALSE))</f>
        <v>152.35</v>
      </c>
      <c r="L66" s="7" t="str">
        <f>IF(ISERROR(IF(ISERROR(VLOOKUP($C66,非生产人员工资!C:N,12,FALSE)),VLOOKUP($C66,生产人员工资!C:K,9,FALSE),VLOOKUP($C66,非生产人员工资!C:N,12,FALSE))),0,IF(ISERROR(VLOOKUP($C66,非生产人员工资!C:N,12,FALSE)),VLOOKUP($C66,生产人员工资!C:K,9,FALSE),VLOOKUP($C66,非生产人员工资!C:N,12,FALSE)))</f>
        <v>0.00</v>
      </c>
      <c r="M66" s="7" t="str">
        <f>IF(ISERROR(IF(ISERROR(VLOOKUP($C66,非生产人员工资!$C:$O,13,FALSE)),VLOOKUP($C66,生产人员工资!$C:$L,10,FALSE),VLOOKUP($C66,非生产人员工资!$C:$O,13,FALSE))),0,IF(ISERROR(VLOOKUP($C66,非生产人员工资!$C:$O,13,FALSE)),VLOOKUP($C66,生产人员工资!$C:$L,10,FALSE),VLOOKUP($C66,非生产人员工资!$C:$O,13,FALSE)))</f>
        <v>0.00</v>
      </c>
      <c r="N66" s="7" t="str">
        <f>IF(ISERROR(IF(ISERROR(VLOOKUP($C66,非生产人员工资!$C:$P,14,FALSE)),VLOOKUP($C66,生产人员工资!$C:$M,11,FALSE),VLOOKUP($C66,非生产人员工资!$C:$P,14,FALSE))),0,IF(ISERROR(VLOOKUP($C66,非生产人员工资!$C:$P,14,FALSE)),VLOOKUP($C66,生产人员工资!$C:$M,11,FALSE),VLOOKUP($C66,非生产人员工资!$C:$P,14,FALSE)))</f>
        <v>0.00</v>
      </c>
      <c r="O66" s="7" t="str">
        <f>IF(ISERROR(IF(ISERROR(VLOOKUP($C66,非生产人员工资!C:Q,15,FALSE)),VLOOKUP($C66,生产人员工资!C:N,12,FALSE),VLOOKUP($C66,非生产人员工资!C:Q,15,FALSE))),0,IF(ISERROR(VLOOKUP($C66,非生产人员工资!C:Q,15,FALSE)),VLOOKUP($C66,生产人员工资!C:N,12,FALSE),VLOOKUP($C66,非生产人员工资!C:Q,15,FALSE)))</f>
        <v>0.00</v>
      </c>
      <c r="P66" s="7" t="str">
        <f>IF(ISERROR(IF(ISERROR(VLOOKUP($C66,非生产人员工资!C:R,16,FALSE)),VLOOKUP($C66,生产人员工资!C:O,13,FALSE),VLOOKUP($C66,非生产人员工资!C:R,16,FALSE))),0,IF(ISERROR(VLOOKUP($C66,非生产人员工资!C:R,16,FALSE)),VLOOKUP($C66,生产人员工资!C:O,13,FALSE),VLOOKUP($C66,非生产人员工资!C:R,16,FALSE)))</f>
        <v>0.00</v>
      </c>
      <c r="Q66" s="7" t="str">
        <f>IF(ISERROR(IF(ISERROR(VLOOKUP($C66,非生产人员工资!C:S,17,FALSE)),VLOOKUP($C66,生产人员工资!C:P,14,FALSE),VLOOKUP($C66,非生产人员工资!C:S,17,FALSE))),0,IF(ISERROR(VLOOKUP($C66,非生产人员工资!C:S,17,FALSE)),VLOOKUP($C66,生产人员工资!C:P,14,FALSE),VLOOKUP($C66,非生产人员工资!C:S,17,FALSE)))</f>
        <v>0.00</v>
      </c>
      <c r="R66" s="7" t="str">
        <f>IF(ISERROR(IF(ISERROR(VLOOKUP($C66,非生产人员工资!C:T,18,FALSE)),VLOOKUP($C66,生产人员工资!C:Q,15,FALSE),VLOOKUP($C66,非生产人员工资!C:T,18,FALSE))),0,IF(ISERROR(VLOOKUP($C66,非生产人员工资!C:T,18,FALSE)),VLOOKUP($C66,生产人员工资!C:Q,15,FALSE),VLOOKUP($C66,非生产人员工资!C:T,18,FALSE)))</f>
        <v>0.00</v>
      </c>
      <c r="S66" s="7">
        <f>IF(ISERROR(VLOOKUP($C66,非生产人员工资!C:U,19,FALSE)),0,VLOOKUP($C66,非生产人员工资!C:U,19,FALSE))</f>
        <v>0</v>
      </c>
      <c r="T66" s="7" t="str">
        <f>IF(ISERROR(IF(ISERROR(VLOOKUP($C66,非生产人员工资!C:V,20,FALSE)),VLOOKUP($C66,生产人员工资!C:R,16,FALSE),VLOOKUP($C66,非生产人员工资!C:V,20,FALSE))),0,IF(ISERROR(VLOOKUP($C66,非生产人员工资!C:V,20,FALSE)),VLOOKUP($C66,生产人员工资!$C:$R,16,FALSE),VLOOKUP($C66,非生产人员工资!C:V,20,FALSE)))</f>
        <v>0.00</v>
      </c>
      <c r="U66" s="7" t="str">
        <f>IF(ISERROR(IF(ISERROR(VLOOKUP($C66,非生产人员工资!C:W,21,FALSE)),VLOOKUP($C66,生产人员工资!C:S,17,FALSE),VLOOKUP($C66,非生产人员工资!C:W,21,FALSE))),0,IF(ISERROR(VLOOKUP($C66,非生产人员工资!C:W,21,FALSE)),VLOOKUP($C66,生产人员工资!C:S,17,FALSE),VLOOKUP($C66,非生产人员工资!C:W,21,FALSE)))</f>
        <v>0.00</v>
      </c>
      <c r="V66" s="7" t="str">
        <f>IF(ISERROR(IF(ISERROR(VLOOKUP($C66,非生产人员工资!C:X,22,FALSE)),VLOOKUP($C66,生产人员工资!C:T,18,FALSE),VLOOKUP($C66,非生产人员工资!C:X,22,FALSE))),0,IF(ISERROR(VLOOKUP($C66,非生产人员工资!C:X,22,FALSE)),VLOOKUP($C66,生产人员工资!C:T,18,FALSE),VLOOKUP($C66,非生产人员工资!C:X,22,FALSE)))</f>
        <v>0.00</v>
      </c>
      <c r="W66" s="7">
        <f t="shared" si="3"/>
        <v>1814.35</v>
      </c>
      <c r="X66" s="7">
        <f>IF(ISERROR(IF(ISERROR(VLOOKUP($C66,非生产人员工资!C:Z,24,FALSE)),VLOOKUP($C66,生产人员工资!C:V,20,FALSE),VLOOKUP($C66,非生产人员工资!$C:$Z,24,FALSE))),0,IF(ISERROR(VLOOKUP($C66,非生产人员工资!$C:$Z,24,FALSE)),VLOOKUP($C66,生产人员工资!$C:$V,20,FALSE),VLOOKUP($C66,非生产人员工资!$C:$Z,24,FALSE)))</f>
        <v>243.36</v>
      </c>
      <c r="Y66" s="7">
        <f>IF(ISERROR(IF(ISERROR(VLOOKUP($C66,非生产人员工资!C:AA,25,FALSE)),VLOOKUP($C66,生产人员工资!C:W,21,FALSE),VLOOKUP($C66,非生产人员工资!C:AA,25,FALSE))),0,IF(ISERROR(VLOOKUP($C66,非生产人员工资!C:AA,25,FALSE)),VLOOKUP($C66,生产人员工资!C:W,21,FALSE),VLOOKUP($C66,非生产人员工资!C:AA,25,FALSE)))</f>
        <v>104.57</v>
      </c>
      <c r="Z66" s="7">
        <f>IF(ISERROR(IF(ISERROR(VLOOKUP($C66,非生产人员工资!C:AB,26,FALSE)),VLOOKUP($C66,生产人员工资!C:X,22,FALSE),VLOOKUP($C66,非生产人员工资!C:AB,26,FALSE))),0,IF(ISERROR(VLOOKUP($C66,非生产人员工资!C:AB,26,FALSE)),VLOOKUP($C66,生产人员工资!C:X,22,FALSE),VLOOKUP($C66,非生产人员工资!C:AB,26,FALSE)))</f>
        <v>9.13</v>
      </c>
      <c r="AA66" s="7">
        <f>IF(ISERROR(IF(ISERROR(VLOOKUP($C66,非生产人员工资!C:AC,27,FALSE)),VLOOKUP($C66,生产人员工资!C:Y,23,FALSE),VLOOKUP($C66,非生产人员工资!C:AC,27,FALSE))),0,IF(ISERROR(VLOOKUP($C66,非生产人员工资!C:AC,27,FALSE)),VLOOKUP($C66,生产人员工资!C:Y,23,FALSE),VLOOKUP($C66,非生产人员工资!C:AC,27,FALSE)))</f>
        <v>89.5</v>
      </c>
      <c r="AB66" s="7">
        <f>IF(ISERROR(IF(ISERROR(VLOOKUP($C66,非生产人员工资!C:AD,28,FALSE)),VLOOKUP($C66,生产人员工资!C:Z,24,FALSE),VLOOKUP($C66,非生产人员工资!C:AD,28,FALSE))),0,IF(ISERROR(VLOOKUP($C66,非生产人员工资!C:AD,28,FALSE)),VLOOKUP($C66,生产人员工资!C:Z,24,FALSE),VLOOKUP($C66,非生产人员工资!C:AD,28,FALSE)))</f>
        <v>81.35</v>
      </c>
      <c r="AC66" s="269">
        <f>ROUND(IF(ISERROR(IF(ISERROR(VLOOKUP($C66,非生产人员工资!C:AF,30,FALSE)),VLOOKUP($C66,生产人员工资!C:AB,26,0),VLOOKUP($C66,非生产人员工资!C:AF,30,FALSE))),0,IF(ISERROR(VLOOKUP($C66,非生产人员工资!C:AF,30,FALSE)),VLOOKUP($C66,生产人员工资!C:AB,26,0),VLOOKUP($C66,非生产人员工资!C:AF,30,FALSE))),2)</f>
        <v>0</v>
      </c>
      <c r="AD66" s="269">
        <f t="shared" si="2"/>
        <v>1286.44</v>
      </c>
      <c r="AE66" s="269" t="str">
        <f>VLOOKUP($C66,员工基本信息!$C:$N,10,FALSE)</f>
        <v>生产成本+组装</v>
      </c>
      <c r="AF66" s="265" t="str">
        <f>VLOOKUP($C66,员工基本信息!$C:$O,11,FALSE)</f>
        <v>直接成本</v>
      </c>
      <c r="AG66" s="265" t="str">
        <f>VLOOKUP($C66,员工基本信息!$C:$O,12,FALSE)</f>
        <v>组装车间</v>
      </c>
      <c r="AH66" s="265" t="str">
        <f>VLOOKUP($C66,员工基本信息!$C:$O,13,FALSE)</f>
        <v>生产人员</v>
      </c>
      <c r="AI66" s="298" t="s">
        <v>53</v>
      </c>
      <c r="AJ66" s="249" t="str">
        <f>VLOOKUP($B66,员工基本信息!$B:$S,18,FALSE)</f>
        <v>沧州</v>
      </c>
      <c r="AK66" s="249" t="str">
        <f>VLOOKUP(C66,员工基本信息!$C:$M,11,0)</f>
        <v>直接成本</v>
      </c>
    </row>
    <row r="67" s="250" customFormat="1" customHeight="1" spans="1:37">
      <c r="A67" s="264">
        <v>64</v>
      </c>
      <c r="B67" s="6" t="str">
        <f>本月员工姓名!B65</f>
        <v>曹延祥</v>
      </c>
      <c r="C67" s="265" t="str">
        <f>VLOOKUP($B67,员工基本信息!$B:$I,2,FALSE)</f>
        <v>132930197510085535</v>
      </c>
      <c r="D67" s="266" t="str">
        <f>VLOOKUP($B67,员工基本信息!$B:$I,4,FALSE)</f>
        <v>制造管理部-组装车间</v>
      </c>
      <c r="E67" s="266" t="str">
        <f>VLOOKUP($B67,员工基本信息!$B:$I,5,FALSE)</f>
        <v>补盲镜</v>
      </c>
      <c r="F67" s="267">
        <f>IF(ISERROR(VLOOKUP($C67,非生产人员工资!$C:$AD,6,FALSE)),0,VLOOKUP($C67,非生产人员工资!$C:$AD,6,FALSE))</f>
        <v>0</v>
      </c>
      <c r="G67" s="267">
        <f>IF(ISERROR(VLOOKUP($C67,非生产人员工资!C:J,8,0)),0,VLOOKUP($C67,非生产人员工资!C:J,8,FALSE))</f>
        <v>0</v>
      </c>
      <c r="H67" s="7">
        <f>IF(ISERROR(VLOOKUP($C67,非生产人员工资!C:K,9,FALSE)),0,VLOOKUP($C67,非生产人员工资!C:K,9,FALSE))</f>
        <v>0</v>
      </c>
      <c r="I67" s="7">
        <f>IF(ISERROR(VLOOKUP($C67,非生产人员工资!C:L,10,FALSE)),0,VLOOKUP($C67,非生产人员工资!C:L,10,FALSE))</f>
        <v>0</v>
      </c>
      <c r="J67" s="7">
        <f>IF(ISERROR(VLOOKUP($C67,生产人员工资!C:I,7,FALSE)),0,VLOOKUP($C67,生产人员工资!C:I,7,FALSE))</f>
        <v>2010</v>
      </c>
      <c r="K67" s="7">
        <f>IF(ISERROR(VLOOKUP($C67,生产人员工资!C:J,8,FALSE)),0,VLOOKUP($C67,生产人员工资!C:J,8,FALSE))</f>
        <v>184.25</v>
      </c>
      <c r="L67" s="7" t="str">
        <f>IF(ISERROR(IF(ISERROR(VLOOKUP($C67,非生产人员工资!C:N,12,FALSE)),VLOOKUP($C67,生产人员工资!C:K,9,FALSE),VLOOKUP($C67,非生产人员工资!C:N,12,FALSE))),0,IF(ISERROR(VLOOKUP($C67,非生产人员工资!C:N,12,FALSE)),VLOOKUP($C67,生产人员工资!C:K,9,FALSE),VLOOKUP($C67,非生产人员工资!C:N,12,FALSE)))</f>
        <v>0.00</v>
      </c>
      <c r="M67" s="7" t="str">
        <f>IF(ISERROR(IF(ISERROR(VLOOKUP($C67,非生产人员工资!$C:$O,13,FALSE)),VLOOKUP($C67,生产人员工资!$C:$L,10,FALSE),VLOOKUP($C67,非生产人员工资!$C:$O,13,FALSE))),0,IF(ISERROR(VLOOKUP($C67,非生产人员工资!$C:$O,13,FALSE)),VLOOKUP($C67,生产人员工资!$C:$L,10,FALSE),VLOOKUP($C67,非生产人员工资!$C:$O,13,FALSE)))</f>
        <v>0.00</v>
      </c>
      <c r="N67" s="7">
        <f>IF(ISERROR(IF(ISERROR(VLOOKUP($C67,非生产人员工资!$C:$P,14,FALSE)),VLOOKUP($C67,生产人员工资!$C:$M,11,FALSE),VLOOKUP($C67,非生产人员工资!$C:$P,14,FALSE))),0,IF(ISERROR(VLOOKUP($C67,非生产人员工资!$C:$P,14,FALSE)),VLOOKUP($C67,生产人员工资!$C:$M,11,FALSE),VLOOKUP($C67,非生产人员工资!$C:$P,14,FALSE)))</f>
        <v>60</v>
      </c>
      <c r="O67" s="7" t="str">
        <f>IF(ISERROR(IF(ISERROR(VLOOKUP($C67,非生产人员工资!C:Q,15,FALSE)),VLOOKUP($C67,生产人员工资!C:N,12,FALSE),VLOOKUP($C67,非生产人员工资!C:Q,15,FALSE))),0,IF(ISERROR(VLOOKUP($C67,非生产人员工资!C:Q,15,FALSE)),VLOOKUP($C67,生产人员工资!C:N,12,FALSE),VLOOKUP($C67,非生产人员工资!C:Q,15,FALSE)))</f>
        <v>0.00</v>
      </c>
      <c r="P67" s="7" t="str">
        <f>IF(ISERROR(IF(ISERROR(VLOOKUP($C67,非生产人员工资!C:R,16,FALSE)),VLOOKUP($C67,生产人员工资!C:O,13,FALSE),VLOOKUP($C67,非生产人员工资!C:R,16,FALSE))),0,IF(ISERROR(VLOOKUP($C67,非生产人员工资!C:R,16,FALSE)),VLOOKUP($C67,生产人员工资!C:O,13,FALSE),VLOOKUP($C67,非生产人员工资!C:R,16,FALSE)))</f>
        <v>0.00</v>
      </c>
      <c r="Q67" s="7" t="str">
        <f>IF(ISERROR(IF(ISERROR(VLOOKUP($C67,非生产人员工资!C:S,17,FALSE)),VLOOKUP($C67,生产人员工资!C:P,14,FALSE),VLOOKUP($C67,非生产人员工资!C:S,17,FALSE))),0,IF(ISERROR(VLOOKUP($C67,非生产人员工资!C:S,17,FALSE)),VLOOKUP($C67,生产人员工资!C:P,14,FALSE),VLOOKUP($C67,非生产人员工资!C:S,17,FALSE)))</f>
        <v>0.00</v>
      </c>
      <c r="R67" s="7" t="str">
        <f>IF(ISERROR(IF(ISERROR(VLOOKUP($C67,非生产人员工资!C:T,18,FALSE)),VLOOKUP($C67,生产人员工资!C:Q,15,FALSE),VLOOKUP($C67,非生产人员工资!C:T,18,FALSE))),0,IF(ISERROR(VLOOKUP($C67,非生产人员工资!C:T,18,FALSE)),VLOOKUP($C67,生产人员工资!C:Q,15,FALSE),VLOOKUP($C67,非生产人员工资!C:T,18,FALSE)))</f>
        <v>0.00</v>
      </c>
      <c r="S67" s="7">
        <f>IF(ISERROR(VLOOKUP($C67,非生产人员工资!C:U,19,FALSE)),0,VLOOKUP($C67,非生产人员工资!C:U,19,FALSE))</f>
        <v>0</v>
      </c>
      <c r="T67" s="7" t="str">
        <f>IF(ISERROR(IF(ISERROR(VLOOKUP($C67,非生产人员工资!C:V,20,FALSE)),VLOOKUP($C67,生产人员工资!C:R,16,FALSE),VLOOKUP($C67,非生产人员工资!C:V,20,FALSE))),0,IF(ISERROR(VLOOKUP($C67,非生产人员工资!C:V,20,FALSE)),VLOOKUP($C67,生产人员工资!$C:$R,16,FALSE),VLOOKUP($C67,非生产人员工资!C:V,20,FALSE)))</f>
        <v>0.00</v>
      </c>
      <c r="U67" s="7" t="str">
        <f>IF(ISERROR(IF(ISERROR(VLOOKUP($C67,非生产人员工资!C:W,21,FALSE)),VLOOKUP($C67,生产人员工资!C:S,17,FALSE),VLOOKUP($C67,非生产人员工资!C:W,21,FALSE))),0,IF(ISERROR(VLOOKUP($C67,非生产人员工资!C:W,21,FALSE)),VLOOKUP($C67,生产人员工资!C:S,17,FALSE),VLOOKUP($C67,非生产人员工资!C:W,21,FALSE)))</f>
        <v>0.00</v>
      </c>
      <c r="V67" s="7" t="str">
        <f>IF(ISERROR(IF(ISERROR(VLOOKUP($C67,非生产人员工资!C:X,22,FALSE)),VLOOKUP($C67,生产人员工资!C:T,18,FALSE),VLOOKUP($C67,非生产人员工资!C:X,22,FALSE))),0,IF(ISERROR(VLOOKUP($C67,非生产人员工资!C:X,22,FALSE)),VLOOKUP($C67,生产人员工资!C:T,18,FALSE),VLOOKUP($C67,非生产人员工资!C:X,22,FALSE)))</f>
        <v>0.00</v>
      </c>
      <c r="W67" s="7">
        <f t="shared" si="3"/>
        <v>2254.25</v>
      </c>
      <c r="X67" s="7">
        <f>IF(ISERROR(IF(ISERROR(VLOOKUP($C67,非生产人员工资!C:Z,24,FALSE)),VLOOKUP($C67,生产人员工资!C:V,20,FALSE),VLOOKUP($C67,非生产人员工资!$C:$Z,24,FALSE))),0,IF(ISERROR(VLOOKUP($C67,非生产人员工资!$C:$Z,24,FALSE)),VLOOKUP($C67,生产人员工资!$C:$V,20,FALSE),VLOOKUP($C67,非生产人员工资!$C:$Z,24,FALSE)))</f>
        <v>226.9</v>
      </c>
      <c r="Y67" s="7">
        <f>IF(ISERROR(IF(ISERROR(VLOOKUP($C67,非生产人员工资!C:AA,25,FALSE)),VLOOKUP($C67,生产人员工资!C:W,21,FALSE),VLOOKUP($C67,非生产人员工资!C:AA,25,FALSE))),0,IF(ISERROR(VLOOKUP($C67,非生产人员工资!C:AA,25,FALSE)),VLOOKUP($C67,生产人员工资!C:W,21,FALSE),VLOOKUP($C67,非生产人员工资!C:AA,25,FALSE)))</f>
        <v>104.57</v>
      </c>
      <c r="Z67" s="7">
        <f>IF(ISERROR(IF(ISERROR(VLOOKUP($C67,非生产人员工资!C:AB,26,FALSE)),VLOOKUP($C67,生产人员工资!C:X,22,FALSE),VLOOKUP($C67,非生产人员工资!C:AB,26,FALSE))),0,IF(ISERROR(VLOOKUP($C67,非生产人员工资!C:AB,26,FALSE)),VLOOKUP($C67,生产人员工资!C:X,22,FALSE),VLOOKUP($C67,非生产人员工资!C:AB,26,FALSE)))</f>
        <v>8.51</v>
      </c>
      <c r="AA67" s="7">
        <f>IF(ISERROR(IF(ISERROR(VLOOKUP($C67,非生产人员工资!C:AC,27,FALSE)),VLOOKUP($C67,生产人员工资!C:Y,23,FALSE),VLOOKUP($C67,非生产人员工资!C:AC,27,FALSE))),0,IF(ISERROR(VLOOKUP($C67,非生产人员工资!C:AC,27,FALSE)),VLOOKUP($C67,生产人员工资!C:Y,23,FALSE),VLOOKUP($C67,非生产人员工资!C:AC,27,FALSE)))</f>
        <v>89.5</v>
      </c>
      <c r="AB67" s="7">
        <f>IF(ISERROR(IF(ISERROR(VLOOKUP($C67,非生产人员工资!C:AD,28,FALSE)),VLOOKUP($C67,生产人员工资!C:Z,24,FALSE),VLOOKUP($C67,非生产人员工资!C:AD,28,FALSE))),0,IF(ISERROR(VLOOKUP($C67,非生产人员工资!C:AD,28,FALSE)),VLOOKUP($C67,生产人员工资!C:Z,24,FALSE),VLOOKUP($C67,非生产人员工资!C:AD,28,FALSE)))</f>
        <v>261.84</v>
      </c>
      <c r="AC67" s="269">
        <f>ROUND(IF(ISERROR(IF(ISERROR(VLOOKUP($C67,非生产人员工资!C:AF,30,FALSE)),VLOOKUP($C67,生产人员工资!C:AB,26,0),VLOOKUP($C67,非生产人员工资!C:AF,30,FALSE))),0,IF(ISERROR(VLOOKUP($C67,非生产人员工资!C:AF,30,FALSE)),VLOOKUP($C67,生产人员工资!C:AB,26,0),VLOOKUP($C67,非生产人员工资!C:AF,30,FALSE))),2)</f>
        <v>0</v>
      </c>
      <c r="AD67" s="269">
        <f t="shared" si="2"/>
        <v>1562.93</v>
      </c>
      <c r="AE67" s="269" t="str">
        <f>VLOOKUP($C67,员工基本信息!$C:$N,10,FALSE)</f>
        <v>生产成本+组装</v>
      </c>
      <c r="AF67" s="265" t="str">
        <f>VLOOKUP($C67,员工基本信息!$C:$O,11,FALSE)</f>
        <v>直接成本</v>
      </c>
      <c r="AG67" s="265" t="str">
        <f>VLOOKUP($C67,员工基本信息!$C:$O,12,FALSE)</f>
        <v>组装车间</v>
      </c>
      <c r="AH67" s="265" t="str">
        <f>VLOOKUP($C67,员工基本信息!$C:$O,13,FALSE)</f>
        <v>生产人员</v>
      </c>
      <c r="AI67" s="249" t="str">
        <f>VLOOKUP($B67,员工基本信息!$B:$S,16,FALSE)</f>
        <v>6214220101205379184</v>
      </c>
      <c r="AJ67" s="249" t="str">
        <f>VLOOKUP($B67,员工基本信息!$B:$S,18,FALSE)</f>
        <v>沧州</v>
      </c>
      <c r="AK67" s="249" t="str">
        <f>VLOOKUP(C67,员工基本信息!$C:$M,11,0)</f>
        <v>直接成本</v>
      </c>
    </row>
    <row r="68" s="250" customFormat="1" customHeight="1" spans="1:37">
      <c r="A68" s="264">
        <v>65</v>
      </c>
      <c r="B68" s="6" t="str">
        <f>本月员工姓名!B66</f>
        <v>张猛</v>
      </c>
      <c r="C68" s="265" t="str">
        <f>VLOOKUP($B68,员工基本信息!$B:$I,2,FALSE)</f>
        <v>130983199810300516</v>
      </c>
      <c r="D68" s="266" t="str">
        <f>VLOOKUP($B68,员工基本信息!$B:$I,4,FALSE)</f>
        <v>制造管理部-组装车间</v>
      </c>
      <c r="E68" s="266" t="str">
        <f>VLOOKUP($B68,员工基本信息!$B:$I,5,FALSE)</f>
        <v>补盲镜</v>
      </c>
      <c r="F68" s="267">
        <f>IF(ISERROR(VLOOKUP($C68,非生产人员工资!$C:$AD,6,FALSE)),0,VLOOKUP($C68,非生产人员工资!$C:$AD,6,FALSE))</f>
        <v>0</v>
      </c>
      <c r="G68" s="267">
        <f>IF(ISERROR(VLOOKUP($C68,非生产人员工资!C:J,8,0)),0,VLOOKUP($C68,非生产人员工资!C:J,8,FALSE))</f>
        <v>0</v>
      </c>
      <c r="H68" s="7">
        <f>IF(ISERROR(VLOOKUP($C68,非生产人员工资!C:K,9,FALSE)),0,VLOOKUP($C68,非生产人员工资!C:K,9,FALSE))</f>
        <v>0</v>
      </c>
      <c r="I68" s="7">
        <f>IF(ISERROR(VLOOKUP($C68,非生产人员工资!C:L,10,FALSE)),0,VLOOKUP($C68,非生产人员工资!C:L,10,FALSE))</f>
        <v>0</v>
      </c>
      <c r="J68" s="7">
        <f>IF(ISERROR(VLOOKUP($C68,生产人员工资!C:I,7,FALSE)),0,VLOOKUP($C68,生产人员工资!C:I,7,FALSE))</f>
        <v>2366</v>
      </c>
      <c r="K68" s="7">
        <f>IF(ISERROR(VLOOKUP($C68,生产人员工资!C:J,8,FALSE)),0,VLOOKUP($C68,生产人员工资!C:J,8,FALSE))</f>
        <v>171.05</v>
      </c>
      <c r="L68" s="7" t="str">
        <f>IF(ISERROR(IF(ISERROR(VLOOKUP($C68,非生产人员工资!C:N,12,FALSE)),VLOOKUP($C68,生产人员工资!C:K,9,FALSE),VLOOKUP($C68,非生产人员工资!C:N,12,FALSE))),0,IF(ISERROR(VLOOKUP($C68,非生产人员工资!C:N,12,FALSE)),VLOOKUP($C68,生产人员工资!C:K,9,FALSE),VLOOKUP($C68,非生产人员工资!C:N,12,FALSE)))</f>
        <v>0.00</v>
      </c>
      <c r="M68" s="7" t="str">
        <f>IF(ISERROR(IF(ISERROR(VLOOKUP($C68,非生产人员工资!$C:$O,13,FALSE)),VLOOKUP($C68,生产人员工资!$C:$L,10,FALSE),VLOOKUP($C68,非生产人员工资!$C:$O,13,FALSE))),0,IF(ISERROR(VLOOKUP($C68,非生产人员工资!$C:$O,13,FALSE)),VLOOKUP($C68,生产人员工资!$C:$L,10,FALSE),VLOOKUP($C68,非生产人员工资!$C:$O,13,FALSE)))</f>
        <v>0.00</v>
      </c>
      <c r="N68" s="7">
        <f>IF(ISERROR(IF(ISERROR(VLOOKUP($C68,非生产人员工资!$C:$P,14,FALSE)),VLOOKUP($C68,生产人员工资!$C:$M,11,FALSE),VLOOKUP($C68,非生产人员工资!$C:$P,14,FALSE))),0,IF(ISERROR(VLOOKUP($C68,非生产人员工资!$C:$P,14,FALSE)),VLOOKUP($C68,生产人员工资!$C:$M,11,FALSE),VLOOKUP($C68,非生产人员工资!$C:$P,14,FALSE)))</f>
        <v>140</v>
      </c>
      <c r="O68" s="7" t="str">
        <f>IF(ISERROR(IF(ISERROR(VLOOKUP($C68,非生产人员工资!C:Q,15,FALSE)),VLOOKUP($C68,生产人员工资!C:N,12,FALSE),VLOOKUP($C68,非生产人员工资!C:Q,15,FALSE))),0,IF(ISERROR(VLOOKUP($C68,非生产人员工资!C:Q,15,FALSE)),VLOOKUP($C68,生产人员工资!C:N,12,FALSE),VLOOKUP($C68,非生产人员工资!C:Q,15,FALSE)))</f>
        <v>0.00</v>
      </c>
      <c r="P68" s="7" t="str">
        <f>IF(ISERROR(IF(ISERROR(VLOOKUP($C68,非生产人员工资!C:R,16,FALSE)),VLOOKUP($C68,生产人员工资!C:O,13,FALSE),VLOOKUP($C68,非生产人员工资!C:R,16,FALSE))),0,IF(ISERROR(VLOOKUP($C68,非生产人员工资!C:R,16,FALSE)),VLOOKUP($C68,生产人员工资!C:O,13,FALSE),VLOOKUP($C68,非生产人员工资!C:R,16,FALSE)))</f>
        <v>0.00</v>
      </c>
      <c r="Q68" s="7">
        <f>IF(ISERROR(IF(ISERROR(VLOOKUP($C68,非生产人员工资!C:S,17,FALSE)),VLOOKUP($C68,生产人员工资!C:P,14,FALSE),VLOOKUP($C68,非生产人员工资!C:S,17,FALSE))),0,IF(ISERROR(VLOOKUP($C68,非生产人员工资!C:S,17,FALSE)),VLOOKUP($C68,生产人员工资!C:P,14,FALSE),VLOOKUP($C68,非生产人员工资!C:S,17,FALSE)))</f>
        <v>20</v>
      </c>
      <c r="R68" s="7" t="str">
        <f>IF(ISERROR(IF(ISERROR(VLOOKUP($C68,非生产人员工资!C:T,18,FALSE)),VLOOKUP($C68,生产人员工资!C:Q,15,FALSE),VLOOKUP($C68,非生产人员工资!C:T,18,FALSE))),0,IF(ISERROR(VLOOKUP($C68,非生产人员工资!C:T,18,FALSE)),VLOOKUP($C68,生产人员工资!C:Q,15,FALSE),VLOOKUP($C68,非生产人员工资!C:T,18,FALSE)))</f>
        <v>0.00</v>
      </c>
      <c r="S68" s="7">
        <f>IF(ISERROR(VLOOKUP($C68,非生产人员工资!C:U,19,FALSE)),0,VLOOKUP($C68,非生产人员工资!C:U,19,FALSE))</f>
        <v>0</v>
      </c>
      <c r="T68" s="7" t="str">
        <f>IF(ISERROR(IF(ISERROR(VLOOKUP($C68,非生产人员工资!C:V,20,FALSE)),VLOOKUP($C68,生产人员工资!C:R,16,FALSE),VLOOKUP($C68,非生产人员工资!C:V,20,FALSE))),0,IF(ISERROR(VLOOKUP($C68,非生产人员工资!C:V,20,FALSE)),VLOOKUP($C68,生产人员工资!$C:$R,16,FALSE),VLOOKUP($C68,非生产人员工资!C:V,20,FALSE)))</f>
        <v>0.00</v>
      </c>
      <c r="U68" s="7" t="str">
        <f>IF(ISERROR(IF(ISERROR(VLOOKUP($C68,非生产人员工资!C:W,21,FALSE)),VLOOKUP($C68,生产人员工资!C:S,17,FALSE),VLOOKUP($C68,非生产人员工资!C:W,21,FALSE))),0,IF(ISERROR(VLOOKUP($C68,非生产人员工资!C:W,21,FALSE)),VLOOKUP($C68,生产人员工资!C:S,17,FALSE),VLOOKUP($C68,非生产人员工资!C:W,21,FALSE)))</f>
        <v>0.00</v>
      </c>
      <c r="V68" s="7" t="str">
        <f>IF(ISERROR(IF(ISERROR(VLOOKUP($C68,非生产人员工资!C:X,22,FALSE)),VLOOKUP($C68,生产人员工资!C:T,18,FALSE),VLOOKUP($C68,非生产人员工资!C:X,22,FALSE))),0,IF(ISERROR(VLOOKUP($C68,非生产人员工资!C:X,22,FALSE)),VLOOKUP($C68,生产人员工资!C:T,18,FALSE),VLOOKUP($C68,非生产人员工资!C:X,22,FALSE)))</f>
        <v>0.00</v>
      </c>
      <c r="W68" s="7">
        <f t="shared" si="3"/>
        <v>2697.05</v>
      </c>
      <c r="X68" s="7">
        <f>IF(ISERROR(IF(ISERROR(VLOOKUP($C68,非生产人员工资!C:Z,24,FALSE)),VLOOKUP($C68,生产人员工资!C:V,20,FALSE),VLOOKUP($C68,非生产人员工资!$C:$Z,24,FALSE))),0,IF(ISERROR(VLOOKUP($C68,非生产人员工资!$C:$Z,24,FALSE)),VLOOKUP($C68,生产人员工资!$C:$V,20,FALSE),VLOOKUP($C68,非生产人员工资!$C:$Z,24,FALSE)))</f>
        <v>226.9</v>
      </c>
      <c r="Y68" s="7">
        <f>IF(ISERROR(IF(ISERROR(VLOOKUP($C68,非生产人员工资!C:AA,25,FALSE)),VLOOKUP($C68,生产人员工资!C:W,21,FALSE),VLOOKUP($C68,非生产人员工资!C:AA,25,FALSE))),0,IF(ISERROR(VLOOKUP($C68,非生产人员工资!C:AA,25,FALSE)),VLOOKUP($C68,生产人员工资!C:W,21,FALSE),VLOOKUP($C68,非生产人员工资!C:AA,25,FALSE)))</f>
        <v>104.57</v>
      </c>
      <c r="Z68" s="7">
        <f>IF(ISERROR(IF(ISERROR(VLOOKUP($C68,非生产人员工资!C:AB,26,FALSE)),VLOOKUP($C68,生产人员工资!C:X,22,FALSE),VLOOKUP($C68,非生产人员工资!C:AB,26,FALSE))),0,IF(ISERROR(VLOOKUP($C68,非生产人员工资!C:AB,26,FALSE)),VLOOKUP($C68,生产人员工资!C:X,22,FALSE),VLOOKUP($C68,非生产人员工资!C:AB,26,FALSE)))</f>
        <v>8.51</v>
      </c>
      <c r="AA68" s="7">
        <f>IF(ISERROR(IF(ISERROR(VLOOKUP($C68,非生产人员工资!C:AC,27,FALSE)),VLOOKUP($C68,生产人员工资!C:Y,23,FALSE),VLOOKUP($C68,非生产人员工资!C:AC,27,FALSE))),0,IF(ISERROR(VLOOKUP($C68,非生产人员工资!C:AC,27,FALSE)),VLOOKUP($C68,生产人员工资!C:Y,23,FALSE),VLOOKUP($C68,非生产人员工资!C:AC,27,FALSE)))</f>
        <v>89.5</v>
      </c>
      <c r="AB68" s="7">
        <f>IF(ISERROR(IF(ISERROR(VLOOKUP($C68,非生产人员工资!C:AD,28,FALSE)),VLOOKUP($C68,生产人员工资!C:Z,24,FALSE),VLOOKUP($C68,非生产人员工资!C:AD,28,FALSE))),0,IF(ISERROR(VLOOKUP($C68,非生产人员工资!C:AD,28,FALSE)),VLOOKUP($C68,生产人员工资!C:Z,24,FALSE),VLOOKUP($C68,非生产人员工资!C:AD,28,FALSE)))</f>
        <v>261.84</v>
      </c>
      <c r="AC68" s="269">
        <f>ROUND(IF(ISERROR(IF(ISERROR(VLOOKUP($C68,非生产人员工资!C:AF,30,FALSE)),VLOOKUP($C68,生产人员工资!C:AB,26,0),VLOOKUP($C68,非生产人员工资!C:AF,30,FALSE))),0,IF(ISERROR(VLOOKUP($C68,非生产人员工资!C:AF,30,FALSE)),VLOOKUP($C68,生产人员工资!C:AB,26,0),VLOOKUP($C68,非生产人员工资!C:AF,30,FALSE))),2)</f>
        <v>0</v>
      </c>
      <c r="AD68" s="269">
        <f t="shared" ref="AD68:AD94" si="4">ROUND(W68-SUM(X68:AC68),2)</f>
        <v>2005.73</v>
      </c>
      <c r="AE68" s="269" t="str">
        <f>VLOOKUP($C68,员工基本信息!$C:$N,10,FALSE)</f>
        <v>生产成本+组装</v>
      </c>
      <c r="AF68" s="265" t="str">
        <f>VLOOKUP($C68,员工基本信息!$C:$O,11,FALSE)</f>
        <v>直接成本</v>
      </c>
      <c r="AG68" s="265" t="str">
        <f>VLOOKUP($C68,员工基本信息!$C:$O,12,FALSE)</f>
        <v>组装车间</v>
      </c>
      <c r="AH68" s="265" t="str">
        <f>VLOOKUP($C68,员工基本信息!$C:$O,13,FALSE)</f>
        <v>生产人员</v>
      </c>
      <c r="AI68" s="249" t="str">
        <f>VLOOKUP($B68,员工基本信息!$B:$S,16,FALSE)</f>
        <v>6214220101205490098</v>
      </c>
      <c r="AJ68" s="249" t="str">
        <f>VLOOKUP($B68,员工基本信息!$B:$S,18,FALSE)</f>
        <v>沧州</v>
      </c>
      <c r="AK68" s="249" t="str">
        <f>VLOOKUP(C68,员工基本信息!$C:$M,11,0)</f>
        <v>直接成本</v>
      </c>
    </row>
    <row r="69" s="250" customFormat="1" customHeight="1" spans="1:37">
      <c r="A69" s="264">
        <v>66</v>
      </c>
      <c r="B69" s="6" t="str">
        <f>本月员工姓名!B67</f>
        <v>王秀翠</v>
      </c>
      <c r="C69" s="265" t="str">
        <f>VLOOKUP($B69,员工基本信息!$B:$I,2,FALSE)</f>
        <v>132930198203281629</v>
      </c>
      <c r="D69" s="266" t="str">
        <f>VLOOKUP($B69,员工基本信息!$B:$I,4,FALSE)</f>
        <v>制造管理部-组装车间</v>
      </c>
      <c r="E69" s="266" t="str">
        <f>VLOOKUP($B69,员工基本信息!$B:$I,5,FALSE)</f>
        <v>乘用车</v>
      </c>
      <c r="F69" s="267">
        <f>IF(ISERROR(VLOOKUP($C69,非生产人员工资!$C:$AD,6,FALSE)),0,VLOOKUP($C69,非生产人员工资!$C:$AD,6,FALSE))</f>
        <v>0</v>
      </c>
      <c r="G69" s="267">
        <f>IF(ISERROR(VLOOKUP($C69,非生产人员工资!C:J,8,0)),0,VLOOKUP($C69,非生产人员工资!C:J,8,FALSE))</f>
        <v>0</v>
      </c>
      <c r="H69" s="7">
        <f>IF(ISERROR(VLOOKUP($C69,非生产人员工资!C:K,9,FALSE)),0,VLOOKUP($C69,非生产人员工资!C:K,9,FALSE))</f>
        <v>0</v>
      </c>
      <c r="I69" s="7">
        <f>IF(ISERROR(VLOOKUP($C69,非生产人员工资!C:L,10,FALSE)),0,VLOOKUP($C69,非生产人员工资!C:L,10,FALSE))</f>
        <v>0</v>
      </c>
      <c r="J69" s="7">
        <f>IF(ISERROR(VLOOKUP($C69,生产人员工资!C:I,7,FALSE)),0,VLOOKUP($C69,生产人员工资!C:I,7,FALSE))</f>
        <v>2907.7</v>
      </c>
      <c r="K69" s="7">
        <f>IF(ISERROR(VLOOKUP($C69,生产人员工资!C:J,8,FALSE)),0,VLOOKUP($C69,生产人员工资!C:J,8,FALSE))</f>
        <v>266.9</v>
      </c>
      <c r="L69" s="7" t="str">
        <f>IF(ISERROR(IF(ISERROR(VLOOKUP($C69,非生产人员工资!C:N,12,FALSE)),VLOOKUP($C69,生产人员工资!C:K,9,FALSE),VLOOKUP($C69,非生产人员工资!C:N,12,FALSE))),0,IF(ISERROR(VLOOKUP($C69,非生产人员工资!C:N,12,FALSE)),VLOOKUP($C69,生产人员工资!C:K,9,FALSE),VLOOKUP($C69,非生产人员工资!C:N,12,FALSE)))</f>
        <v>0.00</v>
      </c>
      <c r="M69" s="7">
        <f>IF(ISERROR(IF(ISERROR(VLOOKUP($C69,非生产人员工资!$C:$O,13,FALSE)),VLOOKUP($C69,生产人员工资!$C:$L,10,FALSE),VLOOKUP($C69,非生产人员工资!$C:$O,13,FALSE))),0,IF(ISERROR(VLOOKUP($C69,非生产人员工资!$C:$O,13,FALSE)),VLOOKUP($C69,生产人员工资!$C:$L,10,FALSE),VLOOKUP($C69,非生产人员工资!$C:$O,13,FALSE)))</f>
        <v>500</v>
      </c>
      <c r="N69" s="7">
        <f>IF(ISERROR(IF(ISERROR(VLOOKUP($C69,非生产人员工资!$C:$P,14,FALSE)),VLOOKUP($C69,生产人员工资!$C:$M,11,FALSE),VLOOKUP($C69,非生产人员工资!$C:$P,14,FALSE))),0,IF(ISERROR(VLOOKUP($C69,非生产人员工资!$C:$P,14,FALSE)),VLOOKUP($C69,生产人员工资!$C:$M,11,FALSE),VLOOKUP($C69,非生产人员工资!$C:$P,14,FALSE)))</f>
        <v>180</v>
      </c>
      <c r="O69" s="7" t="str">
        <f>IF(ISERROR(IF(ISERROR(VLOOKUP($C69,非生产人员工资!C:Q,15,FALSE)),VLOOKUP($C69,生产人员工资!C:N,12,FALSE),VLOOKUP($C69,非生产人员工资!C:Q,15,FALSE))),0,IF(ISERROR(VLOOKUP($C69,非生产人员工资!C:Q,15,FALSE)),VLOOKUP($C69,生产人员工资!C:N,12,FALSE),VLOOKUP($C69,非生产人员工资!C:Q,15,FALSE)))</f>
        <v>0.00</v>
      </c>
      <c r="P69" s="7" t="str">
        <f>IF(ISERROR(IF(ISERROR(VLOOKUP($C69,非生产人员工资!C:R,16,FALSE)),VLOOKUP($C69,生产人员工资!C:O,13,FALSE),VLOOKUP($C69,非生产人员工资!C:R,16,FALSE))),0,IF(ISERROR(VLOOKUP($C69,非生产人员工资!C:R,16,FALSE)),VLOOKUP($C69,生产人员工资!C:O,13,FALSE),VLOOKUP($C69,非生产人员工资!C:R,16,FALSE)))</f>
        <v>0.00</v>
      </c>
      <c r="Q69" s="7">
        <f>IF(ISERROR(IF(ISERROR(VLOOKUP($C69,非生产人员工资!C:S,17,FALSE)),VLOOKUP($C69,生产人员工资!C:P,14,FALSE),VLOOKUP($C69,非生产人员工资!C:S,17,FALSE))),0,IF(ISERROR(VLOOKUP($C69,非生产人员工资!C:S,17,FALSE)),VLOOKUP($C69,生产人员工资!C:P,14,FALSE),VLOOKUP($C69,非生产人员工资!C:S,17,FALSE)))</f>
        <v>20</v>
      </c>
      <c r="R69" s="7" t="str">
        <f>IF(ISERROR(IF(ISERROR(VLOOKUP($C69,非生产人员工资!C:T,18,FALSE)),VLOOKUP($C69,生产人员工资!C:Q,15,FALSE),VLOOKUP($C69,非生产人员工资!C:T,18,FALSE))),0,IF(ISERROR(VLOOKUP($C69,非生产人员工资!C:T,18,FALSE)),VLOOKUP($C69,生产人员工资!C:Q,15,FALSE),VLOOKUP($C69,非生产人员工资!C:T,18,FALSE)))</f>
        <v>0.00</v>
      </c>
      <c r="S69" s="7">
        <f>IF(ISERROR(VLOOKUP($C69,非生产人员工资!C:U,19,FALSE)),0,VLOOKUP($C69,非生产人员工资!C:U,19,FALSE))</f>
        <v>0</v>
      </c>
      <c r="T69" s="7" t="str">
        <f>IF(ISERROR(IF(ISERROR(VLOOKUP($C69,非生产人员工资!C:V,20,FALSE)),VLOOKUP($C69,生产人员工资!C:R,16,FALSE),VLOOKUP($C69,非生产人员工资!C:V,20,FALSE))),0,IF(ISERROR(VLOOKUP($C69,非生产人员工资!C:V,20,FALSE)),VLOOKUP($C69,生产人员工资!$C:$R,16,FALSE),VLOOKUP($C69,非生产人员工资!C:V,20,FALSE)))</f>
        <v>0.00</v>
      </c>
      <c r="U69" s="7" t="str">
        <f>IF(ISERROR(IF(ISERROR(VLOOKUP($C69,非生产人员工资!C:W,21,FALSE)),VLOOKUP($C69,生产人员工资!C:S,17,FALSE),VLOOKUP($C69,非生产人员工资!C:W,21,FALSE))),0,IF(ISERROR(VLOOKUP($C69,非生产人员工资!C:W,21,FALSE)),VLOOKUP($C69,生产人员工资!C:S,17,FALSE),VLOOKUP($C69,非生产人员工资!C:W,21,FALSE)))</f>
        <v>0.00</v>
      </c>
      <c r="V69" s="7" t="str">
        <f>IF(ISERROR(IF(ISERROR(VLOOKUP($C69,非生产人员工资!C:X,22,FALSE)),VLOOKUP($C69,生产人员工资!C:T,18,FALSE),VLOOKUP($C69,非生产人员工资!C:X,22,FALSE))),0,IF(ISERROR(VLOOKUP($C69,非生产人员工资!C:X,22,FALSE)),VLOOKUP($C69,生产人员工资!C:T,18,FALSE),VLOOKUP($C69,非生产人员工资!C:X,22,FALSE)))</f>
        <v>0.00</v>
      </c>
      <c r="W69" s="7">
        <f t="shared" ref="W69:W94" si="5">ROUND(SUM(F69:R69)+S69+T69+U69+V69,2)</f>
        <v>3874.6</v>
      </c>
      <c r="X69" s="7">
        <f>IF(ISERROR(IF(ISERROR(VLOOKUP($C69,非生产人员工资!C:Z,24,FALSE)),VLOOKUP($C69,生产人员工资!C:V,20,FALSE),VLOOKUP($C69,非生产人员工资!$C:$Z,24,FALSE))),0,IF(ISERROR(VLOOKUP($C69,非生产人员工资!$C:$Z,24,FALSE)),VLOOKUP($C69,生产人员工资!$C:$V,20,FALSE),VLOOKUP($C69,非生产人员工资!$C:$Z,24,FALSE)))</f>
        <v>226.9</v>
      </c>
      <c r="Y69" s="7">
        <f>IF(ISERROR(IF(ISERROR(VLOOKUP($C69,非生产人员工资!C:AA,25,FALSE)),VLOOKUP($C69,生产人员工资!C:W,21,FALSE),VLOOKUP($C69,非生产人员工资!C:AA,25,FALSE))),0,IF(ISERROR(VLOOKUP($C69,非生产人员工资!C:AA,25,FALSE)),VLOOKUP($C69,生产人员工资!C:W,21,FALSE),VLOOKUP($C69,非生产人员工资!C:AA,25,FALSE)))</f>
        <v>104.57</v>
      </c>
      <c r="Z69" s="7">
        <f>IF(ISERROR(IF(ISERROR(VLOOKUP($C69,非生产人员工资!C:AB,26,FALSE)),VLOOKUP($C69,生产人员工资!C:X,22,FALSE),VLOOKUP($C69,非生产人员工资!C:AB,26,FALSE))),0,IF(ISERROR(VLOOKUP($C69,非生产人员工资!C:AB,26,FALSE)),VLOOKUP($C69,生产人员工资!C:X,22,FALSE),VLOOKUP($C69,非生产人员工资!C:AB,26,FALSE)))</f>
        <v>8.51</v>
      </c>
      <c r="AA69" s="7">
        <f>IF(ISERROR(IF(ISERROR(VLOOKUP($C69,非生产人员工资!C:AC,27,FALSE)),VLOOKUP($C69,生产人员工资!C:Y,23,FALSE),VLOOKUP($C69,非生产人员工资!C:AC,27,FALSE))),0,IF(ISERROR(VLOOKUP($C69,非生产人员工资!C:AC,27,FALSE)),VLOOKUP($C69,生产人员工资!C:Y,23,FALSE),VLOOKUP($C69,非生产人员工资!C:AC,27,FALSE)))</f>
        <v>89.5</v>
      </c>
      <c r="AB69" s="7">
        <f>IF(ISERROR(IF(ISERROR(VLOOKUP($C69,非生产人员工资!C:AD,28,FALSE)),VLOOKUP($C69,生产人员工资!C:Z,24,FALSE),VLOOKUP($C69,非生产人员工资!C:AD,28,FALSE))),0,IF(ISERROR(VLOOKUP($C69,非生产人员工资!C:AD,28,FALSE)),VLOOKUP($C69,生产人员工资!C:Z,24,FALSE),VLOOKUP($C69,非生产人员工资!C:AD,28,FALSE)))</f>
        <v>261.84</v>
      </c>
      <c r="AC69" s="269">
        <f>ROUND(IF(ISERROR(IF(ISERROR(VLOOKUP($C69,非生产人员工资!C:AF,30,FALSE)),VLOOKUP($C69,生产人员工资!C:AB,26,0),VLOOKUP($C69,非生产人员工资!C:AF,30,FALSE))),0,IF(ISERROR(VLOOKUP($C69,非生产人员工资!C:AF,30,FALSE)),VLOOKUP($C69,生产人员工资!C:AB,26,0),VLOOKUP($C69,非生产人员工资!C:AF,30,FALSE))),2)</f>
        <v>0</v>
      </c>
      <c r="AD69" s="269">
        <f t="shared" si="4"/>
        <v>3183.28</v>
      </c>
      <c r="AE69" s="269" t="str">
        <f>VLOOKUP($C69,员工基本信息!$C:$N,10,FALSE)</f>
        <v>生产成本+组装</v>
      </c>
      <c r="AF69" s="265" t="str">
        <f>VLOOKUP($C69,员工基本信息!$C:$O,11,FALSE)</f>
        <v>直接成本</v>
      </c>
      <c r="AG69" s="265" t="str">
        <f>VLOOKUP($C69,员工基本信息!$C:$O,12,FALSE)</f>
        <v>组装车间</v>
      </c>
      <c r="AH69" s="265" t="str">
        <f>VLOOKUP($C69,员工基本信息!$C:$O,13,FALSE)</f>
        <v>生产人员</v>
      </c>
      <c r="AI69" s="249" t="str">
        <f>VLOOKUP($B69,员工基本信息!$B:$S,16,FALSE)</f>
        <v>6214220101205385330</v>
      </c>
      <c r="AJ69" s="249" t="str">
        <f>VLOOKUP($B69,员工基本信息!$B:$S,18,FALSE)</f>
        <v>沧州</v>
      </c>
      <c r="AK69" s="249" t="str">
        <f>VLOOKUP(C69,员工基本信息!$C:$M,11,0)</f>
        <v>直接成本</v>
      </c>
    </row>
    <row r="70" s="250" customFormat="1" customHeight="1" spans="1:37">
      <c r="A70" s="264">
        <v>67</v>
      </c>
      <c r="B70" s="6" t="str">
        <f>本月员工姓名!B68</f>
        <v>刘海凤</v>
      </c>
      <c r="C70" s="265" t="str">
        <f>VLOOKUP($B70,员工基本信息!$B:$I,2,FALSE)</f>
        <v>132930197710082240</v>
      </c>
      <c r="D70" s="266" t="str">
        <f>VLOOKUP($B70,员工基本信息!$B:$I,4,FALSE)</f>
        <v>制造管理部-组装车间</v>
      </c>
      <c r="E70" s="266" t="str">
        <f>VLOOKUP($B70,员工基本信息!$B:$I,5,FALSE)</f>
        <v>乘用车</v>
      </c>
      <c r="F70" s="267">
        <f>IF(ISERROR(VLOOKUP($C70,非生产人员工资!$C:$AD,6,FALSE)),0,VLOOKUP($C70,非生产人员工资!$C:$AD,6,FALSE))</f>
        <v>0</v>
      </c>
      <c r="G70" s="267">
        <f>IF(ISERROR(VLOOKUP($C70,非生产人员工资!C:J,8,0)),0,VLOOKUP($C70,非生产人员工资!C:J,8,FALSE))</f>
        <v>0</v>
      </c>
      <c r="H70" s="7">
        <f>IF(ISERROR(VLOOKUP($C70,非生产人员工资!C:K,9,FALSE)),0,VLOOKUP($C70,非生产人员工资!C:K,9,FALSE))</f>
        <v>0</v>
      </c>
      <c r="I70" s="7">
        <f>IF(ISERROR(VLOOKUP($C70,非生产人员工资!C:L,10,FALSE)),0,VLOOKUP($C70,非生产人员工资!C:L,10,FALSE))</f>
        <v>0</v>
      </c>
      <c r="J70" s="7">
        <f>IF(ISERROR(VLOOKUP($C70,生产人员工资!C:I,7,FALSE)),0,VLOOKUP($C70,生产人员工资!C:I,7,FALSE))</f>
        <v>2868.8</v>
      </c>
      <c r="K70" s="7">
        <f>IF(ISERROR(VLOOKUP($C70,生产人员工资!C:J,8,FALSE)),0,VLOOKUP($C70,生产人员工资!C:J,8,FALSE))</f>
        <v>265.1</v>
      </c>
      <c r="L70" s="7" t="str">
        <f>IF(ISERROR(IF(ISERROR(VLOOKUP($C70,非生产人员工资!C:N,12,FALSE)),VLOOKUP($C70,生产人员工资!C:K,9,FALSE),VLOOKUP($C70,非生产人员工资!C:N,12,FALSE))),0,IF(ISERROR(VLOOKUP($C70,非生产人员工资!C:N,12,FALSE)),VLOOKUP($C70,生产人员工资!C:K,9,FALSE),VLOOKUP($C70,非生产人员工资!C:N,12,FALSE)))</f>
        <v>0.00</v>
      </c>
      <c r="M70" s="7" t="str">
        <f>IF(ISERROR(IF(ISERROR(VLOOKUP($C70,非生产人员工资!$C:$O,13,FALSE)),VLOOKUP($C70,生产人员工资!$C:$L,10,FALSE),VLOOKUP($C70,非生产人员工资!$C:$O,13,FALSE))),0,IF(ISERROR(VLOOKUP($C70,非生产人员工资!$C:$O,13,FALSE)),VLOOKUP($C70,生产人员工资!$C:$L,10,FALSE),VLOOKUP($C70,非生产人员工资!$C:$O,13,FALSE)))</f>
        <v>0.00</v>
      </c>
      <c r="N70" s="7">
        <f>IF(ISERROR(IF(ISERROR(VLOOKUP($C70,非生产人员工资!$C:$P,14,FALSE)),VLOOKUP($C70,生产人员工资!$C:$M,11,FALSE),VLOOKUP($C70,非生产人员工资!$C:$P,14,FALSE))),0,IF(ISERROR(VLOOKUP($C70,非生产人员工资!$C:$P,14,FALSE)),VLOOKUP($C70,生产人员工资!$C:$M,11,FALSE),VLOOKUP($C70,非生产人员工资!$C:$P,14,FALSE)))</f>
        <v>240</v>
      </c>
      <c r="O70" s="7" t="str">
        <f>IF(ISERROR(IF(ISERROR(VLOOKUP($C70,非生产人员工资!C:Q,15,FALSE)),VLOOKUP($C70,生产人员工资!C:N,12,FALSE),VLOOKUP($C70,非生产人员工资!C:Q,15,FALSE))),0,IF(ISERROR(VLOOKUP($C70,非生产人员工资!C:Q,15,FALSE)),VLOOKUP($C70,生产人员工资!C:N,12,FALSE),VLOOKUP($C70,非生产人员工资!C:Q,15,FALSE)))</f>
        <v>0.00</v>
      </c>
      <c r="P70" s="7" t="str">
        <f>IF(ISERROR(IF(ISERROR(VLOOKUP($C70,非生产人员工资!C:R,16,FALSE)),VLOOKUP($C70,生产人员工资!C:O,13,FALSE),VLOOKUP($C70,非生产人员工资!C:R,16,FALSE))),0,IF(ISERROR(VLOOKUP($C70,非生产人员工资!C:R,16,FALSE)),VLOOKUP($C70,生产人员工资!C:O,13,FALSE),VLOOKUP($C70,非生产人员工资!C:R,16,FALSE)))</f>
        <v>0.00</v>
      </c>
      <c r="Q70" s="7">
        <f>IF(ISERROR(IF(ISERROR(VLOOKUP($C70,非生产人员工资!C:S,17,FALSE)),VLOOKUP($C70,生产人员工资!C:P,14,FALSE),VLOOKUP($C70,非生产人员工资!C:S,17,FALSE))),0,IF(ISERROR(VLOOKUP($C70,非生产人员工资!C:S,17,FALSE)),VLOOKUP($C70,生产人员工资!C:P,14,FALSE),VLOOKUP($C70,非生产人员工资!C:S,17,FALSE)))</f>
        <v>20</v>
      </c>
      <c r="R70" s="7" t="str">
        <f>IF(ISERROR(IF(ISERROR(VLOOKUP($C70,非生产人员工资!C:T,18,FALSE)),VLOOKUP($C70,生产人员工资!C:Q,15,FALSE),VLOOKUP($C70,非生产人员工资!C:T,18,FALSE))),0,IF(ISERROR(VLOOKUP($C70,非生产人员工资!C:T,18,FALSE)),VLOOKUP($C70,生产人员工资!C:Q,15,FALSE),VLOOKUP($C70,非生产人员工资!C:T,18,FALSE)))</f>
        <v>0.00</v>
      </c>
      <c r="S70" s="7">
        <f>IF(ISERROR(VLOOKUP($C70,非生产人员工资!C:U,19,FALSE)),0,VLOOKUP($C70,非生产人员工资!C:U,19,FALSE))</f>
        <v>0</v>
      </c>
      <c r="T70" s="7" t="str">
        <f>IF(ISERROR(IF(ISERROR(VLOOKUP($C70,非生产人员工资!C:V,20,FALSE)),VLOOKUP($C70,生产人员工资!C:R,16,FALSE),VLOOKUP($C70,非生产人员工资!C:V,20,FALSE))),0,IF(ISERROR(VLOOKUP($C70,非生产人员工资!C:V,20,FALSE)),VLOOKUP($C70,生产人员工资!$C:$R,16,FALSE),VLOOKUP($C70,非生产人员工资!C:V,20,FALSE)))</f>
        <v>0.00</v>
      </c>
      <c r="U70" s="7" t="str">
        <f>IF(ISERROR(IF(ISERROR(VLOOKUP($C70,非生产人员工资!C:W,21,FALSE)),VLOOKUP($C70,生产人员工资!C:S,17,FALSE),VLOOKUP($C70,非生产人员工资!C:W,21,FALSE))),0,IF(ISERROR(VLOOKUP($C70,非生产人员工资!C:W,21,FALSE)),VLOOKUP($C70,生产人员工资!C:S,17,FALSE),VLOOKUP($C70,非生产人员工资!C:W,21,FALSE)))</f>
        <v>0.00</v>
      </c>
      <c r="V70" s="7" t="str">
        <f>IF(ISERROR(IF(ISERROR(VLOOKUP($C70,非生产人员工资!C:X,22,FALSE)),VLOOKUP($C70,生产人员工资!C:T,18,FALSE),VLOOKUP($C70,非生产人员工资!C:X,22,FALSE))),0,IF(ISERROR(VLOOKUP($C70,非生产人员工资!C:X,22,FALSE)),VLOOKUP($C70,生产人员工资!C:T,18,FALSE),VLOOKUP($C70,非生产人员工资!C:X,22,FALSE)))</f>
        <v>0.00</v>
      </c>
      <c r="W70" s="7">
        <f t="shared" si="5"/>
        <v>3393.9</v>
      </c>
      <c r="X70" s="7">
        <f>IF(ISERROR(IF(ISERROR(VLOOKUP($C70,非生产人员工资!C:Z,24,FALSE)),VLOOKUP($C70,生产人员工资!C:V,20,FALSE),VLOOKUP($C70,非生产人员工资!$C:$Z,24,FALSE))),0,IF(ISERROR(VLOOKUP($C70,非生产人员工资!$C:$Z,24,FALSE)),VLOOKUP($C70,生产人员工资!$C:$V,20,FALSE),VLOOKUP($C70,非生产人员工资!$C:$Z,24,FALSE)))</f>
        <v>226.9</v>
      </c>
      <c r="Y70" s="7">
        <f>IF(ISERROR(IF(ISERROR(VLOOKUP($C70,非生产人员工资!C:AA,25,FALSE)),VLOOKUP($C70,生产人员工资!C:W,21,FALSE),VLOOKUP($C70,非生产人员工资!C:AA,25,FALSE))),0,IF(ISERROR(VLOOKUP($C70,非生产人员工资!C:AA,25,FALSE)),VLOOKUP($C70,生产人员工资!C:W,21,FALSE),VLOOKUP($C70,非生产人员工资!C:AA,25,FALSE)))</f>
        <v>104.57</v>
      </c>
      <c r="Z70" s="7">
        <f>IF(ISERROR(IF(ISERROR(VLOOKUP($C70,非生产人员工资!C:AB,26,FALSE)),VLOOKUP($C70,生产人员工资!C:X,22,FALSE),VLOOKUP($C70,非生产人员工资!C:AB,26,FALSE))),0,IF(ISERROR(VLOOKUP($C70,非生产人员工资!C:AB,26,FALSE)),VLOOKUP($C70,生产人员工资!C:X,22,FALSE),VLOOKUP($C70,非生产人员工资!C:AB,26,FALSE)))</f>
        <v>8.51</v>
      </c>
      <c r="AA70" s="7">
        <f>IF(ISERROR(IF(ISERROR(VLOOKUP($C70,非生产人员工资!C:AC,27,FALSE)),VLOOKUP($C70,生产人员工资!C:Y,23,FALSE),VLOOKUP($C70,非生产人员工资!C:AC,27,FALSE))),0,IF(ISERROR(VLOOKUP($C70,非生产人员工资!C:AC,27,FALSE)),VLOOKUP($C70,生产人员工资!C:Y,23,FALSE),VLOOKUP($C70,非生产人员工资!C:AC,27,FALSE)))</f>
        <v>89.5</v>
      </c>
      <c r="AB70" s="7">
        <f>IF(ISERROR(IF(ISERROR(VLOOKUP($C70,非生产人员工资!C:AD,28,FALSE)),VLOOKUP($C70,生产人员工资!C:Z,24,FALSE),VLOOKUP($C70,非生产人员工资!C:AD,28,FALSE))),0,IF(ISERROR(VLOOKUP($C70,非生产人员工资!C:AD,28,FALSE)),VLOOKUP($C70,生产人员工资!C:Z,24,FALSE),VLOOKUP($C70,非生产人员工资!C:AD,28,FALSE)))</f>
        <v>261.84</v>
      </c>
      <c r="AC70" s="269">
        <f>ROUND(IF(ISERROR(IF(ISERROR(VLOOKUP($C70,非生产人员工资!C:AF,30,FALSE)),VLOOKUP($C70,生产人员工资!C:AB,26,0),VLOOKUP($C70,非生产人员工资!C:AF,30,FALSE))),0,IF(ISERROR(VLOOKUP($C70,非生产人员工资!C:AF,30,FALSE)),VLOOKUP($C70,生产人员工资!C:AB,26,0),VLOOKUP($C70,非生产人员工资!C:AF,30,FALSE))),2)</f>
        <v>0</v>
      </c>
      <c r="AD70" s="269">
        <f t="shared" si="4"/>
        <v>2702.58</v>
      </c>
      <c r="AE70" s="269" t="str">
        <f>VLOOKUP($C70,员工基本信息!$C:$N,10,FALSE)</f>
        <v>生产成本+组装</v>
      </c>
      <c r="AF70" s="265" t="str">
        <f>VLOOKUP($C70,员工基本信息!$C:$O,11,FALSE)</f>
        <v>直接成本</v>
      </c>
      <c r="AG70" s="265" t="str">
        <f>VLOOKUP($C70,员工基本信息!$C:$O,12,FALSE)</f>
        <v>组装车间</v>
      </c>
      <c r="AH70" s="265" t="str">
        <f>VLOOKUP($C70,员工基本信息!$C:$O,13,FALSE)</f>
        <v>生产人员</v>
      </c>
      <c r="AI70" s="249" t="str">
        <f>VLOOKUP($B70,员工基本信息!$B:$S,16,FALSE)</f>
        <v>6214220101205378657</v>
      </c>
      <c r="AJ70" s="249" t="str">
        <f>VLOOKUP($B70,员工基本信息!$B:$S,18,FALSE)</f>
        <v>沧州</v>
      </c>
      <c r="AK70" s="249" t="str">
        <f>VLOOKUP(C70,员工基本信息!$C:$M,11,0)</f>
        <v>直接成本</v>
      </c>
    </row>
    <row r="71" s="250" customFormat="1" customHeight="1" spans="1:37">
      <c r="A71" s="264">
        <v>68</v>
      </c>
      <c r="B71" s="6" t="str">
        <f>本月员工姓名!B69</f>
        <v>张静</v>
      </c>
      <c r="C71" s="265" t="str">
        <f>VLOOKUP($B71,员工基本信息!$B:$I,2,FALSE)</f>
        <v>132930198111021627</v>
      </c>
      <c r="D71" s="266" t="str">
        <f>VLOOKUP($B71,员工基本信息!$B:$I,4,FALSE)</f>
        <v>制造管理部-组装车间</v>
      </c>
      <c r="E71" s="266" t="str">
        <f>VLOOKUP($B71,员工基本信息!$B:$I,5,FALSE)</f>
        <v>乘用车</v>
      </c>
      <c r="F71" s="267">
        <f>IF(ISERROR(VLOOKUP($C71,非生产人员工资!$C:$AD,6,FALSE)),0,VLOOKUP($C71,非生产人员工资!$C:$AD,6,FALSE))</f>
        <v>0</v>
      </c>
      <c r="G71" s="267">
        <f>IF(ISERROR(VLOOKUP($C71,非生产人员工资!C:J,8,0)),0,VLOOKUP($C71,非生产人员工资!C:J,8,FALSE))</f>
        <v>0</v>
      </c>
      <c r="H71" s="7">
        <f>IF(ISERROR(VLOOKUP($C71,非生产人员工资!C:K,9,FALSE)),0,VLOOKUP($C71,非生产人员工资!C:K,9,FALSE))</f>
        <v>0</v>
      </c>
      <c r="I71" s="7">
        <f>IF(ISERROR(VLOOKUP($C71,非生产人员工资!C:L,10,FALSE)),0,VLOOKUP($C71,非生产人员工资!C:L,10,FALSE))</f>
        <v>0</v>
      </c>
      <c r="J71" s="7">
        <f>IF(ISERROR(VLOOKUP($C71,生产人员工资!C:I,7,FALSE)),0,VLOOKUP($C71,生产人员工资!C:I,7,FALSE))</f>
        <v>2489.6</v>
      </c>
      <c r="K71" s="7">
        <f>IF(ISERROR(VLOOKUP($C71,生产人员工资!C:J,8,FALSE)),0,VLOOKUP($C71,生产人员工资!C:J,8,FALSE))</f>
        <v>295.1</v>
      </c>
      <c r="L71" s="7" t="str">
        <f>IF(ISERROR(IF(ISERROR(VLOOKUP($C71,非生产人员工资!C:N,12,FALSE)),VLOOKUP($C71,生产人员工资!C:K,9,FALSE),VLOOKUP($C71,非生产人员工资!C:N,12,FALSE))),0,IF(ISERROR(VLOOKUP($C71,非生产人员工资!C:N,12,FALSE)),VLOOKUP($C71,生产人员工资!C:K,9,FALSE),VLOOKUP($C71,非生产人员工资!C:N,12,FALSE)))</f>
        <v>0.00</v>
      </c>
      <c r="M71" s="7" t="str">
        <f>IF(ISERROR(IF(ISERROR(VLOOKUP($C71,非生产人员工资!$C:$O,13,FALSE)),VLOOKUP($C71,生产人员工资!$C:$L,10,FALSE),VLOOKUP($C71,非生产人员工资!$C:$O,13,FALSE))),0,IF(ISERROR(VLOOKUP($C71,非生产人员工资!$C:$O,13,FALSE)),VLOOKUP($C71,生产人员工资!$C:$L,10,FALSE),VLOOKUP($C71,非生产人员工资!$C:$O,13,FALSE)))</f>
        <v>0.00</v>
      </c>
      <c r="N71" s="7">
        <f>IF(ISERROR(IF(ISERROR(VLOOKUP($C71,非生产人员工资!$C:$P,14,FALSE)),VLOOKUP($C71,生产人员工资!$C:$M,11,FALSE),VLOOKUP($C71,非生产人员工资!$C:$P,14,FALSE))),0,IF(ISERROR(VLOOKUP($C71,非生产人员工资!$C:$P,14,FALSE)),VLOOKUP($C71,生产人员工资!$C:$M,11,FALSE),VLOOKUP($C71,非生产人员工资!$C:$P,14,FALSE)))</f>
        <v>200</v>
      </c>
      <c r="O71" s="7" t="str">
        <f>IF(ISERROR(IF(ISERROR(VLOOKUP($C71,非生产人员工资!C:Q,15,FALSE)),VLOOKUP($C71,生产人员工资!C:N,12,FALSE),VLOOKUP($C71,非生产人员工资!C:Q,15,FALSE))),0,IF(ISERROR(VLOOKUP($C71,非生产人员工资!C:Q,15,FALSE)),VLOOKUP($C71,生产人员工资!C:N,12,FALSE),VLOOKUP($C71,非生产人员工资!C:Q,15,FALSE)))</f>
        <v>0.00</v>
      </c>
      <c r="P71" s="7" t="str">
        <f>IF(ISERROR(IF(ISERROR(VLOOKUP($C71,非生产人员工资!C:R,16,FALSE)),VLOOKUP($C71,生产人员工资!C:O,13,FALSE),VLOOKUP($C71,非生产人员工资!C:R,16,FALSE))),0,IF(ISERROR(VLOOKUP($C71,非生产人员工资!C:R,16,FALSE)),VLOOKUP($C71,生产人员工资!C:O,13,FALSE),VLOOKUP($C71,非生产人员工资!C:R,16,FALSE)))</f>
        <v>0.00</v>
      </c>
      <c r="Q71" s="7" t="str">
        <f>IF(ISERROR(IF(ISERROR(VLOOKUP($C71,非生产人员工资!C:S,17,FALSE)),VLOOKUP($C71,生产人员工资!C:P,14,FALSE),VLOOKUP($C71,非生产人员工资!C:S,17,FALSE))),0,IF(ISERROR(VLOOKUP($C71,非生产人员工资!C:S,17,FALSE)),VLOOKUP($C71,生产人员工资!C:P,14,FALSE),VLOOKUP($C71,非生产人员工资!C:S,17,FALSE)))</f>
        <v>0.00</v>
      </c>
      <c r="R71" s="7" t="str">
        <f>IF(ISERROR(IF(ISERROR(VLOOKUP($C71,非生产人员工资!C:T,18,FALSE)),VLOOKUP($C71,生产人员工资!C:Q,15,FALSE),VLOOKUP($C71,非生产人员工资!C:T,18,FALSE))),0,IF(ISERROR(VLOOKUP($C71,非生产人员工资!C:T,18,FALSE)),VLOOKUP($C71,生产人员工资!C:Q,15,FALSE),VLOOKUP($C71,非生产人员工资!C:T,18,FALSE)))</f>
        <v>0.00</v>
      </c>
      <c r="S71" s="7">
        <f>IF(ISERROR(VLOOKUP($C71,非生产人员工资!C:U,19,FALSE)),0,VLOOKUP($C71,非生产人员工资!C:U,19,FALSE))</f>
        <v>0</v>
      </c>
      <c r="T71" s="7" t="str">
        <f>IF(ISERROR(IF(ISERROR(VLOOKUP($C71,非生产人员工资!C:V,20,FALSE)),VLOOKUP($C71,生产人员工资!C:R,16,FALSE),VLOOKUP($C71,非生产人员工资!C:V,20,FALSE))),0,IF(ISERROR(VLOOKUP($C71,非生产人员工资!C:V,20,FALSE)),VLOOKUP($C71,生产人员工资!$C:$R,16,FALSE),VLOOKUP($C71,非生产人员工资!C:V,20,FALSE)))</f>
        <v>0.00</v>
      </c>
      <c r="U71" s="7" t="str">
        <f>IF(ISERROR(IF(ISERROR(VLOOKUP($C71,非生产人员工资!C:W,21,FALSE)),VLOOKUP($C71,生产人员工资!C:S,17,FALSE),VLOOKUP($C71,非生产人员工资!C:W,21,FALSE))),0,IF(ISERROR(VLOOKUP($C71,非生产人员工资!C:W,21,FALSE)),VLOOKUP($C71,生产人员工资!C:S,17,FALSE),VLOOKUP($C71,非生产人员工资!C:W,21,FALSE)))</f>
        <v>0.00</v>
      </c>
      <c r="V71" s="7" t="str">
        <f>IF(ISERROR(IF(ISERROR(VLOOKUP($C71,非生产人员工资!C:X,22,FALSE)),VLOOKUP($C71,生产人员工资!C:T,18,FALSE),VLOOKUP($C71,非生产人员工资!C:X,22,FALSE))),0,IF(ISERROR(VLOOKUP($C71,非生产人员工资!C:X,22,FALSE)),VLOOKUP($C71,生产人员工资!C:T,18,FALSE),VLOOKUP($C71,非生产人员工资!C:X,22,FALSE)))</f>
        <v>0.00</v>
      </c>
      <c r="W71" s="7">
        <f t="shared" si="5"/>
        <v>2984.7</v>
      </c>
      <c r="X71" s="7">
        <f>IF(ISERROR(IF(ISERROR(VLOOKUP($C71,非生产人员工资!C:Z,24,FALSE)),VLOOKUP($C71,生产人员工资!C:V,20,FALSE),VLOOKUP($C71,非生产人员工资!$C:$Z,24,FALSE))),0,IF(ISERROR(VLOOKUP($C71,非生产人员工资!$C:$Z,24,FALSE)),VLOOKUP($C71,生产人员工资!$C:$V,20,FALSE),VLOOKUP($C71,非生产人员工资!$C:$Z,24,FALSE)))</f>
        <v>226.9</v>
      </c>
      <c r="Y71" s="7">
        <f>IF(ISERROR(IF(ISERROR(VLOOKUP($C71,非生产人员工资!C:AA,25,FALSE)),VLOOKUP($C71,生产人员工资!C:W,21,FALSE),VLOOKUP($C71,非生产人员工资!C:AA,25,FALSE))),0,IF(ISERROR(VLOOKUP($C71,非生产人员工资!C:AA,25,FALSE)),VLOOKUP($C71,生产人员工资!C:W,21,FALSE),VLOOKUP($C71,非生产人员工资!C:AA,25,FALSE)))</f>
        <v>104.57</v>
      </c>
      <c r="Z71" s="7">
        <f>IF(ISERROR(IF(ISERROR(VLOOKUP($C71,非生产人员工资!C:AB,26,FALSE)),VLOOKUP($C71,生产人员工资!C:X,22,FALSE),VLOOKUP($C71,非生产人员工资!C:AB,26,FALSE))),0,IF(ISERROR(VLOOKUP($C71,非生产人员工资!C:AB,26,FALSE)),VLOOKUP($C71,生产人员工资!C:X,22,FALSE),VLOOKUP($C71,非生产人员工资!C:AB,26,FALSE)))</f>
        <v>8.51</v>
      </c>
      <c r="AA71" s="7">
        <f>IF(ISERROR(IF(ISERROR(VLOOKUP($C71,非生产人员工资!C:AC,27,FALSE)),VLOOKUP($C71,生产人员工资!C:Y,23,FALSE),VLOOKUP($C71,非生产人员工资!C:AC,27,FALSE))),0,IF(ISERROR(VLOOKUP($C71,非生产人员工资!C:AC,27,FALSE)),VLOOKUP($C71,生产人员工资!C:Y,23,FALSE),VLOOKUP($C71,非生产人员工资!C:AC,27,FALSE)))</f>
        <v>89.5</v>
      </c>
      <c r="AB71" s="7">
        <f>IF(ISERROR(IF(ISERROR(VLOOKUP($C71,非生产人员工资!C:AD,28,FALSE)),VLOOKUP($C71,生产人员工资!C:Z,24,FALSE),VLOOKUP($C71,非生产人员工资!C:AD,28,FALSE))),0,IF(ISERROR(VLOOKUP($C71,非生产人员工资!C:AD,28,FALSE)),VLOOKUP($C71,生产人员工资!C:Z,24,FALSE),VLOOKUP($C71,非生产人员工资!C:AD,28,FALSE)))</f>
        <v>261.84</v>
      </c>
      <c r="AC71" s="269">
        <f>ROUND(IF(ISERROR(IF(ISERROR(VLOOKUP($C71,非生产人员工资!C:AF,30,FALSE)),VLOOKUP($C71,生产人员工资!C:AB,26,0),VLOOKUP($C71,非生产人员工资!C:AF,30,FALSE))),0,IF(ISERROR(VLOOKUP($C71,非生产人员工资!C:AF,30,FALSE)),VLOOKUP($C71,生产人员工资!C:AB,26,0),VLOOKUP($C71,非生产人员工资!C:AF,30,FALSE))),2)</f>
        <v>0</v>
      </c>
      <c r="AD71" s="269">
        <f t="shared" si="4"/>
        <v>2293.38</v>
      </c>
      <c r="AE71" s="269" t="str">
        <f>VLOOKUP($C71,员工基本信息!$C:$N,10,FALSE)</f>
        <v>生产成本+组装</v>
      </c>
      <c r="AF71" s="265" t="str">
        <f>VLOOKUP($C71,员工基本信息!$C:$O,11,FALSE)</f>
        <v>直接成本</v>
      </c>
      <c r="AG71" s="265" t="str">
        <f>VLOOKUP($C71,员工基本信息!$C:$O,12,FALSE)</f>
        <v>组装车间</v>
      </c>
      <c r="AH71" s="265" t="str">
        <f>VLOOKUP($C71,员工基本信息!$C:$O,13,FALSE)</f>
        <v>生产人员</v>
      </c>
      <c r="AI71" s="249" t="str">
        <f>VLOOKUP($B71,员工基本信息!$B:$S,16,FALSE)</f>
        <v>6214220101205266308</v>
      </c>
      <c r="AJ71" s="249" t="str">
        <f>VLOOKUP($B71,员工基本信息!$B:$S,18,FALSE)</f>
        <v>沧州</v>
      </c>
      <c r="AK71" s="249" t="str">
        <f>VLOOKUP(C71,员工基本信息!$C:$M,11,0)</f>
        <v>直接成本</v>
      </c>
    </row>
    <row r="72" s="250" customFormat="1" customHeight="1" spans="1:37">
      <c r="A72" s="264">
        <v>69</v>
      </c>
      <c r="B72" s="6" t="str">
        <f>本月员工姓名!B70</f>
        <v>刘芹</v>
      </c>
      <c r="C72" s="265" t="str">
        <f>VLOOKUP($B72,员工基本信息!$B:$I,2,FALSE)</f>
        <v>132930198602103520</v>
      </c>
      <c r="D72" s="266" t="str">
        <f>VLOOKUP($B72,员工基本信息!$B:$I,4,FALSE)</f>
        <v>制造管理部-组装车间</v>
      </c>
      <c r="E72" s="266" t="str">
        <f>VLOOKUP($B72,员工基本信息!$B:$I,5,FALSE)</f>
        <v>乘用车</v>
      </c>
      <c r="F72" s="267">
        <f>IF(ISERROR(VLOOKUP($C72,非生产人员工资!$C:$AD,6,FALSE)),0,VLOOKUP($C72,非生产人员工资!$C:$AD,6,FALSE))</f>
        <v>0</v>
      </c>
      <c r="G72" s="267">
        <f>IF(ISERROR(VLOOKUP($C72,非生产人员工资!C:J,8,0)),0,VLOOKUP($C72,非生产人员工资!C:J,8,FALSE))</f>
        <v>0</v>
      </c>
      <c r="H72" s="7">
        <f>IF(ISERROR(VLOOKUP($C72,非生产人员工资!C:K,9,FALSE)),0,VLOOKUP($C72,非生产人员工资!C:K,9,FALSE))</f>
        <v>0</v>
      </c>
      <c r="I72" s="7">
        <f>IF(ISERROR(VLOOKUP($C72,非生产人员工资!C:L,10,FALSE)),0,VLOOKUP($C72,非生产人员工资!C:L,10,FALSE))</f>
        <v>0</v>
      </c>
      <c r="J72" s="7">
        <f>IF(ISERROR(VLOOKUP($C72,生产人员工资!C:I,7,FALSE)),0,VLOOKUP($C72,生产人员工资!C:I,7,FALSE))</f>
        <v>2572.8</v>
      </c>
      <c r="K72" s="7">
        <f>IF(ISERROR(VLOOKUP($C72,生产人员工资!C:J,8,FALSE)),0,VLOOKUP($C72,生产人员工资!C:J,8,FALSE))</f>
        <v>279.8</v>
      </c>
      <c r="L72" s="7" t="str">
        <f>IF(ISERROR(IF(ISERROR(VLOOKUP($C72,非生产人员工资!C:N,12,FALSE)),VLOOKUP($C72,生产人员工资!C:K,9,FALSE),VLOOKUP($C72,非生产人员工资!C:N,12,FALSE))),0,IF(ISERROR(VLOOKUP($C72,非生产人员工资!C:N,12,FALSE)),VLOOKUP($C72,生产人员工资!C:K,9,FALSE),VLOOKUP($C72,非生产人员工资!C:N,12,FALSE)))</f>
        <v>0.00</v>
      </c>
      <c r="M72" s="7" t="str">
        <f>IF(ISERROR(IF(ISERROR(VLOOKUP($C72,非生产人员工资!$C:$O,13,FALSE)),VLOOKUP($C72,生产人员工资!$C:$L,10,FALSE),VLOOKUP($C72,非生产人员工资!$C:$O,13,FALSE))),0,IF(ISERROR(VLOOKUP($C72,非生产人员工资!$C:$O,13,FALSE)),VLOOKUP($C72,生产人员工资!$C:$L,10,FALSE),VLOOKUP($C72,非生产人员工资!$C:$O,13,FALSE)))</f>
        <v>0.00</v>
      </c>
      <c r="N72" s="7">
        <f>IF(ISERROR(IF(ISERROR(VLOOKUP($C72,非生产人员工资!$C:$P,14,FALSE)),VLOOKUP($C72,生产人员工资!$C:$M,11,FALSE),VLOOKUP($C72,非生产人员工资!$C:$P,14,FALSE))),0,IF(ISERROR(VLOOKUP($C72,非生产人员工资!$C:$P,14,FALSE)),VLOOKUP($C72,生产人员工资!$C:$M,11,FALSE),VLOOKUP($C72,非生产人员工资!$C:$P,14,FALSE)))</f>
        <v>160</v>
      </c>
      <c r="O72" s="7" t="str">
        <f>IF(ISERROR(IF(ISERROR(VLOOKUP($C72,非生产人员工资!C:Q,15,FALSE)),VLOOKUP($C72,生产人员工资!C:N,12,FALSE),VLOOKUP($C72,非生产人员工资!C:Q,15,FALSE))),0,IF(ISERROR(VLOOKUP($C72,非生产人员工资!C:Q,15,FALSE)),VLOOKUP($C72,生产人员工资!C:N,12,FALSE),VLOOKUP($C72,非生产人员工资!C:Q,15,FALSE)))</f>
        <v>0.00</v>
      </c>
      <c r="P72" s="7" t="str">
        <f>IF(ISERROR(IF(ISERROR(VLOOKUP($C72,非生产人员工资!C:R,16,FALSE)),VLOOKUP($C72,生产人员工资!C:O,13,FALSE),VLOOKUP($C72,非生产人员工资!C:R,16,FALSE))),0,IF(ISERROR(VLOOKUP($C72,非生产人员工资!C:R,16,FALSE)),VLOOKUP($C72,生产人员工资!C:O,13,FALSE),VLOOKUP($C72,非生产人员工资!C:R,16,FALSE)))</f>
        <v>0.00</v>
      </c>
      <c r="Q72" s="7" t="str">
        <f>IF(ISERROR(IF(ISERROR(VLOOKUP($C72,非生产人员工资!C:S,17,FALSE)),VLOOKUP($C72,生产人员工资!C:P,14,FALSE),VLOOKUP($C72,非生产人员工资!C:S,17,FALSE))),0,IF(ISERROR(VLOOKUP($C72,非生产人员工资!C:S,17,FALSE)),VLOOKUP($C72,生产人员工资!C:P,14,FALSE),VLOOKUP($C72,非生产人员工资!C:S,17,FALSE)))</f>
        <v>0.00</v>
      </c>
      <c r="R72" s="7" t="str">
        <f>IF(ISERROR(IF(ISERROR(VLOOKUP($C72,非生产人员工资!C:T,18,FALSE)),VLOOKUP($C72,生产人员工资!C:Q,15,FALSE),VLOOKUP($C72,非生产人员工资!C:T,18,FALSE))),0,IF(ISERROR(VLOOKUP($C72,非生产人员工资!C:T,18,FALSE)),VLOOKUP($C72,生产人员工资!C:Q,15,FALSE),VLOOKUP($C72,非生产人员工资!C:T,18,FALSE)))</f>
        <v>0.00</v>
      </c>
      <c r="S72" s="7">
        <f>IF(ISERROR(VLOOKUP($C72,非生产人员工资!C:U,19,FALSE)),0,VLOOKUP($C72,非生产人员工资!C:U,19,FALSE))</f>
        <v>0</v>
      </c>
      <c r="T72" s="7" t="str">
        <f>IF(ISERROR(IF(ISERROR(VLOOKUP($C72,非生产人员工资!C:V,20,FALSE)),VLOOKUP($C72,生产人员工资!C:R,16,FALSE),VLOOKUP($C72,非生产人员工资!C:V,20,FALSE))),0,IF(ISERROR(VLOOKUP($C72,非生产人员工资!C:V,20,FALSE)),VLOOKUP($C72,生产人员工资!$C:$R,16,FALSE),VLOOKUP($C72,非生产人员工资!C:V,20,FALSE)))</f>
        <v>0.00</v>
      </c>
      <c r="U72" s="7" t="str">
        <f>IF(ISERROR(IF(ISERROR(VLOOKUP($C72,非生产人员工资!C:W,21,FALSE)),VLOOKUP($C72,生产人员工资!C:S,17,FALSE),VLOOKUP($C72,非生产人员工资!C:W,21,FALSE))),0,IF(ISERROR(VLOOKUP($C72,非生产人员工资!C:W,21,FALSE)),VLOOKUP($C72,生产人员工资!C:S,17,FALSE),VLOOKUP($C72,非生产人员工资!C:W,21,FALSE)))</f>
        <v>0.00</v>
      </c>
      <c r="V72" s="7" t="str">
        <f>IF(ISERROR(IF(ISERROR(VLOOKUP($C72,非生产人员工资!C:X,22,FALSE)),VLOOKUP($C72,生产人员工资!C:T,18,FALSE),VLOOKUP($C72,非生产人员工资!C:X,22,FALSE))),0,IF(ISERROR(VLOOKUP($C72,非生产人员工资!C:X,22,FALSE)),VLOOKUP($C72,生产人员工资!C:T,18,FALSE),VLOOKUP($C72,非生产人员工资!C:X,22,FALSE)))</f>
        <v>0.00</v>
      </c>
      <c r="W72" s="7">
        <f t="shared" si="5"/>
        <v>3012.6</v>
      </c>
      <c r="X72" s="7">
        <f>IF(ISERROR(IF(ISERROR(VLOOKUP($C72,非生产人员工资!C:Z,24,FALSE)),VLOOKUP($C72,生产人员工资!C:V,20,FALSE),VLOOKUP($C72,非生产人员工资!$C:$Z,24,FALSE))),0,IF(ISERROR(VLOOKUP($C72,非生产人员工资!$C:$Z,24,FALSE)),VLOOKUP($C72,生产人员工资!$C:$V,20,FALSE),VLOOKUP($C72,非生产人员工资!$C:$Z,24,FALSE)))</f>
        <v>226.9</v>
      </c>
      <c r="Y72" s="7">
        <f>IF(ISERROR(IF(ISERROR(VLOOKUP($C72,非生产人员工资!C:AA,25,FALSE)),VLOOKUP($C72,生产人员工资!C:W,21,FALSE),VLOOKUP($C72,非生产人员工资!C:AA,25,FALSE))),0,IF(ISERROR(VLOOKUP($C72,非生产人员工资!C:AA,25,FALSE)),VLOOKUP($C72,生产人员工资!C:W,21,FALSE),VLOOKUP($C72,非生产人员工资!C:AA,25,FALSE)))</f>
        <v>104.57</v>
      </c>
      <c r="Z72" s="7">
        <f>IF(ISERROR(IF(ISERROR(VLOOKUP($C72,非生产人员工资!C:AB,26,FALSE)),VLOOKUP($C72,生产人员工资!C:X,22,FALSE),VLOOKUP($C72,非生产人员工资!C:AB,26,FALSE))),0,IF(ISERROR(VLOOKUP($C72,非生产人员工资!C:AB,26,FALSE)),VLOOKUP($C72,生产人员工资!C:X,22,FALSE),VLOOKUP($C72,非生产人员工资!C:AB,26,FALSE)))</f>
        <v>8.51</v>
      </c>
      <c r="AA72" s="7">
        <f>IF(ISERROR(IF(ISERROR(VLOOKUP($C72,非生产人员工资!C:AC,27,FALSE)),VLOOKUP($C72,生产人员工资!C:Y,23,FALSE),VLOOKUP($C72,非生产人员工资!C:AC,27,FALSE))),0,IF(ISERROR(VLOOKUP($C72,非生产人员工资!C:AC,27,FALSE)),VLOOKUP($C72,生产人员工资!C:Y,23,FALSE),VLOOKUP($C72,非生产人员工资!C:AC,27,FALSE)))</f>
        <v>89.5</v>
      </c>
      <c r="AB72" s="7">
        <f>IF(ISERROR(IF(ISERROR(VLOOKUP($C72,非生产人员工资!C:AD,28,FALSE)),VLOOKUP($C72,生产人员工资!C:Z,24,FALSE),VLOOKUP($C72,非生产人员工资!C:AD,28,FALSE))),0,IF(ISERROR(VLOOKUP($C72,非生产人员工资!C:AD,28,FALSE)),VLOOKUP($C72,生产人员工资!C:Z,24,FALSE),VLOOKUP($C72,非生产人员工资!C:AD,28,FALSE)))</f>
        <v>261.84</v>
      </c>
      <c r="AC72" s="269">
        <f>ROUND(IF(ISERROR(IF(ISERROR(VLOOKUP($C72,非生产人员工资!C:AF,30,FALSE)),VLOOKUP($C72,生产人员工资!C:AB,26,0),VLOOKUP($C72,非生产人员工资!C:AF,30,FALSE))),0,IF(ISERROR(VLOOKUP($C72,非生产人员工资!C:AF,30,FALSE)),VLOOKUP($C72,生产人员工资!C:AB,26,0),VLOOKUP($C72,非生产人员工资!C:AF,30,FALSE))),2)</f>
        <v>0</v>
      </c>
      <c r="AD72" s="269">
        <f t="shared" si="4"/>
        <v>2321.28</v>
      </c>
      <c r="AE72" s="269" t="str">
        <f>VLOOKUP($C72,员工基本信息!$C:$N,10,FALSE)</f>
        <v>生产成本+组装</v>
      </c>
      <c r="AF72" s="265" t="str">
        <f>VLOOKUP($C72,员工基本信息!$C:$O,11,FALSE)</f>
        <v>直接成本</v>
      </c>
      <c r="AG72" s="265" t="str">
        <f>VLOOKUP($C72,员工基本信息!$C:$O,12,FALSE)</f>
        <v>组装车间</v>
      </c>
      <c r="AH72" s="265" t="str">
        <f>VLOOKUP($C72,员工基本信息!$C:$O,13,FALSE)</f>
        <v>生产人员</v>
      </c>
      <c r="AI72" s="249" t="str">
        <f>VLOOKUP($B72,员工基本信息!$B:$S,16,FALSE)</f>
        <v>6214220101205491393</v>
      </c>
      <c r="AJ72" s="249" t="str">
        <f>VLOOKUP($B72,员工基本信息!$B:$S,18,FALSE)</f>
        <v>沧州</v>
      </c>
      <c r="AK72" s="249" t="str">
        <f>VLOOKUP(C72,员工基本信息!$C:$M,11,0)</f>
        <v>直接成本</v>
      </c>
    </row>
    <row r="73" s="250" customFormat="1" customHeight="1" spans="1:37">
      <c r="A73" s="264">
        <v>70</v>
      </c>
      <c r="B73" s="6" t="str">
        <f>本月员工姓名!B71</f>
        <v>姚秀玲</v>
      </c>
      <c r="C73" s="265" t="str">
        <f>VLOOKUP($B73,员工基本信息!$B:$I,2,FALSE)</f>
        <v>130983198403012221</v>
      </c>
      <c r="D73" s="266" t="str">
        <f>VLOOKUP($B73,员工基本信息!$B:$I,4,FALSE)</f>
        <v>制造管理部-组装车间</v>
      </c>
      <c r="E73" s="266" t="str">
        <f>VLOOKUP($B73,员工基本信息!$B:$I,5,FALSE)</f>
        <v>乘用车</v>
      </c>
      <c r="F73" s="267">
        <f>IF(ISERROR(VLOOKUP($C73,非生产人员工资!$C:$AD,6,FALSE)),0,VLOOKUP($C73,非生产人员工资!$C:$AD,6,FALSE))</f>
        <v>0</v>
      </c>
      <c r="G73" s="267">
        <f>IF(ISERROR(VLOOKUP($C73,非生产人员工资!C:J,8,0)),0,VLOOKUP($C73,非生产人员工资!C:J,8,FALSE))</f>
        <v>0</v>
      </c>
      <c r="H73" s="7">
        <f>IF(ISERROR(VLOOKUP($C73,非生产人员工资!C:K,9,FALSE)),0,VLOOKUP($C73,非生产人员工资!C:K,9,FALSE))</f>
        <v>0</v>
      </c>
      <c r="I73" s="7">
        <f>IF(ISERROR(VLOOKUP($C73,非生产人员工资!C:L,10,FALSE)),0,VLOOKUP($C73,非生产人员工资!C:L,10,FALSE))</f>
        <v>0</v>
      </c>
      <c r="J73" s="7">
        <f>IF(ISERROR(VLOOKUP($C73,生产人员工资!C:I,7,FALSE)),0,VLOOKUP($C73,生产人员工资!C:I,7,FALSE))</f>
        <v>2700.8</v>
      </c>
      <c r="K73" s="7">
        <f>IF(ISERROR(VLOOKUP($C73,生产人员工资!C:J,8,FALSE)),0,VLOOKUP($C73,生产人员工资!C:J,8,FALSE))</f>
        <v>285.8</v>
      </c>
      <c r="L73" s="7" t="str">
        <f>IF(ISERROR(IF(ISERROR(VLOOKUP($C73,非生产人员工资!C:N,12,FALSE)),VLOOKUP($C73,生产人员工资!C:K,9,FALSE),VLOOKUP($C73,非生产人员工资!C:N,12,FALSE))),0,IF(ISERROR(VLOOKUP($C73,非生产人员工资!C:N,12,FALSE)),VLOOKUP($C73,生产人员工资!C:K,9,FALSE),VLOOKUP($C73,非生产人员工资!C:N,12,FALSE)))</f>
        <v>0.00</v>
      </c>
      <c r="M73" s="7" t="str">
        <f>IF(ISERROR(IF(ISERROR(VLOOKUP($C73,非生产人员工资!$C:$O,13,FALSE)),VLOOKUP($C73,生产人员工资!$C:$L,10,FALSE),VLOOKUP($C73,非生产人员工资!$C:$O,13,FALSE))),0,IF(ISERROR(VLOOKUP($C73,非生产人员工资!$C:$O,13,FALSE)),VLOOKUP($C73,生产人员工资!$C:$L,10,FALSE),VLOOKUP($C73,非生产人员工资!$C:$O,13,FALSE)))</f>
        <v>0.00</v>
      </c>
      <c r="N73" s="7">
        <f>IF(ISERROR(IF(ISERROR(VLOOKUP($C73,非生产人员工资!$C:$P,14,FALSE)),VLOOKUP($C73,生产人员工资!$C:$M,11,FALSE),VLOOKUP($C73,非生产人员工资!$C:$P,14,FALSE))),0,IF(ISERROR(VLOOKUP($C73,非生产人员工资!$C:$P,14,FALSE)),VLOOKUP($C73,生产人员工资!$C:$M,11,FALSE),VLOOKUP($C73,非生产人员工资!$C:$P,14,FALSE)))</f>
        <v>140</v>
      </c>
      <c r="O73" s="7" t="str">
        <f>IF(ISERROR(IF(ISERROR(VLOOKUP($C73,非生产人员工资!C:Q,15,FALSE)),VLOOKUP($C73,生产人员工资!C:N,12,FALSE),VLOOKUP($C73,非生产人员工资!C:Q,15,FALSE))),0,IF(ISERROR(VLOOKUP($C73,非生产人员工资!C:Q,15,FALSE)),VLOOKUP($C73,生产人员工资!C:N,12,FALSE),VLOOKUP($C73,非生产人员工资!C:Q,15,FALSE)))</f>
        <v>0.00</v>
      </c>
      <c r="P73" s="7" t="str">
        <f>IF(ISERROR(IF(ISERROR(VLOOKUP($C73,非生产人员工资!C:R,16,FALSE)),VLOOKUP($C73,生产人员工资!C:O,13,FALSE),VLOOKUP($C73,非生产人员工资!C:R,16,FALSE))),0,IF(ISERROR(VLOOKUP($C73,非生产人员工资!C:R,16,FALSE)),VLOOKUP($C73,生产人员工资!C:O,13,FALSE),VLOOKUP($C73,非生产人员工资!C:R,16,FALSE)))</f>
        <v>0.00</v>
      </c>
      <c r="Q73" s="7" t="str">
        <f>IF(ISERROR(IF(ISERROR(VLOOKUP($C73,非生产人员工资!C:S,17,FALSE)),VLOOKUP($C73,生产人员工资!C:P,14,FALSE),VLOOKUP($C73,非生产人员工资!C:S,17,FALSE))),0,IF(ISERROR(VLOOKUP($C73,非生产人员工资!C:S,17,FALSE)),VLOOKUP($C73,生产人员工资!C:P,14,FALSE),VLOOKUP($C73,非生产人员工资!C:S,17,FALSE)))</f>
        <v>0.00</v>
      </c>
      <c r="R73" s="7" t="str">
        <f>IF(ISERROR(IF(ISERROR(VLOOKUP($C73,非生产人员工资!C:T,18,FALSE)),VLOOKUP($C73,生产人员工资!C:Q,15,FALSE),VLOOKUP($C73,非生产人员工资!C:T,18,FALSE))),0,IF(ISERROR(VLOOKUP($C73,非生产人员工资!C:T,18,FALSE)),VLOOKUP($C73,生产人员工资!C:Q,15,FALSE),VLOOKUP($C73,非生产人员工资!C:T,18,FALSE)))</f>
        <v>0.00</v>
      </c>
      <c r="S73" s="7">
        <f>IF(ISERROR(VLOOKUP($C73,非生产人员工资!C:U,19,FALSE)),0,VLOOKUP($C73,非生产人员工资!C:U,19,FALSE))</f>
        <v>0</v>
      </c>
      <c r="T73" s="7" t="str">
        <f>IF(ISERROR(IF(ISERROR(VLOOKUP($C73,非生产人员工资!C:V,20,FALSE)),VLOOKUP($C73,生产人员工资!C:R,16,FALSE),VLOOKUP($C73,非生产人员工资!C:V,20,FALSE))),0,IF(ISERROR(VLOOKUP($C73,非生产人员工资!C:V,20,FALSE)),VLOOKUP($C73,生产人员工资!$C:$R,16,FALSE),VLOOKUP($C73,非生产人员工资!C:V,20,FALSE)))</f>
        <v>0.00</v>
      </c>
      <c r="U73" s="7" t="str">
        <f>IF(ISERROR(IF(ISERROR(VLOOKUP($C73,非生产人员工资!C:W,21,FALSE)),VLOOKUP($C73,生产人员工资!C:S,17,FALSE),VLOOKUP($C73,非生产人员工资!C:W,21,FALSE))),0,IF(ISERROR(VLOOKUP($C73,非生产人员工资!C:W,21,FALSE)),VLOOKUP($C73,生产人员工资!C:S,17,FALSE),VLOOKUP($C73,非生产人员工资!C:W,21,FALSE)))</f>
        <v>0.00</v>
      </c>
      <c r="V73" s="7" t="str">
        <f>IF(ISERROR(IF(ISERROR(VLOOKUP($C73,非生产人员工资!C:X,22,FALSE)),VLOOKUP($C73,生产人员工资!C:T,18,FALSE),VLOOKUP($C73,非生产人员工资!C:X,22,FALSE))),0,IF(ISERROR(VLOOKUP($C73,非生产人员工资!C:X,22,FALSE)),VLOOKUP($C73,生产人员工资!C:T,18,FALSE),VLOOKUP($C73,非生产人员工资!C:X,22,FALSE)))</f>
        <v>0.00</v>
      </c>
      <c r="W73" s="7">
        <f t="shared" si="5"/>
        <v>3126.6</v>
      </c>
      <c r="X73" s="7">
        <f>IF(ISERROR(IF(ISERROR(VLOOKUP($C73,非生产人员工资!C:Z,24,FALSE)),VLOOKUP($C73,生产人员工资!C:V,20,FALSE),VLOOKUP($C73,非生产人员工资!$C:$Z,24,FALSE))),0,IF(ISERROR(VLOOKUP($C73,非生产人员工资!$C:$Z,24,FALSE)),VLOOKUP($C73,生产人员工资!$C:$V,20,FALSE),VLOOKUP($C73,非生产人员工资!$C:$Z,24,FALSE)))</f>
        <v>226.9</v>
      </c>
      <c r="Y73" s="7">
        <f>IF(ISERROR(IF(ISERROR(VLOOKUP($C73,非生产人员工资!C:AA,25,FALSE)),VLOOKUP($C73,生产人员工资!C:W,21,FALSE),VLOOKUP($C73,非生产人员工资!C:AA,25,FALSE))),0,IF(ISERROR(VLOOKUP($C73,非生产人员工资!C:AA,25,FALSE)),VLOOKUP($C73,生产人员工资!C:W,21,FALSE),VLOOKUP($C73,非生产人员工资!C:AA,25,FALSE)))</f>
        <v>104.57</v>
      </c>
      <c r="Z73" s="7">
        <f>IF(ISERROR(IF(ISERROR(VLOOKUP($C73,非生产人员工资!C:AB,26,FALSE)),VLOOKUP($C73,生产人员工资!C:X,22,FALSE),VLOOKUP($C73,非生产人员工资!C:AB,26,FALSE))),0,IF(ISERROR(VLOOKUP($C73,非生产人员工资!C:AB,26,FALSE)),VLOOKUP($C73,生产人员工资!C:X,22,FALSE),VLOOKUP($C73,非生产人员工资!C:AB,26,FALSE)))</f>
        <v>8.51</v>
      </c>
      <c r="AA73" s="7">
        <f>IF(ISERROR(IF(ISERROR(VLOOKUP($C73,非生产人员工资!C:AC,27,FALSE)),VLOOKUP($C73,生产人员工资!C:Y,23,FALSE),VLOOKUP($C73,非生产人员工资!C:AC,27,FALSE))),0,IF(ISERROR(VLOOKUP($C73,非生产人员工资!C:AC,27,FALSE)),VLOOKUP($C73,生产人员工资!C:Y,23,FALSE),VLOOKUP($C73,非生产人员工资!C:AC,27,FALSE)))</f>
        <v>89.5</v>
      </c>
      <c r="AB73" s="7">
        <f>IF(ISERROR(IF(ISERROR(VLOOKUP($C73,非生产人员工资!C:AD,28,FALSE)),VLOOKUP($C73,生产人员工资!C:Z,24,FALSE),VLOOKUP($C73,非生产人员工资!C:AD,28,FALSE))),0,IF(ISERROR(VLOOKUP($C73,非生产人员工资!C:AD,28,FALSE)),VLOOKUP($C73,生产人员工资!C:Z,24,FALSE),VLOOKUP($C73,非生产人员工资!C:AD,28,FALSE)))</f>
        <v>261.84</v>
      </c>
      <c r="AC73" s="269">
        <f>ROUND(IF(ISERROR(IF(ISERROR(VLOOKUP($C73,非生产人员工资!C:AF,30,FALSE)),VLOOKUP($C73,生产人员工资!C:AB,26,0),VLOOKUP($C73,非生产人员工资!C:AF,30,FALSE))),0,IF(ISERROR(VLOOKUP($C73,非生产人员工资!C:AF,30,FALSE)),VLOOKUP($C73,生产人员工资!C:AB,26,0),VLOOKUP($C73,非生产人员工资!C:AF,30,FALSE))),2)</f>
        <v>0</v>
      </c>
      <c r="AD73" s="269">
        <f t="shared" si="4"/>
        <v>2435.28</v>
      </c>
      <c r="AE73" s="269" t="str">
        <f>VLOOKUP($C73,员工基本信息!$C:$N,10,FALSE)</f>
        <v>生产成本+组装</v>
      </c>
      <c r="AF73" s="265" t="str">
        <f>VLOOKUP($C73,员工基本信息!$C:$O,11,FALSE)</f>
        <v>直接成本</v>
      </c>
      <c r="AG73" s="265" t="str">
        <f>VLOOKUP($C73,员工基本信息!$C:$O,12,FALSE)</f>
        <v>组装车间</v>
      </c>
      <c r="AH73" s="265" t="str">
        <f>VLOOKUP($C73,员工基本信息!$C:$O,13,FALSE)</f>
        <v>生产人员</v>
      </c>
      <c r="AI73" s="249" t="str">
        <f>VLOOKUP($B73,员工基本信息!$B:$S,16,FALSE)</f>
        <v>6214220101205378640</v>
      </c>
      <c r="AJ73" s="249" t="str">
        <f>VLOOKUP($B73,员工基本信息!$B:$S,18,FALSE)</f>
        <v>沧州</v>
      </c>
      <c r="AK73" s="249" t="str">
        <f>VLOOKUP(C73,员工基本信息!$C:$M,11,0)</f>
        <v>直接成本</v>
      </c>
    </row>
    <row r="74" s="250" customFormat="1" customHeight="1" spans="1:37">
      <c r="A74" s="264">
        <v>71</v>
      </c>
      <c r="B74" s="6" t="str">
        <f>本月员工姓名!B72</f>
        <v>孙桂平</v>
      </c>
      <c r="C74" s="265" t="str">
        <f>VLOOKUP($B74,员工基本信息!$B:$I,2,FALSE)</f>
        <v>130983198402051421</v>
      </c>
      <c r="D74" s="266" t="str">
        <f>VLOOKUP($B74,员工基本信息!$B:$I,4,FALSE)</f>
        <v>制造管理部-组装车间</v>
      </c>
      <c r="E74" s="266" t="str">
        <f>VLOOKUP($B74,员工基本信息!$B:$I,5,FALSE)</f>
        <v>乘用车</v>
      </c>
      <c r="F74" s="267">
        <f>IF(ISERROR(VLOOKUP($C74,非生产人员工资!$C:$AD,6,FALSE)),0,VLOOKUP($C74,非生产人员工资!$C:$AD,6,FALSE))</f>
        <v>0</v>
      </c>
      <c r="G74" s="267">
        <f>IF(ISERROR(VLOOKUP($C74,非生产人员工资!C:J,8,0)),0,VLOOKUP($C74,非生产人员工资!C:J,8,FALSE))</f>
        <v>0</v>
      </c>
      <c r="H74" s="7">
        <f>IF(ISERROR(VLOOKUP($C74,非生产人员工资!C:K,9,FALSE)),0,VLOOKUP($C74,非生产人员工资!C:K,9,FALSE))</f>
        <v>0</v>
      </c>
      <c r="I74" s="7">
        <f>IF(ISERROR(VLOOKUP($C74,非生产人员工资!C:L,10,FALSE)),0,VLOOKUP($C74,非生产人员工资!C:L,10,FALSE))</f>
        <v>0</v>
      </c>
      <c r="J74" s="7">
        <f>IF(ISERROR(VLOOKUP($C74,生产人员工资!C:I,7,FALSE)),0,VLOOKUP($C74,生产人员工资!C:I,7,FALSE))</f>
        <v>2483.2</v>
      </c>
      <c r="K74" s="7">
        <f>IF(ISERROR(VLOOKUP($C74,生产人员工资!C:J,8,FALSE)),0,VLOOKUP($C74,生产人员工资!C:J,8,FALSE))</f>
        <v>313.2</v>
      </c>
      <c r="L74" s="7" t="str">
        <f>IF(ISERROR(IF(ISERROR(VLOOKUP($C74,非生产人员工资!C:N,12,FALSE)),VLOOKUP($C74,生产人员工资!C:K,9,FALSE),VLOOKUP($C74,非生产人员工资!C:N,12,FALSE))),0,IF(ISERROR(VLOOKUP($C74,非生产人员工资!C:N,12,FALSE)),VLOOKUP($C74,生产人员工资!C:K,9,FALSE),VLOOKUP($C74,非生产人员工资!C:N,12,FALSE)))</f>
        <v>0.00</v>
      </c>
      <c r="M74" s="7" t="str">
        <f>IF(ISERROR(IF(ISERROR(VLOOKUP($C74,非生产人员工资!$C:$O,13,FALSE)),VLOOKUP($C74,生产人员工资!$C:$L,10,FALSE),VLOOKUP($C74,非生产人员工资!$C:$O,13,FALSE))),0,IF(ISERROR(VLOOKUP($C74,非生产人员工资!$C:$O,13,FALSE)),VLOOKUP($C74,生产人员工资!$C:$L,10,FALSE),VLOOKUP($C74,非生产人员工资!$C:$O,13,FALSE)))</f>
        <v>0.00</v>
      </c>
      <c r="N74" s="7">
        <f>IF(ISERROR(IF(ISERROR(VLOOKUP($C74,非生产人员工资!$C:$P,14,FALSE)),VLOOKUP($C74,生产人员工资!$C:$M,11,FALSE),VLOOKUP($C74,非生产人员工资!$C:$P,14,FALSE))),0,IF(ISERROR(VLOOKUP($C74,非生产人员工资!$C:$P,14,FALSE)),VLOOKUP($C74,生产人员工资!$C:$M,11,FALSE),VLOOKUP($C74,非生产人员工资!$C:$P,14,FALSE)))</f>
        <v>80</v>
      </c>
      <c r="O74" s="7" t="str">
        <f>IF(ISERROR(IF(ISERROR(VLOOKUP($C74,非生产人员工资!C:Q,15,FALSE)),VLOOKUP($C74,生产人员工资!C:N,12,FALSE),VLOOKUP($C74,非生产人员工资!C:Q,15,FALSE))),0,IF(ISERROR(VLOOKUP($C74,非生产人员工资!C:Q,15,FALSE)),VLOOKUP($C74,生产人员工资!C:N,12,FALSE),VLOOKUP($C74,非生产人员工资!C:Q,15,FALSE)))</f>
        <v>0.00</v>
      </c>
      <c r="P74" s="7" t="str">
        <f>IF(ISERROR(IF(ISERROR(VLOOKUP($C74,非生产人员工资!C:R,16,FALSE)),VLOOKUP($C74,生产人员工资!C:O,13,FALSE),VLOOKUP($C74,非生产人员工资!C:R,16,FALSE))),0,IF(ISERROR(VLOOKUP($C74,非生产人员工资!C:R,16,FALSE)),VLOOKUP($C74,生产人员工资!C:O,13,FALSE),VLOOKUP($C74,非生产人员工资!C:R,16,FALSE)))</f>
        <v>0.00</v>
      </c>
      <c r="Q74" s="7">
        <f>IF(ISERROR(IF(ISERROR(VLOOKUP($C74,非生产人员工资!C:S,17,FALSE)),VLOOKUP($C74,生产人员工资!C:P,14,FALSE),VLOOKUP($C74,非生产人员工资!C:S,17,FALSE))),0,IF(ISERROR(VLOOKUP($C74,非生产人员工资!C:S,17,FALSE)),VLOOKUP($C74,生产人员工资!C:P,14,FALSE),VLOOKUP($C74,非生产人员工资!C:S,17,FALSE)))</f>
        <v>20</v>
      </c>
      <c r="R74" s="7" t="str">
        <f>IF(ISERROR(IF(ISERROR(VLOOKUP($C74,非生产人员工资!C:T,18,FALSE)),VLOOKUP($C74,生产人员工资!C:Q,15,FALSE),VLOOKUP($C74,非生产人员工资!C:T,18,FALSE))),0,IF(ISERROR(VLOOKUP($C74,非生产人员工资!C:T,18,FALSE)),VLOOKUP($C74,生产人员工资!C:Q,15,FALSE),VLOOKUP($C74,非生产人员工资!C:T,18,FALSE)))</f>
        <v>0.00</v>
      </c>
      <c r="S74" s="7">
        <f>IF(ISERROR(VLOOKUP($C74,非生产人员工资!C:U,19,FALSE)),0,VLOOKUP($C74,非生产人员工资!C:U,19,FALSE))</f>
        <v>0</v>
      </c>
      <c r="T74" s="7" t="str">
        <f>IF(ISERROR(IF(ISERROR(VLOOKUP($C74,非生产人员工资!C:V,20,FALSE)),VLOOKUP($C74,生产人员工资!C:R,16,FALSE),VLOOKUP($C74,非生产人员工资!C:V,20,FALSE))),0,IF(ISERROR(VLOOKUP($C74,非生产人员工资!C:V,20,FALSE)),VLOOKUP($C74,生产人员工资!$C:$R,16,FALSE),VLOOKUP($C74,非生产人员工资!C:V,20,FALSE)))</f>
        <v>0.00</v>
      </c>
      <c r="U74" s="7" t="str">
        <f>IF(ISERROR(IF(ISERROR(VLOOKUP($C74,非生产人员工资!C:W,21,FALSE)),VLOOKUP($C74,生产人员工资!C:S,17,FALSE),VLOOKUP($C74,非生产人员工资!C:W,21,FALSE))),0,IF(ISERROR(VLOOKUP($C74,非生产人员工资!C:W,21,FALSE)),VLOOKUP($C74,生产人员工资!C:S,17,FALSE),VLOOKUP($C74,非生产人员工资!C:W,21,FALSE)))</f>
        <v>0.00</v>
      </c>
      <c r="V74" s="7" t="str">
        <f>IF(ISERROR(IF(ISERROR(VLOOKUP($C74,非生产人员工资!C:X,22,FALSE)),VLOOKUP($C74,生产人员工资!C:T,18,FALSE),VLOOKUP($C74,非生产人员工资!C:X,22,FALSE))),0,IF(ISERROR(VLOOKUP($C74,非生产人员工资!C:X,22,FALSE)),VLOOKUP($C74,生产人员工资!C:T,18,FALSE),VLOOKUP($C74,非生产人员工资!C:X,22,FALSE)))</f>
        <v>0.00</v>
      </c>
      <c r="W74" s="7">
        <f t="shared" si="5"/>
        <v>2896.4</v>
      </c>
      <c r="X74" s="7">
        <f>IF(ISERROR(IF(ISERROR(VLOOKUP($C74,非生产人员工资!C:Z,24,FALSE)),VLOOKUP($C74,生产人员工资!C:V,20,FALSE),VLOOKUP($C74,非生产人员工资!$C:$Z,24,FALSE))),0,IF(ISERROR(VLOOKUP($C74,非生产人员工资!$C:$Z,24,FALSE)),VLOOKUP($C74,生产人员工资!$C:$V,20,FALSE),VLOOKUP($C74,非生产人员工资!$C:$Z,24,FALSE)))</f>
        <v>226.9</v>
      </c>
      <c r="Y74" s="7">
        <f>IF(ISERROR(IF(ISERROR(VLOOKUP($C74,非生产人员工资!C:AA,25,FALSE)),VLOOKUP($C74,生产人员工资!C:W,21,FALSE),VLOOKUP($C74,非生产人员工资!C:AA,25,FALSE))),0,IF(ISERROR(VLOOKUP($C74,非生产人员工资!C:AA,25,FALSE)),VLOOKUP($C74,生产人员工资!C:W,21,FALSE),VLOOKUP($C74,非生产人员工资!C:AA,25,FALSE)))</f>
        <v>104.57</v>
      </c>
      <c r="Z74" s="7">
        <f>IF(ISERROR(IF(ISERROR(VLOOKUP($C74,非生产人员工资!C:AB,26,FALSE)),VLOOKUP($C74,生产人员工资!C:X,22,FALSE),VLOOKUP($C74,非生产人员工资!C:AB,26,FALSE))),0,IF(ISERROR(VLOOKUP($C74,非生产人员工资!C:AB,26,FALSE)),VLOOKUP($C74,生产人员工资!C:X,22,FALSE),VLOOKUP($C74,非生产人员工资!C:AB,26,FALSE)))</f>
        <v>8.51</v>
      </c>
      <c r="AA74" s="7">
        <f>IF(ISERROR(IF(ISERROR(VLOOKUP($C74,非生产人员工资!C:AC,27,FALSE)),VLOOKUP($C74,生产人员工资!C:Y,23,FALSE),VLOOKUP($C74,非生产人员工资!C:AC,27,FALSE))),0,IF(ISERROR(VLOOKUP($C74,非生产人员工资!C:AC,27,FALSE)),VLOOKUP($C74,生产人员工资!C:Y,23,FALSE),VLOOKUP($C74,非生产人员工资!C:AC,27,FALSE)))</f>
        <v>89.5</v>
      </c>
      <c r="AB74" s="7">
        <f>IF(ISERROR(IF(ISERROR(VLOOKUP($C74,非生产人员工资!C:AD,28,FALSE)),VLOOKUP($C74,生产人员工资!C:Z,24,FALSE),VLOOKUP($C74,非生产人员工资!C:AD,28,FALSE))),0,IF(ISERROR(VLOOKUP($C74,非生产人员工资!C:AD,28,FALSE)),VLOOKUP($C74,生产人员工资!C:Z,24,FALSE),VLOOKUP($C74,非生产人员工资!C:AD,28,FALSE)))</f>
        <v>261.84</v>
      </c>
      <c r="AC74" s="269">
        <f>ROUND(IF(ISERROR(IF(ISERROR(VLOOKUP($C74,非生产人员工资!C:AF,30,FALSE)),VLOOKUP($C74,生产人员工资!C:AB,26,0),VLOOKUP($C74,非生产人员工资!C:AF,30,FALSE))),0,IF(ISERROR(VLOOKUP($C74,非生产人员工资!C:AF,30,FALSE)),VLOOKUP($C74,生产人员工资!C:AB,26,0),VLOOKUP($C74,非生产人员工资!C:AF,30,FALSE))),2)</f>
        <v>0</v>
      </c>
      <c r="AD74" s="269">
        <f t="shared" si="4"/>
        <v>2205.08</v>
      </c>
      <c r="AE74" s="269" t="str">
        <f>VLOOKUP($C74,员工基本信息!$C:$N,10,FALSE)</f>
        <v>生产成本+组装</v>
      </c>
      <c r="AF74" s="265" t="str">
        <f>VLOOKUP($C74,员工基本信息!$C:$O,11,FALSE)</f>
        <v>直接成本</v>
      </c>
      <c r="AG74" s="265" t="str">
        <f>VLOOKUP($C74,员工基本信息!$C:$O,12,FALSE)</f>
        <v>组装车间</v>
      </c>
      <c r="AH74" s="265" t="str">
        <f>VLOOKUP($C74,员工基本信息!$C:$O,13,FALSE)</f>
        <v>生产人员</v>
      </c>
      <c r="AI74" s="249" t="str">
        <f>VLOOKUP($B74,员工基本信息!$B:$S,16,FALSE)</f>
        <v>6214220101205386361</v>
      </c>
      <c r="AJ74" s="249" t="str">
        <f>VLOOKUP($B74,员工基本信息!$B:$S,18,FALSE)</f>
        <v>沧州</v>
      </c>
      <c r="AK74" s="249" t="str">
        <f>VLOOKUP(C74,员工基本信息!$C:$M,11,0)</f>
        <v>直接成本</v>
      </c>
    </row>
    <row r="75" s="250" customFormat="1" customHeight="1" spans="1:37">
      <c r="A75" s="264">
        <v>72</v>
      </c>
      <c r="B75" s="6" t="str">
        <f>本月员工姓名!B73</f>
        <v>李跃茹</v>
      </c>
      <c r="C75" s="265" t="str">
        <f>VLOOKUP($B75,员工基本信息!$B:$I,2,FALSE)</f>
        <v>132930198206270722</v>
      </c>
      <c r="D75" s="266" t="str">
        <f>VLOOKUP($B75,员工基本信息!$B:$I,4,FALSE)</f>
        <v>制造管理部-组装车间</v>
      </c>
      <c r="E75" s="266" t="str">
        <f>VLOOKUP($B75,员工基本信息!$B:$I,5,FALSE)</f>
        <v>乘用车</v>
      </c>
      <c r="F75" s="267">
        <f>IF(ISERROR(VLOOKUP($C75,非生产人员工资!$C:$AD,6,FALSE)),0,VLOOKUP($C75,非生产人员工资!$C:$AD,6,FALSE))</f>
        <v>0</v>
      </c>
      <c r="G75" s="267">
        <f>IF(ISERROR(VLOOKUP($C75,非生产人员工资!C:J,8,0)),0,VLOOKUP($C75,非生产人员工资!C:J,8,FALSE))</f>
        <v>0</v>
      </c>
      <c r="H75" s="7">
        <f>IF(ISERROR(VLOOKUP($C75,非生产人员工资!C:K,9,FALSE)),0,VLOOKUP($C75,非生产人员工资!C:K,9,FALSE))</f>
        <v>0</v>
      </c>
      <c r="I75" s="7">
        <f>IF(ISERROR(VLOOKUP($C75,非生产人员工资!C:L,10,FALSE)),0,VLOOKUP($C75,非生产人员工资!C:L,10,FALSE))</f>
        <v>0</v>
      </c>
      <c r="J75" s="7">
        <f>IF(ISERROR(VLOOKUP($C75,生产人员工资!C:I,7,FALSE)),0,VLOOKUP($C75,生产人员工资!C:I,7,FALSE))</f>
        <v>2630.4</v>
      </c>
      <c r="K75" s="7">
        <f>IF(ISERROR(VLOOKUP($C75,生产人员工资!C:J,8,FALSE)),0,VLOOKUP($C75,生产人员工资!C:J,8,FALSE))</f>
        <v>282.5</v>
      </c>
      <c r="L75" s="7" t="str">
        <f>IF(ISERROR(IF(ISERROR(VLOOKUP($C75,非生产人员工资!C:N,12,FALSE)),VLOOKUP($C75,生产人员工资!C:K,9,FALSE),VLOOKUP($C75,非生产人员工资!C:N,12,FALSE))),0,IF(ISERROR(VLOOKUP($C75,非生产人员工资!C:N,12,FALSE)),VLOOKUP($C75,生产人员工资!C:K,9,FALSE),VLOOKUP($C75,非生产人员工资!C:N,12,FALSE)))</f>
        <v>0.00</v>
      </c>
      <c r="M75" s="7" t="str">
        <f>IF(ISERROR(IF(ISERROR(VLOOKUP($C75,非生产人员工资!$C:$O,13,FALSE)),VLOOKUP($C75,生产人员工资!$C:$L,10,FALSE),VLOOKUP($C75,非生产人员工资!$C:$O,13,FALSE))),0,IF(ISERROR(VLOOKUP($C75,非生产人员工资!$C:$O,13,FALSE)),VLOOKUP($C75,生产人员工资!$C:$L,10,FALSE),VLOOKUP($C75,非生产人员工资!$C:$O,13,FALSE)))</f>
        <v>0.00</v>
      </c>
      <c r="N75" s="7">
        <f>IF(ISERROR(IF(ISERROR(VLOOKUP($C75,非生产人员工资!$C:$P,14,FALSE)),VLOOKUP($C75,生产人员工资!$C:$M,11,FALSE),VLOOKUP($C75,非生产人员工资!$C:$P,14,FALSE))),0,IF(ISERROR(VLOOKUP($C75,非生产人员工资!$C:$P,14,FALSE)),VLOOKUP($C75,生产人员工资!$C:$M,11,FALSE),VLOOKUP($C75,非生产人员工资!$C:$P,14,FALSE)))</f>
        <v>80</v>
      </c>
      <c r="O75" s="7" t="str">
        <f>IF(ISERROR(IF(ISERROR(VLOOKUP($C75,非生产人员工资!C:Q,15,FALSE)),VLOOKUP($C75,生产人员工资!C:N,12,FALSE),VLOOKUP($C75,非生产人员工资!C:Q,15,FALSE))),0,IF(ISERROR(VLOOKUP($C75,非生产人员工资!C:Q,15,FALSE)),VLOOKUP($C75,生产人员工资!C:N,12,FALSE),VLOOKUP($C75,非生产人员工资!C:Q,15,FALSE)))</f>
        <v>0.00</v>
      </c>
      <c r="P75" s="7" t="str">
        <f>IF(ISERROR(IF(ISERROR(VLOOKUP($C75,非生产人员工资!C:R,16,FALSE)),VLOOKUP($C75,生产人员工资!C:O,13,FALSE),VLOOKUP($C75,非生产人员工资!C:R,16,FALSE))),0,IF(ISERROR(VLOOKUP($C75,非生产人员工资!C:R,16,FALSE)),VLOOKUP($C75,生产人员工资!C:O,13,FALSE),VLOOKUP($C75,非生产人员工资!C:R,16,FALSE)))</f>
        <v>0.00</v>
      </c>
      <c r="Q75" s="7">
        <f>IF(ISERROR(IF(ISERROR(VLOOKUP($C75,非生产人员工资!C:S,17,FALSE)),VLOOKUP($C75,生产人员工资!C:P,14,FALSE),VLOOKUP($C75,非生产人员工资!C:S,17,FALSE))),0,IF(ISERROR(VLOOKUP($C75,非生产人员工资!C:S,17,FALSE)),VLOOKUP($C75,生产人员工资!C:P,14,FALSE),VLOOKUP($C75,非生产人员工资!C:S,17,FALSE)))</f>
        <v>20</v>
      </c>
      <c r="R75" s="7" t="str">
        <f>IF(ISERROR(IF(ISERROR(VLOOKUP($C75,非生产人员工资!C:T,18,FALSE)),VLOOKUP($C75,生产人员工资!C:Q,15,FALSE),VLOOKUP($C75,非生产人员工资!C:T,18,FALSE))),0,IF(ISERROR(VLOOKUP($C75,非生产人员工资!C:T,18,FALSE)),VLOOKUP($C75,生产人员工资!C:Q,15,FALSE),VLOOKUP($C75,非生产人员工资!C:T,18,FALSE)))</f>
        <v>0.00</v>
      </c>
      <c r="S75" s="7">
        <f>IF(ISERROR(VLOOKUP($C75,非生产人员工资!C:U,19,FALSE)),0,VLOOKUP($C75,非生产人员工资!C:U,19,FALSE))</f>
        <v>0</v>
      </c>
      <c r="T75" s="7" t="str">
        <f>IF(ISERROR(IF(ISERROR(VLOOKUP($C75,非生产人员工资!C:V,20,FALSE)),VLOOKUP($C75,生产人员工资!C:R,16,FALSE),VLOOKUP($C75,非生产人员工资!C:V,20,FALSE))),0,IF(ISERROR(VLOOKUP($C75,非生产人员工资!C:V,20,FALSE)),VLOOKUP($C75,生产人员工资!$C:$R,16,FALSE),VLOOKUP($C75,非生产人员工资!C:V,20,FALSE)))</f>
        <v>0.00</v>
      </c>
      <c r="U75" s="7" t="str">
        <f>IF(ISERROR(IF(ISERROR(VLOOKUP($C75,非生产人员工资!C:W,21,FALSE)),VLOOKUP($C75,生产人员工资!C:S,17,FALSE),VLOOKUP($C75,非生产人员工资!C:W,21,FALSE))),0,IF(ISERROR(VLOOKUP($C75,非生产人员工资!C:W,21,FALSE)),VLOOKUP($C75,生产人员工资!C:S,17,FALSE),VLOOKUP($C75,非生产人员工资!C:W,21,FALSE)))</f>
        <v>0.00</v>
      </c>
      <c r="V75" s="7" t="str">
        <f>IF(ISERROR(IF(ISERROR(VLOOKUP($C75,非生产人员工资!C:X,22,FALSE)),VLOOKUP($C75,生产人员工资!C:T,18,FALSE),VLOOKUP($C75,非生产人员工资!C:X,22,FALSE))),0,IF(ISERROR(VLOOKUP($C75,非生产人员工资!C:X,22,FALSE)),VLOOKUP($C75,生产人员工资!C:T,18,FALSE),VLOOKUP($C75,非生产人员工资!C:X,22,FALSE)))</f>
        <v>0.00</v>
      </c>
      <c r="W75" s="7">
        <f t="shared" si="5"/>
        <v>3012.9</v>
      </c>
      <c r="X75" s="7">
        <f>IF(ISERROR(IF(ISERROR(VLOOKUP($C75,非生产人员工资!C:Z,24,FALSE)),VLOOKUP($C75,生产人员工资!C:V,20,FALSE),VLOOKUP($C75,非生产人员工资!$C:$Z,24,FALSE))),0,IF(ISERROR(VLOOKUP($C75,非生产人员工资!$C:$Z,24,FALSE)),VLOOKUP($C75,生产人员工资!$C:$V,20,FALSE),VLOOKUP($C75,非生产人员工资!$C:$Z,24,FALSE)))</f>
        <v>226.9</v>
      </c>
      <c r="Y75" s="7">
        <f>IF(ISERROR(IF(ISERROR(VLOOKUP($C75,非生产人员工资!C:AA,25,FALSE)),VLOOKUP($C75,生产人员工资!C:W,21,FALSE),VLOOKUP($C75,非生产人员工资!C:AA,25,FALSE))),0,IF(ISERROR(VLOOKUP($C75,非生产人员工资!C:AA,25,FALSE)),VLOOKUP($C75,生产人员工资!C:W,21,FALSE),VLOOKUP($C75,非生产人员工资!C:AA,25,FALSE)))</f>
        <v>104.57</v>
      </c>
      <c r="Z75" s="7">
        <f>IF(ISERROR(IF(ISERROR(VLOOKUP($C75,非生产人员工资!C:AB,26,FALSE)),VLOOKUP($C75,生产人员工资!C:X,22,FALSE),VLOOKUP($C75,非生产人员工资!C:AB,26,FALSE))),0,IF(ISERROR(VLOOKUP($C75,非生产人员工资!C:AB,26,FALSE)),VLOOKUP($C75,生产人员工资!C:X,22,FALSE),VLOOKUP($C75,非生产人员工资!C:AB,26,FALSE)))</f>
        <v>8.51</v>
      </c>
      <c r="AA75" s="7">
        <f>IF(ISERROR(IF(ISERROR(VLOOKUP($C75,非生产人员工资!C:AC,27,FALSE)),VLOOKUP($C75,生产人员工资!C:Y,23,FALSE),VLOOKUP($C75,非生产人员工资!C:AC,27,FALSE))),0,IF(ISERROR(VLOOKUP($C75,非生产人员工资!C:AC,27,FALSE)),VLOOKUP($C75,生产人员工资!C:Y,23,FALSE),VLOOKUP($C75,非生产人员工资!C:AC,27,FALSE)))</f>
        <v>89.5</v>
      </c>
      <c r="AB75" s="7">
        <f>IF(ISERROR(IF(ISERROR(VLOOKUP($C75,非生产人员工资!C:AD,28,FALSE)),VLOOKUP($C75,生产人员工资!C:Z,24,FALSE),VLOOKUP($C75,非生产人员工资!C:AD,28,FALSE))),0,IF(ISERROR(VLOOKUP($C75,非生产人员工资!C:AD,28,FALSE)),VLOOKUP($C75,生产人员工资!C:Z,24,FALSE),VLOOKUP($C75,非生产人员工资!C:AD,28,FALSE)))</f>
        <v>261.84</v>
      </c>
      <c r="AC75" s="269">
        <f>ROUND(IF(ISERROR(IF(ISERROR(VLOOKUP($C75,非生产人员工资!C:AF,30,FALSE)),VLOOKUP($C75,生产人员工资!C:AB,26,0),VLOOKUP($C75,非生产人员工资!C:AF,30,FALSE))),0,IF(ISERROR(VLOOKUP($C75,非生产人员工资!C:AF,30,FALSE)),VLOOKUP($C75,生产人员工资!C:AB,26,0),VLOOKUP($C75,非生产人员工资!C:AF,30,FALSE))),2)</f>
        <v>0</v>
      </c>
      <c r="AD75" s="269">
        <f t="shared" si="4"/>
        <v>2321.58</v>
      </c>
      <c r="AE75" s="269" t="str">
        <f>VLOOKUP($C75,员工基本信息!$C:$N,10,FALSE)</f>
        <v>生产成本+组装</v>
      </c>
      <c r="AF75" s="265" t="str">
        <f>VLOOKUP($C75,员工基本信息!$C:$O,11,FALSE)</f>
        <v>直接成本</v>
      </c>
      <c r="AG75" s="265" t="str">
        <f>VLOOKUP($C75,员工基本信息!$C:$O,12,FALSE)</f>
        <v>组装车间</v>
      </c>
      <c r="AH75" s="265" t="str">
        <f>VLOOKUP($C75,员工基本信息!$C:$O,13,FALSE)</f>
        <v>生产人员</v>
      </c>
      <c r="AI75" s="249" t="str">
        <f>VLOOKUP($B75,员工基本信息!$B:$S,16,FALSE)</f>
        <v>6214220101205379671</v>
      </c>
      <c r="AJ75" s="249" t="str">
        <f>VLOOKUP($B75,员工基本信息!$B:$S,18,FALSE)</f>
        <v>沧州</v>
      </c>
      <c r="AK75" s="249" t="str">
        <f>VLOOKUP(C75,员工基本信息!$C:$M,11,0)</f>
        <v>直接成本</v>
      </c>
    </row>
    <row r="76" s="250" customFormat="1" customHeight="1" spans="1:37">
      <c r="A76" s="264">
        <v>73</v>
      </c>
      <c r="B76" s="6" t="str">
        <f>本月员工姓名!B74</f>
        <v>刘二平</v>
      </c>
      <c r="C76" s="265" t="str">
        <f>VLOOKUP($B76,员工基本信息!$B:$I,2,FALSE)</f>
        <v>130983198401251421</v>
      </c>
      <c r="D76" s="266" t="str">
        <f>VLOOKUP($B76,员工基本信息!$B:$I,4,FALSE)</f>
        <v>制造管理部-组装车间</v>
      </c>
      <c r="E76" s="266" t="str">
        <f>VLOOKUP($B76,员工基本信息!$B:$I,5,FALSE)</f>
        <v>乘用车</v>
      </c>
      <c r="F76" s="267">
        <f>IF(ISERROR(VLOOKUP($C76,非生产人员工资!$C:$AD,6,FALSE)),0,VLOOKUP($C76,非生产人员工资!$C:$AD,6,FALSE))</f>
        <v>0</v>
      </c>
      <c r="G76" s="267">
        <f>IF(ISERROR(VLOOKUP($C76,非生产人员工资!C:J,8,0)),0,VLOOKUP($C76,非生产人员工资!C:J,8,FALSE))</f>
        <v>0</v>
      </c>
      <c r="H76" s="7">
        <f>IF(ISERROR(VLOOKUP($C76,非生产人员工资!C:K,9,FALSE)),0,VLOOKUP($C76,非生产人员工资!C:K,9,FALSE))</f>
        <v>0</v>
      </c>
      <c r="I76" s="7">
        <f>IF(ISERROR(VLOOKUP($C76,非生产人员工资!C:L,10,FALSE)),0,VLOOKUP($C76,非生产人员工资!C:L,10,FALSE))</f>
        <v>0</v>
      </c>
      <c r="J76" s="7">
        <f>IF(ISERROR(VLOOKUP($C76,生产人员工资!C:I,7,FALSE)),0,VLOOKUP($C76,生产人员工资!C:I,7,FALSE))</f>
        <v>2553.6</v>
      </c>
      <c r="K76" s="7">
        <f>IF(ISERROR(VLOOKUP($C76,生产人员工资!C:J,8,FALSE)),0,VLOOKUP($C76,生产人员工资!C:J,8,FALSE))</f>
        <v>336.5</v>
      </c>
      <c r="L76" s="7" t="str">
        <f>IF(ISERROR(IF(ISERROR(VLOOKUP($C76,非生产人员工资!C:N,12,FALSE)),VLOOKUP($C76,生产人员工资!C:K,9,FALSE),VLOOKUP($C76,非生产人员工资!C:N,12,FALSE))),0,IF(ISERROR(VLOOKUP($C76,非生产人员工资!C:N,12,FALSE)),VLOOKUP($C76,生产人员工资!C:K,9,FALSE),VLOOKUP($C76,非生产人员工资!C:N,12,FALSE)))</f>
        <v>0.00</v>
      </c>
      <c r="M76" s="7" t="str">
        <f>IF(ISERROR(IF(ISERROR(VLOOKUP($C76,非生产人员工资!$C:$O,13,FALSE)),VLOOKUP($C76,生产人员工资!$C:$L,10,FALSE),VLOOKUP($C76,非生产人员工资!$C:$O,13,FALSE))),0,IF(ISERROR(VLOOKUP($C76,非生产人员工资!$C:$O,13,FALSE)),VLOOKUP($C76,生产人员工资!$C:$L,10,FALSE),VLOOKUP($C76,非生产人员工资!$C:$O,13,FALSE)))</f>
        <v>0.00</v>
      </c>
      <c r="N76" s="7">
        <f>IF(ISERROR(IF(ISERROR(VLOOKUP($C76,非生产人员工资!$C:$P,14,FALSE)),VLOOKUP($C76,生产人员工资!$C:$M,11,FALSE),VLOOKUP($C76,非生产人员工资!$C:$P,14,FALSE))),0,IF(ISERROR(VLOOKUP($C76,非生产人员工资!$C:$P,14,FALSE)),VLOOKUP($C76,生产人员工资!$C:$M,11,FALSE),VLOOKUP($C76,非生产人员工资!$C:$P,14,FALSE)))</f>
        <v>60</v>
      </c>
      <c r="O76" s="7" t="str">
        <f>IF(ISERROR(IF(ISERROR(VLOOKUP($C76,非生产人员工资!C:Q,15,FALSE)),VLOOKUP($C76,生产人员工资!C:N,12,FALSE),VLOOKUP($C76,非生产人员工资!C:Q,15,FALSE))),0,IF(ISERROR(VLOOKUP($C76,非生产人员工资!C:Q,15,FALSE)),VLOOKUP($C76,生产人员工资!C:N,12,FALSE),VLOOKUP($C76,非生产人员工资!C:Q,15,FALSE)))</f>
        <v>0.00</v>
      </c>
      <c r="P76" s="7" t="str">
        <f>IF(ISERROR(IF(ISERROR(VLOOKUP($C76,非生产人员工资!C:R,16,FALSE)),VLOOKUP($C76,生产人员工资!C:O,13,FALSE),VLOOKUP($C76,非生产人员工资!C:R,16,FALSE))),0,IF(ISERROR(VLOOKUP($C76,非生产人员工资!C:R,16,FALSE)),VLOOKUP($C76,生产人员工资!C:O,13,FALSE),VLOOKUP($C76,非生产人员工资!C:R,16,FALSE)))</f>
        <v>0.00</v>
      </c>
      <c r="Q76" s="7">
        <f>IF(ISERROR(IF(ISERROR(VLOOKUP($C76,非生产人员工资!C:S,17,FALSE)),VLOOKUP($C76,生产人员工资!C:P,14,FALSE),VLOOKUP($C76,非生产人员工资!C:S,17,FALSE))),0,IF(ISERROR(VLOOKUP($C76,非生产人员工资!C:S,17,FALSE)),VLOOKUP($C76,生产人员工资!C:P,14,FALSE),VLOOKUP($C76,非生产人员工资!C:S,17,FALSE)))</f>
        <v>20</v>
      </c>
      <c r="R76" s="7" t="str">
        <f>IF(ISERROR(IF(ISERROR(VLOOKUP($C76,非生产人员工资!C:T,18,FALSE)),VLOOKUP($C76,生产人员工资!C:Q,15,FALSE),VLOOKUP($C76,非生产人员工资!C:T,18,FALSE))),0,IF(ISERROR(VLOOKUP($C76,非生产人员工资!C:T,18,FALSE)),VLOOKUP($C76,生产人员工资!C:Q,15,FALSE),VLOOKUP($C76,非生产人员工资!C:T,18,FALSE)))</f>
        <v>0.00</v>
      </c>
      <c r="S76" s="7">
        <f>IF(ISERROR(VLOOKUP($C76,非生产人员工资!C:U,19,FALSE)),0,VLOOKUP($C76,非生产人员工资!C:U,19,FALSE))</f>
        <v>0</v>
      </c>
      <c r="T76" s="7" t="str">
        <f>IF(ISERROR(IF(ISERROR(VLOOKUP($C76,非生产人员工资!C:V,20,FALSE)),VLOOKUP($C76,生产人员工资!C:R,16,FALSE),VLOOKUP($C76,非生产人员工资!C:V,20,FALSE))),0,IF(ISERROR(VLOOKUP($C76,非生产人员工资!C:V,20,FALSE)),VLOOKUP($C76,生产人员工资!$C:$R,16,FALSE),VLOOKUP($C76,非生产人员工资!C:V,20,FALSE)))</f>
        <v>0.00</v>
      </c>
      <c r="U76" s="7" t="str">
        <f>IF(ISERROR(IF(ISERROR(VLOOKUP($C76,非生产人员工资!C:W,21,FALSE)),VLOOKUP($C76,生产人员工资!C:S,17,FALSE),VLOOKUP($C76,非生产人员工资!C:W,21,FALSE))),0,IF(ISERROR(VLOOKUP($C76,非生产人员工资!C:W,21,FALSE)),VLOOKUP($C76,生产人员工资!C:S,17,FALSE),VLOOKUP($C76,非生产人员工资!C:W,21,FALSE)))</f>
        <v>0.00</v>
      </c>
      <c r="V76" s="7" t="str">
        <f>IF(ISERROR(IF(ISERROR(VLOOKUP($C76,非生产人员工资!C:X,22,FALSE)),VLOOKUP($C76,生产人员工资!C:T,18,FALSE),VLOOKUP($C76,非生产人员工资!C:X,22,FALSE))),0,IF(ISERROR(VLOOKUP($C76,非生产人员工资!C:X,22,FALSE)),VLOOKUP($C76,生产人员工资!C:T,18,FALSE),VLOOKUP($C76,非生产人员工资!C:X,22,FALSE)))</f>
        <v>0.00</v>
      </c>
      <c r="W76" s="7">
        <f t="shared" si="5"/>
        <v>2970.1</v>
      </c>
      <c r="X76" s="7">
        <f>IF(ISERROR(IF(ISERROR(VLOOKUP($C76,非生产人员工资!C:Z,24,FALSE)),VLOOKUP($C76,生产人员工资!C:V,20,FALSE),VLOOKUP($C76,非生产人员工资!$C:$Z,24,FALSE))),0,IF(ISERROR(VLOOKUP($C76,非生产人员工资!$C:$Z,24,FALSE)),VLOOKUP($C76,生产人员工资!$C:$V,20,FALSE),VLOOKUP($C76,非生产人员工资!$C:$Z,24,FALSE)))</f>
        <v>226.9</v>
      </c>
      <c r="Y76" s="7">
        <f>IF(ISERROR(IF(ISERROR(VLOOKUP($C76,非生产人员工资!C:AA,25,FALSE)),VLOOKUP($C76,生产人员工资!C:W,21,FALSE),VLOOKUP($C76,非生产人员工资!C:AA,25,FALSE))),0,IF(ISERROR(VLOOKUP($C76,非生产人员工资!C:AA,25,FALSE)),VLOOKUP($C76,生产人员工资!C:W,21,FALSE),VLOOKUP($C76,非生产人员工资!C:AA,25,FALSE)))</f>
        <v>104.57</v>
      </c>
      <c r="Z76" s="7">
        <f>IF(ISERROR(IF(ISERROR(VLOOKUP($C76,非生产人员工资!C:AB,26,FALSE)),VLOOKUP($C76,生产人员工资!C:X,22,FALSE),VLOOKUP($C76,非生产人员工资!C:AB,26,FALSE))),0,IF(ISERROR(VLOOKUP($C76,非生产人员工资!C:AB,26,FALSE)),VLOOKUP($C76,生产人员工资!C:X,22,FALSE),VLOOKUP($C76,非生产人员工资!C:AB,26,FALSE)))</f>
        <v>8.51</v>
      </c>
      <c r="AA76" s="7">
        <f>IF(ISERROR(IF(ISERROR(VLOOKUP($C76,非生产人员工资!C:AC,27,FALSE)),VLOOKUP($C76,生产人员工资!C:Y,23,FALSE),VLOOKUP($C76,非生产人员工资!C:AC,27,FALSE))),0,IF(ISERROR(VLOOKUP($C76,非生产人员工资!C:AC,27,FALSE)),VLOOKUP($C76,生产人员工资!C:Y,23,FALSE),VLOOKUP($C76,非生产人员工资!C:AC,27,FALSE)))</f>
        <v>89.5</v>
      </c>
      <c r="AB76" s="7">
        <f>IF(ISERROR(IF(ISERROR(VLOOKUP($C76,非生产人员工资!C:AD,28,FALSE)),VLOOKUP($C76,生产人员工资!C:Z,24,FALSE),VLOOKUP($C76,非生产人员工资!C:AD,28,FALSE))),0,IF(ISERROR(VLOOKUP($C76,非生产人员工资!C:AD,28,FALSE)),VLOOKUP($C76,生产人员工资!C:Z,24,FALSE),VLOOKUP($C76,非生产人员工资!C:AD,28,FALSE)))</f>
        <v>261.84</v>
      </c>
      <c r="AC76" s="269">
        <f>ROUND(IF(ISERROR(IF(ISERROR(VLOOKUP($C76,非生产人员工资!C:AF,30,FALSE)),VLOOKUP($C76,生产人员工资!C:AB,26,0),VLOOKUP($C76,非生产人员工资!C:AF,30,FALSE))),0,IF(ISERROR(VLOOKUP($C76,非生产人员工资!C:AF,30,FALSE)),VLOOKUP($C76,生产人员工资!C:AB,26,0),VLOOKUP($C76,非生产人员工资!C:AF,30,FALSE))),2)</f>
        <v>0</v>
      </c>
      <c r="AD76" s="269">
        <f t="shared" si="4"/>
        <v>2278.78</v>
      </c>
      <c r="AE76" s="269" t="str">
        <f>VLOOKUP($C76,员工基本信息!$C:$N,10,FALSE)</f>
        <v>生产成本+组装</v>
      </c>
      <c r="AF76" s="265" t="str">
        <f>VLOOKUP($C76,员工基本信息!$C:$O,11,FALSE)</f>
        <v>直接成本</v>
      </c>
      <c r="AG76" s="265" t="str">
        <f>VLOOKUP($C76,员工基本信息!$C:$O,12,FALSE)</f>
        <v>组装车间</v>
      </c>
      <c r="AH76" s="265" t="str">
        <f>VLOOKUP($C76,员工基本信息!$C:$O,13,FALSE)</f>
        <v>生产人员</v>
      </c>
      <c r="AI76" s="249" t="str">
        <f>VLOOKUP($B76,员工基本信息!$B:$S,16,FALSE)</f>
        <v>6214220101205378665</v>
      </c>
      <c r="AJ76" s="249" t="str">
        <f>VLOOKUP($B76,员工基本信息!$B:$S,18,FALSE)</f>
        <v>沧州</v>
      </c>
      <c r="AK76" s="249" t="str">
        <f>VLOOKUP(C76,员工基本信息!$C:$M,11,0)</f>
        <v>直接成本</v>
      </c>
    </row>
    <row r="77" s="250" customFormat="1" customHeight="1" spans="1:37">
      <c r="A77" s="264">
        <v>74</v>
      </c>
      <c r="B77" s="6" t="str">
        <f>本月员工姓名!B75</f>
        <v>齐迁菲</v>
      </c>
      <c r="C77" s="265" t="str">
        <f>VLOOKUP($B77,员工基本信息!$B:$I,2,FALSE)</f>
        <v>130924198908123541</v>
      </c>
      <c r="D77" s="266" t="str">
        <f>VLOOKUP($B77,员工基本信息!$B:$I,4,FALSE)</f>
        <v>制造管理部-组装车间</v>
      </c>
      <c r="E77" s="266" t="str">
        <f>VLOOKUP($B77,员工基本信息!$B:$I,5,FALSE)</f>
        <v>乘用车</v>
      </c>
      <c r="F77" s="267">
        <f>IF(ISERROR(VLOOKUP($C77,非生产人员工资!$C:$AD,6,FALSE)),0,VLOOKUP($C77,非生产人员工资!$C:$AD,6,FALSE))</f>
        <v>0</v>
      </c>
      <c r="G77" s="267">
        <f>IF(ISERROR(VLOOKUP($C77,非生产人员工资!C:J,8,0)),0,VLOOKUP($C77,非生产人员工资!C:J,8,FALSE))</f>
        <v>0</v>
      </c>
      <c r="H77" s="7">
        <f>IF(ISERROR(VLOOKUP($C77,非生产人员工资!C:K,9,FALSE)),0,VLOOKUP($C77,非生产人员工资!C:K,9,FALSE))</f>
        <v>0</v>
      </c>
      <c r="I77" s="7">
        <f>IF(ISERROR(VLOOKUP($C77,非生产人员工资!C:L,10,FALSE)),0,VLOOKUP($C77,非生产人员工资!C:L,10,FALSE))</f>
        <v>0</v>
      </c>
      <c r="J77" s="7">
        <f>IF(ISERROR(VLOOKUP($C77,生产人员工资!C:I,7,FALSE)),0,VLOOKUP($C77,生产人员工资!C:I,7,FALSE))</f>
        <v>2592</v>
      </c>
      <c r="K77" s="7">
        <f>IF(ISERROR(VLOOKUP($C77,生产人员工资!C:J,8,FALSE)),0,VLOOKUP($C77,生产人员工资!C:J,8,FALSE))</f>
        <v>307.1</v>
      </c>
      <c r="L77" s="7" t="str">
        <f>IF(ISERROR(IF(ISERROR(VLOOKUP($C77,非生产人员工资!C:N,12,FALSE)),VLOOKUP($C77,生产人员工资!C:K,9,FALSE),VLOOKUP($C77,非生产人员工资!C:N,12,FALSE))),0,IF(ISERROR(VLOOKUP($C77,非生产人员工资!C:N,12,FALSE)),VLOOKUP($C77,生产人员工资!C:K,9,FALSE),VLOOKUP($C77,非生产人员工资!C:N,12,FALSE)))</f>
        <v>0.00</v>
      </c>
      <c r="M77" s="7" t="str">
        <f>IF(ISERROR(IF(ISERROR(VLOOKUP($C77,非生产人员工资!$C:$O,13,FALSE)),VLOOKUP($C77,生产人员工资!$C:$L,10,FALSE),VLOOKUP($C77,非生产人员工资!$C:$O,13,FALSE))),0,IF(ISERROR(VLOOKUP($C77,非生产人员工资!$C:$O,13,FALSE)),VLOOKUP($C77,生产人员工资!$C:$L,10,FALSE),VLOOKUP($C77,非生产人员工资!$C:$O,13,FALSE)))</f>
        <v>0.00</v>
      </c>
      <c r="N77" s="7">
        <f>IF(ISERROR(IF(ISERROR(VLOOKUP($C77,非生产人员工资!$C:$P,14,FALSE)),VLOOKUP($C77,生产人员工资!$C:$M,11,FALSE),VLOOKUP($C77,非生产人员工资!$C:$P,14,FALSE))),0,IF(ISERROR(VLOOKUP($C77,非生产人员工资!$C:$P,14,FALSE)),VLOOKUP($C77,生产人员工资!$C:$M,11,FALSE),VLOOKUP($C77,非生产人员工资!$C:$P,14,FALSE)))</f>
        <v>20</v>
      </c>
      <c r="O77" s="7" t="str">
        <f>IF(ISERROR(IF(ISERROR(VLOOKUP($C77,非生产人员工资!C:Q,15,FALSE)),VLOOKUP($C77,生产人员工资!C:N,12,FALSE),VLOOKUP($C77,非生产人员工资!C:Q,15,FALSE))),0,IF(ISERROR(VLOOKUP($C77,非生产人员工资!C:Q,15,FALSE)),VLOOKUP($C77,生产人员工资!C:N,12,FALSE),VLOOKUP($C77,非生产人员工资!C:Q,15,FALSE)))</f>
        <v>0.00</v>
      </c>
      <c r="P77" s="7" t="str">
        <f>IF(ISERROR(IF(ISERROR(VLOOKUP($C77,非生产人员工资!C:R,16,FALSE)),VLOOKUP($C77,生产人员工资!C:O,13,FALSE),VLOOKUP($C77,非生产人员工资!C:R,16,FALSE))),0,IF(ISERROR(VLOOKUP($C77,非生产人员工资!C:R,16,FALSE)),VLOOKUP($C77,生产人员工资!C:O,13,FALSE),VLOOKUP($C77,非生产人员工资!C:R,16,FALSE)))</f>
        <v>0.00</v>
      </c>
      <c r="Q77" s="7" t="str">
        <f>IF(ISERROR(IF(ISERROR(VLOOKUP($C77,非生产人员工资!C:S,17,FALSE)),VLOOKUP($C77,生产人员工资!C:P,14,FALSE),VLOOKUP($C77,非生产人员工资!C:S,17,FALSE))),0,IF(ISERROR(VLOOKUP($C77,非生产人员工资!C:S,17,FALSE)),VLOOKUP($C77,生产人员工资!C:P,14,FALSE),VLOOKUP($C77,非生产人员工资!C:S,17,FALSE)))</f>
        <v>0.00</v>
      </c>
      <c r="R77" s="7" t="str">
        <f>IF(ISERROR(IF(ISERROR(VLOOKUP($C77,非生产人员工资!C:T,18,FALSE)),VLOOKUP($C77,生产人员工资!C:Q,15,FALSE),VLOOKUP($C77,非生产人员工资!C:T,18,FALSE))),0,IF(ISERROR(VLOOKUP($C77,非生产人员工资!C:T,18,FALSE)),VLOOKUP($C77,生产人员工资!C:Q,15,FALSE),VLOOKUP($C77,非生产人员工资!C:T,18,FALSE)))</f>
        <v>0.00</v>
      </c>
      <c r="S77" s="7">
        <f>IF(ISERROR(VLOOKUP($C77,非生产人员工资!C:U,19,FALSE)),0,VLOOKUP($C77,非生产人员工资!C:U,19,FALSE))</f>
        <v>0</v>
      </c>
      <c r="T77" s="7" t="str">
        <f>IF(ISERROR(IF(ISERROR(VLOOKUP($C77,非生产人员工资!C:V,20,FALSE)),VLOOKUP($C77,生产人员工资!C:R,16,FALSE),VLOOKUP($C77,非生产人员工资!C:V,20,FALSE))),0,IF(ISERROR(VLOOKUP($C77,非生产人员工资!C:V,20,FALSE)),VLOOKUP($C77,生产人员工资!$C:$R,16,FALSE),VLOOKUP($C77,非生产人员工资!C:V,20,FALSE)))</f>
        <v>0.00</v>
      </c>
      <c r="U77" s="7" t="str">
        <f>IF(ISERROR(IF(ISERROR(VLOOKUP($C77,非生产人员工资!C:W,21,FALSE)),VLOOKUP($C77,生产人员工资!C:S,17,FALSE),VLOOKUP($C77,非生产人员工资!C:W,21,FALSE))),0,IF(ISERROR(VLOOKUP($C77,非生产人员工资!C:W,21,FALSE)),VLOOKUP($C77,生产人员工资!C:S,17,FALSE),VLOOKUP($C77,非生产人员工资!C:W,21,FALSE)))</f>
        <v>0.00</v>
      </c>
      <c r="V77" s="7" t="str">
        <f>IF(ISERROR(IF(ISERROR(VLOOKUP($C77,非生产人员工资!C:X,22,FALSE)),VLOOKUP($C77,生产人员工资!C:T,18,FALSE),VLOOKUP($C77,非生产人员工资!C:X,22,FALSE))),0,IF(ISERROR(VLOOKUP($C77,非生产人员工资!C:X,22,FALSE)),VLOOKUP($C77,生产人员工资!C:T,18,FALSE),VLOOKUP($C77,非生产人员工资!C:X,22,FALSE)))</f>
        <v>0.00</v>
      </c>
      <c r="W77" s="7">
        <f t="shared" si="5"/>
        <v>2919.1</v>
      </c>
      <c r="X77" s="7">
        <f>IF(ISERROR(IF(ISERROR(VLOOKUP($C77,非生产人员工资!C:Z,24,FALSE)),VLOOKUP($C77,生产人员工资!C:V,20,FALSE),VLOOKUP($C77,非生产人员工资!$C:$Z,24,FALSE))),0,IF(ISERROR(VLOOKUP($C77,非生产人员工资!$C:$Z,24,FALSE)),VLOOKUP($C77,生产人员工资!$C:$V,20,FALSE),VLOOKUP($C77,非生产人员工资!$C:$Z,24,FALSE)))</f>
        <v>226.9</v>
      </c>
      <c r="Y77" s="7">
        <f>IF(ISERROR(IF(ISERROR(VLOOKUP($C77,非生产人员工资!C:AA,25,FALSE)),VLOOKUP($C77,生产人员工资!C:W,21,FALSE),VLOOKUP($C77,非生产人员工资!C:AA,25,FALSE))),0,IF(ISERROR(VLOOKUP($C77,非生产人员工资!C:AA,25,FALSE)),VLOOKUP($C77,生产人员工资!C:W,21,FALSE),VLOOKUP($C77,非生产人员工资!C:AA,25,FALSE)))</f>
        <v>104.57</v>
      </c>
      <c r="Z77" s="7">
        <f>IF(ISERROR(IF(ISERROR(VLOOKUP($C77,非生产人员工资!C:AB,26,FALSE)),VLOOKUP($C77,生产人员工资!C:X,22,FALSE),VLOOKUP($C77,非生产人员工资!C:AB,26,FALSE))),0,IF(ISERROR(VLOOKUP($C77,非生产人员工资!C:AB,26,FALSE)),VLOOKUP($C77,生产人员工资!C:X,22,FALSE),VLOOKUP($C77,非生产人员工资!C:AB,26,FALSE)))</f>
        <v>8.51</v>
      </c>
      <c r="AA77" s="7">
        <f>IF(ISERROR(IF(ISERROR(VLOOKUP($C77,非生产人员工资!C:AC,27,FALSE)),VLOOKUP($C77,生产人员工资!C:Y,23,FALSE),VLOOKUP($C77,非生产人员工资!C:AC,27,FALSE))),0,IF(ISERROR(VLOOKUP($C77,非生产人员工资!C:AC,27,FALSE)),VLOOKUP($C77,生产人员工资!C:Y,23,FALSE),VLOOKUP($C77,非生产人员工资!C:AC,27,FALSE)))</f>
        <v>89.5</v>
      </c>
      <c r="AB77" s="7">
        <f>IF(ISERROR(IF(ISERROR(VLOOKUP($C77,非生产人员工资!C:AD,28,FALSE)),VLOOKUP($C77,生产人员工资!C:Z,24,FALSE),VLOOKUP($C77,非生产人员工资!C:AD,28,FALSE))),0,IF(ISERROR(VLOOKUP($C77,非生产人员工资!C:AD,28,FALSE)),VLOOKUP($C77,生产人员工资!C:Z,24,FALSE),VLOOKUP($C77,非生产人员工资!C:AD,28,FALSE)))</f>
        <v>261.84</v>
      </c>
      <c r="AC77" s="269">
        <f>ROUND(IF(ISERROR(IF(ISERROR(VLOOKUP($C77,非生产人员工资!C:AF,30,FALSE)),VLOOKUP($C77,生产人员工资!C:AB,26,0),VLOOKUP($C77,非生产人员工资!C:AF,30,FALSE))),0,IF(ISERROR(VLOOKUP($C77,非生产人员工资!C:AF,30,FALSE)),VLOOKUP($C77,生产人员工资!C:AB,26,0),VLOOKUP($C77,非生产人员工资!C:AF,30,FALSE))),2)</f>
        <v>0</v>
      </c>
      <c r="AD77" s="269">
        <f t="shared" si="4"/>
        <v>2227.78</v>
      </c>
      <c r="AE77" s="269" t="str">
        <f>VLOOKUP($C77,员工基本信息!$C:$N,10,FALSE)</f>
        <v>生产成本+组装</v>
      </c>
      <c r="AF77" s="265" t="str">
        <f>VLOOKUP($C77,员工基本信息!$C:$O,11,FALSE)</f>
        <v>直接成本</v>
      </c>
      <c r="AG77" s="265" t="str">
        <f>VLOOKUP($C77,员工基本信息!$C:$O,12,FALSE)</f>
        <v>组装车间</v>
      </c>
      <c r="AH77" s="265" t="str">
        <f>VLOOKUP($C77,员工基本信息!$C:$O,13,FALSE)</f>
        <v>生产人员</v>
      </c>
      <c r="AI77" s="249" t="str">
        <f>VLOOKUP($B77,员工基本信息!$B:$S,16,FALSE)</f>
        <v>6214220101206920432</v>
      </c>
      <c r="AJ77" s="249" t="str">
        <f>VLOOKUP($B77,员工基本信息!$B:$S,18,FALSE)</f>
        <v>沧州</v>
      </c>
      <c r="AK77" s="249" t="str">
        <f>VLOOKUP(C77,员工基本信息!$C:$M,11,0)</f>
        <v>直接成本</v>
      </c>
    </row>
    <row r="78" s="250" customFormat="1" customHeight="1" spans="1:37">
      <c r="A78" s="264">
        <v>75</v>
      </c>
      <c r="B78" s="6" t="str">
        <f>本月员工姓名!B76</f>
        <v>董广新</v>
      </c>
      <c r="C78" s="265" t="str">
        <f>VLOOKUP($B78,员工基本信息!$B:$I,2,FALSE)</f>
        <v>130983199604133016</v>
      </c>
      <c r="D78" s="266" t="str">
        <f>VLOOKUP($B78,员工基本信息!$B:$I,4,FALSE)</f>
        <v>制造管理部-组装车间</v>
      </c>
      <c r="E78" s="266" t="str">
        <f>VLOOKUP($B78,员工基本信息!$B:$I,5,FALSE)</f>
        <v>重卡线</v>
      </c>
      <c r="F78" s="267">
        <f>IF(ISERROR(VLOOKUP($C78,非生产人员工资!$C:$AD,6,FALSE)),0,VLOOKUP($C78,非生产人员工资!$C:$AD,6,FALSE))</f>
        <v>0</v>
      </c>
      <c r="G78" s="267">
        <f>IF(ISERROR(VLOOKUP($C78,非生产人员工资!C:J,8,0)),0,VLOOKUP($C78,非生产人员工资!C:J,8,FALSE))</f>
        <v>0</v>
      </c>
      <c r="H78" s="7">
        <f>IF(ISERROR(VLOOKUP($C78,非生产人员工资!C:K,9,FALSE)),0,VLOOKUP($C78,非生产人员工资!C:K,9,FALSE))</f>
        <v>0</v>
      </c>
      <c r="I78" s="7">
        <f>IF(ISERROR(VLOOKUP($C78,非生产人员工资!C:L,10,FALSE)),0,VLOOKUP($C78,非生产人员工资!C:L,10,FALSE))</f>
        <v>0</v>
      </c>
      <c r="J78" s="7">
        <f>IF(ISERROR(VLOOKUP($C78,生产人员工资!C:I,7,FALSE)),0,VLOOKUP($C78,生产人员工资!C:I,7,FALSE))</f>
        <v>2311.4</v>
      </c>
      <c r="K78" s="7">
        <f>IF(ISERROR(VLOOKUP($C78,生产人员工资!C:J,8,FALSE)),0,VLOOKUP($C78,生产人员工资!C:J,8,FALSE))</f>
        <v>293.59</v>
      </c>
      <c r="L78" s="7" t="str">
        <f>IF(ISERROR(IF(ISERROR(VLOOKUP($C78,非生产人员工资!C:N,12,FALSE)),VLOOKUP($C78,生产人员工资!C:K,9,FALSE),VLOOKUP($C78,非生产人员工资!C:N,12,FALSE))),0,IF(ISERROR(VLOOKUP($C78,非生产人员工资!C:N,12,FALSE)),VLOOKUP($C78,生产人员工资!C:K,9,FALSE),VLOOKUP($C78,非生产人员工资!C:N,12,FALSE)))</f>
        <v>0.00</v>
      </c>
      <c r="M78" s="7" t="str">
        <f>IF(ISERROR(IF(ISERROR(VLOOKUP($C78,非生产人员工资!$C:$O,13,FALSE)),VLOOKUP($C78,生产人员工资!$C:$L,10,FALSE),VLOOKUP($C78,非生产人员工资!$C:$O,13,FALSE))),0,IF(ISERROR(VLOOKUP($C78,非生产人员工资!$C:$O,13,FALSE)),VLOOKUP($C78,生产人员工资!$C:$L,10,FALSE),VLOOKUP($C78,非生产人员工资!$C:$O,13,FALSE)))</f>
        <v>0.00</v>
      </c>
      <c r="N78" s="7" t="str">
        <f>IF(ISERROR(IF(ISERROR(VLOOKUP($C78,非生产人员工资!$C:$P,14,FALSE)),VLOOKUP($C78,生产人员工资!$C:$M,11,FALSE),VLOOKUP($C78,非生产人员工资!$C:$P,14,FALSE))),0,IF(ISERROR(VLOOKUP($C78,非生产人员工资!$C:$P,14,FALSE)),VLOOKUP($C78,生产人员工资!$C:$M,11,FALSE),VLOOKUP($C78,非生产人员工资!$C:$P,14,FALSE)))</f>
        <v>0.00</v>
      </c>
      <c r="O78" s="7" t="str">
        <f>IF(ISERROR(IF(ISERROR(VLOOKUP($C78,非生产人员工资!C:Q,15,FALSE)),VLOOKUP($C78,生产人员工资!C:N,12,FALSE),VLOOKUP($C78,非生产人员工资!C:Q,15,FALSE))),0,IF(ISERROR(VLOOKUP($C78,非生产人员工资!C:Q,15,FALSE)),VLOOKUP($C78,生产人员工资!C:N,12,FALSE),VLOOKUP($C78,非生产人员工资!C:Q,15,FALSE)))</f>
        <v>0.00</v>
      </c>
      <c r="P78" s="7" t="str">
        <f>IF(ISERROR(IF(ISERROR(VLOOKUP($C78,非生产人员工资!C:R,16,FALSE)),VLOOKUP($C78,生产人员工资!C:O,13,FALSE),VLOOKUP($C78,非生产人员工资!C:R,16,FALSE))),0,IF(ISERROR(VLOOKUP($C78,非生产人员工资!C:R,16,FALSE)),VLOOKUP($C78,生产人员工资!C:O,13,FALSE),VLOOKUP($C78,非生产人员工资!C:R,16,FALSE)))</f>
        <v>0.00</v>
      </c>
      <c r="Q78" s="7" t="str">
        <f>IF(ISERROR(IF(ISERROR(VLOOKUP($C78,非生产人员工资!C:S,17,FALSE)),VLOOKUP($C78,生产人员工资!C:P,14,FALSE),VLOOKUP($C78,非生产人员工资!C:S,17,FALSE))),0,IF(ISERROR(VLOOKUP($C78,非生产人员工资!C:S,17,FALSE)),VLOOKUP($C78,生产人员工资!C:P,14,FALSE),VLOOKUP($C78,非生产人员工资!C:S,17,FALSE)))</f>
        <v>0.00</v>
      </c>
      <c r="R78" s="7" t="str">
        <f>IF(ISERROR(IF(ISERROR(VLOOKUP($C78,非生产人员工资!C:T,18,FALSE)),VLOOKUP($C78,生产人员工资!C:Q,15,FALSE),VLOOKUP($C78,非生产人员工资!C:T,18,FALSE))),0,IF(ISERROR(VLOOKUP($C78,非生产人员工资!C:T,18,FALSE)),VLOOKUP($C78,生产人员工资!C:Q,15,FALSE),VLOOKUP($C78,非生产人员工资!C:T,18,FALSE)))</f>
        <v>0.00</v>
      </c>
      <c r="S78" s="7">
        <f>IF(ISERROR(VLOOKUP($C78,非生产人员工资!C:U,19,FALSE)),0,VLOOKUP($C78,非生产人员工资!C:U,19,FALSE))</f>
        <v>0</v>
      </c>
      <c r="T78" s="7" t="str">
        <f>IF(ISERROR(IF(ISERROR(VLOOKUP($C78,非生产人员工资!C:V,20,FALSE)),VLOOKUP($C78,生产人员工资!C:R,16,FALSE),VLOOKUP($C78,非生产人员工资!C:V,20,FALSE))),0,IF(ISERROR(VLOOKUP($C78,非生产人员工资!C:V,20,FALSE)),VLOOKUP($C78,生产人员工资!$C:$R,16,FALSE),VLOOKUP($C78,非生产人员工资!C:V,20,FALSE)))</f>
        <v>0.00</v>
      </c>
      <c r="U78" s="7" t="str">
        <f>IF(ISERROR(IF(ISERROR(VLOOKUP($C78,非生产人员工资!C:W,21,FALSE)),VLOOKUP($C78,生产人员工资!C:S,17,FALSE),VLOOKUP($C78,非生产人员工资!C:W,21,FALSE))),0,IF(ISERROR(VLOOKUP($C78,非生产人员工资!C:W,21,FALSE)),VLOOKUP($C78,生产人员工资!C:S,17,FALSE),VLOOKUP($C78,非生产人员工资!C:W,21,FALSE)))</f>
        <v>0.00</v>
      </c>
      <c r="V78" s="7" t="str">
        <f>IF(ISERROR(IF(ISERROR(VLOOKUP($C78,非生产人员工资!C:X,22,FALSE)),VLOOKUP($C78,生产人员工资!C:T,18,FALSE),VLOOKUP($C78,非生产人员工资!C:X,22,FALSE))),0,IF(ISERROR(VLOOKUP($C78,非生产人员工资!C:X,22,FALSE)),VLOOKUP($C78,生产人员工资!C:T,18,FALSE),VLOOKUP($C78,非生产人员工资!C:X,22,FALSE)))</f>
        <v>0.00</v>
      </c>
      <c r="W78" s="7">
        <f t="shared" si="5"/>
        <v>2604.99</v>
      </c>
      <c r="X78" s="7">
        <f>IF(ISERROR(IF(ISERROR(VLOOKUP($C78,非生产人员工资!C:Z,24,FALSE)),VLOOKUP($C78,生产人员工资!C:V,20,FALSE),VLOOKUP($C78,非生产人员工资!$C:$Z,24,FALSE))),0,IF(ISERROR(VLOOKUP($C78,非生产人员工资!$C:$Z,24,FALSE)),VLOOKUP($C78,生产人员工资!$C:$V,20,FALSE),VLOOKUP($C78,非生产人员工资!$C:$Z,24,FALSE)))</f>
        <v>226.9</v>
      </c>
      <c r="Y78" s="7">
        <f>IF(ISERROR(IF(ISERROR(VLOOKUP($C78,非生产人员工资!C:AA,25,FALSE)),VLOOKUP($C78,生产人员工资!C:W,21,FALSE),VLOOKUP($C78,非生产人员工资!C:AA,25,FALSE))),0,IF(ISERROR(VLOOKUP($C78,非生产人员工资!C:AA,25,FALSE)),VLOOKUP($C78,生产人员工资!C:W,21,FALSE),VLOOKUP($C78,非生产人员工资!C:AA,25,FALSE)))</f>
        <v>104.57</v>
      </c>
      <c r="Z78" s="7">
        <f>IF(ISERROR(IF(ISERROR(VLOOKUP($C78,非生产人员工资!C:AB,26,FALSE)),VLOOKUP($C78,生产人员工资!C:X,22,FALSE),VLOOKUP($C78,非生产人员工资!C:AB,26,FALSE))),0,IF(ISERROR(VLOOKUP($C78,非生产人员工资!C:AB,26,FALSE)),VLOOKUP($C78,生产人员工资!C:X,22,FALSE),VLOOKUP($C78,非生产人员工资!C:AB,26,FALSE)))</f>
        <v>8.51</v>
      </c>
      <c r="AA78" s="7">
        <f>IF(ISERROR(IF(ISERROR(VLOOKUP($C78,非生产人员工资!C:AC,27,FALSE)),VLOOKUP($C78,生产人员工资!C:Y,23,FALSE),VLOOKUP($C78,非生产人员工资!C:AC,27,FALSE))),0,IF(ISERROR(VLOOKUP($C78,非生产人员工资!C:AC,27,FALSE)),VLOOKUP($C78,生产人员工资!C:Y,23,FALSE),VLOOKUP($C78,非生产人员工资!C:AC,27,FALSE)))</f>
        <v>89.5</v>
      </c>
      <c r="AB78" s="7">
        <f>IF(ISERROR(IF(ISERROR(VLOOKUP($C78,非生产人员工资!C:AD,28,FALSE)),VLOOKUP($C78,生产人员工资!C:Z,24,FALSE),VLOOKUP($C78,非生产人员工资!C:AD,28,FALSE))),0,IF(ISERROR(VLOOKUP($C78,非生产人员工资!C:AD,28,FALSE)),VLOOKUP($C78,生产人员工资!C:Z,24,FALSE),VLOOKUP($C78,非生产人员工资!C:AD,28,FALSE)))</f>
        <v>261.84</v>
      </c>
      <c r="AC78" s="269">
        <f>ROUND(IF(ISERROR(IF(ISERROR(VLOOKUP($C78,非生产人员工资!C:AF,30,FALSE)),VLOOKUP($C78,生产人员工资!C:AB,26,0),VLOOKUP($C78,非生产人员工资!C:AF,30,FALSE))),0,IF(ISERROR(VLOOKUP($C78,非生产人员工资!C:AF,30,FALSE)),VLOOKUP($C78,生产人员工资!C:AB,26,0),VLOOKUP($C78,非生产人员工资!C:AF,30,FALSE))),2)</f>
        <v>0</v>
      </c>
      <c r="AD78" s="269">
        <f t="shared" si="4"/>
        <v>1913.67</v>
      </c>
      <c r="AE78" s="269" t="str">
        <f>VLOOKUP($C78,员工基本信息!$C:$N,10,FALSE)</f>
        <v>生产成本+组装</v>
      </c>
      <c r="AF78" s="265" t="str">
        <f>VLOOKUP($C78,员工基本信息!$C:$O,11,FALSE)</f>
        <v>直接成本</v>
      </c>
      <c r="AG78" s="265" t="str">
        <f>VLOOKUP($C78,员工基本信息!$C:$O,12,FALSE)</f>
        <v>组装车间</v>
      </c>
      <c r="AH78" s="265" t="str">
        <f>VLOOKUP($C78,员工基本信息!$C:$O,13,FALSE)</f>
        <v>生产人员</v>
      </c>
      <c r="AI78" s="249" t="str">
        <f>VLOOKUP($B78,员工基本信息!$B:$S,16,FALSE)</f>
        <v>6214220101207778243</v>
      </c>
      <c r="AJ78" s="249" t="str">
        <f>VLOOKUP($B78,员工基本信息!$B:$S,18,FALSE)</f>
        <v>沧州</v>
      </c>
      <c r="AK78" s="249" t="str">
        <f>VLOOKUP(C78,员工基本信息!$C:$M,11,0)</f>
        <v>直接成本</v>
      </c>
    </row>
    <row r="79" s="250" customFormat="1" customHeight="1" spans="1:37">
      <c r="A79" s="264">
        <v>76</v>
      </c>
      <c r="B79" s="6" t="str">
        <f>本月员工姓名!B77</f>
        <v>高换清</v>
      </c>
      <c r="C79" s="265" t="str">
        <f>VLOOKUP($B79,员工基本信息!$B:$I,2,FALSE)</f>
        <v>130930198801133923</v>
      </c>
      <c r="D79" s="266" t="str">
        <f>VLOOKUP($B79,员工基本信息!$B:$I,4,FALSE)</f>
        <v>制造管理部-组装车间</v>
      </c>
      <c r="E79" s="266" t="str">
        <f>VLOOKUP($B79,员工基本信息!$B:$I,5,FALSE)</f>
        <v>重卡线</v>
      </c>
      <c r="F79" s="267">
        <f>IF(ISERROR(VLOOKUP($C79,非生产人员工资!$C:$AD,6,FALSE)),0,VLOOKUP($C79,非生产人员工资!$C:$AD,6,FALSE))</f>
        <v>0</v>
      </c>
      <c r="G79" s="267">
        <f>IF(ISERROR(VLOOKUP($C79,非生产人员工资!C:J,8,0)),0,VLOOKUP($C79,非生产人员工资!C:J,8,FALSE))</f>
        <v>0</v>
      </c>
      <c r="H79" s="7">
        <f>IF(ISERROR(VLOOKUP($C79,非生产人员工资!C:K,9,FALSE)),0,VLOOKUP($C79,非生产人员工资!C:K,9,FALSE))</f>
        <v>0</v>
      </c>
      <c r="I79" s="7">
        <f>IF(ISERROR(VLOOKUP($C79,非生产人员工资!C:L,10,FALSE)),0,VLOOKUP($C79,非生产人员工资!C:L,10,FALSE))</f>
        <v>0</v>
      </c>
      <c r="J79" s="7">
        <f>IF(ISERROR(VLOOKUP($C79,生产人员工资!C:I,7,FALSE)),0,VLOOKUP($C79,生产人员工资!C:I,7,FALSE))</f>
        <v>2128.8</v>
      </c>
      <c r="K79" s="7">
        <f>IF(ISERROR(VLOOKUP($C79,生产人员工资!C:J,8,FALSE)),0,VLOOKUP($C79,生产人员工资!C:J,8,FALSE))</f>
        <v>143.52</v>
      </c>
      <c r="L79" s="7" t="str">
        <f>IF(ISERROR(IF(ISERROR(VLOOKUP($C79,非生产人员工资!C:N,12,FALSE)),VLOOKUP($C79,生产人员工资!C:K,9,FALSE),VLOOKUP($C79,非生产人员工资!C:N,12,FALSE))),0,IF(ISERROR(VLOOKUP($C79,非生产人员工资!C:N,12,FALSE)),VLOOKUP($C79,生产人员工资!C:K,9,FALSE),VLOOKUP($C79,非生产人员工资!C:N,12,FALSE)))</f>
        <v>0.00</v>
      </c>
      <c r="M79" s="7" t="str">
        <f>IF(ISERROR(IF(ISERROR(VLOOKUP($C79,非生产人员工资!$C:$O,13,FALSE)),VLOOKUP($C79,生产人员工资!$C:$L,10,FALSE),VLOOKUP($C79,非生产人员工资!$C:$O,13,FALSE))),0,IF(ISERROR(VLOOKUP($C79,非生产人员工资!$C:$O,13,FALSE)),VLOOKUP($C79,生产人员工资!$C:$L,10,FALSE),VLOOKUP($C79,非生产人员工资!$C:$O,13,FALSE)))</f>
        <v>0.00</v>
      </c>
      <c r="N79" s="7">
        <f>IF(ISERROR(IF(ISERROR(VLOOKUP($C79,非生产人员工资!$C:$P,14,FALSE)),VLOOKUP($C79,生产人员工资!$C:$M,11,FALSE),VLOOKUP($C79,非生产人员工资!$C:$P,14,FALSE))),0,IF(ISERROR(VLOOKUP($C79,非生产人员工资!$C:$P,14,FALSE)),VLOOKUP($C79,生产人员工资!$C:$M,11,FALSE),VLOOKUP($C79,非生产人员工资!$C:$P,14,FALSE)))</f>
        <v>60</v>
      </c>
      <c r="O79" s="7" t="str">
        <f>IF(ISERROR(IF(ISERROR(VLOOKUP($C79,非生产人员工资!C:Q,15,FALSE)),VLOOKUP($C79,生产人员工资!C:N,12,FALSE),VLOOKUP($C79,非生产人员工资!C:Q,15,FALSE))),0,IF(ISERROR(VLOOKUP($C79,非生产人员工资!C:Q,15,FALSE)),VLOOKUP($C79,生产人员工资!C:N,12,FALSE),VLOOKUP($C79,非生产人员工资!C:Q,15,FALSE)))</f>
        <v>0.00</v>
      </c>
      <c r="P79" s="7" t="str">
        <f>IF(ISERROR(IF(ISERROR(VLOOKUP($C79,非生产人员工资!C:R,16,FALSE)),VLOOKUP($C79,生产人员工资!C:O,13,FALSE),VLOOKUP($C79,非生产人员工资!C:R,16,FALSE))),0,IF(ISERROR(VLOOKUP($C79,非生产人员工资!C:R,16,FALSE)),VLOOKUP($C79,生产人员工资!C:O,13,FALSE),VLOOKUP($C79,非生产人员工资!C:R,16,FALSE)))</f>
        <v>0.00</v>
      </c>
      <c r="Q79" s="7">
        <f>IF(ISERROR(IF(ISERROR(VLOOKUP($C79,非生产人员工资!C:S,17,FALSE)),VLOOKUP($C79,生产人员工资!C:P,14,FALSE),VLOOKUP($C79,非生产人员工资!C:S,17,FALSE))),0,IF(ISERROR(VLOOKUP($C79,非生产人员工资!C:S,17,FALSE)),VLOOKUP($C79,生产人员工资!C:P,14,FALSE),VLOOKUP($C79,非生产人员工资!C:S,17,FALSE)))</f>
        <v>20</v>
      </c>
      <c r="R79" s="7" t="str">
        <f>IF(ISERROR(IF(ISERROR(VLOOKUP($C79,非生产人员工资!C:T,18,FALSE)),VLOOKUP($C79,生产人员工资!C:Q,15,FALSE),VLOOKUP($C79,非生产人员工资!C:T,18,FALSE))),0,IF(ISERROR(VLOOKUP($C79,非生产人员工资!C:T,18,FALSE)),VLOOKUP($C79,生产人员工资!C:Q,15,FALSE),VLOOKUP($C79,非生产人员工资!C:T,18,FALSE)))</f>
        <v>0.00</v>
      </c>
      <c r="S79" s="7">
        <f>IF(ISERROR(VLOOKUP($C79,非生产人员工资!C:U,19,FALSE)),0,VLOOKUP($C79,非生产人员工资!C:U,19,FALSE))</f>
        <v>0</v>
      </c>
      <c r="T79" s="7" t="str">
        <f>IF(ISERROR(IF(ISERROR(VLOOKUP($C79,非生产人员工资!C:V,20,FALSE)),VLOOKUP($C79,生产人员工资!C:R,16,FALSE),VLOOKUP($C79,非生产人员工资!C:V,20,FALSE))),0,IF(ISERROR(VLOOKUP($C79,非生产人员工资!C:V,20,FALSE)),VLOOKUP($C79,生产人员工资!$C:$R,16,FALSE),VLOOKUP($C79,非生产人员工资!C:V,20,FALSE)))</f>
        <v>0.00</v>
      </c>
      <c r="U79" s="7" t="str">
        <f>IF(ISERROR(IF(ISERROR(VLOOKUP($C79,非生产人员工资!C:W,21,FALSE)),VLOOKUP($C79,生产人员工资!C:S,17,FALSE),VLOOKUP($C79,非生产人员工资!C:W,21,FALSE))),0,IF(ISERROR(VLOOKUP($C79,非生产人员工资!C:W,21,FALSE)),VLOOKUP($C79,生产人员工资!C:S,17,FALSE),VLOOKUP($C79,非生产人员工资!C:W,21,FALSE)))</f>
        <v>0.00</v>
      </c>
      <c r="V79" s="7" t="str">
        <f>IF(ISERROR(IF(ISERROR(VLOOKUP($C79,非生产人员工资!C:X,22,FALSE)),VLOOKUP($C79,生产人员工资!C:T,18,FALSE),VLOOKUP($C79,非生产人员工资!C:X,22,FALSE))),0,IF(ISERROR(VLOOKUP($C79,非生产人员工资!C:X,22,FALSE)),VLOOKUP($C79,生产人员工资!C:T,18,FALSE),VLOOKUP($C79,非生产人员工资!C:X,22,FALSE)))</f>
        <v>0.00</v>
      </c>
      <c r="W79" s="7">
        <f t="shared" si="5"/>
        <v>2352.32</v>
      </c>
      <c r="X79" s="7">
        <f>IF(ISERROR(IF(ISERROR(VLOOKUP($C79,非生产人员工资!C:Z,24,FALSE)),VLOOKUP($C79,生产人员工资!C:V,20,FALSE),VLOOKUP($C79,非生产人员工资!$C:$Z,24,FALSE))),0,IF(ISERROR(VLOOKUP($C79,非生产人员工资!$C:$Z,24,FALSE)),VLOOKUP($C79,生产人员工资!$C:$V,20,FALSE),VLOOKUP($C79,非生产人员工资!$C:$Z,24,FALSE)))</f>
        <v>226.9</v>
      </c>
      <c r="Y79" s="7">
        <f>IF(ISERROR(IF(ISERROR(VLOOKUP($C79,非生产人员工资!C:AA,25,FALSE)),VLOOKUP($C79,生产人员工资!C:W,21,FALSE),VLOOKUP($C79,非生产人员工资!C:AA,25,FALSE))),0,IF(ISERROR(VLOOKUP($C79,非生产人员工资!C:AA,25,FALSE)),VLOOKUP($C79,生产人员工资!C:W,21,FALSE),VLOOKUP($C79,非生产人员工资!C:AA,25,FALSE)))</f>
        <v>104.57</v>
      </c>
      <c r="Z79" s="7">
        <f>IF(ISERROR(IF(ISERROR(VLOOKUP($C79,非生产人员工资!C:AB,26,FALSE)),VLOOKUP($C79,生产人员工资!C:X,22,FALSE),VLOOKUP($C79,非生产人员工资!C:AB,26,FALSE))),0,IF(ISERROR(VLOOKUP($C79,非生产人员工资!C:AB,26,FALSE)),VLOOKUP($C79,生产人员工资!C:X,22,FALSE),VLOOKUP($C79,非生产人员工资!C:AB,26,FALSE)))</f>
        <v>8.51</v>
      </c>
      <c r="AA79" s="7">
        <f>IF(ISERROR(IF(ISERROR(VLOOKUP($C79,非生产人员工资!C:AC,27,FALSE)),VLOOKUP($C79,生产人员工资!C:Y,23,FALSE),VLOOKUP($C79,非生产人员工资!C:AC,27,FALSE))),0,IF(ISERROR(VLOOKUP($C79,非生产人员工资!C:AC,27,FALSE)),VLOOKUP($C79,生产人员工资!C:Y,23,FALSE),VLOOKUP($C79,非生产人员工资!C:AC,27,FALSE)))</f>
        <v>89.5</v>
      </c>
      <c r="AB79" s="7">
        <f>IF(ISERROR(IF(ISERROR(VLOOKUP($C79,非生产人员工资!C:AD,28,FALSE)),VLOOKUP($C79,生产人员工资!C:Z,24,FALSE),VLOOKUP($C79,非生产人员工资!C:AD,28,FALSE))),0,IF(ISERROR(VLOOKUP($C79,非生产人员工资!C:AD,28,FALSE)),VLOOKUP($C79,生产人员工资!C:Z,24,FALSE),VLOOKUP($C79,非生产人员工资!C:AD,28,FALSE)))</f>
        <v>261.84</v>
      </c>
      <c r="AC79" s="269">
        <f>ROUND(IF(ISERROR(IF(ISERROR(VLOOKUP($C79,非生产人员工资!C:AF,30,FALSE)),VLOOKUP($C79,生产人员工资!C:AB,26,0),VLOOKUP($C79,非生产人员工资!C:AF,30,FALSE))),0,IF(ISERROR(VLOOKUP($C79,非生产人员工资!C:AF,30,FALSE)),VLOOKUP($C79,生产人员工资!C:AB,26,0),VLOOKUP($C79,非生产人员工资!C:AF,30,FALSE))),2)</f>
        <v>0</v>
      </c>
      <c r="AD79" s="269">
        <f t="shared" si="4"/>
        <v>1661</v>
      </c>
      <c r="AE79" s="269" t="str">
        <f>VLOOKUP($C79,员工基本信息!$C:$N,10,FALSE)</f>
        <v>生产成本+组装</v>
      </c>
      <c r="AF79" s="265" t="str">
        <f>VLOOKUP($C79,员工基本信息!$C:$O,11,FALSE)</f>
        <v>直接成本</v>
      </c>
      <c r="AG79" s="265" t="str">
        <f>VLOOKUP($C79,员工基本信息!$C:$O,12,FALSE)</f>
        <v>组装车间</v>
      </c>
      <c r="AH79" s="265" t="str">
        <f>VLOOKUP($C79,员工基本信息!$C:$O,13,FALSE)</f>
        <v>生产人员</v>
      </c>
      <c r="AI79" s="249" t="str">
        <f>VLOOKUP($B79,员工基本信息!$B:$S,16,FALSE)</f>
        <v>6214220101205385199</v>
      </c>
      <c r="AJ79" s="249" t="str">
        <f>VLOOKUP($B79,员工基本信息!$B:$S,18,FALSE)</f>
        <v>沧州</v>
      </c>
      <c r="AK79" s="249" t="str">
        <f>VLOOKUP(C79,员工基本信息!$C:$M,11,0)</f>
        <v>直接成本</v>
      </c>
    </row>
    <row r="80" s="250" customFormat="1" customHeight="1" spans="1:37">
      <c r="A80" s="264">
        <v>77</v>
      </c>
      <c r="B80" s="6" t="str">
        <f>本月员工姓名!B78</f>
        <v>张立霞</v>
      </c>
      <c r="C80" s="265" t="str">
        <f>VLOOKUP($B80,员工基本信息!$B:$I,2,FALSE)</f>
        <v>130983198407232221</v>
      </c>
      <c r="D80" s="266" t="str">
        <f>VLOOKUP($B80,员工基本信息!$B:$I,4,FALSE)</f>
        <v>制造管理部-组装车间</v>
      </c>
      <c r="E80" s="266" t="str">
        <f>VLOOKUP($B80,员工基本信息!$B:$I,5,FALSE)</f>
        <v>重卡线</v>
      </c>
      <c r="F80" s="267">
        <f>IF(ISERROR(VLOOKUP($C80,非生产人员工资!$C:$AD,6,FALSE)),0,VLOOKUP($C80,非生产人员工资!$C:$AD,6,FALSE))</f>
        <v>0</v>
      </c>
      <c r="G80" s="267">
        <f>IF(ISERROR(VLOOKUP($C80,非生产人员工资!C:J,8,0)),0,VLOOKUP($C80,非生产人员工资!C:J,8,FALSE))</f>
        <v>0</v>
      </c>
      <c r="H80" s="7">
        <f>IF(ISERROR(VLOOKUP($C80,非生产人员工资!C:K,9,FALSE)),0,VLOOKUP($C80,非生产人员工资!C:K,9,FALSE))</f>
        <v>0</v>
      </c>
      <c r="I80" s="7">
        <f>IF(ISERROR(VLOOKUP($C80,非生产人员工资!C:L,10,FALSE)),0,VLOOKUP($C80,非生产人员工资!C:L,10,FALSE))</f>
        <v>0</v>
      </c>
      <c r="J80" s="7">
        <f>IF(ISERROR(VLOOKUP($C80,生产人员工资!C:I,7,FALSE)),0,VLOOKUP($C80,生产人员工资!C:I,7,FALSE))</f>
        <v>1784.75</v>
      </c>
      <c r="K80" s="7">
        <f>IF(ISERROR(VLOOKUP($C80,生产人员工资!C:J,8,FALSE)),0,VLOOKUP($C80,生产人员工资!C:J,8,FALSE))</f>
        <v>141.6</v>
      </c>
      <c r="L80" s="7" t="str">
        <f>IF(ISERROR(IF(ISERROR(VLOOKUP($C80,非生产人员工资!C:N,12,FALSE)),VLOOKUP($C80,生产人员工资!C:K,9,FALSE),VLOOKUP($C80,非生产人员工资!C:N,12,FALSE))),0,IF(ISERROR(VLOOKUP($C80,非生产人员工资!C:N,12,FALSE)),VLOOKUP($C80,生产人员工资!C:K,9,FALSE),VLOOKUP($C80,非生产人员工资!C:N,12,FALSE)))</f>
        <v>0.00</v>
      </c>
      <c r="M80" s="7" t="str">
        <f>IF(ISERROR(IF(ISERROR(VLOOKUP($C80,非生产人员工资!$C:$O,13,FALSE)),VLOOKUP($C80,生产人员工资!$C:$L,10,FALSE),VLOOKUP($C80,非生产人员工资!$C:$O,13,FALSE))),0,IF(ISERROR(VLOOKUP($C80,非生产人员工资!$C:$O,13,FALSE)),VLOOKUP($C80,生产人员工资!$C:$L,10,FALSE),VLOOKUP($C80,非生产人员工资!$C:$O,13,FALSE)))</f>
        <v>0.00</v>
      </c>
      <c r="N80" s="7">
        <f>IF(ISERROR(IF(ISERROR(VLOOKUP($C80,非生产人员工资!$C:$P,14,FALSE)),VLOOKUP($C80,生产人员工资!$C:$M,11,FALSE),VLOOKUP($C80,非生产人员工资!$C:$P,14,FALSE))),0,IF(ISERROR(VLOOKUP($C80,非生产人员工资!$C:$P,14,FALSE)),VLOOKUP($C80,生产人员工资!$C:$M,11,FALSE),VLOOKUP($C80,非生产人员工资!$C:$P,14,FALSE)))</f>
        <v>40</v>
      </c>
      <c r="O80" s="7" t="str">
        <f>IF(ISERROR(IF(ISERROR(VLOOKUP($C80,非生产人员工资!C:Q,15,FALSE)),VLOOKUP($C80,生产人员工资!C:N,12,FALSE),VLOOKUP($C80,非生产人员工资!C:Q,15,FALSE))),0,IF(ISERROR(VLOOKUP($C80,非生产人员工资!C:Q,15,FALSE)),VLOOKUP($C80,生产人员工资!C:N,12,FALSE),VLOOKUP($C80,非生产人员工资!C:Q,15,FALSE)))</f>
        <v>0.00</v>
      </c>
      <c r="P80" s="7" t="str">
        <f>IF(ISERROR(IF(ISERROR(VLOOKUP($C80,非生产人员工资!C:R,16,FALSE)),VLOOKUP($C80,生产人员工资!C:O,13,FALSE),VLOOKUP($C80,非生产人员工资!C:R,16,FALSE))),0,IF(ISERROR(VLOOKUP($C80,非生产人员工资!C:R,16,FALSE)),VLOOKUP($C80,生产人员工资!C:O,13,FALSE),VLOOKUP($C80,非生产人员工资!C:R,16,FALSE)))</f>
        <v>0.00</v>
      </c>
      <c r="Q80" s="7" t="str">
        <f>IF(ISERROR(IF(ISERROR(VLOOKUP($C80,非生产人员工资!C:S,17,FALSE)),VLOOKUP($C80,生产人员工资!C:P,14,FALSE),VLOOKUP($C80,非生产人员工资!C:S,17,FALSE))),0,IF(ISERROR(VLOOKUP($C80,非生产人员工资!C:S,17,FALSE)),VLOOKUP($C80,生产人员工资!C:P,14,FALSE),VLOOKUP($C80,非生产人员工资!C:S,17,FALSE)))</f>
        <v>0.00</v>
      </c>
      <c r="R80" s="7" t="str">
        <f>IF(ISERROR(IF(ISERROR(VLOOKUP($C80,非生产人员工资!C:T,18,FALSE)),VLOOKUP($C80,生产人员工资!C:Q,15,FALSE),VLOOKUP($C80,非生产人员工资!C:T,18,FALSE))),0,IF(ISERROR(VLOOKUP($C80,非生产人员工资!C:T,18,FALSE)),VLOOKUP($C80,生产人员工资!C:Q,15,FALSE),VLOOKUP($C80,非生产人员工资!C:T,18,FALSE)))</f>
        <v>0.00</v>
      </c>
      <c r="S80" s="7">
        <f>IF(ISERROR(VLOOKUP($C80,非生产人员工资!C:U,19,FALSE)),0,VLOOKUP($C80,非生产人员工资!C:U,19,FALSE))</f>
        <v>0</v>
      </c>
      <c r="T80" s="7" t="str">
        <f>IF(ISERROR(IF(ISERROR(VLOOKUP($C80,非生产人员工资!C:V,20,FALSE)),VLOOKUP($C80,生产人员工资!C:R,16,FALSE),VLOOKUP($C80,非生产人员工资!C:V,20,FALSE))),0,IF(ISERROR(VLOOKUP($C80,非生产人员工资!C:V,20,FALSE)),VLOOKUP($C80,生产人员工资!$C:$R,16,FALSE),VLOOKUP($C80,非生产人员工资!C:V,20,FALSE)))</f>
        <v>0.00</v>
      </c>
      <c r="U80" s="7" t="str">
        <f>IF(ISERROR(IF(ISERROR(VLOOKUP($C80,非生产人员工资!C:W,21,FALSE)),VLOOKUP($C80,生产人员工资!C:S,17,FALSE),VLOOKUP($C80,非生产人员工资!C:W,21,FALSE))),0,IF(ISERROR(VLOOKUP($C80,非生产人员工资!C:W,21,FALSE)),VLOOKUP($C80,生产人员工资!C:S,17,FALSE),VLOOKUP($C80,非生产人员工资!C:W,21,FALSE)))</f>
        <v>0.00</v>
      </c>
      <c r="V80" s="7" t="str">
        <f>IF(ISERROR(IF(ISERROR(VLOOKUP($C80,非生产人员工资!C:X,22,FALSE)),VLOOKUP($C80,生产人员工资!C:T,18,FALSE),VLOOKUP($C80,非生产人员工资!C:X,22,FALSE))),0,IF(ISERROR(VLOOKUP($C80,非生产人员工资!C:X,22,FALSE)),VLOOKUP($C80,生产人员工资!C:T,18,FALSE),VLOOKUP($C80,非生产人员工资!C:X,22,FALSE)))</f>
        <v>0.00</v>
      </c>
      <c r="W80" s="7">
        <f t="shared" si="5"/>
        <v>1966.35</v>
      </c>
      <c r="X80" s="7">
        <f>IF(ISERROR(IF(ISERROR(VLOOKUP($C80,非生产人员工资!C:Z,24,FALSE)),VLOOKUP($C80,生产人员工资!C:V,20,FALSE),VLOOKUP($C80,非生产人员工资!$C:$Z,24,FALSE))),0,IF(ISERROR(VLOOKUP($C80,非生产人员工资!$C:$Z,24,FALSE)),VLOOKUP($C80,生产人员工资!$C:$V,20,FALSE),VLOOKUP($C80,非生产人员工资!$C:$Z,24,FALSE)))</f>
        <v>226.9</v>
      </c>
      <c r="Y80" s="7">
        <f>IF(ISERROR(IF(ISERROR(VLOOKUP($C80,非生产人员工资!C:AA,25,FALSE)),VLOOKUP($C80,生产人员工资!C:W,21,FALSE),VLOOKUP($C80,非生产人员工资!C:AA,25,FALSE))),0,IF(ISERROR(VLOOKUP($C80,非生产人员工资!C:AA,25,FALSE)),VLOOKUP($C80,生产人员工资!C:W,21,FALSE),VLOOKUP($C80,非生产人员工资!C:AA,25,FALSE)))</f>
        <v>104.57</v>
      </c>
      <c r="Z80" s="7">
        <f>IF(ISERROR(IF(ISERROR(VLOOKUP($C80,非生产人员工资!C:AB,26,FALSE)),VLOOKUP($C80,生产人员工资!C:X,22,FALSE),VLOOKUP($C80,非生产人员工资!C:AB,26,FALSE))),0,IF(ISERROR(VLOOKUP($C80,非生产人员工资!C:AB,26,FALSE)),VLOOKUP($C80,生产人员工资!C:X,22,FALSE),VLOOKUP($C80,非生产人员工资!C:AB,26,FALSE)))</f>
        <v>8.51</v>
      </c>
      <c r="AA80" s="7">
        <f>IF(ISERROR(IF(ISERROR(VLOOKUP($C80,非生产人员工资!C:AC,27,FALSE)),VLOOKUP($C80,生产人员工资!C:Y,23,FALSE),VLOOKUP($C80,非生产人员工资!C:AC,27,FALSE))),0,IF(ISERROR(VLOOKUP($C80,非生产人员工资!C:AC,27,FALSE)),VLOOKUP($C80,生产人员工资!C:Y,23,FALSE),VLOOKUP($C80,非生产人员工资!C:AC,27,FALSE)))</f>
        <v>89.5</v>
      </c>
      <c r="AB80" s="7">
        <f>IF(ISERROR(IF(ISERROR(VLOOKUP($C80,非生产人员工资!C:AD,28,FALSE)),VLOOKUP($C80,生产人员工资!C:Z,24,FALSE),VLOOKUP($C80,非生产人员工资!C:AD,28,FALSE))),0,IF(ISERROR(VLOOKUP($C80,非生产人员工资!C:AD,28,FALSE)),VLOOKUP($C80,生产人员工资!C:Z,24,FALSE),VLOOKUP($C80,非生产人员工资!C:AD,28,FALSE)))</f>
        <v>261.84</v>
      </c>
      <c r="AC80" s="269">
        <f>ROUND(IF(ISERROR(IF(ISERROR(VLOOKUP($C80,非生产人员工资!C:AF,30,FALSE)),VLOOKUP($C80,生产人员工资!C:AB,26,0),VLOOKUP($C80,非生产人员工资!C:AF,30,FALSE))),0,IF(ISERROR(VLOOKUP($C80,非生产人员工资!C:AF,30,FALSE)),VLOOKUP($C80,生产人员工资!C:AB,26,0),VLOOKUP($C80,非生产人员工资!C:AF,30,FALSE))),2)</f>
        <v>0</v>
      </c>
      <c r="AD80" s="269">
        <f t="shared" si="4"/>
        <v>1275.03</v>
      </c>
      <c r="AE80" s="269" t="str">
        <f>VLOOKUP($C80,员工基本信息!$C:$N,10,FALSE)</f>
        <v>生产成本+组装</v>
      </c>
      <c r="AF80" s="265" t="str">
        <f>VLOOKUP($C80,员工基本信息!$C:$O,11,FALSE)</f>
        <v>直接成本</v>
      </c>
      <c r="AG80" s="265" t="str">
        <f>VLOOKUP($C80,员工基本信息!$C:$O,12,FALSE)</f>
        <v>组装车间</v>
      </c>
      <c r="AH80" s="265" t="str">
        <f>VLOOKUP($C80,员工基本信息!$C:$O,13,FALSE)</f>
        <v>生产人员</v>
      </c>
      <c r="AI80" s="249" t="str">
        <f>VLOOKUP($B80,员工基本信息!$B:$S,16,FALSE)</f>
        <v>6214220101205942197</v>
      </c>
      <c r="AJ80" s="249" t="str">
        <f>VLOOKUP($B80,员工基本信息!$B:$S,18,FALSE)</f>
        <v>沧州</v>
      </c>
      <c r="AK80" s="249" t="str">
        <f>VLOOKUP(C80,员工基本信息!$C:$M,11,0)</f>
        <v>直接成本</v>
      </c>
    </row>
    <row r="81" s="250" customFormat="1" customHeight="1" spans="1:37">
      <c r="A81" s="264">
        <v>78</v>
      </c>
      <c r="B81" s="6" t="str">
        <f>本月员工姓名!B79</f>
        <v>邓淑荣</v>
      </c>
      <c r="C81" s="265" t="str">
        <f>VLOOKUP($B81,员工基本信息!$B:$I,2,FALSE)</f>
        <v>132930197706291621</v>
      </c>
      <c r="D81" s="266" t="str">
        <f>VLOOKUP($B81,员工基本信息!$B:$I,4,FALSE)</f>
        <v>制造管理部-组装车间</v>
      </c>
      <c r="E81" s="266" t="str">
        <f>VLOOKUP($B81,员工基本信息!$B:$I,5,FALSE)</f>
        <v>重卡线</v>
      </c>
      <c r="F81" s="267">
        <f>IF(ISERROR(VLOOKUP($C81,非生产人员工资!$C:$AD,6,FALSE)),0,VLOOKUP($C81,非生产人员工资!$C:$AD,6,FALSE))</f>
        <v>0</v>
      </c>
      <c r="G81" s="267">
        <f>IF(ISERROR(VLOOKUP($C81,非生产人员工资!C:J,8,0)),0,VLOOKUP($C81,非生产人员工资!C:J,8,FALSE))</f>
        <v>0</v>
      </c>
      <c r="H81" s="7">
        <f>IF(ISERROR(VLOOKUP($C81,非生产人员工资!C:K,9,FALSE)),0,VLOOKUP($C81,非生产人员工资!C:K,9,FALSE))</f>
        <v>0</v>
      </c>
      <c r="I81" s="7">
        <f>IF(ISERROR(VLOOKUP($C81,非生产人员工资!C:L,10,FALSE)),0,VLOOKUP($C81,非生产人员工资!C:L,10,FALSE))</f>
        <v>0</v>
      </c>
      <c r="J81" s="7">
        <f>IF(ISERROR(VLOOKUP($C81,生产人员工资!C:I,7,FALSE)),0,VLOOKUP($C81,生产人员工资!C:I,7,FALSE))</f>
        <v>1621.4</v>
      </c>
      <c r="K81" s="7">
        <f>IF(ISERROR(VLOOKUP($C81,生产人员工资!C:J,8,FALSE)),0,VLOOKUP($C81,生产人员工资!C:J,8,FALSE))</f>
        <v>128.64</v>
      </c>
      <c r="L81" s="7" t="str">
        <f>IF(ISERROR(IF(ISERROR(VLOOKUP($C81,非生产人员工资!C:N,12,FALSE)),VLOOKUP($C81,生产人员工资!C:K,9,FALSE),VLOOKUP($C81,非生产人员工资!C:N,12,FALSE))),0,IF(ISERROR(VLOOKUP($C81,非生产人员工资!C:N,12,FALSE)),VLOOKUP($C81,生产人员工资!C:K,9,FALSE),VLOOKUP($C81,非生产人员工资!C:N,12,FALSE)))</f>
        <v>0.00</v>
      </c>
      <c r="M81" s="7" t="str">
        <f>IF(ISERROR(IF(ISERROR(VLOOKUP($C81,非生产人员工资!$C:$O,13,FALSE)),VLOOKUP($C81,生产人员工资!$C:$L,10,FALSE),VLOOKUP($C81,非生产人员工资!$C:$O,13,FALSE))),0,IF(ISERROR(VLOOKUP($C81,非生产人员工资!$C:$O,13,FALSE)),VLOOKUP($C81,生产人员工资!$C:$L,10,FALSE),VLOOKUP($C81,非生产人员工资!$C:$O,13,FALSE)))</f>
        <v>0.00</v>
      </c>
      <c r="N81" s="7">
        <f>IF(ISERROR(IF(ISERROR(VLOOKUP($C81,非生产人员工资!$C:$P,14,FALSE)),VLOOKUP($C81,生产人员工资!$C:$M,11,FALSE),VLOOKUP($C81,非生产人员工资!$C:$P,14,FALSE))),0,IF(ISERROR(VLOOKUP($C81,非生产人员工资!$C:$P,14,FALSE)),VLOOKUP($C81,生产人员工资!$C:$M,11,FALSE),VLOOKUP($C81,非生产人员工资!$C:$P,14,FALSE)))</f>
        <v>200</v>
      </c>
      <c r="O81" s="7" t="str">
        <f>IF(ISERROR(IF(ISERROR(VLOOKUP($C81,非生产人员工资!C:Q,15,FALSE)),VLOOKUP($C81,生产人员工资!C:N,12,FALSE),VLOOKUP($C81,非生产人员工资!C:Q,15,FALSE))),0,IF(ISERROR(VLOOKUP($C81,非生产人员工资!C:Q,15,FALSE)),VLOOKUP($C81,生产人员工资!C:N,12,FALSE),VLOOKUP($C81,非生产人员工资!C:Q,15,FALSE)))</f>
        <v>0.00</v>
      </c>
      <c r="P81" s="7" t="str">
        <f>IF(ISERROR(IF(ISERROR(VLOOKUP($C81,非生产人员工资!C:R,16,FALSE)),VLOOKUP($C81,生产人员工资!C:O,13,FALSE),VLOOKUP($C81,非生产人员工资!C:R,16,FALSE))),0,IF(ISERROR(VLOOKUP($C81,非生产人员工资!C:R,16,FALSE)),VLOOKUP($C81,生产人员工资!C:O,13,FALSE),VLOOKUP($C81,非生产人员工资!C:R,16,FALSE)))</f>
        <v>0.00</v>
      </c>
      <c r="Q81" s="7" t="str">
        <f>IF(ISERROR(IF(ISERROR(VLOOKUP($C81,非生产人员工资!C:S,17,FALSE)),VLOOKUP($C81,生产人员工资!C:P,14,FALSE),VLOOKUP($C81,非生产人员工资!C:S,17,FALSE))),0,IF(ISERROR(VLOOKUP($C81,非生产人员工资!C:S,17,FALSE)),VLOOKUP($C81,生产人员工资!C:P,14,FALSE),VLOOKUP($C81,非生产人员工资!C:S,17,FALSE)))</f>
        <v>0.00</v>
      </c>
      <c r="R81" s="7" t="str">
        <f>IF(ISERROR(IF(ISERROR(VLOOKUP($C81,非生产人员工资!C:T,18,FALSE)),VLOOKUP($C81,生产人员工资!C:Q,15,FALSE),VLOOKUP($C81,非生产人员工资!C:T,18,FALSE))),0,IF(ISERROR(VLOOKUP($C81,非生产人员工资!C:T,18,FALSE)),VLOOKUP($C81,生产人员工资!C:Q,15,FALSE),VLOOKUP($C81,非生产人员工资!C:T,18,FALSE)))</f>
        <v>0.00</v>
      </c>
      <c r="S81" s="7">
        <f>IF(ISERROR(VLOOKUP($C81,非生产人员工资!C:U,19,FALSE)),0,VLOOKUP($C81,非生产人员工资!C:U,19,FALSE))</f>
        <v>0</v>
      </c>
      <c r="T81" s="7" t="str">
        <f>IF(ISERROR(IF(ISERROR(VLOOKUP($C81,非生产人员工资!C:V,20,FALSE)),VLOOKUP($C81,生产人员工资!C:R,16,FALSE),VLOOKUP($C81,非生产人员工资!C:V,20,FALSE))),0,IF(ISERROR(VLOOKUP($C81,非生产人员工资!C:V,20,FALSE)),VLOOKUP($C81,生产人员工资!$C:$R,16,FALSE),VLOOKUP($C81,非生产人员工资!C:V,20,FALSE)))</f>
        <v>0.00</v>
      </c>
      <c r="U81" s="7" t="str">
        <f>IF(ISERROR(IF(ISERROR(VLOOKUP($C81,非生产人员工资!C:W,21,FALSE)),VLOOKUP($C81,生产人员工资!C:S,17,FALSE),VLOOKUP($C81,非生产人员工资!C:W,21,FALSE))),0,IF(ISERROR(VLOOKUP($C81,非生产人员工资!C:W,21,FALSE)),VLOOKUP($C81,生产人员工资!C:S,17,FALSE),VLOOKUP($C81,非生产人员工资!C:W,21,FALSE)))</f>
        <v>0.00</v>
      </c>
      <c r="V81" s="7" t="str">
        <f>IF(ISERROR(IF(ISERROR(VLOOKUP($C81,非生产人员工资!C:X,22,FALSE)),VLOOKUP($C81,生产人员工资!C:T,18,FALSE),VLOOKUP($C81,非生产人员工资!C:X,22,FALSE))),0,IF(ISERROR(VLOOKUP($C81,非生产人员工资!C:X,22,FALSE)),VLOOKUP($C81,生产人员工资!C:T,18,FALSE),VLOOKUP($C81,非生产人员工资!C:X,22,FALSE)))</f>
        <v>0.00</v>
      </c>
      <c r="W81" s="7">
        <f t="shared" si="5"/>
        <v>1950.04</v>
      </c>
      <c r="X81" s="7">
        <f>IF(ISERROR(IF(ISERROR(VLOOKUP($C81,非生产人员工资!C:Z,24,FALSE)),VLOOKUP($C81,生产人员工资!C:V,20,FALSE),VLOOKUP($C81,非生产人员工资!$C:$Z,24,FALSE))),0,IF(ISERROR(VLOOKUP($C81,非生产人员工资!$C:$Z,24,FALSE)),VLOOKUP($C81,生产人员工资!$C:$V,20,FALSE),VLOOKUP($C81,非生产人员工资!$C:$Z,24,FALSE)))</f>
        <v>226.9</v>
      </c>
      <c r="Y81" s="7">
        <f>IF(ISERROR(IF(ISERROR(VLOOKUP($C81,非生产人员工资!C:AA,25,FALSE)),VLOOKUP($C81,生产人员工资!C:W,21,FALSE),VLOOKUP($C81,非生产人员工资!C:AA,25,FALSE))),0,IF(ISERROR(VLOOKUP($C81,非生产人员工资!C:AA,25,FALSE)),VLOOKUP($C81,生产人员工资!C:W,21,FALSE),VLOOKUP($C81,非生产人员工资!C:AA,25,FALSE)))</f>
        <v>104.57</v>
      </c>
      <c r="Z81" s="7">
        <f>IF(ISERROR(IF(ISERROR(VLOOKUP($C81,非生产人员工资!C:AB,26,FALSE)),VLOOKUP($C81,生产人员工资!C:X,22,FALSE),VLOOKUP($C81,非生产人员工资!C:AB,26,FALSE))),0,IF(ISERROR(VLOOKUP($C81,非生产人员工资!C:AB,26,FALSE)),VLOOKUP($C81,生产人员工资!C:X,22,FALSE),VLOOKUP($C81,非生产人员工资!C:AB,26,FALSE)))</f>
        <v>8.51</v>
      </c>
      <c r="AA81" s="7">
        <f>IF(ISERROR(IF(ISERROR(VLOOKUP($C81,非生产人员工资!C:AC,27,FALSE)),VLOOKUP($C81,生产人员工资!C:Y,23,FALSE),VLOOKUP($C81,非生产人员工资!C:AC,27,FALSE))),0,IF(ISERROR(VLOOKUP($C81,非生产人员工资!C:AC,27,FALSE)),VLOOKUP($C81,生产人员工资!C:Y,23,FALSE),VLOOKUP($C81,非生产人员工资!C:AC,27,FALSE)))</f>
        <v>89.5</v>
      </c>
      <c r="AB81" s="7">
        <f>IF(ISERROR(IF(ISERROR(VLOOKUP($C81,非生产人员工资!C:AD,28,FALSE)),VLOOKUP($C81,生产人员工资!C:Z,24,FALSE),VLOOKUP($C81,非生产人员工资!C:AD,28,FALSE))),0,IF(ISERROR(VLOOKUP($C81,非生产人员工资!C:AD,28,FALSE)),VLOOKUP($C81,生产人员工资!C:Z,24,FALSE),VLOOKUP($C81,非生产人员工资!C:AD,28,FALSE)))</f>
        <v>261.84</v>
      </c>
      <c r="AC81" s="269">
        <f>ROUND(IF(ISERROR(IF(ISERROR(VLOOKUP($C81,非生产人员工资!C:AF,30,FALSE)),VLOOKUP($C81,生产人员工资!C:AB,26,0),VLOOKUP($C81,非生产人员工资!C:AF,30,FALSE))),0,IF(ISERROR(VLOOKUP($C81,非生产人员工资!C:AF,30,FALSE)),VLOOKUP($C81,生产人员工资!C:AB,26,0),VLOOKUP($C81,非生产人员工资!C:AF,30,FALSE))),2)</f>
        <v>0</v>
      </c>
      <c r="AD81" s="269">
        <f t="shared" si="4"/>
        <v>1258.72</v>
      </c>
      <c r="AE81" s="269" t="str">
        <f>VLOOKUP($C81,员工基本信息!$C:$N,10,FALSE)</f>
        <v>生产成本+组装</v>
      </c>
      <c r="AF81" s="265" t="str">
        <f>VLOOKUP($C81,员工基本信息!$C:$O,11,FALSE)</f>
        <v>直接成本</v>
      </c>
      <c r="AG81" s="265" t="str">
        <f>VLOOKUP($C81,员工基本信息!$C:$O,12,FALSE)</f>
        <v>组装车间</v>
      </c>
      <c r="AH81" s="265" t="str">
        <f>VLOOKUP($C81,员工基本信息!$C:$O,13,FALSE)</f>
        <v>生产人员</v>
      </c>
      <c r="AI81" s="249" t="str">
        <f>VLOOKUP($B81,员工基本信息!$B:$S,16,FALSE)</f>
        <v>6214220101205383178</v>
      </c>
      <c r="AJ81" s="249" t="str">
        <f>VLOOKUP($B81,员工基本信息!$B:$S,18,FALSE)</f>
        <v>沧州</v>
      </c>
      <c r="AK81" s="249" t="str">
        <f>VLOOKUP(C81,员工基本信息!$C:$M,11,0)</f>
        <v>直接成本</v>
      </c>
    </row>
    <row r="82" s="250" customFormat="1" customHeight="1" spans="1:37">
      <c r="A82" s="264">
        <v>79</v>
      </c>
      <c r="B82" s="6" t="str">
        <f>本月员工姓名!B80</f>
        <v>李春花</v>
      </c>
      <c r="C82" s="265" t="str">
        <f>VLOOKUP($B82,员工基本信息!$B:$I,2,FALSE)</f>
        <v>132930197907180928</v>
      </c>
      <c r="D82" s="266" t="str">
        <f>VLOOKUP($B82,员工基本信息!$B:$I,4,FALSE)</f>
        <v>制造管理部-组装车间</v>
      </c>
      <c r="E82" s="266" t="str">
        <f>VLOOKUP($B82,员工基本信息!$B:$I,5,FALSE)</f>
        <v>重卡线</v>
      </c>
      <c r="F82" s="267">
        <f>IF(ISERROR(VLOOKUP($C82,非生产人员工资!$C:$AD,6,FALSE)),0,VLOOKUP($C82,非生产人员工资!$C:$AD,6,FALSE))</f>
        <v>0</v>
      </c>
      <c r="G82" s="267">
        <f>IF(ISERROR(VLOOKUP($C82,非生产人员工资!C:J,8,0)),0,VLOOKUP($C82,非生产人员工资!C:J,8,FALSE))</f>
        <v>0</v>
      </c>
      <c r="H82" s="7">
        <f>IF(ISERROR(VLOOKUP($C82,非生产人员工资!C:K,9,FALSE)),0,VLOOKUP($C82,非生产人员工资!C:K,9,FALSE))</f>
        <v>0</v>
      </c>
      <c r="I82" s="7">
        <f>IF(ISERROR(VLOOKUP($C82,非生产人员工资!C:L,10,FALSE)),0,VLOOKUP($C82,非生产人员工资!C:L,10,FALSE))</f>
        <v>0</v>
      </c>
      <c r="J82" s="7">
        <f>IF(ISERROR(VLOOKUP($C82,生产人员工资!C:I,7,FALSE)),0,VLOOKUP($C82,生产人员工资!C:I,7,FALSE))</f>
        <v>1421.75</v>
      </c>
      <c r="K82" s="7">
        <f>IF(ISERROR(VLOOKUP($C82,生产人员工资!C:J,8,FALSE)),0,VLOOKUP($C82,生产人员工资!C:J,8,FALSE))</f>
        <v>112.8</v>
      </c>
      <c r="L82" s="7" t="str">
        <f>IF(ISERROR(IF(ISERROR(VLOOKUP($C82,非生产人员工资!C:N,12,FALSE)),VLOOKUP($C82,生产人员工资!C:K,9,FALSE),VLOOKUP($C82,非生产人员工资!C:N,12,FALSE))),0,IF(ISERROR(VLOOKUP($C82,非生产人员工资!C:N,12,FALSE)),VLOOKUP($C82,生产人员工资!C:K,9,FALSE),VLOOKUP($C82,非生产人员工资!C:N,12,FALSE)))</f>
        <v>0.00</v>
      </c>
      <c r="M82" s="7" t="str">
        <f>IF(ISERROR(IF(ISERROR(VLOOKUP($C82,非生产人员工资!$C:$O,13,FALSE)),VLOOKUP($C82,生产人员工资!$C:$L,10,FALSE),VLOOKUP($C82,非生产人员工资!$C:$O,13,FALSE))),0,IF(ISERROR(VLOOKUP($C82,非生产人员工资!$C:$O,13,FALSE)),VLOOKUP($C82,生产人员工资!$C:$L,10,FALSE),VLOOKUP($C82,非生产人员工资!$C:$O,13,FALSE)))</f>
        <v>0.00</v>
      </c>
      <c r="N82" s="7">
        <f>IF(ISERROR(IF(ISERROR(VLOOKUP($C82,非生产人员工资!$C:$P,14,FALSE)),VLOOKUP($C82,生产人员工资!$C:$M,11,FALSE),VLOOKUP($C82,非生产人员工资!$C:$P,14,FALSE))),0,IF(ISERROR(VLOOKUP($C82,非生产人员工资!$C:$P,14,FALSE)),VLOOKUP($C82,生产人员工资!$C:$M,11,FALSE),VLOOKUP($C82,非生产人员工资!$C:$P,14,FALSE)))</f>
        <v>80</v>
      </c>
      <c r="O82" s="7" t="str">
        <f>IF(ISERROR(IF(ISERROR(VLOOKUP($C82,非生产人员工资!C:Q,15,FALSE)),VLOOKUP($C82,生产人员工资!C:N,12,FALSE),VLOOKUP($C82,非生产人员工资!C:Q,15,FALSE))),0,IF(ISERROR(VLOOKUP($C82,非生产人员工资!C:Q,15,FALSE)),VLOOKUP($C82,生产人员工资!C:N,12,FALSE),VLOOKUP($C82,非生产人员工资!C:Q,15,FALSE)))</f>
        <v>0.00</v>
      </c>
      <c r="P82" s="7" t="str">
        <f>IF(ISERROR(IF(ISERROR(VLOOKUP($C82,非生产人员工资!C:R,16,FALSE)),VLOOKUP($C82,生产人员工资!C:O,13,FALSE),VLOOKUP($C82,非生产人员工资!C:R,16,FALSE))),0,IF(ISERROR(VLOOKUP($C82,非生产人员工资!C:R,16,FALSE)),VLOOKUP($C82,生产人员工资!C:O,13,FALSE),VLOOKUP($C82,非生产人员工资!C:R,16,FALSE)))</f>
        <v>0.00</v>
      </c>
      <c r="Q82" s="7" t="str">
        <f>IF(ISERROR(IF(ISERROR(VLOOKUP($C82,非生产人员工资!C:S,17,FALSE)),VLOOKUP($C82,生产人员工资!C:P,14,FALSE),VLOOKUP($C82,非生产人员工资!C:S,17,FALSE))),0,IF(ISERROR(VLOOKUP($C82,非生产人员工资!C:S,17,FALSE)),VLOOKUP($C82,生产人员工资!C:P,14,FALSE),VLOOKUP($C82,非生产人员工资!C:S,17,FALSE)))</f>
        <v>0.00</v>
      </c>
      <c r="R82" s="7" t="str">
        <f>IF(ISERROR(IF(ISERROR(VLOOKUP($C82,非生产人员工资!C:T,18,FALSE)),VLOOKUP($C82,生产人员工资!C:Q,15,FALSE),VLOOKUP($C82,非生产人员工资!C:T,18,FALSE))),0,IF(ISERROR(VLOOKUP($C82,非生产人员工资!C:T,18,FALSE)),VLOOKUP($C82,生产人员工资!C:Q,15,FALSE),VLOOKUP($C82,非生产人员工资!C:T,18,FALSE)))</f>
        <v>0.00</v>
      </c>
      <c r="S82" s="7">
        <f>IF(ISERROR(VLOOKUP($C82,非生产人员工资!C:U,19,FALSE)),0,VLOOKUP($C82,非生产人员工资!C:U,19,FALSE))</f>
        <v>0</v>
      </c>
      <c r="T82" s="7" t="str">
        <f>IF(ISERROR(IF(ISERROR(VLOOKUP($C82,非生产人员工资!C:V,20,FALSE)),VLOOKUP($C82,生产人员工资!C:R,16,FALSE),VLOOKUP($C82,非生产人员工资!C:V,20,FALSE))),0,IF(ISERROR(VLOOKUP($C82,非生产人员工资!C:V,20,FALSE)),VLOOKUP($C82,生产人员工资!$C:$R,16,FALSE),VLOOKUP($C82,非生产人员工资!C:V,20,FALSE)))</f>
        <v>0.00</v>
      </c>
      <c r="U82" s="7" t="str">
        <f>IF(ISERROR(IF(ISERROR(VLOOKUP($C82,非生产人员工资!C:W,21,FALSE)),VLOOKUP($C82,生产人员工资!C:S,17,FALSE),VLOOKUP($C82,非生产人员工资!C:W,21,FALSE))),0,IF(ISERROR(VLOOKUP($C82,非生产人员工资!C:W,21,FALSE)),VLOOKUP($C82,生产人员工资!C:S,17,FALSE),VLOOKUP($C82,非生产人员工资!C:W,21,FALSE)))</f>
        <v>0.00</v>
      </c>
      <c r="V82" s="7" t="str">
        <f>IF(ISERROR(IF(ISERROR(VLOOKUP($C82,非生产人员工资!C:X,22,FALSE)),VLOOKUP($C82,生产人员工资!C:T,18,FALSE),VLOOKUP($C82,非生产人员工资!C:X,22,FALSE))),0,IF(ISERROR(VLOOKUP($C82,非生产人员工资!C:X,22,FALSE)),VLOOKUP($C82,生产人员工资!C:T,18,FALSE),VLOOKUP($C82,非生产人员工资!C:X,22,FALSE)))</f>
        <v>0.00</v>
      </c>
      <c r="W82" s="7">
        <f t="shared" si="5"/>
        <v>1614.55</v>
      </c>
      <c r="X82" s="7">
        <f>IF(ISERROR(IF(ISERROR(VLOOKUP($C82,非生产人员工资!C:Z,24,FALSE)),VLOOKUP($C82,生产人员工资!C:V,20,FALSE),VLOOKUP($C82,非生产人员工资!$C:$Z,24,FALSE))),0,IF(ISERROR(VLOOKUP($C82,非生产人员工资!$C:$Z,24,FALSE)),VLOOKUP($C82,生产人员工资!$C:$V,20,FALSE),VLOOKUP($C82,非生产人员工资!$C:$Z,24,FALSE)))</f>
        <v>226.9</v>
      </c>
      <c r="Y82" s="7">
        <f>IF(ISERROR(IF(ISERROR(VLOOKUP($C82,非生产人员工资!C:AA,25,FALSE)),VLOOKUP($C82,生产人员工资!C:W,21,FALSE),VLOOKUP($C82,非生产人员工资!C:AA,25,FALSE))),0,IF(ISERROR(VLOOKUP($C82,非生产人员工资!C:AA,25,FALSE)),VLOOKUP($C82,生产人员工资!C:W,21,FALSE),VLOOKUP($C82,非生产人员工资!C:AA,25,FALSE)))</f>
        <v>104.57</v>
      </c>
      <c r="Z82" s="7">
        <f>IF(ISERROR(IF(ISERROR(VLOOKUP($C82,非生产人员工资!C:AB,26,FALSE)),VLOOKUP($C82,生产人员工资!C:X,22,FALSE),VLOOKUP($C82,非生产人员工资!C:AB,26,FALSE))),0,IF(ISERROR(VLOOKUP($C82,非生产人员工资!C:AB,26,FALSE)),VLOOKUP($C82,生产人员工资!C:X,22,FALSE),VLOOKUP($C82,非生产人员工资!C:AB,26,FALSE)))</f>
        <v>8.51</v>
      </c>
      <c r="AA82" s="7">
        <f>IF(ISERROR(IF(ISERROR(VLOOKUP($C82,非生产人员工资!C:AC,27,FALSE)),VLOOKUP($C82,生产人员工资!C:Y,23,FALSE),VLOOKUP($C82,非生产人员工资!C:AC,27,FALSE))),0,IF(ISERROR(VLOOKUP($C82,非生产人员工资!C:AC,27,FALSE)),VLOOKUP($C82,生产人员工资!C:Y,23,FALSE),VLOOKUP($C82,非生产人员工资!C:AC,27,FALSE)))</f>
        <v>89.5</v>
      </c>
      <c r="AB82" s="7">
        <f>IF(ISERROR(IF(ISERROR(VLOOKUP($C82,非生产人员工资!C:AD,28,FALSE)),VLOOKUP($C82,生产人员工资!C:Z,24,FALSE),VLOOKUP($C82,非生产人员工资!C:AD,28,FALSE))),0,IF(ISERROR(VLOOKUP($C82,非生产人员工资!C:AD,28,FALSE)),VLOOKUP($C82,生产人员工资!C:Z,24,FALSE),VLOOKUP($C82,非生产人员工资!C:AD,28,FALSE)))</f>
        <v>261.84</v>
      </c>
      <c r="AC82" s="269">
        <f>ROUND(IF(ISERROR(IF(ISERROR(VLOOKUP($C82,非生产人员工资!C:AF,30,FALSE)),VLOOKUP($C82,生产人员工资!C:AB,26,0),VLOOKUP($C82,非生产人员工资!C:AF,30,FALSE))),0,IF(ISERROR(VLOOKUP($C82,非生产人员工资!C:AF,30,FALSE)),VLOOKUP($C82,生产人员工资!C:AB,26,0),VLOOKUP($C82,非生产人员工资!C:AF,30,FALSE))),2)</f>
        <v>0</v>
      </c>
      <c r="AD82" s="269">
        <f t="shared" si="4"/>
        <v>923.23</v>
      </c>
      <c r="AE82" s="269" t="str">
        <f>VLOOKUP($C82,员工基本信息!$C:$N,10,FALSE)</f>
        <v>生产成本+组装</v>
      </c>
      <c r="AF82" s="265" t="str">
        <f>VLOOKUP($C82,员工基本信息!$C:$O,11,FALSE)</f>
        <v>直接成本</v>
      </c>
      <c r="AG82" s="265" t="str">
        <f>VLOOKUP($C82,员工基本信息!$C:$O,12,FALSE)</f>
        <v>组装车间</v>
      </c>
      <c r="AH82" s="265" t="str">
        <f>VLOOKUP($C82,员工基本信息!$C:$O,13,FALSE)</f>
        <v>生产人员</v>
      </c>
      <c r="AI82" s="249" t="str">
        <f>VLOOKUP($B82,员工基本信息!$B:$S,16,FALSE)</f>
        <v>6214220101205385280</v>
      </c>
      <c r="AJ82" s="249" t="str">
        <f>VLOOKUP($B82,员工基本信息!$B:$S,18,FALSE)</f>
        <v>沧州</v>
      </c>
      <c r="AK82" s="249" t="str">
        <f>VLOOKUP(C82,员工基本信息!$C:$M,11,0)</f>
        <v>直接成本</v>
      </c>
    </row>
    <row r="83" s="250" customFormat="1" customHeight="1" spans="1:37">
      <c r="A83" s="264">
        <v>80</v>
      </c>
      <c r="B83" s="6" t="str">
        <f>本月员工姓名!B81</f>
        <v>张爽</v>
      </c>
      <c r="C83" s="265" t="str">
        <f>VLOOKUP($B83,员工基本信息!$B:$I,2,FALSE)</f>
        <v>130930198803203323</v>
      </c>
      <c r="D83" s="266" t="str">
        <f>VLOOKUP($B83,员工基本信息!$B:$I,4,FALSE)</f>
        <v>制造管理部-组装车间</v>
      </c>
      <c r="E83" s="266" t="str">
        <f>VLOOKUP($B83,员工基本信息!$B:$I,5,FALSE)</f>
        <v>乘用车</v>
      </c>
      <c r="F83" s="267">
        <f>IF(ISERROR(VLOOKUP($C83,非生产人员工资!$C:$AD,6,FALSE)),0,VLOOKUP($C83,非生产人员工资!$C:$AD,6,FALSE))</f>
        <v>0</v>
      </c>
      <c r="G83" s="267">
        <f>IF(ISERROR(VLOOKUP($C83,非生产人员工资!C:J,8,0)),0,VLOOKUP($C83,非生产人员工资!C:J,8,FALSE))</f>
        <v>0</v>
      </c>
      <c r="H83" s="7">
        <f>IF(ISERROR(VLOOKUP($C83,非生产人员工资!C:K,9,FALSE)),0,VLOOKUP($C83,非生产人员工资!C:K,9,FALSE))</f>
        <v>0</v>
      </c>
      <c r="I83" s="7">
        <f>IF(ISERROR(VLOOKUP($C83,非生产人员工资!C:L,10,FALSE)),0,VLOOKUP($C83,非生产人员工资!C:L,10,FALSE))</f>
        <v>0</v>
      </c>
      <c r="J83" s="7">
        <f>IF(ISERROR(VLOOKUP($C83,生产人员工资!C:I,7,FALSE)),0,VLOOKUP($C83,生产人员工资!C:I,7,FALSE))</f>
        <v>2598.4</v>
      </c>
      <c r="K83" s="7">
        <f>IF(ISERROR(VLOOKUP($C83,生产人员工资!C:J,8,FALSE)),0,VLOOKUP($C83,生产人员工资!C:J,8,FALSE))</f>
        <v>300.2</v>
      </c>
      <c r="L83" s="7" t="str">
        <f>IF(ISERROR(IF(ISERROR(VLOOKUP($C83,非生产人员工资!C:N,12,FALSE)),VLOOKUP($C83,生产人员工资!C:K,9,FALSE),VLOOKUP($C83,非生产人员工资!C:N,12,FALSE))),0,IF(ISERROR(VLOOKUP($C83,非生产人员工资!C:N,12,FALSE)),VLOOKUP($C83,生产人员工资!C:K,9,FALSE),VLOOKUP($C83,非生产人员工资!C:N,12,FALSE)))</f>
        <v>0.00</v>
      </c>
      <c r="M83" s="7" t="str">
        <f>IF(ISERROR(IF(ISERROR(VLOOKUP($C83,非生产人员工资!$C:$O,13,FALSE)),VLOOKUP($C83,生产人员工资!$C:$L,10,FALSE),VLOOKUP($C83,非生产人员工资!$C:$O,13,FALSE))),0,IF(ISERROR(VLOOKUP($C83,非生产人员工资!$C:$O,13,FALSE)),VLOOKUP($C83,生产人员工资!$C:$L,10,FALSE),VLOOKUP($C83,非生产人员工资!$C:$O,13,FALSE)))</f>
        <v>0.00</v>
      </c>
      <c r="N83" s="7">
        <f>IF(ISERROR(IF(ISERROR(VLOOKUP($C83,非生产人员工资!$C:$P,14,FALSE)),VLOOKUP($C83,生产人员工资!$C:$M,11,FALSE),VLOOKUP($C83,非生产人员工资!$C:$P,14,FALSE))),0,IF(ISERROR(VLOOKUP($C83,非生产人员工资!$C:$P,14,FALSE)),VLOOKUP($C83,生产人员工资!$C:$M,11,FALSE),VLOOKUP($C83,非生产人员工资!$C:$P,14,FALSE)))</f>
        <v>20</v>
      </c>
      <c r="O83" s="7" t="str">
        <f>IF(ISERROR(IF(ISERROR(VLOOKUP($C83,非生产人员工资!C:Q,15,FALSE)),VLOOKUP($C83,生产人员工资!C:N,12,FALSE),VLOOKUP($C83,非生产人员工资!C:Q,15,FALSE))),0,IF(ISERROR(VLOOKUP($C83,非生产人员工资!C:Q,15,FALSE)),VLOOKUP($C83,生产人员工资!C:N,12,FALSE),VLOOKUP($C83,非生产人员工资!C:Q,15,FALSE)))</f>
        <v>0.00</v>
      </c>
      <c r="P83" s="7" t="str">
        <f>IF(ISERROR(IF(ISERROR(VLOOKUP($C83,非生产人员工资!C:R,16,FALSE)),VLOOKUP($C83,生产人员工资!C:O,13,FALSE),VLOOKUP($C83,非生产人员工资!C:R,16,FALSE))),0,IF(ISERROR(VLOOKUP($C83,非生产人员工资!C:R,16,FALSE)),VLOOKUP($C83,生产人员工资!C:O,13,FALSE),VLOOKUP($C83,非生产人员工资!C:R,16,FALSE)))</f>
        <v>0.00</v>
      </c>
      <c r="Q83" s="7" t="str">
        <f>IF(ISERROR(IF(ISERROR(VLOOKUP($C83,非生产人员工资!C:S,17,FALSE)),VLOOKUP($C83,生产人员工资!C:P,14,FALSE),VLOOKUP($C83,非生产人员工资!C:S,17,FALSE))),0,IF(ISERROR(VLOOKUP($C83,非生产人员工资!C:S,17,FALSE)),VLOOKUP($C83,生产人员工资!C:P,14,FALSE),VLOOKUP($C83,非生产人员工资!C:S,17,FALSE)))</f>
        <v>0.00</v>
      </c>
      <c r="R83" s="7" t="str">
        <f>IF(ISERROR(IF(ISERROR(VLOOKUP($C83,非生产人员工资!C:T,18,FALSE)),VLOOKUP($C83,生产人员工资!C:Q,15,FALSE),VLOOKUP($C83,非生产人员工资!C:T,18,FALSE))),0,IF(ISERROR(VLOOKUP($C83,非生产人员工资!C:T,18,FALSE)),VLOOKUP($C83,生产人员工资!C:Q,15,FALSE),VLOOKUP($C83,非生产人员工资!C:T,18,FALSE)))</f>
        <v>0.00</v>
      </c>
      <c r="S83" s="7">
        <f>IF(ISERROR(VLOOKUP($C83,非生产人员工资!C:U,19,FALSE)),0,VLOOKUP($C83,非生产人员工资!C:U,19,FALSE))</f>
        <v>0</v>
      </c>
      <c r="T83" s="7" t="str">
        <f>IF(ISERROR(IF(ISERROR(VLOOKUP($C83,非生产人员工资!C:V,20,FALSE)),VLOOKUP($C83,生产人员工资!C:R,16,FALSE),VLOOKUP($C83,非生产人员工资!C:V,20,FALSE))),0,IF(ISERROR(VLOOKUP($C83,非生产人员工资!C:V,20,FALSE)),VLOOKUP($C83,生产人员工资!$C:$R,16,FALSE),VLOOKUP($C83,非生产人员工资!C:V,20,FALSE)))</f>
        <v>0.00</v>
      </c>
      <c r="U83" s="7" t="str">
        <f>IF(ISERROR(IF(ISERROR(VLOOKUP($C83,非生产人员工资!C:W,21,FALSE)),VLOOKUP($C83,生产人员工资!C:S,17,FALSE),VLOOKUP($C83,非生产人员工资!C:W,21,FALSE))),0,IF(ISERROR(VLOOKUP($C83,非生产人员工资!C:W,21,FALSE)),VLOOKUP($C83,生产人员工资!C:S,17,FALSE),VLOOKUP($C83,非生产人员工资!C:W,21,FALSE)))</f>
        <v>0.00</v>
      </c>
      <c r="V83" s="7" t="str">
        <f>IF(ISERROR(IF(ISERROR(VLOOKUP($C83,非生产人员工资!C:X,22,FALSE)),VLOOKUP($C83,生产人员工资!C:T,18,FALSE),VLOOKUP($C83,非生产人员工资!C:X,22,FALSE))),0,IF(ISERROR(VLOOKUP($C83,非生产人员工资!C:X,22,FALSE)),VLOOKUP($C83,生产人员工资!C:T,18,FALSE),VLOOKUP($C83,非生产人员工资!C:X,22,FALSE)))</f>
        <v>0.00</v>
      </c>
      <c r="W83" s="7">
        <f t="shared" si="5"/>
        <v>2918.6</v>
      </c>
      <c r="X83" s="7">
        <f>IF(ISERROR(IF(ISERROR(VLOOKUP($C83,非生产人员工资!C:Z,24,FALSE)),VLOOKUP($C83,生产人员工资!C:V,20,FALSE),VLOOKUP($C83,非生产人员工资!$C:$Z,24,FALSE))),0,IF(ISERROR(VLOOKUP($C83,非生产人员工资!$C:$Z,24,FALSE)),VLOOKUP($C83,生产人员工资!$C:$V,20,FALSE),VLOOKUP($C83,非生产人员工资!$C:$Z,24,FALSE)))</f>
        <v>226.9</v>
      </c>
      <c r="Y83" s="7">
        <f>IF(ISERROR(IF(ISERROR(VLOOKUP($C83,非生产人员工资!C:AA,25,FALSE)),VLOOKUP($C83,生产人员工资!C:W,21,FALSE),VLOOKUP($C83,非生产人员工资!C:AA,25,FALSE))),0,IF(ISERROR(VLOOKUP($C83,非生产人员工资!C:AA,25,FALSE)),VLOOKUP($C83,生产人员工资!C:W,21,FALSE),VLOOKUP($C83,非生产人员工资!C:AA,25,FALSE)))</f>
        <v>104.57</v>
      </c>
      <c r="Z83" s="7">
        <f>IF(ISERROR(IF(ISERROR(VLOOKUP($C83,非生产人员工资!C:AB,26,FALSE)),VLOOKUP($C83,生产人员工资!C:X,22,FALSE),VLOOKUP($C83,非生产人员工资!C:AB,26,FALSE))),0,IF(ISERROR(VLOOKUP($C83,非生产人员工资!C:AB,26,FALSE)),VLOOKUP($C83,生产人员工资!C:X,22,FALSE),VLOOKUP($C83,非生产人员工资!C:AB,26,FALSE)))</f>
        <v>8.51</v>
      </c>
      <c r="AA83" s="7">
        <f>IF(ISERROR(IF(ISERROR(VLOOKUP($C83,非生产人员工资!C:AC,27,FALSE)),VLOOKUP($C83,生产人员工资!C:Y,23,FALSE),VLOOKUP($C83,非生产人员工资!C:AC,27,FALSE))),0,IF(ISERROR(VLOOKUP($C83,非生产人员工资!C:AC,27,FALSE)),VLOOKUP($C83,生产人员工资!C:Y,23,FALSE),VLOOKUP($C83,非生产人员工资!C:AC,27,FALSE)))</f>
        <v>89.5</v>
      </c>
      <c r="AB83" s="7">
        <f>IF(ISERROR(IF(ISERROR(VLOOKUP($C83,非生产人员工资!C:AD,28,FALSE)),VLOOKUP($C83,生产人员工资!C:Z,24,FALSE),VLOOKUP($C83,非生产人员工资!C:AD,28,FALSE))),0,IF(ISERROR(VLOOKUP($C83,非生产人员工资!C:AD,28,FALSE)),VLOOKUP($C83,生产人员工资!C:Z,24,FALSE),VLOOKUP($C83,非生产人员工资!C:AD,28,FALSE)))</f>
        <v>261.84</v>
      </c>
      <c r="AC83" s="269">
        <f>ROUND(IF(ISERROR(IF(ISERROR(VLOOKUP($C83,非生产人员工资!C:AF,30,FALSE)),VLOOKUP($C83,生产人员工资!C:AB,26,0),VLOOKUP($C83,非生产人员工资!C:AF,30,FALSE))),0,IF(ISERROR(VLOOKUP($C83,非生产人员工资!C:AF,30,FALSE)),VLOOKUP($C83,生产人员工资!C:AB,26,0),VLOOKUP($C83,非生产人员工资!C:AF,30,FALSE))),2)</f>
        <v>0</v>
      </c>
      <c r="AD83" s="269">
        <f t="shared" si="4"/>
        <v>2227.28</v>
      </c>
      <c r="AE83" s="269" t="str">
        <f>VLOOKUP($C83,员工基本信息!$C:$N,10,FALSE)</f>
        <v>生产成本+组装</v>
      </c>
      <c r="AF83" s="265" t="str">
        <f>VLOOKUP($C83,员工基本信息!$C:$O,11,FALSE)</f>
        <v>直接成本</v>
      </c>
      <c r="AG83" s="265" t="str">
        <f>VLOOKUP($C83,员工基本信息!$C:$O,12,FALSE)</f>
        <v>组装车间</v>
      </c>
      <c r="AH83" s="265" t="str">
        <f>VLOOKUP($C83,员工基本信息!$C:$O,13,FALSE)</f>
        <v>生产人员</v>
      </c>
      <c r="AI83" s="249" t="str">
        <f>VLOOKUP($B83,员工基本信息!$B:$S,16,FALSE)</f>
        <v>6214220101207778854</v>
      </c>
      <c r="AJ83" s="249" t="str">
        <f>VLOOKUP($B83,员工基本信息!$B:$S,18,FALSE)</f>
        <v>沧州</v>
      </c>
      <c r="AK83" s="249" t="str">
        <f>VLOOKUP(C83,员工基本信息!$C:$M,11,0)</f>
        <v>直接成本</v>
      </c>
    </row>
    <row r="84" s="250" customFormat="1" customHeight="1" spans="1:37">
      <c r="A84" s="264">
        <v>81</v>
      </c>
      <c r="B84" s="6" t="str">
        <f>本月员工姓名!B82</f>
        <v>李勇</v>
      </c>
      <c r="C84" s="265" t="str">
        <f>VLOOKUP($B84,员工基本信息!$B:$I,2,FALSE)</f>
        <v>130930199703143911</v>
      </c>
      <c r="D84" s="266" t="str">
        <f>VLOOKUP($B84,员工基本信息!$B:$I,4,FALSE)</f>
        <v>制造管理部-组装车间</v>
      </c>
      <c r="E84" s="266" t="str">
        <f>VLOOKUP($B84,员工基本信息!$B:$I,5,FALSE)</f>
        <v>重卡线</v>
      </c>
      <c r="F84" s="267">
        <f>IF(ISERROR(VLOOKUP($C84,非生产人员工资!$C:$AD,6,FALSE)),0,VLOOKUP($C84,非生产人员工资!$C:$AD,6,FALSE))</f>
        <v>0</v>
      </c>
      <c r="G84" s="267">
        <f>IF(ISERROR(VLOOKUP($C84,非生产人员工资!C:J,8,0)),0,VLOOKUP($C84,非生产人员工资!C:J,8,FALSE))</f>
        <v>0</v>
      </c>
      <c r="H84" s="7">
        <f>IF(ISERROR(VLOOKUP($C84,非生产人员工资!C:K,9,FALSE)),0,VLOOKUP($C84,非生产人员工资!C:K,9,FALSE))</f>
        <v>0</v>
      </c>
      <c r="I84" s="7">
        <f>IF(ISERROR(VLOOKUP($C84,非生产人员工资!C:L,10,FALSE)),0,VLOOKUP($C84,非生产人员工资!C:L,10,FALSE))</f>
        <v>0</v>
      </c>
      <c r="J84" s="7">
        <f>IF(ISERROR(VLOOKUP($C84,生产人员工资!C:I,7,FALSE)),0,VLOOKUP($C84,生产人员工资!C:I,7,FALSE))</f>
        <v>1645.78</v>
      </c>
      <c r="K84" s="7">
        <f>IF(ISERROR(VLOOKUP($C84,生产人员工资!C:J,8,FALSE)),0,VLOOKUP($C84,生产人员工资!C:J,8,FALSE))</f>
        <v>223.465</v>
      </c>
      <c r="L84" s="7" t="str">
        <f>IF(ISERROR(IF(ISERROR(VLOOKUP($C84,非生产人员工资!C:N,12,FALSE)),VLOOKUP($C84,生产人员工资!C:K,9,FALSE),VLOOKUP($C84,非生产人员工资!C:N,12,FALSE))),0,IF(ISERROR(VLOOKUP($C84,非生产人员工资!C:N,12,FALSE)),VLOOKUP($C84,生产人员工资!C:K,9,FALSE),VLOOKUP($C84,非生产人员工资!C:N,12,FALSE)))</f>
        <v>0.00</v>
      </c>
      <c r="M84" s="7" t="str">
        <f>IF(ISERROR(IF(ISERROR(VLOOKUP($C84,非生产人员工资!$C:$O,13,FALSE)),VLOOKUP($C84,生产人员工资!$C:$L,10,FALSE),VLOOKUP($C84,非生产人员工资!$C:$O,13,FALSE))),0,IF(ISERROR(VLOOKUP($C84,非生产人员工资!$C:$O,13,FALSE)),VLOOKUP($C84,生产人员工资!$C:$L,10,FALSE),VLOOKUP($C84,非生产人员工资!$C:$O,13,FALSE)))</f>
        <v>0.00</v>
      </c>
      <c r="N84" s="7">
        <f>IF(ISERROR(IF(ISERROR(VLOOKUP($C84,非生产人员工资!$C:$P,14,FALSE)),VLOOKUP($C84,生产人员工资!$C:$M,11,FALSE),VLOOKUP($C84,非生产人员工资!$C:$P,14,FALSE))),0,IF(ISERROR(VLOOKUP($C84,非生产人员工资!$C:$P,14,FALSE)),VLOOKUP($C84,生产人员工资!$C:$M,11,FALSE),VLOOKUP($C84,非生产人员工资!$C:$P,14,FALSE)))</f>
        <v>20</v>
      </c>
      <c r="O84" s="7" t="str">
        <f>IF(ISERROR(IF(ISERROR(VLOOKUP($C84,非生产人员工资!C:Q,15,FALSE)),VLOOKUP($C84,生产人员工资!C:N,12,FALSE),VLOOKUP($C84,非生产人员工资!C:Q,15,FALSE))),0,IF(ISERROR(VLOOKUP($C84,非生产人员工资!C:Q,15,FALSE)),VLOOKUP($C84,生产人员工资!C:N,12,FALSE),VLOOKUP($C84,非生产人员工资!C:Q,15,FALSE)))</f>
        <v>0.00</v>
      </c>
      <c r="P84" s="7" t="str">
        <f>IF(ISERROR(IF(ISERROR(VLOOKUP($C84,非生产人员工资!C:R,16,FALSE)),VLOOKUP($C84,生产人员工资!C:O,13,FALSE),VLOOKUP($C84,非生产人员工资!C:R,16,FALSE))),0,IF(ISERROR(VLOOKUP($C84,非生产人员工资!C:R,16,FALSE)),VLOOKUP($C84,生产人员工资!C:O,13,FALSE),VLOOKUP($C84,非生产人员工资!C:R,16,FALSE)))</f>
        <v>0.00</v>
      </c>
      <c r="Q84" s="7" t="str">
        <f>IF(ISERROR(IF(ISERROR(VLOOKUP($C84,非生产人员工资!C:S,17,FALSE)),VLOOKUP($C84,生产人员工资!C:P,14,FALSE),VLOOKUP($C84,非生产人员工资!C:S,17,FALSE))),0,IF(ISERROR(VLOOKUP($C84,非生产人员工资!C:S,17,FALSE)),VLOOKUP($C84,生产人员工资!C:P,14,FALSE),VLOOKUP($C84,非生产人员工资!C:S,17,FALSE)))</f>
        <v>0.00</v>
      </c>
      <c r="R84" s="7" t="str">
        <f>IF(ISERROR(IF(ISERROR(VLOOKUP($C84,非生产人员工资!C:T,18,FALSE)),VLOOKUP($C84,生产人员工资!C:Q,15,FALSE),VLOOKUP($C84,非生产人员工资!C:T,18,FALSE))),0,IF(ISERROR(VLOOKUP($C84,非生产人员工资!C:T,18,FALSE)),VLOOKUP($C84,生产人员工资!C:Q,15,FALSE),VLOOKUP($C84,非生产人员工资!C:T,18,FALSE)))</f>
        <v>0.00</v>
      </c>
      <c r="S84" s="7">
        <f>IF(ISERROR(VLOOKUP($C84,非生产人员工资!C:U,19,FALSE)),0,VLOOKUP($C84,非生产人员工资!C:U,19,FALSE))</f>
        <v>0</v>
      </c>
      <c r="T84" s="7" t="str">
        <f>IF(ISERROR(IF(ISERROR(VLOOKUP($C84,非生产人员工资!C:V,20,FALSE)),VLOOKUP($C84,生产人员工资!C:R,16,FALSE),VLOOKUP($C84,非生产人员工资!C:V,20,FALSE))),0,IF(ISERROR(VLOOKUP($C84,非生产人员工资!C:V,20,FALSE)),VLOOKUP($C84,生产人员工资!$C:$R,16,FALSE),VLOOKUP($C84,非生产人员工资!C:V,20,FALSE)))</f>
        <v>0.00</v>
      </c>
      <c r="U84" s="7" t="str">
        <f>IF(ISERROR(IF(ISERROR(VLOOKUP($C84,非生产人员工资!C:W,21,FALSE)),VLOOKUP($C84,生产人员工资!C:S,17,FALSE),VLOOKUP($C84,非生产人员工资!C:W,21,FALSE))),0,IF(ISERROR(VLOOKUP($C84,非生产人员工资!C:W,21,FALSE)),VLOOKUP($C84,生产人员工资!C:S,17,FALSE),VLOOKUP($C84,非生产人员工资!C:W,21,FALSE)))</f>
        <v>0.00</v>
      </c>
      <c r="V84" s="7" t="str">
        <f>IF(ISERROR(IF(ISERROR(VLOOKUP($C84,非生产人员工资!C:X,22,FALSE)),VLOOKUP($C84,生产人员工资!C:T,18,FALSE),VLOOKUP($C84,非生产人员工资!C:X,22,FALSE))),0,IF(ISERROR(VLOOKUP($C84,非生产人员工资!C:X,22,FALSE)),VLOOKUP($C84,生产人员工资!C:T,18,FALSE),VLOOKUP($C84,非生产人员工资!C:X,22,FALSE)))</f>
        <v>0.00</v>
      </c>
      <c r="W84" s="7">
        <f t="shared" si="5"/>
        <v>1889.25</v>
      </c>
      <c r="X84" s="7">
        <f>IF(ISERROR(IF(ISERROR(VLOOKUP($C84,非生产人员工资!C:Z,24,FALSE)),VLOOKUP($C84,生产人员工资!C:V,20,FALSE),VLOOKUP($C84,非生产人员工资!$C:$Z,24,FALSE))),0,IF(ISERROR(VLOOKUP($C84,非生产人员工资!$C:$Z,24,FALSE)),VLOOKUP($C84,生产人员工资!$C:$V,20,FALSE),VLOOKUP($C84,非生产人员工资!$C:$Z,24,FALSE)))</f>
        <v>226.9</v>
      </c>
      <c r="Y84" s="7">
        <f>IF(ISERROR(IF(ISERROR(VLOOKUP($C84,非生产人员工资!C:AA,25,FALSE)),VLOOKUP($C84,生产人员工资!C:W,21,FALSE),VLOOKUP($C84,非生产人员工资!C:AA,25,FALSE))),0,IF(ISERROR(VLOOKUP($C84,非生产人员工资!C:AA,25,FALSE)),VLOOKUP($C84,生产人员工资!C:W,21,FALSE),VLOOKUP($C84,非生产人员工资!C:AA,25,FALSE)))</f>
        <v>104.57</v>
      </c>
      <c r="Z84" s="7">
        <f>IF(ISERROR(IF(ISERROR(VLOOKUP($C84,非生产人员工资!C:AB,26,FALSE)),VLOOKUP($C84,生产人员工资!C:X,22,FALSE),VLOOKUP($C84,非生产人员工资!C:AB,26,FALSE))),0,IF(ISERROR(VLOOKUP($C84,非生产人员工资!C:AB,26,FALSE)),VLOOKUP($C84,生产人员工资!C:X,22,FALSE),VLOOKUP($C84,非生产人员工资!C:AB,26,FALSE)))</f>
        <v>8.51</v>
      </c>
      <c r="AA84" s="7">
        <f>IF(ISERROR(IF(ISERROR(VLOOKUP($C84,非生产人员工资!C:AC,27,FALSE)),VLOOKUP($C84,生产人员工资!C:Y,23,FALSE),VLOOKUP($C84,非生产人员工资!C:AC,27,FALSE))),0,IF(ISERROR(VLOOKUP($C84,非生产人员工资!C:AC,27,FALSE)),VLOOKUP($C84,生产人员工资!C:Y,23,FALSE),VLOOKUP($C84,非生产人员工资!C:AC,27,FALSE)))</f>
        <v>0</v>
      </c>
      <c r="AB84" s="7">
        <f>IF(ISERROR(IF(ISERROR(VLOOKUP($C84,非生产人员工资!C:AD,28,FALSE)),VLOOKUP($C84,生产人员工资!C:Z,24,FALSE),VLOOKUP($C84,非生产人员工资!C:AD,28,FALSE))),0,IF(ISERROR(VLOOKUP($C84,非生产人员工资!C:AD,28,FALSE)),VLOOKUP($C84,生产人员工资!C:Z,24,FALSE),VLOOKUP($C84,非生产人员工资!C:AD,28,FALSE)))</f>
        <v>261.84</v>
      </c>
      <c r="AC84" s="269">
        <f>ROUND(IF(ISERROR(IF(ISERROR(VLOOKUP($C84,非生产人员工资!C:AF,30,FALSE)),VLOOKUP($C84,生产人员工资!C:AB,26,0),VLOOKUP($C84,非生产人员工资!C:AF,30,FALSE))),0,IF(ISERROR(VLOOKUP($C84,非生产人员工资!C:AF,30,FALSE)),VLOOKUP($C84,生产人员工资!C:AB,26,0),VLOOKUP($C84,非生产人员工资!C:AF,30,FALSE))),2)</f>
        <v>0</v>
      </c>
      <c r="AD84" s="269">
        <f t="shared" si="4"/>
        <v>1287.43</v>
      </c>
      <c r="AE84" s="269" t="str">
        <f>VLOOKUP($C84,员工基本信息!$C:$N,10,FALSE)</f>
        <v>生产成本+组装</v>
      </c>
      <c r="AF84" s="265" t="str">
        <f>VLOOKUP($C84,员工基本信息!$C:$O,11,FALSE)</f>
        <v>直接成本</v>
      </c>
      <c r="AG84" s="265" t="str">
        <f>VLOOKUP($C84,员工基本信息!$C:$O,12,FALSE)</f>
        <v>组装车间</v>
      </c>
      <c r="AH84" s="265" t="str">
        <f>VLOOKUP($C84,员工基本信息!$C:$O,13,FALSE)</f>
        <v>生产人员</v>
      </c>
      <c r="AI84" s="249" t="str">
        <f>VLOOKUP($B84,员工基本信息!$B:$S,16,FALSE)</f>
        <v>6214220101205786669</v>
      </c>
      <c r="AJ84" s="249" t="str">
        <f>VLOOKUP($B84,员工基本信息!$B:$S,18,FALSE)</f>
        <v>沧州</v>
      </c>
      <c r="AK84" s="249" t="str">
        <f>VLOOKUP(C84,员工基本信息!$C:$M,11,0)</f>
        <v>直接成本</v>
      </c>
    </row>
    <row r="85" s="250" customFormat="1" customHeight="1" spans="1:37">
      <c r="A85" s="264">
        <v>82</v>
      </c>
      <c r="B85" s="6" t="str">
        <f>本月员工姓名!B83</f>
        <v>许龙涛</v>
      </c>
      <c r="C85" s="265" t="str">
        <f>VLOOKUP($B85,员工基本信息!$B:$I,2,FALSE)</f>
        <v>130930200004123319</v>
      </c>
      <c r="D85" s="266" t="str">
        <f>VLOOKUP($B85,员工基本信息!$B:$I,4,FALSE)</f>
        <v>制造管理部-组装车间</v>
      </c>
      <c r="E85" s="266" t="str">
        <f>VLOOKUP($B85,员工基本信息!$B:$I,5,FALSE)</f>
        <v>重卡线</v>
      </c>
      <c r="F85" s="267">
        <f>IF(ISERROR(VLOOKUP($C85,非生产人员工资!$C:$AD,6,FALSE)),0,VLOOKUP($C85,非生产人员工资!$C:$AD,6,FALSE))</f>
        <v>0</v>
      </c>
      <c r="G85" s="267">
        <f>IF(ISERROR(VLOOKUP($C85,非生产人员工资!C:J,8,0)),0,VLOOKUP($C85,非生产人员工资!C:J,8,FALSE))</f>
        <v>0</v>
      </c>
      <c r="H85" s="7">
        <f>IF(ISERROR(VLOOKUP($C85,非生产人员工资!C:K,9,FALSE)),0,VLOOKUP($C85,非生产人员工资!C:K,9,FALSE))</f>
        <v>0</v>
      </c>
      <c r="I85" s="7">
        <f>IF(ISERROR(VLOOKUP($C85,非生产人员工资!C:L,10,FALSE)),0,VLOOKUP($C85,非生产人员工资!C:L,10,FALSE))</f>
        <v>0</v>
      </c>
      <c r="J85" s="7">
        <f>IF(ISERROR(VLOOKUP($C85,生产人员工资!C:I,7,FALSE)),0,VLOOKUP($C85,生产人员工资!C:I,7,FALSE))</f>
        <v>1476.2</v>
      </c>
      <c r="K85" s="7">
        <f>IF(ISERROR(VLOOKUP($C85,生产人员工资!C:J,8,FALSE)),0,VLOOKUP($C85,生产人员工资!C:J,8,FALSE))</f>
        <v>228.14</v>
      </c>
      <c r="L85" s="7" t="str">
        <f>IF(ISERROR(IF(ISERROR(VLOOKUP($C85,非生产人员工资!C:N,12,FALSE)),VLOOKUP($C85,生产人员工资!C:K,9,FALSE),VLOOKUP($C85,非生产人员工资!C:N,12,FALSE))),0,IF(ISERROR(VLOOKUP($C85,非生产人员工资!C:N,12,FALSE)),VLOOKUP($C85,生产人员工资!C:K,9,FALSE),VLOOKUP($C85,非生产人员工资!C:N,12,FALSE)))</f>
        <v>0.00</v>
      </c>
      <c r="M85" s="7" t="str">
        <f>IF(ISERROR(IF(ISERROR(VLOOKUP($C85,非生产人员工资!$C:$O,13,FALSE)),VLOOKUP($C85,生产人员工资!$C:$L,10,FALSE),VLOOKUP($C85,非生产人员工资!$C:$O,13,FALSE))),0,IF(ISERROR(VLOOKUP($C85,非生产人员工资!$C:$O,13,FALSE)),VLOOKUP($C85,生产人员工资!$C:$L,10,FALSE),VLOOKUP($C85,非生产人员工资!$C:$O,13,FALSE)))</f>
        <v>0.00</v>
      </c>
      <c r="N85" s="7">
        <f>IF(ISERROR(IF(ISERROR(VLOOKUP($C85,非生产人员工资!$C:$P,14,FALSE)),VLOOKUP($C85,生产人员工资!$C:$M,11,FALSE),VLOOKUP($C85,非生产人员工资!$C:$P,14,FALSE))),0,IF(ISERROR(VLOOKUP($C85,非生产人员工资!$C:$P,14,FALSE)),VLOOKUP($C85,生产人员工资!$C:$M,11,FALSE),VLOOKUP($C85,非生产人员工资!$C:$P,14,FALSE)))</f>
        <v>20</v>
      </c>
      <c r="O85" s="7" t="str">
        <f>IF(ISERROR(IF(ISERROR(VLOOKUP($C85,非生产人员工资!C:Q,15,FALSE)),VLOOKUP($C85,生产人员工资!C:N,12,FALSE),VLOOKUP($C85,非生产人员工资!C:Q,15,FALSE))),0,IF(ISERROR(VLOOKUP($C85,非生产人员工资!C:Q,15,FALSE)),VLOOKUP($C85,生产人员工资!C:N,12,FALSE),VLOOKUP($C85,非生产人员工资!C:Q,15,FALSE)))</f>
        <v>0.00</v>
      </c>
      <c r="P85" s="7" t="str">
        <f>IF(ISERROR(IF(ISERROR(VLOOKUP($C85,非生产人员工资!C:R,16,FALSE)),VLOOKUP($C85,生产人员工资!C:O,13,FALSE),VLOOKUP($C85,非生产人员工资!C:R,16,FALSE))),0,IF(ISERROR(VLOOKUP($C85,非生产人员工资!C:R,16,FALSE)),VLOOKUP($C85,生产人员工资!C:O,13,FALSE),VLOOKUP($C85,非生产人员工资!C:R,16,FALSE)))</f>
        <v>0.00</v>
      </c>
      <c r="Q85" s="7" t="str">
        <f>IF(ISERROR(IF(ISERROR(VLOOKUP($C85,非生产人员工资!C:S,17,FALSE)),VLOOKUP($C85,生产人员工资!C:P,14,FALSE),VLOOKUP($C85,非生产人员工资!C:S,17,FALSE))),0,IF(ISERROR(VLOOKUP($C85,非生产人员工资!C:S,17,FALSE)),VLOOKUP($C85,生产人员工资!C:P,14,FALSE),VLOOKUP($C85,非生产人员工资!C:S,17,FALSE)))</f>
        <v>0.00</v>
      </c>
      <c r="R85" s="7" t="str">
        <f>IF(ISERROR(IF(ISERROR(VLOOKUP($C85,非生产人员工资!C:T,18,FALSE)),VLOOKUP($C85,生产人员工资!C:Q,15,FALSE),VLOOKUP($C85,非生产人员工资!C:T,18,FALSE))),0,IF(ISERROR(VLOOKUP($C85,非生产人员工资!C:T,18,FALSE)),VLOOKUP($C85,生产人员工资!C:Q,15,FALSE),VLOOKUP($C85,非生产人员工资!C:T,18,FALSE)))</f>
        <v>0.00</v>
      </c>
      <c r="S85" s="7">
        <f>IF(ISERROR(VLOOKUP($C85,非生产人员工资!C:U,19,FALSE)),0,VLOOKUP($C85,非生产人员工资!C:U,19,FALSE))</f>
        <v>0</v>
      </c>
      <c r="T85" s="7" t="str">
        <f>IF(ISERROR(IF(ISERROR(VLOOKUP($C85,非生产人员工资!C:V,20,FALSE)),VLOOKUP($C85,生产人员工资!C:R,16,FALSE),VLOOKUP($C85,非生产人员工资!C:V,20,FALSE))),0,IF(ISERROR(VLOOKUP($C85,非生产人员工资!C:V,20,FALSE)),VLOOKUP($C85,生产人员工资!$C:$R,16,FALSE),VLOOKUP($C85,非生产人员工资!C:V,20,FALSE)))</f>
        <v>0.00</v>
      </c>
      <c r="U85" s="7" t="str">
        <f>IF(ISERROR(IF(ISERROR(VLOOKUP($C85,非生产人员工资!C:W,21,FALSE)),VLOOKUP($C85,生产人员工资!C:S,17,FALSE),VLOOKUP($C85,非生产人员工资!C:W,21,FALSE))),0,IF(ISERROR(VLOOKUP($C85,非生产人员工资!C:W,21,FALSE)),VLOOKUP($C85,生产人员工资!C:S,17,FALSE),VLOOKUP($C85,非生产人员工资!C:W,21,FALSE)))</f>
        <v>0.00</v>
      </c>
      <c r="V85" s="7" t="str">
        <f>IF(ISERROR(IF(ISERROR(VLOOKUP($C85,非生产人员工资!C:X,22,FALSE)),VLOOKUP($C85,生产人员工资!C:T,18,FALSE),VLOOKUP($C85,非生产人员工资!C:X,22,FALSE))),0,IF(ISERROR(VLOOKUP($C85,非生产人员工资!C:X,22,FALSE)),VLOOKUP($C85,生产人员工资!C:T,18,FALSE),VLOOKUP($C85,非生产人员工资!C:X,22,FALSE)))</f>
        <v>0.00</v>
      </c>
      <c r="W85" s="7">
        <f t="shared" si="5"/>
        <v>1724.34</v>
      </c>
      <c r="X85" s="7">
        <f>IF(ISERROR(IF(ISERROR(VLOOKUP($C85,非生产人员工资!C:Z,24,FALSE)),VLOOKUP($C85,生产人员工资!C:V,20,FALSE),VLOOKUP($C85,非生产人员工资!$C:$Z,24,FALSE))),0,IF(ISERROR(VLOOKUP($C85,非生产人员工资!$C:$Z,24,FALSE)),VLOOKUP($C85,生产人员工资!$C:$V,20,FALSE),VLOOKUP($C85,非生产人员工资!$C:$Z,24,FALSE)))</f>
        <v>226.9</v>
      </c>
      <c r="Y85" s="7">
        <f>IF(ISERROR(IF(ISERROR(VLOOKUP($C85,非生产人员工资!C:AA,25,FALSE)),VLOOKUP($C85,生产人员工资!C:W,21,FALSE),VLOOKUP($C85,非生产人员工资!C:AA,25,FALSE))),0,IF(ISERROR(VLOOKUP($C85,非生产人员工资!C:AA,25,FALSE)),VLOOKUP($C85,生产人员工资!C:W,21,FALSE),VLOOKUP($C85,非生产人员工资!C:AA,25,FALSE)))</f>
        <v>104.57</v>
      </c>
      <c r="Z85" s="7">
        <f>IF(ISERROR(IF(ISERROR(VLOOKUP($C85,非生产人员工资!C:AB,26,FALSE)),VLOOKUP($C85,生产人员工资!C:X,22,FALSE),VLOOKUP($C85,非生产人员工资!C:AB,26,FALSE))),0,IF(ISERROR(VLOOKUP($C85,非生产人员工资!C:AB,26,FALSE)),VLOOKUP($C85,生产人员工资!C:X,22,FALSE),VLOOKUP($C85,非生产人员工资!C:AB,26,FALSE)))</f>
        <v>8.51</v>
      </c>
      <c r="AA85" s="7">
        <f>IF(ISERROR(IF(ISERROR(VLOOKUP($C85,非生产人员工资!C:AC,27,FALSE)),VLOOKUP($C85,生产人员工资!C:Y,23,FALSE),VLOOKUP($C85,非生产人员工资!C:AC,27,FALSE))),0,IF(ISERROR(VLOOKUP($C85,非生产人员工资!C:AC,27,FALSE)),VLOOKUP($C85,生产人员工资!C:Y,23,FALSE),VLOOKUP($C85,非生产人员工资!C:AC,27,FALSE)))</f>
        <v>0</v>
      </c>
      <c r="AB85" s="7">
        <f>IF(ISERROR(IF(ISERROR(VLOOKUP($C85,非生产人员工资!C:AD,28,FALSE)),VLOOKUP($C85,生产人员工资!C:Z,24,FALSE),VLOOKUP($C85,非生产人员工资!C:AD,28,FALSE))),0,IF(ISERROR(VLOOKUP($C85,非生产人员工资!C:AD,28,FALSE)),VLOOKUP($C85,生产人员工资!C:Z,24,FALSE),VLOOKUP($C85,非生产人员工资!C:AD,28,FALSE)))</f>
        <v>261.84</v>
      </c>
      <c r="AC85" s="269">
        <f>ROUND(IF(ISERROR(IF(ISERROR(VLOOKUP($C85,非生产人员工资!C:AF,30,FALSE)),VLOOKUP($C85,生产人员工资!C:AB,26,0),VLOOKUP($C85,非生产人员工资!C:AF,30,FALSE))),0,IF(ISERROR(VLOOKUP($C85,非生产人员工资!C:AF,30,FALSE)),VLOOKUP($C85,生产人员工资!C:AB,26,0),VLOOKUP($C85,非生产人员工资!C:AF,30,FALSE))),2)</f>
        <v>0</v>
      </c>
      <c r="AD85" s="269">
        <f t="shared" si="4"/>
        <v>1122.52</v>
      </c>
      <c r="AE85" s="269" t="str">
        <f>VLOOKUP($C85,员工基本信息!$C:$N,10,FALSE)</f>
        <v>生产成本+组装</v>
      </c>
      <c r="AF85" s="265" t="str">
        <f>VLOOKUP($C85,员工基本信息!$C:$O,11,FALSE)</f>
        <v>直接成本</v>
      </c>
      <c r="AG85" s="265" t="str">
        <f>VLOOKUP($C85,员工基本信息!$C:$O,12,FALSE)</f>
        <v>组装车间</v>
      </c>
      <c r="AH85" s="265" t="str">
        <f>VLOOKUP($C85,员工基本信息!$C:$O,13,FALSE)</f>
        <v>生产人员</v>
      </c>
      <c r="AI85" s="249" t="str">
        <f>VLOOKUP($B85,员工基本信息!$B:$S,16,FALSE)</f>
        <v>6214220101207475477</v>
      </c>
      <c r="AJ85" s="249" t="str">
        <f>VLOOKUP($B85,员工基本信息!$B:$S,18,FALSE)</f>
        <v>沧州</v>
      </c>
      <c r="AK85" s="249" t="str">
        <f>VLOOKUP(C85,员工基本信息!$C:$M,11,0)</f>
        <v>直接成本</v>
      </c>
    </row>
    <row r="86" s="250" customFormat="1" customHeight="1" spans="1:37">
      <c r="A86" s="264">
        <v>83</v>
      </c>
      <c r="B86" s="6" t="str">
        <f>本月员工姓名!B84</f>
        <v>康淑玲</v>
      </c>
      <c r="C86" s="265" t="str">
        <f>VLOOKUP($B86,员工基本信息!$B:$I,2,FALSE)</f>
        <v>130983199101045022</v>
      </c>
      <c r="D86" s="266" t="str">
        <f>VLOOKUP($B86,员工基本信息!$B:$I,4,FALSE)</f>
        <v>制造管理部-组装车间</v>
      </c>
      <c r="E86" s="266" t="str">
        <f>VLOOKUP($B86,员工基本信息!$B:$I,5,FALSE)</f>
        <v>乘用车</v>
      </c>
      <c r="F86" s="267">
        <f>IF(ISERROR(VLOOKUP($C86,非生产人员工资!$C:$AD,6,FALSE)),0,VLOOKUP($C86,非生产人员工资!$C:$AD,6,FALSE))</f>
        <v>0</v>
      </c>
      <c r="G86" s="267">
        <f>IF(ISERROR(VLOOKUP($C86,非生产人员工资!C:J,8,0)),0,VLOOKUP($C86,非生产人员工资!C:J,8,FALSE))</f>
        <v>0</v>
      </c>
      <c r="H86" s="7">
        <f>IF(ISERROR(VLOOKUP($C86,非生产人员工资!C:K,9,FALSE)),0,VLOOKUP($C86,非生产人员工资!C:K,9,FALSE))</f>
        <v>0</v>
      </c>
      <c r="I86" s="7">
        <f>IF(ISERROR(VLOOKUP($C86,非生产人员工资!C:L,10,FALSE)),0,VLOOKUP($C86,非生产人员工资!C:L,10,FALSE))</f>
        <v>0</v>
      </c>
      <c r="J86" s="7">
        <f>IF(ISERROR(VLOOKUP($C86,生产人员工资!C:I,7,FALSE)),0,VLOOKUP($C86,生产人员工资!C:I,7,FALSE))</f>
        <v>2496</v>
      </c>
      <c r="K86" s="7">
        <f>IF(ISERROR(VLOOKUP($C86,生产人员工资!C:J,8,FALSE)),0,VLOOKUP($C86,生产人员工资!C:J,8,FALSE))</f>
        <v>329</v>
      </c>
      <c r="L86" s="7" t="str">
        <f>IF(ISERROR(IF(ISERROR(VLOOKUP($C86,非生产人员工资!C:N,12,FALSE)),VLOOKUP($C86,生产人员工资!C:K,9,FALSE),VLOOKUP($C86,非生产人员工资!C:N,12,FALSE))),0,IF(ISERROR(VLOOKUP($C86,非生产人员工资!C:N,12,FALSE)),VLOOKUP($C86,生产人员工资!C:K,9,FALSE),VLOOKUP($C86,非生产人员工资!C:N,12,FALSE)))</f>
        <v>0.00</v>
      </c>
      <c r="M86" s="7" t="str">
        <f>IF(ISERROR(IF(ISERROR(VLOOKUP($C86,非生产人员工资!$C:$O,13,FALSE)),VLOOKUP($C86,生产人员工资!$C:$L,10,FALSE),VLOOKUP($C86,非生产人员工资!$C:$O,13,FALSE))),0,IF(ISERROR(VLOOKUP($C86,非生产人员工资!$C:$O,13,FALSE)),VLOOKUP($C86,生产人员工资!$C:$L,10,FALSE),VLOOKUP($C86,非生产人员工资!$C:$O,13,FALSE)))</f>
        <v>0.00</v>
      </c>
      <c r="N86" s="7">
        <f>IF(ISERROR(IF(ISERROR(VLOOKUP($C86,非生产人员工资!$C:$P,14,FALSE)),VLOOKUP($C86,生产人员工资!$C:$M,11,FALSE),VLOOKUP($C86,非生产人员工资!$C:$P,14,FALSE))),0,IF(ISERROR(VLOOKUP($C86,非生产人员工资!$C:$P,14,FALSE)),VLOOKUP($C86,生产人员工资!$C:$M,11,FALSE),VLOOKUP($C86,非生产人员工资!$C:$P,14,FALSE)))</f>
        <v>20</v>
      </c>
      <c r="O86" s="7" t="str">
        <f>IF(ISERROR(IF(ISERROR(VLOOKUP($C86,非生产人员工资!C:Q,15,FALSE)),VLOOKUP($C86,生产人员工资!C:N,12,FALSE),VLOOKUP($C86,非生产人员工资!C:Q,15,FALSE))),0,IF(ISERROR(VLOOKUP($C86,非生产人员工资!C:Q,15,FALSE)),VLOOKUP($C86,生产人员工资!C:N,12,FALSE),VLOOKUP($C86,非生产人员工资!C:Q,15,FALSE)))</f>
        <v>0.00</v>
      </c>
      <c r="P86" s="7" t="str">
        <f>IF(ISERROR(IF(ISERROR(VLOOKUP($C86,非生产人员工资!C:R,16,FALSE)),VLOOKUP($C86,生产人员工资!C:O,13,FALSE),VLOOKUP($C86,非生产人员工资!C:R,16,FALSE))),0,IF(ISERROR(VLOOKUP($C86,非生产人员工资!C:R,16,FALSE)),VLOOKUP($C86,生产人员工资!C:O,13,FALSE),VLOOKUP($C86,非生产人员工资!C:R,16,FALSE)))</f>
        <v>0.00</v>
      </c>
      <c r="Q86" s="7" t="str">
        <f>IF(ISERROR(IF(ISERROR(VLOOKUP($C86,非生产人员工资!C:S,17,FALSE)),VLOOKUP($C86,生产人员工资!C:P,14,FALSE),VLOOKUP($C86,非生产人员工资!C:S,17,FALSE))),0,IF(ISERROR(VLOOKUP($C86,非生产人员工资!C:S,17,FALSE)),VLOOKUP($C86,生产人员工资!C:P,14,FALSE),VLOOKUP($C86,非生产人员工资!C:S,17,FALSE)))</f>
        <v>0.00</v>
      </c>
      <c r="R86" s="7" t="str">
        <f>IF(ISERROR(IF(ISERROR(VLOOKUP($C86,非生产人员工资!C:T,18,FALSE)),VLOOKUP($C86,生产人员工资!C:Q,15,FALSE),VLOOKUP($C86,非生产人员工资!C:T,18,FALSE))),0,IF(ISERROR(VLOOKUP($C86,非生产人员工资!C:T,18,FALSE)),VLOOKUP($C86,生产人员工资!C:Q,15,FALSE),VLOOKUP($C86,非生产人员工资!C:T,18,FALSE)))</f>
        <v>0.00</v>
      </c>
      <c r="S86" s="7">
        <f>IF(ISERROR(VLOOKUP($C86,非生产人员工资!C:U,19,FALSE)),0,VLOOKUP($C86,非生产人员工资!C:U,19,FALSE))</f>
        <v>0</v>
      </c>
      <c r="T86" s="7" t="str">
        <f>IF(ISERROR(IF(ISERROR(VLOOKUP($C86,非生产人员工资!C:V,20,FALSE)),VLOOKUP($C86,生产人员工资!C:R,16,FALSE),VLOOKUP($C86,非生产人员工资!C:V,20,FALSE))),0,IF(ISERROR(VLOOKUP($C86,非生产人员工资!C:V,20,FALSE)),VLOOKUP($C86,生产人员工资!$C:$R,16,FALSE),VLOOKUP($C86,非生产人员工资!C:V,20,FALSE)))</f>
        <v>0.00</v>
      </c>
      <c r="U86" s="7" t="str">
        <f>IF(ISERROR(IF(ISERROR(VLOOKUP($C86,非生产人员工资!C:W,21,FALSE)),VLOOKUP($C86,生产人员工资!C:S,17,FALSE),VLOOKUP($C86,非生产人员工资!C:W,21,FALSE))),0,IF(ISERROR(VLOOKUP($C86,非生产人员工资!C:W,21,FALSE)),VLOOKUP($C86,生产人员工资!C:S,17,FALSE),VLOOKUP($C86,非生产人员工资!C:W,21,FALSE)))</f>
        <v>0.00</v>
      </c>
      <c r="V86" s="7" t="str">
        <f>IF(ISERROR(IF(ISERROR(VLOOKUP($C86,非生产人员工资!C:X,22,FALSE)),VLOOKUP($C86,生产人员工资!C:T,18,FALSE),VLOOKUP($C86,非生产人员工资!C:X,22,FALSE))),0,IF(ISERROR(VLOOKUP($C86,非生产人员工资!C:X,22,FALSE)),VLOOKUP($C86,生产人员工资!C:T,18,FALSE),VLOOKUP($C86,非生产人员工资!C:X,22,FALSE)))</f>
        <v>0.00</v>
      </c>
      <c r="W86" s="7">
        <f t="shared" si="5"/>
        <v>2845</v>
      </c>
      <c r="X86" s="7">
        <f>IF(ISERROR(IF(ISERROR(VLOOKUP($C86,非生产人员工资!C:Z,24,FALSE)),VLOOKUP($C86,生产人员工资!C:V,20,FALSE),VLOOKUP($C86,非生产人员工资!$C:$Z,24,FALSE))),0,IF(ISERROR(VLOOKUP($C86,非生产人员工资!$C:$Z,24,FALSE)),VLOOKUP($C86,生产人员工资!$C:$V,20,FALSE),VLOOKUP($C86,非生产人员工资!$C:$Z,24,FALSE)))</f>
        <v>226.9</v>
      </c>
      <c r="Y86" s="7">
        <f>IF(ISERROR(IF(ISERROR(VLOOKUP($C86,非生产人员工资!C:AA,25,FALSE)),VLOOKUP($C86,生产人员工资!C:W,21,FALSE),VLOOKUP($C86,非生产人员工资!C:AA,25,FALSE))),0,IF(ISERROR(VLOOKUP($C86,非生产人员工资!C:AA,25,FALSE)),VLOOKUP($C86,生产人员工资!C:W,21,FALSE),VLOOKUP($C86,非生产人员工资!C:AA,25,FALSE)))</f>
        <v>104.57</v>
      </c>
      <c r="Z86" s="7">
        <f>IF(ISERROR(IF(ISERROR(VLOOKUP($C86,非生产人员工资!C:AB,26,FALSE)),VLOOKUP($C86,生产人员工资!C:X,22,FALSE),VLOOKUP($C86,非生产人员工资!C:AB,26,FALSE))),0,IF(ISERROR(VLOOKUP($C86,非生产人员工资!C:AB,26,FALSE)),VLOOKUP($C86,生产人员工资!C:X,22,FALSE),VLOOKUP($C86,非生产人员工资!C:AB,26,FALSE)))</f>
        <v>8.51</v>
      </c>
      <c r="AA86" s="7">
        <f>IF(ISERROR(IF(ISERROR(VLOOKUP($C86,非生产人员工资!C:AC,27,FALSE)),VLOOKUP($C86,生产人员工资!C:Y,23,FALSE),VLOOKUP($C86,非生产人员工资!C:AC,27,FALSE))),0,IF(ISERROR(VLOOKUP($C86,非生产人员工资!C:AC,27,FALSE)),VLOOKUP($C86,生产人员工资!C:Y,23,FALSE),VLOOKUP($C86,非生产人员工资!C:AC,27,FALSE)))</f>
        <v>89.5</v>
      </c>
      <c r="AB86" s="7">
        <f>IF(ISERROR(IF(ISERROR(VLOOKUP($C86,非生产人员工资!C:AD,28,FALSE)),VLOOKUP($C86,生产人员工资!C:Z,24,FALSE),VLOOKUP($C86,非生产人员工资!C:AD,28,FALSE))),0,IF(ISERROR(VLOOKUP($C86,非生产人员工资!C:AD,28,FALSE)),VLOOKUP($C86,生产人员工资!C:Z,24,FALSE),VLOOKUP($C86,非生产人员工资!C:AD,28,FALSE)))</f>
        <v>261.84</v>
      </c>
      <c r="AC86" s="269">
        <f>ROUND(IF(ISERROR(IF(ISERROR(VLOOKUP($C86,非生产人员工资!C:AF,30,FALSE)),VLOOKUP($C86,生产人员工资!C:AB,26,0),VLOOKUP($C86,非生产人员工资!C:AF,30,FALSE))),0,IF(ISERROR(VLOOKUP($C86,非生产人员工资!C:AF,30,FALSE)),VLOOKUP($C86,生产人员工资!C:AB,26,0),VLOOKUP($C86,非生产人员工资!C:AF,30,FALSE))),2)</f>
        <v>0</v>
      </c>
      <c r="AD86" s="269">
        <f t="shared" si="4"/>
        <v>2153.68</v>
      </c>
      <c r="AE86" s="269" t="str">
        <f>VLOOKUP($C86,员工基本信息!$C:$N,10,FALSE)</f>
        <v>生产成本+组装</v>
      </c>
      <c r="AF86" s="265" t="str">
        <f>VLOOKUP($C86,员工基本信息!$C:$O,11,FALSE)</f>
        <v>直接成本</v>
      </c>
      <c r="AG86" s="265" t="str">
        <f>VLOOKUP($C86,员工基本信息!$C:$O,12,FALSE)</f>
        <v>组装车间</v>
      </c>
      <c r="AH86" s="265" t="str">
        <f>VLOOKUP($C86,员工基本信息!$C:$O,13,FALSE)</f>
        <v>生产人员</v>
      </c>
      <c r="AI86" s="249" t="str">
        <f>VLOOKUP($B86,员工基本信息!$B:$S,16,FALSE)</f>
        <v>6214220101207603573</v>
      </c>
      <c r="AJ86" s="249" t="str">
        <f>VLOOKUP($B86,员工基本信息!$B:$S,18,FALSE)</f>
        <v>沧州</v>
      </c>
      <c r="AK86" s="249" t="str">
        <f>VLOOKUP(C86,员工基本信息!$C:$M,11,0)</f>
        <v>直接成本</v>
      </c>
    </row>
    <row r="87" s="250" customFormat="1" customHeight="1" spans="1:37">
      <c r="A87" s="264">
        <v>84</v>
      </c>
      <c r="B87" s="6" t="str">
        <f>本月员工姓名!B85</f>
        <v>邓竣译</v>
      </c>
      <c r="C87" s="265" t="str">
        <f>VLOOKUP($B87,员工基本信息!$B:$I,2,FALSE)</f>
        <v>130983200002201611</v>
      </c>
      <c r="D87" s="266" t="str">
        <f>VLOOKUP($B87,员工基本信息!$B:$I,4,FALSE)</f>
        <v>制造管理部-组装车间</v>
      </c>
      <c r="E87" s="266" t="str">
        <f>VLOOKUP($B87,员工基本信息!$B:$I,5,FALSE)</f>
        <v>组装工</v>
      </c>
      <c r="F87" s="267">
        <f>IF(ISERROR(VLOOKUP($C87,非生产人员工资!$C:$AD,6,FALSE)),0,VLOOKUP($C87,非生产人员工资!$C:$AD,6,FALSE))</f>
        <v>0</v>
      </c>
      <c r="G87" s="267">
        <f>IF(ISERROR(VLOOKUP($C87,非生产人员工资!C:J,8,0)),0,VLOOKUP($C87,非生产人员工资!C:J,8,FALSE))</f>
        <v>0</v>
      </c>
      <c r="H87" s="7">
        <f>IF(ISERROR(VLOOKUP($C87,非生产人员工资!C:K,9,FALSE)),0,VLOOKUP($C87,非生产人员工资!C:K,9,FALSE))</f>
        <v>0</v>
      </c>
      <c r="I87" s="7">
        <f>IF(ISERROR(VLOOKUP($C87,非生产人员工资!C:L,10,FALSE)),0,VLOOKUP($C87,非生产人员工资!C:L,10,FALSE))</f>
        <v>0</v>
      </c>
      <c r="J87" s="7">
        <f>IF(ISERROR(VLOOKUP($C87,生产人员工资!C:I,7,FALSE)),0,VLOOKUP($C87,生产人员工资!C:I,7,FALSE))</f>
        <v>1579.05</v>
      </c>
      <c r="K87" s="7">
        <f>IF(ISERROR(VLOOKUP($C87,生产人员工资!C:J,8,FALSE)),0,VLOOKUP($C87,生产人员工资!C:J,8,FALSE))</f>
        <v>244.035</v>
      </c>
      <c r="L87" s="7" t="str">
        <f>IF(ISERROR(IF(ISERROR(VLOOKUP($C87,非生产人员工资!C:N,12,FALSE)),VLOOKUP($C87,生产人员工资!C:K,9,FALSE),VLOOKUP($C87,非生产人员工资!C:N,12,FALSE))),0,IF(ISERROR(VLOOKUP($C87,非生产人员工资!C:N,12,FALSE)),VLOOKUP($C87,生产人员工资!C:K,9,FALSE),VLOOKUP($C87,非生产人员工资!C:N,12,FALSE)))</f>
        <v>0.00</v>
      </c>
      <c r="M87" s="7" t="str">
        <f>IF(ISERROR(IF(ISERROR(VLOOKUP($C87,非生产人员工资!$C:$O,13,FALSE)),VLOOKUP($C87,生产人员工资!$C:$L,10,FALSE),VLOOKUP($C87,非生产人员工资!$C:$O,13,FALSE))),0,IF(ISERROR(VLOOKUP($C87,非生产人员工资!$C:$O,13,FALSE)),VLOOKUP($C87,生产人员工资!$C:$L,10,FALSE),VLOOKUP($C87,非生产人员工资!$C:$O,13,FALSE)))</f>
        <v>0.00</v>
      </c>
      <c r="N87" s="7" t="str">
        <f>IF(ISERROR(IF(ISERROR(VLOOKUP($C87,非生产人员工资!$C:$P,14,FALSE)),VLOOKUP($C87,生产人员工资!$C:$M,11,FALSE),VLOOKUP($C87,非生产人员工资!$C:$P,14,FALSE))),0,IF(ISERROR(VLOOKUP($C87,非生产人员工资!$C:$P,14,FALSE)),VLOOKUP($C87,生产人员工资!$C:$M,11,FALSE),VLOOKUP($C87,非生产人员工资!$C:$P,14,FALSE)))</f>
        <v>0.00</v>
      </c>
      <c r="O87" s="7" t="str">
        <f>IF(ISERROR(IF(ISERROR(VLOOKUP($C87,非生产人员工资!C:Q,15,FALSE)),VLOOKUP($C87,生产人员工资!C:N,12,FALSE),VLOOKUP($C87,非生产人员工资!C:Q,15,FALSE))),0,IF(ISERROR(VLOOKUP($C87,非生产人员工资!C:Q,15,FALSE)),VLOOKUP($C87,生产人员工资!C:N,12,FALSE),VLOOKUP($C87,非生产人员工资!C:Q,15,FALSE)))</f>
        <v>0.00</v>
      </c>
      <c r="P87" s="7" t="str">
        <f>IF(ISERROR(IF(ISERROR(VLOOKUP($C87,非生产人员工资!C:R,16,FALSE)),VLOOKUP($C87,生产人员工资!C:O,13,FALSE),VLOOKUP($C87,非生产人员工资!C:R,16,FALSE))),0,IF(ISERROR(VLOOKUP($C87,非生产人员工资!C:R,16,FALSE)),VLOOKUP($C87,生产人员工资!C:O,13,FALSE),VLOOKUP($C87,非生产人员工资!C:R,16,FALSE)))</f>
        <v>0.00</v>
      </c>
      <c r="Q87" s="7" t="str">
        <f>IF(ISERROR(IF(ISERROR(VLOOKUP($C87,非生产人员工资!C:S,17,FALSE)),VLOOKUP($C87,生产人员工资!C:P,14,FALSE),VLOOKUP($C87,非生产人员工资!C:S,17,FALSE))),0,IF(ISERROR(VLOOKUP($C87,非生产人员工资!C:S,17,FALSE)),VLOOKUP($C87,生产人员工资!C:P,14,FALSE),VLOOKUP($C87,非生产人员工资!C:S,17,FALSE)))</f>
        <v>0.00</v>
      </c>
      <c r="R87" s="7" t="str">
        <f>IF(ISERROR(IF(ISERROR(VLOOKUP($C87,非生产人员工资!C:T,18,FALSE)),VLOOKUP($C87,生产人员工资!C:Q,15,FALSE),VLOOKUP($C87,非生产人员工资!C:T,18,FALSE))),0,IF(ISERROR(VLOOKUP($C87,非生产人员工资!C:T,18,FALSE)),VLOOKUP($C87,生产人员工资!C:Q,15,FALSE),VLOOKUP($C87,非生产人员工资!C:T,18,FALSE)))</f>
        <v>0.00</v>
      </c>
      <c r="S87" s="7">
        <f>IF(ISERROR(VLOOKUP($C87,非生产人员工资!C:U,19,FALSE)),0,VLOOKUP($C87,非生产人员工资!C:U,19,FALSE))</f>
        <v>0</v>
      </c>
      <c r="T87" s="7" t="str">
        <f>IF(ISERROR(IF(ISERROR(VLOOKUP($C87,非生产人员工资!C:V,20,FALSE)),VLOOKUP($C87,生产人员工资!C:R,16,FALSE),VLOOKUP($C87,非生产人员工资!C:V,20,FALSE))),0,IF(ISERROR(VLOOKUP($C87,非生产人员工资!C:V,20,FALSE)),VLOOKUP($C87,生产人员工资!$C:$R,16,FALSE),VLOOKUP($C87,非生产人员工资!C:V,20,FALSE)))</f>
        <v>0.00</v>
      </c>
      <c r="U87" s="7" t="str">
        <f>IF(ISERROR(IF(ISERROR(VLOOKUP($C87,非生产人员工资!C:W,21,FALSE)),VLOOKUP($C87,生产人员工资!C:S,17,FALSE),VLOOKUP($C87,非生产人员工资!C:W,21,FALSE))),0,IF(ISERROR(VLOOKUP($C87,非生产人员工资!C:W,21,FALSE)),VLOOKUP($C87,生产人员工资!C:S,17,FALSE),VLOOKUP($C87,非生产人员工资!C:W,21,FALSE)))</f>
        <v>0.00</v>
      </c>
      <c r="V87" s="7" t="str">
        <f>IF(ISERROR(IF(ISERROR(VLOOKUP($C87,非生产人员工资!C:X,22,FALSE)),VLOOKUP($C87,生产人员工资!C:T,18,FALSE),VLOOKUP($C87,非生产人员工资!C:X,22,FALSE))),0,IF(ISERROR(VLOOKUP($C87,非生产人员工资!C:X,22,FALSE)),VLOOKUP($C87,生产人员工资!C:T,18,FALSE),VLOOKUP($C87,非生产人员工资!C:X,22,FALSE)))</f>
        <v>0.00</v>
      </c>
      <c r="W87" s="7">
        <f t="shared" si="5"/>
        <v>1823.09</v>
      </c>
      <c r="X87" s="7">
        <f>IF(ISERROR(IF(ISERROR(VLOOKUP($C87,非生产人员工资!C:Z,24,FALSE)),VLOOKUP($C87,生产人员工资!C:V,20,FALSE),VLOOKUP($C87,非生产人员工资!$C:$Z,24,FALSE))),0,IF(ISERROR(VLOOKUP($C87,非生产人员工资!$C:$Z,24,FALSE)),VLOOKUP($C87,生产人员工资!$C:$V,20,FALSE),VLOOKUP($C87,非生产人员工资!$C:$Z,24,FALSE)))</f>
        <v>243.36</v>
      </c>
      <c r="Y87" s="7">
        <f>IF(ISERROR(IF(ISERROR(VLOOKUP($C87,非生产人员工资!C:AA,25,FALSE)),VLOOKUP($C87,生产人员工资!C:W,21,FALSE),VLOOKUP($C87,非生产人员工资!C:AA,25,FALSE))),0,IF(ISERROR(VLOOKUP($C87,非生产人员工资!C:AA,25,FALSE)),VLOOKUP($C87,生产人员工资!C:W,21,FALSE),VLOOKUP($C87,非生产人员工资!C:AA,25,FALSE)))</f>
        <v>104.57</v>
      </c>
      <c r="Z87" s="7">
        <f>IF(ISERROR(IF(ISERROR(VLOOKUP($C87,非生产人员工资!C:AB,26,FALSE)),VLOOKUP($C87,生产人员工资!C:X,22,FALSE),VLOOKUP($C87,非生产人员工资!C:AB,26,FALSE))),0,IF(ISERROR(VLOOKUP($C87,非生产人员工资!C:AB,26,FALSE)),VLOOKUP($C87,生产人员工资!C:X,22,FALSE),VLOOKUP($C87,非生产人员工资!C:AB,26,FALSE)))</f>
        <v>9.13</v>
      </c>
      <c r="AA87" s="7">
        <f>IF(ISERROR(IF(ISERROR(VLOOKUP($C87,非生产人员工资!C:AC,27,FALSE)),VLOOKUP($C87,生产人员工资!C:Y,23,FALSE),VLOOKUP($C87,非生产人员工资!C:AC,27,FALSE))),0,IF(ISERROR(VLOOKUP($C87,非生产人员工资!C:AC,27,FALSE)),VLOOKUP($C87,生产人员工资!C:Y,23,FALSE),VLOOKUP($C87,非生产人员工资!C:AC,27,FALSE)))</f>
        <v>0</v>
      </c>
      <c r="AB87" s="7">
        <f>IF(ISERROR(IF(ISERROR(VLOOKUP($C87,非生产人员工资!C:AD,28,FALSE)),VLOOKUP($C87,生产人员工资!C:Z,24,FALSE),VLOOKUP($C87,非生产人员工资!C:AD,28,FALSE))),0,IF(ISERROR(VLOOKUP($C87,非生产人员工资!C:AD,28,FALSE)),VLOOKUP($C87,生产人员工资!C:Z,24,FALSE),VLOOKUP($C87,非生产人员工资!C:AD,28,FALSE)))</f>
        <v>32.54</v>
      </c>
      <c r="AC87" s="269">
        <f>ROUND(IF(ISERROR(IF(ISERROR(VLOOKUP($C87,非生产人员工资!C:AF,30,FALSE)),VLOOKUP($C87,生产人员工资!C:AB,26,0),VLOOKUP($C87,非生产人员工资!C:AF,30,FALSE))),0,IF(ISERROR(VLOOKUP($C87,非生产人员工资!C:AF,30,FALSE)),VLOOKUP($C87,生产人员工资!C:AB,26,0),VLOOKUP($C87,非生产人员工资!C:AF,30,FALSE))),2)</f>
        <v>0</v>
      </c>
      <c r="AD87" s="269">
        <f t="shared" si="4"/>
        <v>1433.49</v>
      </c>
      <c r="AE87" s="269" t="str">
        <f>VLOOKUP($C87,员工基本信息!$C:$N,10,FALSE)</f>
        <v>生产成本+组装</v>
      </c>
      <c r="AF87" s="265" t="str">
        <f>VLOOKUP($C87,员工基本信息!$C:$O,11,FALSE)</f>
        <v>直接成本</v>
      </c>
      <c r="AG87" s="265" t="str">
        <f>VLOOKUP($C87,员工基本信息!$C:$O,12,FALSE)</f>
        <v>组装车间</v>
      </c>
      <c r="AH87" s="265" t="str">
        <f>VLOOKUP($C87,员工基本信息!$C:$O,13,FALSE)</f>
        <v>生产人员</v>
      </c>
      <c r="AI87" s="297" t="str">
        <f>VLOOKUP($B87,员工基本信息!$B:$S,16,FALSE)</f>
        <v>6214220101209303529</v>
      </c>
      <c r="AJ87" s="249" t="str">
        <f>VLOOKUP($B87,员工基本信息!$B:$S,18,FALSE)</f>
        <v>沧州</v>
      </c>
      <c r="AK87" s="249" t="str">
        <f>VLOOKUP(C87,员工基本信息!$C:$M,11,0)</f>
        <v>直接成本</v>
      </c>
    </row>
    <row r="88" s="250" customFormat="1" customHeight="1" spans="1:37">
      <c r="A88" s="264">
        <v>85</v>
      </c>
      <c r="B88" s="6" t="str">
        <f>本月员工姓名!B86</f>
        <v>李冲冲</v>
      </c>
      <c r="C88" s="265" t="str">
        <f>VLOOKUP($B88,员工基本信息!$B:$I,2,FALSE)</f>
        <v>13098319930310537X</v>
      </c>
      <c r="D88" s="266" t="str">
        <f>VLOOKUP($B88,员工基本信息!$B:$I,4,FALSE)</f>
        <v>制造管理部-组装车间</v>
      </c>
      <c r="E88" s="266" t="str">
        <f>VLOOKUP($B88,员工基本信息!$B:$I,5,FALSE)</f>
        <v>重卡线</v>
      </c>
      <c r="F88" s="267">
        <f>IF(ISERROR(VLOOKUP($C88,非生产人员工资!$C:$AD,6,FALSE)),0,VLOOKUP($C88,非生产人员工资!$C:$AD,6,FALSE))</f>
        <v>0</v>
      </c>
      <c r="G88" s="267">
        <f>IF(ISERROR(VLOOKUP($C88,非生产人员工资!C:J,8,0)),0,VLOOKUP($C88,非生产人员工资!C:J,8,FALSE))</f>
        <v>0</v>
      </c>
      <c r="H88" s="7">
        <f>IF(ISERROR(VLOOKUP($C88,非生产人员工资!C:K,9,FALSE)),0,VLOOKUP($C88,非生产人员工资!C:K,9,FALSE))</f>
        <v>0</v>
      </c>
      <c r="I88" s="7">
        <f>IF(ISERROR(VLOOKUP($C88,非生产人员工资!C:L,10,FALSE)),0,VLOOKUP($C88,非生产人员工资!C:L,10,FALSE))</f>
        <v>0</v>
      </c>
      <c r="J88" s="7">
        <f>IF(ISERROR(VLOOKUP($C88,生产人员工资!C:I,7,FALSE)),0,VLOOKUP($C88,生产人员工资!C:I,7,FALSE))</f>
        <v>1306.8</v>
      </c>
      <c r="K88" s="7">
        <f>IF(ISERROR(VLOOKUP($C88,生产人员工资!C:J,8,FALSE)),0,VLOOKUP($C88,生产人员工资!C:J,8,FALSE))</f>
        <v>201.96</v>
      </c>
      <c r="L88" s="7" t="str">
        <f>IF(ISERROR(IF(ISERROR(VLOOKUP($C88,非生产人员工资!C:N,12,FALSE)),VLOOKUP($C88,生产人员工资!C:K,9,FALSE),VLOOKUP($C88,非生产人员工资!C:N,12,FALSE))),0,IF(ISERROR(VLOOKUP($C88,非生产人员工资!C:N,12,FALSE)),VLOOKUP($C88,生产人员工资!C:K,9,FALSE),VLOOKUP($C88,非生产人员工资!C:N,12,FALSE)))</f>
        <v>0.00</v>
      </c>
      <c r="M88" s="7" t="str">
        <f>IF(ISERROR(IF(ISERROR(VLOOKUP($C88,非生产人员工资!$C:$O,13,FALSE)),VLOOKUP($C88,生产人员工资!$C:$L,10,FALSE),VLOOKUP($C88,非生产人员工资!$C:$O,13,FALSE))),0,IF(ISERROR(VLOOKUP($C88,非生产人员工资!$C:$O,13,FALSE)),VLOOKUP($C88,生产人员工资!$C:$L,10,FALSE),VLOOKUP($C88,非生产人员工资!$C:$O,13,FALSE)))</f>
        <v>0.00</v>
      </c>
      <c r="N88" s="7" t="str">
        <f>IF(ISERROR(IF(ISERROR(VLOOKUP($C88,非生产人员工资!$C:$P,14,FALSE)),VLOOKUP($C88,生产人员工资!$C:$M,11,FALSE),VLOOKUP($C88,非生产人员工资!$C:$P,14,FALSE))),0,IF(ISERROR(VLOOKUP($C88,非生产人员工资!$C:$P,14,FALSE)),VLOOKUP($C88,生产人员工资!$C:$M,11,FALSE),VLOOKUP($C88,非生产人员工资!$C:$P,14,FALSE)))</f>
        <v>0.00</v>
      </c>
      <c r="O88" s="7" t="str">
        <f>IF(ISERROR(IF(ISERROR(VLOOKUP($C88,非生产人员工资!C:Q,15,FALSE)),VLOOKUP($C88,生产人员工资!C:N,12,FALSE),VLOOKUP($C88,非生产人员工资!C:Q,15,FALSE))),0,IF(ISERROR(VLOOKUP($C88,非生产人员工资!C:Q,15,FALSE)),VLOOKUP($C88,生产人员工资!C:N,12,FALSE),VLOOKUP($C88,非生产人员工资!C:Q,15,FALSE)))</f>
        <v>0.00</v>
      </c>
      <c r="P88" s="7" t="str">
        <f>IF(ISERROR(IF(ISERROR(VLOOKUP($C88,非生产人员工资!C:R,16,FALSE)),VLOOKUP($C88,生产人员工资!C:O,13,FALSE),VLOOKUP($C88,非生产人员工资!C:R,16,FALSE))),0,IF(ISERROR(VLOOKUP($C88,非生产人员工资!C:R,16,FALSE)),VLOOKUP($C88,生产人员工资!C:O,13,FALSE),VLOOKUP($C88,非生产人员工资!C:R,16,FALSE)))</f>
        <v>0.00</v>
      </c>
      <c r="Q88" s="7" t="str">
        <f>IF(ISERROR(IF(ISERROR(VLOOKUP($C88,非生产人员工资!C:S,17,FALSE)),VLOOKUP($C88,生产人员工资!C:P,14,FALSE),VLOOKUP($C88,非生产人员工资!C:S,17,FALSE))),0,IF(ISERROR(VLOOKUP($C88,非生产人员工资!C:S,17,FALSE)),VLOOKUP($C88,生产人员工资!C:P,14,FALSE),VLOOKUP($C88,非生产人员工资!C:S,17,FALSE)))</f>
        <v>0.00</v>
      </c>
      <c r="R88" s="7" t="str">
        <f>IF(ISERROR(IF(ISERROR(VLOOKUP($C88,非生产人员工资!C:T,18,FALSE)),VLOOKUP($C88,生产人员工资!C:Q,15,FALSE),VLOOKUP($C88,非生产人员工资!C:T,18,FALSE))),0,IF(ISERROR(VLOOKUP($C88,非生产人员工资!C:T,18,FALSE)),VLOOKUP($C88,生产人员工资!C:Q,15,FALSE),VLOOKUP($C88,非生产人员工资!C:T,18,FALSE)))</f>
        <v>0.00</v>
      </c>
      <c r="S88" s="7">
        <f>IF(ISERROR(VLOOKUP($C88,非生产人员工资!C:U,19,FALSE)),0,VLOOKUP($C88,非生产人员工资!C:U,19,FALSE))</f>
        <v>0</v>
      </c>
      <c r="T88" s="7" t="str">
        <f>IF(ISERROR(IF(ISERROR(VLOOKUP($C88,非生产人员工资!C:V,20,FALSE)),VLOOKUP($C88,生产人员工资!C:R,16,FALSE),VLOOKUP($C88,非生产人员工资!C:V,20,FALSE))),0,IF(ISERROR(VLOOKUP($C88,非生产人员工资!C:V,20,FALSE)),VLOOKUP($C88,生产人员工资!$C:$R,16,FALSE),VLOOKUP($C88,非生产人员工资!C:V,20,FALSE)))</f>
        <v>0.00</v>
      </c>
      <c r="U88" s="7" t="str">
        <f>IF(ISERROR(IF(ISERROR(VLOOKUP($C88,非生产人员工资!C:W,21,FALSE)),VLOOKUP($C88,生产人员工资!C:S,17,FALSE),VLOOKUP($C88,非生产人员工资!C:W,21,FALSE))),0,IF(ISERROR(VLOOKUP($C88,非生产人员工资!C:W,21,FALSE)),VLOOKUP($C88,生产人员工资!C:S,17,FALSE),VLOOKUP($C88,非生产人员工资!C:W,21,FALSE)))</f>
        <v>0.00</v>
      </c>
      <c r="V88" s="7" t="str">
        <f>IF(ISERROR(IF(ISERROR(VLOOKUP($C88,非生产人员工资!C:X,22,FALSE)),VLOOKUP($C88,生产人员工资!C:T,18,FALSE),VLOOKUP($C88,非生产人员工资!C:X,22,FALSE))),0,IF(ISERROR(VLOOKUP($C88,非生产人员工资!C:X,22,FALSE)),VLOOKUP($C88,生产人员工资!C:T,18,FALSE),VLOOKUP($C88,非生产人员工资!C:X,22,FALSE)))</f>
        <v>0.00</v>
      </c>
      <c r="W88" s="7">
        <f t="shared" si="5"/>
        <v>1508.76</v>
      </c>
      <c r="X88" s="7">
        <f>IF(ISERROR(IF(ISERROR(VLOOKUP($C88,非生产人员工资!C:Z,24,FALSE)),VLOOKUP($C88,生产人员工资!C:V,20,FALSE),VLOOKUP($C88,非生产人员工资!$C:$Z,24,FALSE))),0,IF(ISERROR(VLOOKUP($C88,非生产人员工资!$C:$Z,24,FALSE)),VLOOKUP($C88,生产人员工资!$C:$V,20,FALSE),VLOOKUP($C88,非生产人员工资!$C:$Z,24,FALSE)))</f>
        <v>226.9</v>
      </c>
      <c r="Y88" s="7">
        <f>IF(ISERROR(IF(ISERROR(VLOOKUP($C88,非生产人员工资!C:AA,25,FALSE)),VLOOKUP($C88,生产人员工资!C:W,21,FALSE),VLOOKUP($C88,非生产人员工资!C:AA,25,FALSE))),0,IF(ISERROR(VLOOKUP($C88,非生产人员工资!C:AA,25,FALSE)),VLOOKUP($C88,生产人员工资!C:W,21,FALSE),VLOOKUP($C88,非生产人员工资!C:AA,25,FALSE)))</f>
        <v>104.57</v>
      </c>
      <c r="Z88" s="7">
        <f>IF(ISERROR(IF(ISERROR(VLOOKUP($C88,非生产人员工资!C:AB,26,FALSE)),VLOOKUP($C88,生产人员工资!C:X,22,FALSE),VLOOKUP($C88,非生产人员工资!C:AB,26,FALSE))),0,IF(ISERROR(VLOOKUP($C88,非生产人员工资!C:AB,26,FALSE)),VLOOKUP($C88,生产人员工资!C:X,22,FALSE),VLOOKUP($C88,非生产人员工资!C:AB,26,FALSE)))</f>
        <v>8.51</v>
      </c>
      <c r="AA88" s="7">
        <f>IF(ISERROR(IF(ISERROR(VLOOKUP($C88,非生产人员工资!C:AC,27,FALSE)),VLOOKUP($C88,生产人员工资!C:Y,23,FALSE),VLOOKUP($C88,非生产人员工资!C:AC,27,FALSE))),0,IF(ISERROR(VLOOKUP($C88,非生产人员工资!C:AC,27,FALSE)),VLOOKUP($C88,生产人员工资!C:Y,23,FALSE),VLOOKUP($C88,非生产人员工资!C:AC,27,FALSE)))</f>
        <v>89.5</v>
      </c>
      <c r="AB88" s="7">
        <f>IF(ISERROR(IF(ISERROR(VLOOKUP($C88,非生产人员工资!C:AD,28,FALSE)),VLOOKUP($C88,生产人员工资!C:Z,24,FALSE),VLOOKUP($C88,非生产人员工资!C:AD,28,FALSE))),0,IF(ISERROR(VLOOKUP($C88,非生产人员工资!C:AD,28,FALSE)),VLOOKUP($C88,生产人员工资!C:Z,24,FALSE),VLOOKUP($C88,非生产人员工资!C:AD,28,FALSE)))</f>
        <v>261.84</v>
      </c>
      <c r="AC88" s="269">
        <f>ROUND(IF(ISERROR(IF(ISERROR(VLOOKUP($C88,非生产人员工资!C:AF,30,FALSE)),VLOOKUP($C88,生产人员工资!C:AB,26,0),VLOOKUP($C88,非生产人员工资!C:AF,30,FALSE))),0,IF(ISERROR(VLOOKUP($C88,非生产人员工资!C:AF,30,FALSE)),VLOOKUP($C88,生产人员工资!C:AB,26,0),VLOOKUP($C88,非生产人员工资!C:AF,30,FALSE))),2)</f>
        <v>0</v>
      </c>
      <c r="AD88" s="269">
        <f t="shared" si="4"/>
        <v>817.44</v>
      </c>
      <c r="AE88" s="269" t="str">
        <f>VLOOKUP($C88,员工基本信息!$C:$N,10,FALSE)</f>
        <v>生产成本+组装</v>
      </c>
      <c r="AF88" s="265" t="str">
        <f>VLOOKUP($C88,员工基本信息!$C:$O,11,FALSE)</f>
        <v>直接成本</v>
      </c>
      <c r="AG88" s="265" t="str">
        <f>VLOOKUP($C88,员工基本信息!$C:$O,12,FALSE)</f>
        <v>组装车间</v>
      </c>
      <c r="AH88" s="265" t="str">
        <f>VLOOKUP($C88,员工基本信息!$C:$O,13,FALSE)</f>
        <v>生产人员</v>
      </c>
      <c r="AI88" s="249" t="str">
        <f>VLOOKUP($B88,员工基本信息!$B:$S,16,FALSE)</f>
        <v>6214220101208176801</v>
      </c>
      <c r="AJ88" s="249" t="str">
        <f>VLOOKUP($B88,员工基本信息!$B:$S,18,FALSE)</f>
        <v>沧州</v>
      </c>
      <c r="AK88" s="249" t="str">
        <f>VLOOKUP(C88,员工基本信息!$C:$M,11,0)</f>
        <v>直接成本</v>
      </c>
    </row>
  </sheetData>
  <autoFilter ref="A1:XFD88">
    <extLst/>
  </autoFilter>
  <sortState ref="A4:AK93">
    <sortCondition ref="A4:A93"/>
  </sortState>
  <pageMargins left="0.75" right="0.75" top="1" bottom="1" header="0.511805555555556" footer="0.511805555555556"/>
  <pageSetup paperSize="9" orientation="portrait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40"/>
  <sheetViews>
    <sheetView zoomScale="89" zoomScaleNormal="89" workbookViewId="0">
      <pane ySplit="2" topLeftCell="A3" activePane="bottomLeft" state="frozen"/>
      <selection/>
      <selection pane="bottomLeft" activeCell="E7" sqref="E7"/>
    </sheetView>
  </sheetViews>
  <sheetFormatPr defaultColWidth="9" defaultRowHeight="14.25"/>
  <cols>
    <col min="1" max="1" width="4.875" style="207" customWidth="1"/>
    <col min="2" max="2" width="7.5" style="207" customWidth="1"/>
    <col min="3" max="3" width="17.875" style="207" customWidth="1"/>
    <col min="4" max="4" width="17.625" style="208" customWidth="1"/>
    <col min="5" max="6" width="8.5" style="207" customWidth="1"/>
    <col min="7" max="7" width="8.5" style="209" customWidth="1"/>
    <col min="8" max="8" width="8.625" style="210" customWidth="1"/>
    <col min="9" max="9" width="10.375" style="207" customWidth="1"/>
    <col min="10" max="10" width="9.5" style="207" customWidth="1"/>
    <col min="11" max="12" width="10.375" style="207" customWidth="1"/>
    <col min="13" max="13" width="11.5" style="207" customWidth="1"/>
    <col min="14" max="14" width="9.375" style="211" customWidth="1"/>
    <col min="15" max="15" width="8.375" style="211" customWidth="1"/>
    <col min="16" max="16" width="9.375" style="211" customWidth="1"/>
    <col min="17" max="17" width="8.375" style="211" customWidth="1"/>
    <col min="18" max="19" width="9.375" style="207" customWidth="1"/>
    <col min="20" max="20" width="8.375" style="207" customWidth="1"/>
    <col min="21" max="21" width="9.375" style="207" customWidth="1"/>
    <col min="22" max="24" width="7.625" style="212" customWidth="1"/>
    <col min="25" max="25" width="11.5" style="207" customWidth="1"/>
    <col min="26" max="27" width="9.375" style="207" customWidth="1"/>
    <col min="28" max="28" width="8.375" style="207" customWidth="1"/>
    <col min="29" max="29" width="9.375" style="207" customWidth="1"/>
    <col min="30" max="30" width="10.375" style="207" customWidth="1"/>
    <col min="31" max="31" width="7.5" style="207" customWidth="1"/>
    <col min="32" max="32" width="9.40833333333333" style="207" customWidth="1"/>
    <col min="33" max="33" width="11.375" style="207" customWidth="1"/>
    <col min="34" max="34" width="7.875" style="213" customWidth="1"/>
    <col min="35" max="35" width="9.875" style="213" customWidth="1"/>
    <col min="36" max="16384" width="9" style="207"/>
  </cols>
  <sheetData>
    <row r="1" s="205" customFormat="1" ht="24" spans="1:35">
      <c r="A1" s="201" t="s">
        <v>14</v>
      </c>
      <c r="B1" s="201" t="s">
        <v>4</v>
      </c>
      <c r="C1" s="201" t="s">
        <v>15</v>
      </c>
      <c r="D1" s="201" t="s">
        <v>16</v>
      </c>
      <c r="E1" s="201" t="s">
        <v>54</v>
      </c>
      <c r="F1" s="201" t="s">
        <v>55</v>
      </c>
      <c r="G1" s="214" t="s">
        <v>56</v>
      </c>
      <c r="H1" s="215" t="s">
        <v>57</v>
      </c>
      <c r="I1" s="201" t="s">
        <v>18</v>
      </c>
      <c r="J1" s="201" t="s">
        <v>19</v>
      </c>
      <c r="K1" s="201" t="s">
        <v>20</v>
      </c>
      <c r="L1" s="201" t="s">
        <v>21</v>
      </c>
      <c r="M1" s="201" t="s">
        <v>58</v>
      </c>
      <c r="N1" s="225" t="s">
        <v>24</v>
      </c>
      <c r="O1" s="225" t="s">
        <v>25</v>
      </c>
      <c r="P1" s="225" t="s">
        <v>26</v>
      </c>
      <c r="Q1" s="225" t="s">
        <v>27</v>
      </c>
      <c r="R1" s="234" t="s">
        <v>28</v>
      </c>
      <c r="S1" s="234" t="s">
        <v>29</v>
      </c>
      <c r="T1" s="234" t="s">
        <v>30</v>
      </c>
      <c r="U1" s="234" t="s">
        <v>31</v>
      </c>
      <c r="V1" s="225" t="s">
        <v>32</v>
      </c>
      <c r="W1" s="225" t="s">
        <v>59</v>
      </c>
      <c r="X1" s="225" t="s">
        <v>60</v>
      </c>
      <c r="Y1" s="234" t="s">
        <v>35</v>
      </c>
      <c r="Z1" s="234" t="s">
        <v>36</v>
      </c>
      <c r="AA1" s="240" t="s">
        <v>37</v>
      </c>
      <c r="AB1" s="234" t="s">
        <v>38</v>
      </c>
      <c r="AC1" s="234" t="s">
        <v>39</v>
      </c>
      <c r="AD1" s="240" t="s">
        <v>61</v>
      </c>
      <c r="AE1" s="234" t="s">
        <v>62</v>
      </c>
      <c r="AF1" s="234" t="s">
        <v>41</v>
      </c>
      <c r="AG1" s="234" t="s">
        <v>42</v>
      </c>
      <c r="AH1" s="244" t="s">
        <v>7</v>
      </c>
      <c r="AI1" s="205" t="s">
        <v>63</v>
      </c>
    </row>
    <row r="2" s="206" customFormat="1" ht="26" customHeight="1" spans="1:35">
      <c r="A2" s="120">
        <v>1</v>
      </c>
      <c r="B2" s="120" t="s">
        <v>64</v>
      </c>
      <c r="C2" s="299" t="s">
        <v>65</v>
      </c>
      <c r="D2" s="217" t="s">
        <v>66</v>
      </c>
      <c r="E2" s="218">
        <v>35.8</v>
      </c>
      <c r="F2" s="120">
        <v>286.5</v>
      </c>
      <c r="G2" s="218">
        <v>176</v>
      </c>
      <c r="H2" s="219">
        <v>126</v>
      </c>
      <c r="I2" s="226">
        <v>2050</v>
      </c>
      <c r="J2" s="226">
        <v>2279.74137931034</v>
      </c>
      <c r="K2" s="227">
        <v>695</v>
      </c>
      <c r="L2" s="227">
        <v>305</v>
      </c>
      <c r="M2" s="227">
        <v>5329.74137931034</v>
      </c>
      <c r="N2" s="228" t="s">
        <v>67</v>
      </c>
      <c r="O2" s="228" t="s">
        <v>67</v>
      </c>
      <c r="P2" s="229" t="s">
        <v>67</v>
      </c>
      <c r="Q2" s="228">
        <v>500</v>
      </c>
      <c r="R2" s="229">
        <v>300</v>
      </c>
      <c r="S2" s="228" t="s">
        <v>67</v>
      </c>
      <c r="T2" s="229" t="s">
        <v>67</v>
      </c>
      <c r="U2" s="235">
        <v>0</v>
      </c>
      <c r="V2" s="226" t="s">
        <v>67</v>
      </c>
      <c r="W2" s="226" t="s">
        <v>68</v>
      </c>
      <c r="X2" s="236" t="s">
        <v>67</v>
      </c>
      <c r="Y2" s="241">
        <v>6129.74</v>
      </c>
      <c r="Z2" s="242">
        <v>428.8</v>
      </c>
      <c r="AA2" s="242">
        <v>110.2</v>
      </c>
      <c r="AB2" s="242">
        <v>26.8</v>
      </c>
      <c r="AC2" s="242">
        <v>324</v>
      </c>
      <c r="AD2" s="241">
        <v>0</v>
      </c>
      <c r="AE2" s="235">
        <v>889.8</v>
      </c>
      <c r="AF2" s="241">
        <v>0</v>
      </c>
      <c r="AG2" s="241">
        <v>5239.94</v>
      </c>
      <c r="AH2" s="245"/>
      <c r="AI2" s="246" t="s">
        <v>69</v>
      </c>
    </row>
    <row r="3" s="206" customFormat="1" ht="26" customHeight="1" spans="1:35">
      <c r="A3" s="120">
        <v>2</v>
      </c>
      <c r="B3" s="120" t="s">
        <v>70</v>
      </c>
      <c r="C3" s="216" t="s">
        <v>71</v>
      </c>
      <c r="D3" s="217" t="s">
        <v>72</v>
      </c>
      <c r="E3" s="218">
        <v>24.5</v>
      </c>
      <c r="F3" s="120">
        <v>196</v>
      </c>
      <c r="G3" s="218">
        <v>192</v>
      </c>
      <c r="H3" s="219">
        <v>0</v>
      </c>
      <c r="I3" s="226">
        <v>1790</v>
      </c>
      <c r="J3" s="226">
        <v>0</v>
      </c>
      <c r="K3" s="227">
        <v>2530</v>
      </c>
      <c r="L3" s="227">
        <v>480</v>
      </c>
      <c r="M3" s="227">
        <v>4800</v>
      </c>
      <c r="N3" s="228">
        <v>-48</v>
      </c>
      <c r="O3" s="228">
        <v>115</v>
      </c>
      <c r="P3" s="229" t="s">
        <v>67</v>
      </c>
      <c r="Q3" s="228" t="s">
        <v>67</v>
      </c>
      <c r="R3" s="229">
        <v>170</v>
      </c>
      <c r="S3" s="228" t="s">
        <v>67</v>
      </c>
      <c r="T3" s="229" t="s">
        <v>67</v>
      </c>
      <c r="U3" s="235">
        <v>-96</v>
      </c>
      <c r="V3" s="226" t="s">
        <v>67</v>
      </c>
      <c r="W3" s="226" t="s">
        <v>68</v>
      </c>
      <c r="X3" s="236" t="s">
        <v>67</v>
      </c>
      <c r="Y3" s="241">
        <v>4941</v>
      </c>
      <c r="Z3" s="242">
        <v>226.9</v>
      </c>
      <c r="AA3" s="236">
        <v>104.57</v>
      </c>
      <c r="AB3" s="242">
        <v>8.51</v>
      </c>
      <c r="AC3" s="242">
        <v>159</v>
      </c>
      <c r="AD3" s="241">
        <v>261.84</v>
      </c>
      <c r="AE3" s="235">
        <v>760.82</v>
      </c>
      <c r="AF3" s="241">
        <v>0</v>
      </c>
      <c r="AG3" s="241">
        <v>4180.18</v>
      </c>
      <c r="AH3" s="245"/>
      <c r="AI3" s="246" t="s">
        <v>69</v>
      </c>
    </row>
    <row r="4" s="206" customFormat="1" ht="26" customHeight="1" spans="1:35">
      <c r="A4" s="120">
        <v>3</v>
      </c>
      <c r="B4" s="121" t="s">
        <v>73</v>
      </c>
      <c r="C4" s="121" t="s">
        <v>74</v>
      </c>
      <c r="D4" s="217" t="s">
        <v>75</v>
      </c>
      <c r="E4" s="218">
        <v>19</v>
      </c>
      <c r="F4" s="120">
        <v>152</v>
      </c>
      <c r="G4" s="218">
        <v>176</v>
      </c>
      <c r="H4" s="219">
        <v>0</v>
      </c>
      <c r="I4" s="226">
        <v>1790</v>
      </c>
      <c r="J4" s="227">
        <v>0</v>
      </c>
      <c r="K4" s="227">
        <v>1450</v>
      </c>
      <c r="L4" s="227">
        <v>360</v>
      </c>
      <c r="M4" s="227">
        <v>3600</v>
      </c>
      <c r="N4" s="228" t="s">
        <v>67</v>
      </c>
      <c r="O4" s="228" t="s">
        <v>67</v>
      </c>
      <c r="P4" s="229" t="s">
        <v>67</v>
      </c>
      <c r="Q4" s="228" t="s">
        <v>67</v>
      </c>
      <c r="R4" s="229" t="s">
        <v>67</v>
      </c>
      <c r="S4" s="228" t="s">
        <v>67</v>
      </c>
      <c r="T4" s="229" t="s">
        <v>67</v>
      </c>
      <c r="U4" s="235">
        <v>0</v>
      </c>
      <c r="V4" s="226" t="s">
        <v>67</v>
      </c>
      <c r="W4" s="226" t="s">
        <v>68</v>
      </c>
      <c r="X4" s="236" t="s">
        <v>67</v>
      </c>
      <c r="Y4" s="241">
        <v>3600</v>
      </c>
      <c r="Z4" s="242">
        <v>243.36</v>
      </c>
      <c r="AA4" s="242">
        <v>104.57</v>
      </c>
      <c r="AB4" s="242">
        <v>9.13</v>
      </c>
      <c r="AC4" s="242">
        <v>0</v>
      </c>
      <c r="AD4" s="241">
        <v>0</v>
      </c>
      <c r="AE4" s="235">
        <v>357.06</v>
      </c>
      <c r="AF4" s="241">
        <v>0</v>
      </c>
      <c r="AG4" s="241">
        <v>3242.94</v>
      </c>
      <c r="AH4" s="245"/>
      <c r="AI4" s="246" t="s">
        <v>69</v>
      </c>
    </row>
    <row r="5" s="206" customFormat="1" ht="26" customHeight="1" spans="1:35">
      <c r="A5" s="120">
        <v>4</v>
      </c>
      <c r="B5" s="120" t="s">
        <v>76</v>
      </c>
      <c r="C5" s="300" t="s">
        <v>77</v>
      </c>
      <c r="D5" s="217" t="s">
        <v>78</v>
      </c>
      <c r="E5" s="218">
        <v>20</v>
      </c>
      <c r="F5" s="120">
        <v>237</v>
      </c>
      <c r="G5" s="218">
        <v>176</v>
      </c>
      <c r="H5" s="219">
        <v>61</v>
      </c>
      <c r="I5" s="226">
        <v>1790</v>
      </c>
      <c r="J5" s="227">
        <v>1255.05747126437</v>
      </c>
      <c r="K5" s="227">
        <v>509.942528735632</v>
      </c>
      <c r="L5" s="227">
        <v>1500</v>
      </c>
      <c r="M5" s="129">
        <v>5055</v>
      </c>
      <c r="N5" s="228">
        <v>1350</v>
      </c>
      <c r="O5" s="228" t="s">
        <v>67</v>
      </c>
      <c r="P5" s="229">
        <v>60</v>
      </c>
      <c r="Q5" s="228" t="s">
        <v>67</v>
      </c>
      <c r="R5" s="229" t="s">
        <v>67</v>
      </c>
      <c r="S5" s="228" t="s">
        <v>67</v>
      </c>
      <c r="T5" s="229" t="s">
        <v>67</v>
      </c>
      <c r="U5" s="235">
        <v>0</v>
      </c>
      <c r="V5" s="226">
        <v>-200</v>
      </c>
      <c r="W5" s="226" t="s">
        <v>68</v>
      </c>
      <c r="X5" s="236">
        <v>-30</v>
      </c>
      <c r="Y5" s="241">
        <v>6235</v>
      </c>
      <c r="Z5" s="242">
        <v>226.9</v>
      </c>
      <c r="AA5" s="242">
        <v>104.57</v>
      </c>
      <c r="AB5" s="242">
        <v>8.51</v>
      </c>
      <c r="AC5" s="242">
        <v>159</v>
      </c>
      <c r="AD5" s="241">
        <v>261.84</v>
      </c>
      <c r="AE5" s="235">
        <v>760.82</v>
      </c>
      <c r="AF5" s="241">
        <v>0</v>
      </c>
      <c r="AG5" s="241">
        <v>5474.18</v>
      </c>
      <c r="AH5" s="245"/>
      <c r="AI5" s="246" t="s">
        <v>69</v>
      </c>
    </row>
    <row r="6" s="207" customFormat="1" ht="26" customHeight="1" spans="1:35">
      <c r="A6" s="119">
        <v>5</v>
      </c>
      <c r="B6" s="119" t="s">
        <v>79</v>
      </c>
      <c r="C6" s="119" t="s">
        <v>80</v>
      </c>
      <c r="D6" s="158" t="s">
        <v>81</v>
      </c>
      <c r="E6" s="220">
        <v>22</v>
      </c>
      <c r="F6" s="119">
        <v>200.5</v>
      </c>
      <c r="G6" s="220">
        <v>168</v>
      </c>
      <c r="H6" s="221">
        <v>32.5</v>
      </c>
      <c r="I6" s="224">
        <v>1790</v>
      </c>
      <c r="J6" s="224">
        <v>364</v>
      </c>
      <c r="K6" s="230">
        <v>0</v>
      </c>
      <c r="L6" s="230">
        <v>552.75</v>
      </c>
      <c r="M6" s="230">
        <v>2706.75</v>
      </c>
      <c r="N6" s="231" t="s">
        <v>67</v>
      </c>
      <c r="O6" s="231" t="s">
        <v>67</v>
      </c>
      <c r="P6" s="199">
        <v>160</v>
      </c>
      <c r="Q6" s="231" t="s">
        <v>67</v>
      </c>
      <c r="R6" s="199" t="s">
        <v>67</v>
      </c>
      <c r="S6" s="231" t="s">
        <v>67</v>
      </c>
      <c r="T6" s="199" t="s">
        <v>67</v>
      </c>
      <c r="U6" s="237">
        <v>0</v>
      </c>
      <c r="V6" s="224" t="s">
        <v>67</v>
      </c>
      <c r="W6" s="224" t="s">
        <v>68</v>
      </c>
      <c r="X6" s="233" t="s">
        <v>67</v>
      </c>
      <c r="Y6" s="243">
        <v>2866.75</v>
      </c>
      <c r="Z6" s="238">
        <v>226.9</v>
      </c>
      <c r="AA6" s="238">
        <v>104.57</v>
      </c>
      <c r="AB6" s="238">
        <v>8.51</v>
      </c>
      <c r="AC6" s="238">
        <v>89.5</v>
      </c>
      <c r="AD6" s="243">
        <v>261.84</v>
      </c>
      <c r="AE6" s="237">
        <v>691.32</v>
      </c>
      <c r="AF6" s="243">
        <v>0</v>
      </c>
      <c r="AG6" s="243">
        <v>2175.43</v>
      </c>
      <c r="AH6" s="247"/>
      <c r="AI6" s="213" t="s">
        <v>69</v>
      </c>
    </row>
    <row r="7" s="207" customFormat="1" ht="26" customHeight="1" spans="1:35">
      <c r="A7" s="119">
        <v>6</v>
      </c>
      <c r="B7" s="119" t="s">
        <v>82</v>
      </c>
      <c r="C7" s="119" t="s">
        <v>83</v>
      </c>
      <c r="D7" s="158" t="s">
        <v>84</v>
      </c>
      <c r="E7" s="220">
        <v>14.5</v>
      </c>
      <c r="F7" s="119">
        <v>116</v>
      </c>
      <c r="G7" s="220">
        <v>176</v>
      </c>
      <c r="H7" s="221">
        <v>0</v>
      </c>
      <c r="I7" s="224">
        <v>1790</v>
      </c>
      <c r="J7" s="224">
        <v>0</v>
      </c>
      <c r="K7" s="230">
        <v>2980</v>
      </c>
      <c r="L7" s="230">
        <v>530</v>
      </c>
      <c r="M7" s="230">
        <v>5300</v>
      </c>
      <c r="N7" s="231">
        <v>0</v>
      </c>
      <c r="O7" s="231" t="s">
        <v>67</v>
      </c>
      <c r="P7" s="199" t="s">
        <v>67</v>
      </c>
      <c r="Q7" s="231" t="s">
        <v>67</v>
      </c>
      <c r="R7" s="199" t="s">
        <v>67</v>
      </c>
      <c r="S7" s="231" t="s">
        <v>67</v>
      </c>
      <c r="T7" s="199" t="s">
        <v>67</v>
      </c>
      <c r="U7" s="237">
        <v>-779.411764705882</v>
      </c>
      <c r="V7" s="224" t="s">
        <v>67</v>
      </c>
      <c r="W7" s="224" t="s">
        <v>68</v>
      </c>
      <c r="X7" s="233" t="s">
        <v>67</v>
      </c>
      <c r="Y7" s="243">
        <v>4520.59</v>
      </c>
      <c r="Z7" s="238">
        <v>243.36</v>
      </c>
      <c r="AA7" s="238">
        <v>104.57</v>
      </c>
      <c r="AB7" s="238">
        <v>9.13</v>
      </c>
      <c r="AC7" s="238">
        <v>159</v>
      </c>
      <c r="AD7" s="243">
        <v>130.16</v>
      </c>
      <c r="AE7" s="237">
        <v>646.22</v>
      </c>
      <c r="AF7" s="243">
        <v>0</v>
      </c>
      <c r="AG7" s="243">
        <v>3874.37</v>
      </c>
      <c r="AH7" s="247"/>
      <c r="AI7" s="213" t="s">
        <v>69</v>
      </c>
    </row>
    <row r="8" s="207" customFormat="1" ht="26" customHeight="1" spans="1:35">
      <c r="A8" s="119">
        <v>7</v>
      </c>
      <c r="B8" s="119" t="s">
        <v>85</v>
      </c>
      <c r="C8" s="119" t="s">
        <v>86</v>
      </c>
      <c r="D8" s="158" t="s">
        <v>75</v>
      </c>
      <c r="E8" s="220">
        <v>21.5</v>
      </c>
      <c r="F8" s="119">
        <v>172</v>
      </c>
      <c r="G8" s="220">
        <v>176</v>
      </c>
      <c r="H8" s="221">
        <v>0</v>
      </c>
      <c r="I8" s="224">
        <v>1790</v>
      </c>
      <c r="J8" s="224">
        <v>0</v>
      </c>
      <c r="K8" s="230">
        <v>3160</v>
      </c>
      <c r="L8" s="230">
        <v>550</v>
      </c>
      <c r="M8" s="230">
        <v>5500</v>
      </c>
      <c r="N8" s="231">
        <v>0</v>
      </c>
      <c r="O8" s="231" t="s">
        <v>67</v>
      </c>
      <c r="P8" s="199">
        <v>140</v>
      </c>
      <c r="Q8" s="231" t="s">
        <v>67</v>
      </c>
      <c r="R8" s="199" t="s">
        <v>67</v>
      </c>
      <c r="S8" s="231" t="s">
        <v>67</v>
      </c>
      <c r="T8" s="199" t="s">
        <v>67</v>
      </c>
      <c r="U8" s="237">
        <v>0</v>
      </c>
      <c r="V8" s="224" t="s">
        <v>67</v>
      </c>
      <c r="W8" s="224" t="s">
        <v>68</v>
      </c>
      <c r="X8" s="233" t="s">
        <v>67</v>
      </c>
      <c r="Y8" s="243">
        <v>5640</v>
      </c>
      <c r="Z8" s="238">
        <v>226.9</v>
      </c>
      <c r="AA8" s="238">
        <v>104.57</v>
      </c>
      <c r="AB8" s="238">
        <v>8.51</v>
      </c>
      <c r="AC8" s="238">
        <v>159</v>
      </c>
      <c r="AD8" s="243">
        <v>261.84</v>
      </c>
      <c r="AE8" s="237">
        <v>760.82</v>
      </c>
      <c r="AF8" s="243">
        <v>0</v>
      </c>
      <c r="AG8" s="243">
        <v>4879.18</v>
      </c>
      <c r="AH8" s="247"/>
      <c r="AI8" s="213" t="s">
        <v>69</v>
      </c>
    </row>
    <row r="9" s="207" customFormat="1" ht="26" customHeight="1" spans="1:35">
      <c r="A9" s="119">
        <v>8</v>
      </c>
      <c r="B9" s="119" t="s">
        <v>87</v>
      </c>
      <c r="C9" s="222" t="s">
        <v>88</v>
      </c>
      <c r="D9" s="158" t="s">
        <v>75</v>
      </c>
      <c r="E9" s="220">
        <v>20</v>
      </c>
      <c r="F9" s="119">
        <v>160</v>
      </c>
      <c r="G9" s="220">
        <v>176</v>
      </c>
      <c r="H9" s="221">
        <v>0</v>
      </c>
      <c r="I9" s="224">
        <v>1790</v>
      </c>
      <c r="J9" s="224">
        <v>0</v>
      </c>
      <c r="K9" s="230">
        <v>2710</v>
      </c>
      <c r="L9" s="230">
        <v>500</v>
      </c>
      <c r="M9" s="230">
        <v>5000</v>
      </c>
      <c r="N9" s="231">
        <v>0</v>
      </c>
      <c r="O9" s="231" t="s">
        <v>67</v>
      </c>
      <c r="P9" s="199">
        <v>140</v>
      </c>
      <c r="Q9" s="231" t="s">
        <v>67</v>
      </c>
      <c r="R9" s="199" t="s">
        <v>67</v>
      </c>
      <c r="S9" s="231" t="s">
        <v>67</v>
      </c>
      <c r="T9" s="199" t="s">
        <v>67</v>
      </c>
      <c r="U9" s="237">
        <v>0</v>
      </c>
      <c r="V9" s="224" t="s">
        <v>67</v>
      </c>
      <c r="W9" s="224" t="s">
        <v>68</v>
      </c>
      <c r="X9" s="233" t="s">
        <v>67</v>
      </c>
      <c r="Y9" s="243">
        <v>5140</v>
      </c>
      <c r="Z9" s="238">
        <v>226.9</v>
      </c>
      <c r="AA9" s="238">
        <v>104.57</v>
      </c>
      <c r="AB9" s="238">
        <v>8.51</v>
      </c>
      <c r="AC9" s="238">
        <v>159</v>
      </c>
      <c r="AD9" s="243">
        <v>261.84</v>
      </c>
      <c r="AE9" s="237">
        <v>760.82</v>
      </c>
      <c r="AF9" s="243">
        <v>0</v>
      </c>
      <c r="AG9" s="243">
        <v>4379.18</v>
      </c>
      <c r="AH9" s="247"/>
      <c r="AI9" s="213" t="s">
        <v>69</v>
      </c>
    </row>
    <row r="10" s="207" customFormat="1" ht="26" customHeight="1" spans="1:35">
      <c r="A10" s="119">
        <v>9</v>
      </c>
      <c r="B10" s="119" t="s">
        <v>89</v>
      </c>
      <c r="C10" s="160" t="s">
        <v>90</v>
      </c>
      <c r="D10" s="158" t="s">
        <v>75</v>
      </c>
      <c r="E10" s="220">
        <v>17</v>
      </c>
      <c r="F10" s="119">
        <v>136</v>
      </c>
      <c r="G10" s="220">
        <v>176</v>
      </c>
      <c r="H10" s="221">
        <v>0</v>
      </c>
      <c r="I10" s="224">
        <v>1790</v>
      </c>
      <c r="J10" s="224">
        <v>0</v>
      </c>
      <c r="K10" s="230">
        <v>9910</v>
      </c>
      <c r="L10" s="230">
        <v>1300</v>
      </c>
      <c r="M10" s="230">
        <v>13000</v>
      </c>
      <c r="N10" s="231">
        <v>0</v>
      </c>
      <c r="O10" s="231" t="s">
        <v>67</v>
      </c>
      <c r="P10" s="199" t="s">
        <v>67</v>
      </c>
      <c r="Q10" s="231" t="s">
        <v>67</v>
      </c>
      <c r="R10" s="199" t="s">
        <v>67</v>
      </c>
      <c r="S10" s="231" t="s">
        <v>67</v>
      </c>
      <c r="T10" s="199" t="s">
        <v>67</v>
      </c>
      <c r="U10" s="237">
        <v>0</v>
      </c>
      <c r="V10" s="224" t="s">
        <v>67</v>
      </c>
      <c r="W10" s="224" t="s">
        <v>68</v>
      </c>
      <c r="X10" s="233" t="s">
        <v>67</v>
      </c>
      <c r="Y10" s="243">
        <v>13000</v>
      </c>
      <c r="Z10" s="238">
        <v>226.9</v>
      </c>
      <c r="AA10" s="233">
        <v>104.57</v>
      </c>
      <c r="AB10" s="238">
        <v>8.51</v>
      </c>
      <c r="AC10" s="238">
        <v>159</v>
      </c>
      <c r="AD10" s="243">
        <v>261.84</v>
      </c>
      <c r="AE10" s="237">
        <v>760.82</v>
      </c>
      <c r="AF10" s="243">
        <v>402.95</v>
      </c>
      <c r="AG10" s="243">
        <v>11836.23</v>
      </c>
      <c r="AH10" s="247"/>
      <c r="AI10" s="213" t="s">
        <v>69</v>
      </c>
    </row>
    <row r="11" s="207" customFormat="1" ht="26" customHeight="1" spans="1:35">
      <c r="A11" s="119">
        <v>10</v>
      </c>
      <c r="B11" s="119" t="s">
        <v>91</v>
      </c>
      <c r="C11" s="301" t="s">
        <v>92</v>
      </c>
      <c r="D11" s="158" t="s">
        <v>93</v>
      </c>
      <c r="E11" s="220">
        <v>20</v>
      </c>
      <c r="F11" s="119">
        <v>160</v>
      </c>
      <c r="G11" s="220">
        <v>176</v>
      </c>
      <c r="H11" s="221">
        <v>0</v>
      </c>
      <c r="I11" s="224">
        <v>1790</v>
      </c>
      <c r="J11" s="224">
        <v>0</v>
      </c>
      <c r="K11" s="230">
        <v>3160</v>
      </c>
      <c r="L11" s="230">
        <v>550</v>
      </c>
      <c r="M11" s="230">
        <v>5500</v>
      </c>
      <c r="N11" s="231">
        <v>0</v>
      </c>
      <c r="O11" s="231" t="s">
        <v>67</v>
      </c>
      <c r="P11" s="199" t="s">
        <v>67</v>
      </c>
      <c r="Q11" s="231" t="s">
        <v>67</v>
      </c>
      <c r="R11" s="199" t="s">
        <v>67</v>
      </c>
      <c r="S11" s="231" t="s">
        <v>67</v>
      </c>
      <c r="T11" s="199" t="s">
        <v>67</v>
      </c>
      <c r="U11" s="237">
        <v>0</v>
      </c>
      <c r="V11" s="224" t="s">
        <v>67</v>
      </c>
      <c r="W11" s="224" t="s">
        <v>68</v>
      </c>
      <c r="X11" s="233" t="s">
        <v>67</v>
      </c>
      <c r="Y11" s="243">
        <v>5500</v>
      </c>
      <c r="Z11" s="238">
        <v>243.36</v>
      </c>
      <c r="AA11" s="233">
        <v>104.57</v>
      </c>
      <c r="AB11" s="233">
        <v>9.13</v>
      </c>
      <c r="AC11" s="233">
        <v>159</v>
      </c>
      <c r="AD11" s="243">
        <v>130.16</v>
      </c>
      <c r="AE11" s="237">
        <v>646.22</v>
      </c>
      <c r="AF11" s="243">
        <v>0</v>
      </c>
      <c r="AG11" s="243">
        <v>4853.78</v>
      </c>
      <c r="AH11" s="247"/>
      <c r="AI11" s="213" t="s">
        <v>69</v>
      </c>
    </row>
    <row r="12" s="207" customFormat="1" ht="26" customHeight="1" spans="1:35">
      <c r="A12" s="119">
        <v>11</v>
      </c>
      <c r="B12" s="123" t="s">
        <v>94</v>
      </c>
      <c r="C12" s="119" t="s">
        <v>95</v>
      </c>
      <c r="D12" s="158" t="s">
        <v>81</v>
      </c>
      <c r="E12" s="220">
        <v>24</v>
      </c>
      <c r="F12" s="119">
        <v>192</v>
      </c>
      <c r="G12" s="220">
        <v>176</v>
      </c>
      <c r="H12" s="221">
        <v>16</v>
      </c>
      <c r="I12" s="224">
        <v>1790</v>
      </c>
      <c r="J12" s="224">
        <v>329.195402298851</v>
      </c>
      <c r="K12" s="230">
        <v>4280.80459770115</v>
      </c>
      <c r="L12" s="230">
        <v>1600</v>
      </c>
      <c r="M12" s="230">
        <v>8000</v>
      </c>
      <c r="N12" s="231">
        <v>0</v>
      </c>
      <c r="O12" s="231" t="s">
        <v>67</v>
      </c>
      <c r="P12" s="199">
        <v>340</v>
      </c>
      <c r="Q12" s="231" t="s">
        <v>67</v>
      </c>
      <c r="R12" s="199" t="s">
        <v>67</v>
      </c>
      <c r="S12" s="231" t="s">
        <v>67</v>
      </c>
      <c r="T12" s="199" t="s">
        <v>67</v>
      </c>
      <c r="U12" s="237">
        <v>0</v>
      </c>
      <c r="V12" s="224" t="s">
        <v>67</v>
      </c>
      <c r="W12" s="224" t="s">
        <v>68</v>
      </c>
      <c r="X12" s="233" t="s">
        <v>67</v>
      </c>
      <c r="Y12" s="243">
        <v>8340</v>
      </c>
      <c r="Z12" s="238">
        <v>305.6</v>
      </c>
      <c r="AA12" s="238">
        <v>104.57</v>
      </c>
      <c r="AB12" s="238">
        <v>11.46</v>
      </c>
      <c r="AC12" s="238">
        <v>209</v>
      </c>
      <c r="AD12" s="243">
        <v>0</v>
      </c>
      <c r="AE12" s="237">
        <v>630.63</v>
      </c>
      <c r="AF12" s="243">
        <v>0</v>
      </c>
      <c r="AG12" s="243">
        <v>7709.37</v>
      </c>
      <c r="AH12" s="247"/>
      <c r="AI12" s="213" t="s">
        <v>69</v>
      </c>
    </row>
    <row r="13" s="207" customFormat="1" ht="26" customHeight="1" spans="1:35">
      <c r="A13" s="119">
        <v>12</v>
      </c>
      <c r="B13" s="124" t="s">
        <v>96</v>
      </c>
      <c r="C13" s="119" t="s">
        <v>97</v>
      </c>
      <c r="D13" s="158" t="s">
        <v>81</v>
      </c>
      <c r="E13" s="220">
        <v>27</v>
      </c>
      <c r="F13" s="119">
        <v>216</v>
      </c>
      <c r="G13" s="220">
        <v>176</v>
      </c>
      <c r="H13" s="221">
        <v>40</v>
      </c>
      <c r="I13" s="224">
        <v>1790</v>
      </c>
      <c r="J13" s="224">
        <v>822.988505747127</v>
      </c>
      <c r="K13" s="230">
        <v>3507.01149425287</v>
      </c>
      <c r="L13" s="232">
        <v>680</v>
      </c>
      <c r="M13" s="230">
        <v>6800</v>
      </c>
      <c r="N13" s="231">
        <v>0</v>
      </c>
      <c r="O13" s="231" t="s">
        <v>67</v>
      </c>
      <c r="P13" s="199">
        <v>340</v>
      </c>
      <c r="Q13" s="231" t="s">
        <v>67</v>
      </c>
      <c r="R13" s="199" t="s">
        <v>67</v>
      </c>
      <c r="S13" s="231" t="s">
        <v>67</v>
      </c>
      <c r="T13" s="199" t="s">
        <v>67</v>
      </c>
      <c r="U13" s="237">
        <v>0</v>
      </c>
      <c r="V13" s="224" t="s">
        <v>67</v>
      </c>
      <c r="W13" s="224" t="s">
        <v>68</v>
      </c>
      <c r="X13" s="233" t="s">
        <v>67</v>
      </c>
      <c r="Y13" s="243">
        <v>7140</v>
      </c>
      <c r="Z13" s="238">
        <v>305.6</v>
      </c>
      <c r="AA13" s="238">
        <v>104.57</v>
      </c>
      <c r="AB13" s="238">
        <v>11.46</v>
      </c>
      <c r="AC13" s="238">
        <v>209</v>
      </c>
      <c r="AD13" s="243">
        <v>0</v>
      </c>
      <c r="AE13" s="237">
        <v>630.63</v>
      </c>
      <c r="AF13" s="243">
        <v>0</v>
      </c>
      <c r="AG13" s="243">
        <v>6509.37</v>
      </c>
      <c r="AH13" s="247"/>
      <c r="AI13" s="213" t="s">
        <v>69</v>
      </c>
    </row>
    <row r="14" s="207" customFormat="1" ht="26" customHeight="1" spans="1:35">
      <c r="A14" s="119">
        <v>13</v>
      </c>
      <c r="B14" s="119" t="s">
        <v>98</v>
      </c>
      <c r="C14" s="119" t="s">
        <v>99</v>
      </c>
      <c r="D14" s="158" t="s">
        <v>81</v>
      </c>
      <c r="E14" s="220">
        <v>20.5</v>
      </c>
      <c r="F14" s="119">
        <v>164</v>
      </c>
      <c r="G14" s="220">
        <v>176</v>
      </c>
      <c r="H14" s="221">
        <v>0</v>
      </c>
      <c r="I14" s="224">
        <v>1790</v>
      </c>
      <c r="J14" s="224">
        <v>0</v>
      </c>
      <c r="K14" s="230">
        <v>910</v>
      </c>
      <c r="L14" s="230">
        <v>300</v>
      </c>
      <c r="M14" s="230">
        <v>3000</v>
      </c>
      <c r="N14" s="231">
        <v>0</v>
      </c>
      <c r="O14" s="231" t="s">
        <v>67</v>
      </c>
      <c r="P14" s="199">
        <v>60</v>
      </c>
      <c r="Q14" s="231" t="s">
        <v>67</v>
      </c>
      <c r="R14" s="199" t="s">
        <v>67</v>
      </c>
      <c r="S14" s="231" t="s">
        <v>67</v>
      </c>
      <c r="T14" s="199" t="s">
        <v>67</v>
      </c>
      <c r="U14" s="237">
        <v>0</v>
      </c>
      <c r="V14" s="224" t="s">
        <v>67</v>
      </c>
      <c r="W14" s="224" t="s">
        <v>68</v>
      </c>
      <c r="X14" s="233" t="s">
        <v>67</v>
      </c>
      <c r="Y14" s="243">
        <v>3060</v>
      </c>
      <c r="Z14" s="238">
        <v>226.9</v>
      </c>
      <c r="AA14" s="238">
        <v>104.57</v>
      </c>
      <c r="AB14" s="238">
        <v>8.51</v>
      </c>
      <c r="AC14" s="238">
        <v>159</v>
      </c>
      <c r="AD14" s="243">
        <v>261.84</v>
      </c>
      <c r="AE14" s="237">
        <v>760.82</v>
      </c>
      <c r="AF14" s="243">
        <v>0</v>
      </c>
      <c r="AG14" s="243">
        <v>2299.18</v>
      </c>
      <c r="AH14" s="247"/>
      <c r="AI14" s="213" t="s">
        <v>69</v>
      </c>
    </row>
    <row r="15" s="207" customFormat="1" ht="26" customHeight="1" spans="1:35">
      <c r="A15" s="119">
        <v>14</v>
      </c>
      <c r="B15" s="119" t="s">
        <v>100</v>
      </c>
      <c r="C15" s="119" t="s">
        <v>101</v>
      </c>
      <c r="D15" s="158" t="s">
        <v>81</v>
      </c>
      <c r="E15" s="220">
        <v>20.375</v>
      </c>
      <c r="F15" s="119">
        <v>163</v>
      </c>
      <c r="G15" s="220">
        <v>176</v>
      </c>
      <c r="H15" s="221">
        <v>0</v>
      </c>
      <c r="I15" s="224">
        <v>1790</v>
      </c>
      <c r="J15" s="224">
        <v>0</v>
      </c>
      <c r="K15" s="230">
        <v>2260</v>
      </c>
      <c r="L15" s="230">
        <v>450</v>
      </c>
      <c r="M15" s="230">
        <v>4500</v>
      </c>
      <c r="N15" s="231">
        <v>0</v>
      </c>
      <c r="O15" s="231" t="s">
        <v>67</v>
      </c>
      <c r="P15" s="199">
        <v>80</v>
      </c>
      <c r="Q15" s="231" t="s">
        <v>67</v>
      </c>
      <c r="R15" s="199" t="s">
        <v>67</v>
      </c>
      <c r="S15" s="231" t="s">
        <v>67</v>
      </c>
      <c r="T15" s="199" t="s">
        <v>67</v>
      </c>
      <c r="U15" s="237">
        <v>0</v>
      </c>
      <c r="V15" s="224" t="s">
        <v>67</v>
      </c>
      <c r="W15" s="224" t="s">
        <v>68</v>
      </c>
      <c r="X15" s="233">
        <v>-30</v>
      </c>
      <c r="Y15" s="243">
        <v>4550</v>
      </c>
      <c r="Z15" s="238">
        <v>226.9</v>
      </c>
      <c r="AA15" s="238">
        <v>104.57</v>
      </c>
      <c r="AB15" s="238">
        <v>8.51</v>
      </c>
      <c r="AC15" s="238">
        <v>159</v>
      </c>
      <c r="AD15" s="243">
        <v>324.16</v>
      </c>
      <c r="AE15" s="237">
        <v>823.14</v>
      </c>
      <c r="AF15" s="243">
        <v>0</v>
      </c>
      <c r="AG15" s="243">
        <v>3726.86</v>
      </c>
      <c r="AH15" s="247"/>
      <c r="AI15" s="213" t="s">
        <v>69</v>
      </c>
    </row>
    <row r="16" s="207" customFormat="1" ht="26" customHeight="1" spans="1:35">
      <c r="A16" s="119">
        <v>15</v>
      </c>
      <c r="B16" s="119" t="s">
        <v>102</v>
      </c>
      <c r="C16" s="119" t="s">
        <v>103</v>
      </c>
      <c r="D16" s="158" t="s">
        <v>81</v>
      </c>
      <c r="E16" s="220">
        <v>21</v>
      </c>
      <c r="F16" s="119">
        <v>168</v>
      </c>
      <c r="G16" s="220">
        <v>176</v>
      </c>
      <c r="H16" s="221">
        <v>0</v>
      </c>
      <c r="I16" s="224">
        <v>1790</v>
      </c>
      <c r="J16" s="224">
        <v>0</v>
      </c>
      <c r="K16" s="230">
        <v>1360</v>
      </c>
      <c r="L16" s="230">
        <v>350</v>
      </c>
      <c r="M16" s="230">
        <v>3500</v>
      </c>
      <c r="N16" s="231">
        <v>0</v>
      </c>
      <c r="O16" s="231" t="s">
        <v>67</v>
      </c>
      <c r="P16" s="199" t="s">
        <v>67</v>
      </c>
      <c r="Q16" s="231" t="s">
        <v>67</v>
      </c>
      <c r="R16" s="199" t="s">
        <v>67</v>
      </c>
      <c r="S16" s="231">
        <v>20</v>
      </c>
      <c r="T16" s="199" t="s">
        <v>67</v>
      </c>
      <c r="U16" s="237">
        <v>0</v>
      </c>
      <c r="V16" s="224" t="s">
        <v>67</v>
      </c>
      <c r="W16" s="224" t="s">
        <v>68</v>
      </c>
      <c r="X16" s="233" t="s">
        <v>67</v>
      </c>
      <c r="Y16" s="243">
        <v>3520</v>
      </c>
      <c r="Z16" s="238">
        <v>226.9</v>
      </c>
      <c r="AA16" s="238">
        <v>104.57</v>
      </c>
      <c r="AB16" s="238">
        <v>8.51</v>
      </c>
      <c r="AC16" s="238">
        <v>159</v>
      </c>
      <c r="AD16" s="243">
        <v>261.84</v>
      </c>
      <c r="AE16" s="237">
        <v>760.82</v>
      </c>
      <c r="AF16" s="243">
        <v>0</v>
      </c>
      <c r="AG16" s="243">
        <v>2759.18</v>
      </c>
      <c r="AH16" s="247"/>
      <c r="AI16" s="213" t="s">
        <v>69</v>
      </c>
    </row>
    <row r="17" s="207" customFormat="1" ht="26" customHeight="1" spans="1:35">
      <c r="A17" s="119">
        <v>16</v>
      </c>
      <c r="B17" s="119" t="s">
        <v>104</v>
      </c>
      <c r="C17" s="301" t="s">
        <v>105</v>
      </c>
      <c r="D17" s="158" t="s">
        <v>81</v>
      </c>
      <c r="E17" s="220">
        <v>22</v>
      </c>
      <c r="F17" s="119">
        <v>176</v>
      </c>
      <c r="G17" s="220">
        <v>176</v>
      </c>
      <c r="H17" s="221">
        <v>0</v>
      </c>
      <c r="I17" s="224">
        <v>1790</v>
      </c>
      <c r="J17" s="224">
        <v>0</v>
      </c>
      <c r="K17" s="230">
        <v>1810</v>
      </c>
      <c r="L17" s="230">
        <v>400</v>
      </c>
      <c r="M17" s="230">
        <v>4000</v>
      </c>
      <c r="N17" s="231">
        <v>-40</v>
      </c>
      <c r="O17" s="231" t="s">
        <v>67</v>
      </c>
      <c r="P17" s="199">
        <v>120</v>
      </c>
      <c r="Q17" s="231" t="s">
        <v>67</v>
      </c>
      <c r="R17" s="199" t="s">
        <v>67</v>
      </c>
      <c r="S17" s="231" t="s">
        <v>67</v>
      </c>
      <c r="T17" s="199" t="s">
        <v>67</v>
      </c>
      <c r="U17" s="237">
        <v>0</v>
      </c>
      <c r="V17" s="224" t="s">
        <v>67</v>
      </c>
      <c r="W17" s="224" t="s">
        <v>68</v>
      </c>
      <c r="X17" s="233" t="s">
        <v>67</v>
      </c>
      <c r="Y17" s="243">
        <v>4080</v>
      </c>
      <c r="Z17" s="238">
        <v>226.9</v>
      </c>
      <c r="AA17" s="238">
        <v>104.57</v>
      </c>
      <c r="AB17" s="238">
        <v>8.51</v>
      </c>
      <c r="AC17" s="238">
        <v>159</v>
      </c>
      <c r="AD17" s="243">
        <v>261.84</v>
      </c>
      <c r="AE17" s="237">
        <v>760.82</v>
      </c>
      <c r="AF17" s="243">
        <v>0</v>
      </c>
      <c r="AG17" s="243">
        <v>3319.18</v>
      </c>
      <c r="AH17" s="247"/>
      <c r="AI17" s="213" t="s">
        <v>69</v>
      </c>
    </row>
    <row r="18" s="207" customFormat="1" ht="26" customHeight="1" spans="1:35">
      <c r="A18" s="119">
        <v>17</v>
      </c>
      <c r="B18" s="119" t="s">
        <v>106</v>
      </c>
      <c r="C18" s="119" t="s">
        <v>107</v>
      </c>
      <c r="D18" s="158" t="s">
        <v>81</v>
      </c>
      <c r="E18" s="220">
        <v>21</v>
      </c>
      <c r="F18" s="119">
        <v>168</v>
      </c>
      <c r="G18" s="220">
        <v>176</v>
      </c>
      <c r="H18" s="221">
        <v>0</v>
      </c>
      <c r="I18" s="224">
        <v>1790</v>
      </c>
      <c r="J18" s="224">
        <v>0</v>
      </c>
      <c r="K18" s="230">
        <v>1710</v>
      </c>
      <c r="L18" s="230">
        <v>0</v>
      </c>
      <c r="M18" s="230">
        <v>3500</v>
      </c>
      <c r="N18" s="231">
        <v>0</v>
      </c>
      <c r="O18" s="231" t="s">
        <v>67</v>
      </c>
      <c r="P18" s="199" t="s">
        <v>67</v>
      </c>
      <c r="Q18" s="231" t="s">
        <v>67</v>
      </c>
      <c r="R18" s="199" t="s">
        <v>67</v>
      </c>
      <c r="S18" s="231">
        <v>140</v>
      </c>
      <c r="T18" s="199" t="s">
        <v>67</v>
      </c>
      <c r="U18" s="237">
        <v>0</v>
      </c>
      <c r="V18" s="224" t="s">
        <v>67</v>
      </c>
      <c r="W18" s="224" t="s">
        <v>68</v>
      </c>
      <c r="X18" s="233" t="s">
        <v>67</v>
      </c>
      <c r="Y18" s="243">
        <v>3640</v>
      </c>
      <c r="Z18" s="238">
        <v>243.36</v>
      </c>
      <c r="AA18" s="238">
        <v>209.14</v>
      </c>
      <c r="AB18" s="238">
        <v>9.13</v>
      </c>
      <c r="AC18" s="238">
        <v>0</v>
      </c>
      <c r="AD18" s="243">
        <v>48.81</v>
      </c>
      <c r="AE18" s="237">
        <v>510.44</v>
      </c>
      <c r="AF18" s="243">
        <v>0</v>
      </c>
      <c r="AG18" s="243">
        <v>3129.56</v>
      </c>
      <c r="AH18" s="247"/>
      <c r="AI18" s="213" t="s">
        <v>108</v>
      </c>
    </row>
    <row r="19" s="207" customFormat="1" ht="26" customHeight="1" spans="1:35">
      <c r="A19" s="119">
        <v>18</v>
      </c>
      <c r="B19" s="124" t="s">
        <v>109</v>
      </c>
      <c r="C19" s="119" t="s">
        <v>110</v>
      </c>
      <c r="D19" s="158" t="s">
        <v>81</v>
      </c>
      <c r="E19" s="220">
        <v>14</v>
      </c>
      <c r="F19" s="119">
        <v>112</v>
      </c>
      <c r="G19" s="220">
        <v>176</v>
      </c>
      <c r="H19" s="221">
        <v>0</v>
      </c>
      <c r="I19" s="224">
        <v>1790</v>
      </c>
      <c r="J19" s="224">
        <v>0</v>
      </c>
      <c r="K19" s="230">
        <v>1710</v>
      </c>
      <c r="L19" s="230">
        <v>0</v>
      </c>
      <c r="M19" s="230">
        <v>3500</v>
      </c>
      <c r="N19" s="231">
        <v>0</v>
      </c>
      <c r="O19" s="231" t="s">
        <v>67</v>
      </c>
      <c r="P19" s="199" t="s">
        <v>67</v>
      </c>
      <c r="Q19" s="231" t="s">
        <v>67</v>
      </c>
      <c r="R19" s="199" t="s">
        <v>67</v>
      </c>
      <c r="S19" s="231" t="s">
        <v>67</v>
      </c>
      <c r="T19" s="199" t="s">
        <v>67</v>
      </c>
      <c r="U19" s="237">
        <v>-617.647058823529</v>
      </c>
      <c r="V19" s="224" t="s">
        <v>67</v>
      </c>
      <c r="W19" s="224" t="s">
        <v>68</v>
      </c>
      <c r="X19" s="233" t="s">
        <v>67</v>
      </c>
      <c r="Y19" s="243">
        <v>2882.35</v>
      </c>
      <c r="Z19" s="238">
        <v>243.36</v>
      </c>
      <c r="AA19" s="238">
        <v>104.57</v>
      </c>
      <c r="AB19" s="238">
        <v>9.13</v>
      </c>
      <c r="AC19" s="238">
        <v>0</v>
      </c>
      <c r="AD19" s="243">
        <v>48.81</v>
      </c>
      <c r="AE19" s="237">
        <v>405.87</v>
      </c>
      <c r="AF19" s="243">
        <v>0</v>
      </c>
      <c r="AG19" s="243">
        <v>2476.48</v>
      </c>
      <c r="AH19" s="247"/>
      <c r="AI19" s="213" t="s">
        <v>108</v>
      </c>
    </row>
    <row r="20" s="206" customFormat="1" ht="26" customHeight="1" spans="1:35">
      <c r="A20" s="119">
        <v>19</v>
      </c>
      <c r="B20" s="119" t="s">
        <v>111</v>
      </c>
      <c r="C20" s="119" t="s">
        <v>112</v>
      </c>
      <c r="D20" s="158" t="s">
        <v>81</v>
      </c>
      <c r="E20" s="220">
        <v>20</v>
      </c>
      <c r="F20" s="119">
        <v>160</v>
      </c>
      <c r="G20" s="220">
        <v>176</v>
      </c>
      <c r="H20" s="221">
        <v>0</v>
      </c>
      <c r="I20" s="224">
        <v>1790</v>
      </c>
      <c r="J20" s="224">
        <v>0</v>
      </c>
      <c r="K20" s="230">
        <v>1710</v>
      </c>
      <c r="L20" s="230">
        <v>0</v>
      </c>
      <c r="M20" s="230">
        <v>3500</v>
      </c>
      <c r="N20" s="231">
        <v>0</v>
      </c>
      <c r="O20" s="231" t="s">
        <v>67</v>
      </c>
      <c r="P20" s="199" t="s">
        <v>67</v>
      </c>
      <c r="Q20" s="231" t="s">
        <v>67</v>
      </c>
      <c r="R20" s="199" t="s">
        <v>67</v>
      </c>
      <c r="S20" s="231">
        <v>20</v>
      </c>
      <c r="T20" s="199" t="s">
        <v>67</v>
      </c>
      <c r="U20" s="237">
        <v>0</v>
      </c>
      <c r="V20" s="224" t="s">
        <v>67</v>
      </c>
      <c r="W20" s="224" t="s">
        <v>68</v>
      </c>
      <c r="X20" s="233" t="s">
        <v>67</v>
      </c>
      <c r="Y20" s="243">
        <v>3520</v>
      </c>
      <c r="Z20" s="238">
        <v>243.36</v>
      </c>
      <c r="AA20" s="238">
        <v>104.57</v>
      </c>
      <c r="AB20" s="238">
        <v>9.13</v>
      </c>
      <c r="AC20" s="238">
        <v>0</v>
      </c>
      <c r="AD20" s="243">
        <v>48.81</v>
      </c>
      <c r="AE20" s="237">
        <v>405.87</v>
      </c>
      <c r="AF20" s="243">
        <v>0</v>
      </c>
      <c r="AG20" s="243">
        <v>3114.13</v>
      </c>
      <c r="AH20" s="247"/>
      <c r="AI20" s="213" t="s">
        <v>108</v>
      </c>
    </row>
    <row r="21" s="206" customFormat="1" ht="26" customHeight="1" spans="1:35">
      <c r="A21" s="119">
        <v>20</v>
      </c>
      <c r="B21" s="119" t="s">
        <v>113</v>
      </c>
      <c r="C21" s="119" t="s">
        <v>114</v>
      </c>
      <c r="D21" s="158" t="s">
        <v>81</v>
      </c>
      <c r="E21" s="220">
        <v>20.125</v>
      </c>
      <c r="F21" s="119">
        <v>161</v>
      </c>
      <c r="G21" s="220">
        <v>176</v>
      </c>
      <c r="H21" s="221">
        <v>0</v>
      </c>
      <c r="I21" s="224">
        <v>1791</v>
      </c>
      <c r="J21" s="224">
        <v>0</v>
      </c>
      <c r="K21" s="230">
        <v>1209</v>
      </c>
      <c r="L21" s="230">
        <v>0</v>
      </c>
      <c r="M21" s="230">
        <v>3000</v>
      </c>
      <c r="N21" s="231" t="s">
        <v>67</v>
      </c>
      <c r="O21" s="231" t="s">
        <v>67</v>
      </c>
      <c r="P21" s="199" t="s">
        <v>67</v>
      </c>
      <c r="Q21" s="231" t="s">
        <v>67</v>
      </c>
      <c r="R21" s="199" t="s">
        <v>67</v>
      </c>
      <c r="S21" s="231" t="s">
        <v>67</v>
      </c>
      <c r="T21" s="199" t="s">
        <v>67</v>
      </c>
      <c r="U21" s="237">
        <v>0</v>
      </c>
      <c r="V21" s="224" t="s">
        <v>67</v>
      </c>
      <c r="W21" s="224" t="s">
        <v>68</v>
      </c>
      <c r="X21" s="233" t="s">
        <v>67</v>
      </c>
      <c r="Y21" s="243">
        <v>3000</v>
      </c>
      <c r="Z21" s="238">
        <v>243.36</v>
      </c>
      <c r="AA21" s="238">
        <v>104.57</v>
      </c>
      <c r="AB21" s="238">
        <v>9.13</v>
      </c>
      <c r="AC21" s="238">
        <v>0</v>
      </c>
      <c r="AD21" s="243">
        <v>130.73</v>
      </c>
      <c r="AE21" s="237">
        <v>487.79</v>
      </c>
      <c r="AF21" s="243">
        <v>0</v>
      </c>
      <c r="AG21" s="243">
        <v>2512.21</v>
      </c>
      <c r="AH21" s="247"/>
      <c r="AI21" s="213" t="s">
        <v>69</v>
      </c>
    </row>
    <row r="22" s="206" customFormat="1" ht="26" customHeight="1" spans="1:35">
      <c r="A22" s="119">
        <v>21</v>
      </c>
      <c r="B22" s="119" t="s">
        <v>115</v>
      </c>
      <c r="C22" s="119" t="s">
        <v>116</v>
      </c>
      <c r="D22" s="158" t="s">
        <v>66</v>
      </c>
      <c r="E22" s="220">
        <v>19.5</v>
      </c>
      <c r="F22" s="119">
        <v>156</v>
      </c>
      <c r="G22" s="220">
        <v>176</v>
      </c>
      <c r="H22" s="221">
        <v>0</v>
      </c>
      <c r="I22" s="224">
        <v>1790</v>
      </c>
      <c r="J22" s="224">
        <v>0</v>
      </c>
      <c r="K22" s="230">
        <v>4060</v>
      </c>
      <c r="L22" s="230">
        <v>650</v>
      </c>
      <c r="M22" s="230">
        <v>6500</v>
      </c>
      <c r="N22" s="231">
        <v>0</v>
      </c>
      <c r="O22" s="231">
        <v>500</v>
      </c>
      <c r="P22" s="199">
        <v>180</v>
      </c>
      <c r="Q22" s="231" t="s">
        <v>67</v>
      </c>
      <c r="R22" s="199" t="s">
        <v>67</v>
      </c>
      <c r="S22" s="231" t="s">
        <v>67</v>
      </c>
      <c r="T22" s="199" t="s">
        <v>67</v>
      </c>
      <c r="U22" s="237">
        <v>0</v>
      </c>
      <c r="V22" s="224" t="s">
        <v>67</v>
      </c>
      <c r="W22" s="224" t="s">
        <v>68</v>
      </c>
      <c r="X22" s="233" t="s">
        <v>67</v>
      </c>
      <c r="Y22" s="243">
        <v>7180</v>
      </c>
      <c r="Z22" s="238">
        <v>428.8</v>
      </c>
      <c r="AA22" s="233">
        <v>110.2</v>
      </c>
      <c r="AB22" s="238">
        <v>26.8</v>
      </c>
      <c r="AC22" s="238">
        <v>324</v>
      </c>
      <c r="AD22" s="243">
        <v>0</v>
      </c>
      <c r="AE22" s="237">
        <v>889.8</v>
      </c>
      <c r="AF22" s="243">
        <v>48.42</v>
      </c>
      <c r="AG22" s="243">
        <v>6241.78</v>
      </c>
      <c r="AH22" s="247"/>
      <c r="AI22" s="213" t="s">
        <v>69</v>
      </c>
    </row>
    <row r="23" s="207" customFormat="1" ht="26" customHeight="1" spans="1:35">
      <c r="A23" s="119">
        <v>22</v>
      </c>
      <c r="B23" s="119" t="s">
        <v>117</v>
      </c>
      <c r="C23" s="119" t="s">
        <v>118</v>
      </c>
      <c r="D23" s="158" t="s">
        <v>66</v>
      </c>
      <c r="E23" s="220">
        <v>30</v>
      </c>
      <c r="F23" s="119">
        <v>240</v>
      </c>
      <c r="G23" s="220">
        <v>176</v>
      </c>
      <c r="H23" s="221">
        <v>64</v>
      </c>
      <c r="I23" s="224">
        <v>1790</v>
      </c>
      <c r="J23" s="224">
        <v>1316.7816091954</v>
      </c>
      <c r="K23" s="230">
        <v>2743.2183908046</v>
      </c>
      <c r="L23" s="230">
        <v>650</v>
      </c>
      <c r="M23" s="230">
        <v>6500</v>
      </c>
      <c r="N23" s="231">
        <v>-65</v>
      </c>
      <c r="O23" s="231" t="s">
        <v>67</v>
      </c>
      <c r="P23" s="199">
        <v>260</v>
      </c>
      <c r="Q23" s="231" t="s">
        <v>67</v>
      </c>
      <c r="R23" s="199">
        <v>1050</v>
      </c>
      <c r="S23" s="231" t="s">
        <v>67</v>
      </c>
      <c r="T23" s="199" t="s">
        <v>67</v>
      </c>
      <c r="U23" s="237">
        <v>0</v>
      </c>
      <c r="V23" s="224" t="s">
        <v>67</v>
      </c>
      <c r="W23" s="224" t="s">
        <v>68</v>
      </c>
      <c r="X23" s="233" t="s">
        <v>67</v>
      </c>
      <c r="Y23" s="243">
        <v>7745</v>
      </c>
      <c r="Z23" s="233">
        <v>226.9</v>
      </c>
      <c r="AA23" s="233">
        <v>104.57</v>
      </c>
      <c r="AB23" s="238">
        <v>8.51</v>
      </c>
      <c r="AC23" s="238">
        <v>159</v>
      </c>
      <c r="AD23" s="243">
        <v>261.84</v>
      </c>
      <c r="AE23" s="237">
        <v>760.82</v>
      </c>
      <c r="AF23" s="243">
        <v>4.3</v>
      </c>
      <c r="AG23" s="243">
        <v>6979.88</v>
      </c>
      <c r="AH23" s="247"/>
      <c r="AI23" s="213" t="s">
        <v>69</v>
      </c>
    </row>
    <row r="24" s="207" customFormat="1" ht="26" customHeight="1" spans="1:35">
      <c r="A24" s="119">
        <v>23</v>
      </c>
      <c r="B24" s="119" t="s">
        <v>119</v>
      </c>
      <c r="C24" s="154" t="s">
        <v>120</v>
      </c>
      <c r="D24" s="158" t="s">
        <v>66</v>
      </c>
      <c r="E24" s="220">
        <v>18</v>
      </c>
      <c r="F24" s="119">
        <v>144</v>
      </c>
      <c r="G24" s="220">
        <v>176</v>
      </c>
      <c r="H24" s="221">
        <v>0</v>
      </c>
      <c r="I24" s="224">
        <v>1790</v>
      </c>
      <c r="J24" s="224">
        <v>0</v>
      </c>
      <c r="K24" s="230">
        <v>1000</v>
      </c>
      <c r="L24" s="230">
        <v>310</v>
      </c>
      <c r="M24" s="230">
        <v>3100</v>
      </c>
      <c r="N24" s="231">
        <v>0</v>
      </c>
      <c r="O24" s="231" t="s">
        <v>67</v>
      </c>
      <c r="P24" s="199">
        <v>40</v>
      </c>
      <c r="Q24" s="231" t="s">
        <v>67</v>
      </c>
      <c r="R24" s="199" t="s">
        <v>67</v>
      </c>
      <c r="S24" s="231" t="s">
        <v>67</v>
      </c>
      <c r="T24" s="199" t="s">
        <v>67</v>
      </c>
      <c r="U24" s="237">
        <v>0</v>
      </c>
      <c r="V24" s="224" t="s">
        <v>67</v>
      </c>
      <c r="W24" s="224" t="s">
        <v>68</v>
      </c>
      <c r="X24" s="233" t="s">
        <v>67</v>
      </c>
      <c r="Y24" s="243">
        <v>3140</v>
      </c>
      <c r="Z24" s="238">
        <v>226.9</v>
      </c>
      <c r="AA24" s="238">
        <v>104.57</v>
      </c>
      <c r="AB24" s="238">
        <v>8.51</v>
      </c>
      <c r="AC24" s="238">
        <v>159</v>
      </c>
      <c r="AD24" s="243">
        <v>261.84</v>
      </c>
      <c r="AE24" s="237">
        <v>760.82</v>
      </c>
      <c r="AF24" s="243">
        <v>0</v>
      </c>
      <c r="AG24" s="243">
        <v>2379.18</v>
      </c>
      <c r="AH24" s="247"/>
      <c r="AI24" s="213" t="s">
        <v>69</v>
      </c>
    </row>
    <row r="25" s="207" customFormat="1" ht="26" customHeight="1" spans="1:35">
      <c r="A25" s="119">
        <v>24</v>
      </c>
      <c r="B25" s="119" t="s">
        <v>121</v>
      </c>
      <c r="C25" s="160" t="s">
        <v>122</v>
      </c>
      <c r="D25" s="158" t="s">
        <v>66</v>
      </c>
      <c r="E25" s="220">
        <v>21.5</v>
      </c>
      <c r="F25" s="119">
        <v>172</v>
      </c>
      <c r="G25" s="220">
        <v>176</v>
      </c>
      <c r="H25" s="221">
        <v>0</v>
      </c>
      <c r="I25" s="224">
        <v>1790</v>
      </c>
      <c r="J25" s="224">
        <v>0</v>
      </c>
      <c r="K25" s="230">
        <v>730</v>
      </c>
      <c r="L25" s="230">
        <v>280</v>
      </c>
      <c r="M25" s="230">
        <v>2800</v>
      </c>
      <c r="N25" s="231" t="s">
        <v>67</v>
      </c>
      <c r="O25" s="231" t="s">
        <v>67</v>
      </c>
      <c r="P25" s="199">
        <v>60</v>
      </c>
      <c r="Q25" s="231" t="s">
        <v>67</v>
      </c>
      <c r="R25" s="199" t="s">
        <v>67</v>
      </c>
      <c r="S25" s="231" t="s">
        <v>67</v>
      </c>
      <c r="T25" s="199" t="s">
        <v>67</v>
      </c>
      <c r="U25" s="237">
        <v>0</v>
      </c>
      <c r="V25" s="224" t="s">
        <v>67</v>
      </c>
      <c r="W25" s="224" t="s">
        <v>68</v>
      </c>
      <c r="X25" s="233" t="s">
        <v>67</v>
      </c>
      <c r="Y25" s="243">
        <v>2860</v>
      </c>
      <c r="Z25" s="238">
        <v>226.9</v>
      </c>
      <c r="AA25" s="238">
        <v>104.57</v>
      </c>
      <c r="AB25" s="238">
        <v>8.51</v>
      </c>
      <c r="AC25" s="238">
        <v>159</v>
      </c>
      <c r="AD25" s="243">
        <v>261.84</v>
      </c>
      <c r="AE25" s="237">
        <v>760.82</v>
      </c>
      <c r="AF25" s="243">
        <v>0</v>
      </c>
      <c r="AG25" s="243">
        <v>2099.18</v>
      </c>
      <c r="AH25" s="247"/>
      <c r="AI25" s="213" t="s">
        <v>69</v>
      </c>
    </row>
    <row r="26" s="207" customFormat="1" ht="26" customHeight="1" spans="1:35">
      <c r="A26" s="119">
        <v>25</v>
      </c>
      <c r="B26" s="119" t="s">
        <v>123</v>
      </c>
      <c r="C26" s="302" t="s">
        <v>124</v>
      </c>
      <c r="D26" s="158" t="s">
        <v>125</v>
      </c>
      <c r="E26" s="220">
        <v>21</v>
      </c>
      <c r="F26" s="119">
        <v>168</v>
      </c>
      <c r="G26" s="220">
        <v>176</v>
      </c>
      <c r="H26" s="221">
        <v>0</v>
      </c>
      <c r="I26" s="224">
        <v>1790</v>
      </c>
      <c r="J26" s="224">
        <v>0</v>
      </c>
      <c r="K26" s="230">
        <v>1630</v>
      </c>
      <c r="L26" s="230">
        <v>380</v>
      </c>
      <c r="M26" s="230">
        <v>3800</v>
      </c>
      <c r="N26" s="231" t="s">
        <v>67</v>
      </c>
      <c r="O26" s="231" t="s">
        <v>67</v>
      </c>
      <c r="P26" s="199" t="s">
        <v>67</v>
      </c>
      <c r="Q26" s="231" t="s">
        <v>67</v>
      </c>
      <c r="R26" s="199" t="s">
        <v>67</v>
      </c>
      <c r="S26" s="231" t="s">
        <v>67</v>
      </c>
      <c r="T26" s="199" t="s">
        <v>67</v>
      </c>
      <c r="U26" s="237">
        <v>0</v>
      </c>
      <c r="V26" s="224" t="s">
        <v>67</v>
      </c>
      <c r="W26" s="224" t="s">
        <v>68</v>
      </c>
      <c r="X26" s="233" t="s">
        <v>67</v>
      </c>
      <c r="Y26" s="243">
        <v>3800</v>
      </c>
      <c r="Z26" s="238" t="s">
        <v>67</v>
      </c>
      <c r="AA26" s="238" t="s">
        <v>67</v>
      </c>
      <c r="AB26" s="238" t="s">
        <v>67</v>
      </c>
      <c r="AC26" s="238" t="s">
        <v>67</v>
      </c>
      <c r="AD26" s="243">
        <v>0</v>
      </c>
      <c r="AE26" s="237">
        <v>0</v>
      </c>
      <c r="AF26" s="243">
        <v>0</v>
      </c>
      <c r="AG26" s="243">
        <v>3800</v>
      </c>
      <c r="AH26" s="247" t="s">
        <v>126</v>
      </c>
      <c r="AI26" s="213" t="s">
        <v>69</v>
      </c>
    </row>
    <row r="27" s="207" customFormat="1" ht="26" customHeight="1" spans="1:35">
      <c r="A27" s="119">
        <v>26</v>
      </c>
      <c r="B27" s="119" t="s">
        <v>127</v>
      </c>
      <c r="C27" s="119" t="s">
        <v>128</v>
      </c>
      <c r="D27" s="158" t="s">
        <v>125</v>
      </c>
      <c r="E27" s="220">
        <v>21</v>
      </c>
      <c r="F27" s="119">
        <v>168</v>
      </c>
      <c r="G27" s="220">
        <v>176</v>
      </c>
      <c r="H27" s="221">
        <v>0</v>
      </c>
      <c r="I27" s="224">
        <v>1790</v>
      </c>
      <c r="J27" s="224">
        <v>0</v>
      </c>
      <c r="K27" s="230">
        <v>1540</v>
      </c>
      <c r="L27" s="230">
        <v>370</v>
      </c>
      <c r="M27" s="230">
        <v>3700</v>
      </c>
      <c r="N27" s="231" t="s">
        <v>67</v>
      </c>
      <c r="O27" s="231" t="s">
        <v>67</v>
      </c>
      <c r="P27" s="199" t="s">
        <v>67</v>
      </c>
      <c r="Q27" s="231" t="s">
        <v>67</v>
      </c>
      <c r="R27" s="199" t="s">
        <v>67</v>
      </c>
      <c r="S27" s="231" t="s">
        <v>67</v>
      </c>
      <c r="T27" s="199" t="s">
        <v>67</v>
      </c>
      <c r="U27" s="237">
        <v>0</v>
      </c>
      <c r="V27" s="224" t="s">
        <v>67</v>
      </c>
      <c r="W27" s="224" t="s">
        <v>68</v>
      </c>
      <c r="X27" s="233" t="s">
        <v>67</v>
      </c>
      <c r="Y27" s="243">
        <v>3700</v>
      </c>
      <c r="Z27" s="238" t="s">
        <v>67</v>
      </c>
      <c r="AA27" s="238" t="s">
        <v>67</v>
      </c>
      <c r="AB27" s="238" t="s">
        <v>67</v>
      </c>
      <c r="AC27" s="238" t="s">
        <v>67</v>
      </c>
      <c r="AD27" s="243">
        <v>0</v>
      </c>
      <c r="AE27" s="237">
        <v>0</v>
      </c>
      <c r="AF27" s="243">
        <v>0</v>
      </c>
      <c r="AG27" s="243">
        <v>3700</v>
      </c>
      <c r="AH27" s="247" t="s">
        <v>126</v>
      </c>
      <c r="AI27" s="213" t="s">
        <v>69</v>
      </c>
    </row>
    <row r="28" s="207" customFormat="1" ht="26" customHeight="1" spans="1:35">
      <c r="A28" s="119">
        <v>27</v>
      </c>
      <c r="B28" s="119" t="s">
        <v>129</v>
      </c>
      <c r="C28" s="303" t="s">
        <v>130</v>
      </c>
      <c r="D28" s="158" t="s">
        <v>125</v>
      </c>
      <c r="E28" s="220">
        <v>21.5</v>
      </c>
      <c r="F28" s="119">
        <v>172</v>
      </c>
      <c r="G28" s="220">
        <v>176</v>
      </c>
      <c r="H28" s="221">
        <v>0</v>
      </c>
      <c r="I28" s="224">
        <v>1790</v>
      </c>
      <c r="J28" s="224">
        <v>0</v>
      </c>
      <c r="K28" s="230">
        <v>1810</v>
      </c>
      <c r="L28" s="230">
        <v>400</v>
      </c>
      <c r="M28" s="230">
        <v>4000</v>
      </c>
      <c r="N28" s="231" t="s">
        <v>67</v>
      </c>
      <c r="O28" s="231" t="s">
        <v>67</v>
      </c>
      <c r="P28" s="199" t="s">
        <v>67</v>
      </c>
      <c r="Q28" s="231" t="s">
        <v>67</v>
      </c>
      <c r="R28" s="199" t="s">
        <v>67</v>
      </c>
      <c r="S28" s="231" t="s">
        <v>67</v>
      </c>
      <c r="T28" s="199" t="s">
        <v>67</v>
      </c>
      <c r="U28" s="237">
        <v>0</v>
      </c>
      <c r="V28" s="224" t="s">
        <v>67</v>
      </c>
      <c r="W28" s="224" t="s">
        <v>68</v>
      </c>
      <c r="X28" s="233" t="s">
        <v>67</v>
      </c>
      <c r="Y28" s="243">
        <v>4000</v>
      </c>
      <c r="Z28" s="199" t="s">
        <v>67</v>
      </c>
      <c r="AA28" s="199" t="s">
        <v>67</v>
      </c>
      <c r="AB28" s="199" t="s">
        <v>67</v>
      </c>
      <c r="AC28" s="199" t="s">
        <v>67</v>
      </c>
      <c r="AD28" s="243">
        <v>0</v>
      </c>
      <c r="AE28" s="237">
        <v>0</v>
      </c>
      <c r="AF28" s="243">
        <v>0</v>
      </c>
      <c r="AG28" s="243">
        <v>4000</v>
      </c>
      <c r="AH28" s="247" t="s">
        <v>126</v>
      </c>
      <c r="AI28" s="213" t="s">
        <v>69</v>
      </c>
    </row>
    <row r="29" s="207" customFormat="1" ht="26" customHeight="1" spans="1:35">
      <c r="A29" s="119">
        <v>28</v>
      </c>
      <c r="B29" s="119" t="s">
        <v>131</v>
      </c>
      <c r="C29" s="301" t="s">
        <v>132</v>
      </c>
      <c r="D29" s="158" t="s">
        <v>125</v>
      </c>
      <c r="E29" s="220">
        <v>29</v>
      </c>
      <c r="F29" s="119">
        <v>232</v>
      </c>
      <c r="G29" s="220">
        <v>176</v>
      </c>
      <c r="H29" s="221">
        <v>0</v>
      </c>
      <c r="I29" s="224">
        <v>1790</v>
      </c>
      <c r="J29" s="224">
        <v>0</v>
      </c>
      <c r="K29" s="230">
        <v>910</v>
      </c>
      <c r="L29" s="230">
        <v>300</v>
      </c>
      <c r="M29" s="230">
        <v>3000</v>
      </c>
      <c r="N29" s="231" t="s">
        <v>67</v>
      </c>
      <c r="O29" s="231" t="s">
        <v>67</v>
      </c>
      <c r="P29" s="199" t="s">
        <v>67</v>
      </c>
      <c r="Q29" s="231" t="s">
        <v>67</v>
      </c>
      <c r="R29" s="199" t="s">
        <v>67</v>
      </c>
      <c r="S29" s="231" t="s">
        <v>67</v>
      </c>
      <c r="T29" s="199" t="s">
        <v>67</v>
      </c>
      <c r="U29" s="237">
        <v>0</v>
      </c>
      <c r="V29" s="224" t="s">
        <v>67</v>
      </c>
      <c r="W29" s="224" t="s">
        <v>68</v>
      </c>
      <c r="X29" s="233" t="s">
        <v>67</v>
      </c>
      <c r="Y29" s="243">
        <v>3000</v>
      </c>
      <c r="Z29" s="199" t="s">
        <v>67</v>
      </c>
      <c r="AA29" s="199" t="s">
        <v>67</v>
      </c>
      <c r="AB29" s="199" t="s">
        <v>67</v>
      </c>
      <c r="AC29" s="199" t="s">
        <v>67</v>
      </c>
      <c r="AD29" s="243">
        <v>0</v>
      </c>
      <c r="AE29" s="237">
        <v>0</v>
      </c>
      <c r="AF29" s="243">
        <v>0</v>
      </c>
      <c r="AG29" s="243">
        <v>3000</v>
      </c>
      <c r="AH29" s="247" t="s">
        <v>126</v>
      </c>
      <c r="AI29" s="213" t="s">
        <v>69</v>
      </c>
    </row>
    <row r="30" s="207" customFormat="1" ht="26" customHeight="1" spans="1:35">
      <c r="A30" s="119">
        <v>29</v>
      </c>
      <c r="B30" s="119" t="s">
        <v>133</v>
      </c>
      <c r="C30" s="301" t="s">
        <v>134</v>
      </c>
      <c r="D30" s="158" t="s">
        <v>125</v>
      </c>
      <c r="E30" s="220">
        <v>29</v>
      </c>
      <c r="F30" s="119">
        <v>232</v>
      </c>
      <c r="G30" s="220">
        <v>176</v>
      </c>
      <c r="H30" s="221">
        <v>0</v>
      </c>
      <c r="I30" s="224">
        <v>1790</v>
      </c>
      <c r="J30" s="224">
        <v>0</v>
      </c>
      <c r="K30" s="230">
        <v>460</v>
      </c>
      <c r="L30" s="230">
        <v>250</v>
      </c>
      <c r="M30" s="230">
        <v>2500</v>
      </c>
      <c r="N30" s="231" t="s">
        <v>67</v>
      </c>
      <c r="O30" s="231" t="s">
        <v>67</v>
      </c>
      <c r="P30" s="199" t="s">
        <v>67</v>
      </c>
      <c r="Q30" s="231" t="s">
        <v>67</v>
      </c>
      <c r="R30" s="199" t="s">
        <v>67</v>
      </c>
      <c r="S30" s="231" t="s">
        <v>67</v>
      </c>
      <c r="T30" s="199" t="s">
        <v>67</v>
      </c>
      <c r="U30" s="237">
        <v>0</v>
      </c>
      <c r="V30" s="224" t="s">
        <v>67</v>
      </c>
      <c r="W30" s="224" t="s">
        <v>68</v>
      </c>
      <c r="X30" s="233" t="s">
        <v>67</v>
      </c>
      <c r="Y30" s="243">
        <v>2500</v>
      </c>
      <c r="Z30" s="199" t="s">
        <v>67</v>
      </c>
      <c r="AA30" s="233" t="s">
        <v>67</v>
      </c>
      <c r="AB30" s="199" t="s">
        <v>67</v>
      </c>
      <c r="AC30" s="199" t="s">
        <v>67</v>
      </c>
      <c r="AD30" s="243">
        <v>0</v>
      </c>
      <c r="AE30" s="237">
        <v>0</v>
      </c>
      <c r="AF30" s="243">
        <v>0</v>
      </c>
      <c r="AG30" s="243">
        <v>2500</v>
      </c>
      <c r="AH30" s="247" t="s">
        <v>126</v>
      </c>
      <c r="AI30" s="213" t="s">
        <v>69</v>
      </c>
    </row>
    <row r="31" s="207" customFormat="1" ht="26" customHeight="1" spans="1:35">
      <c r="A31" s="119">
        <v>30</v>
      </c>
      <c r="B31" s="119" t="s">
        <v>135</v>
      </c>
      <c r="C31" s="301" t="s">
        <v>136</v>
      </c>
      <c r="D31" s="158" t="s">
        <v>125</v>
      </c>
      <c r="E31" s="220">
        <v>25</v>
      </c>
      <c r="F31" s="119">
        <v>200</v>
      </c>
      <c r="G31" s="220">
        <v>176</v>
      </c>
      <c r="H31" s="224">
        <v>0</v>
      </c>
      <c r="I31" s="224">
        <v>1790</v>
      </c>
      <c r="J31" s="224">
        <v>0</v>
      </c>
      <c r="K31" s="230">
        <v>10</v>
      </c>
      <c r="L31" s="230">
        <v>200</v>
      </c>
      <c r="M31" s="230">
        <v>2000</v>
      </c>
      <c r="N31" s="231" t="s">
        <v>67</v>
      </c>
      <c r="O31" s="231" t="s">
        <v>67</v>
      </c>
      <c r="P31" s="199" t="s">
        <v>67</v>
      </c>
      <c r="Q31" s="231" t="s">
        <v>67</v>
      </c>
      <c r="R31" s="199" t="s">
        <v>67</v>
      </c>
      <c r="S31" s="231" t="s">
        <v>67</v>
      </c>
      <c r="T31" s="199" t="s">
        <v>67</v>
      </c>
      <c r="U31" s="237">
        <v>0</v>
      </c>
      <c r="V31" s="224" t="s">
        <v>67</v>
      </c>
      <c r="W31" s="224" t="s">
        <v>68</v>
      </c>
      <c r="X31" s="233" t="s">
        <v>67</v>
      </c>
      <c r="Y31" s="243">
        <v>2000</v>
      </c>
      <c r="Z31" s="199" t="s">
        <v>67</v>
      </c>
      <c r="AA31" s="233" t="s">
        <v>67</v>
      </c>
      <c r="AB31" s="199" t="s">
        <v>67</v>
      </c>
      <c r="AC31" s="199" t="s">
        <v>67</v>
      </c>
      <c r="AD31" s="203">
        <v>0</v>
      </c>
      <c r="AE31" s="237">
        <v>0</v>
      </c>
      <c r="AF31" s="243">
        <v>0</v>
      </c>
      <c r="AG31" s="243">
        <v>2000</v>
      </c>
      <c r="AH31" s="247" t="s">
        <v>126</v>
      </c>
      <c r="AI31" s="213" t="s">
        <v>69</v>
      </c>
    </row>
    <row r="32" s="207" customFormat="1" ht="26" customHeight="1" spans="1:35">
      <c r="A32" s="119">
        <v>31</v>
      </c>
      <c r="B32" s="125" t="s">
        <v>137</v>
      </c>
      <c r="C32" s="119" t="s">
        <v>138</v>
      </c>
      <c r="D32" s="158" t="s">
        <v>125</v>
      </c>
      <c r="E32" s="220">
        <v>22</v>
      </c>
      <c r="F32" s="119">
        <v>176</v>
      </c>
      <c r="G32" s="220">
        <v>176</v>
      </c>
      <c r="H32" s="224">
        <v>0</v>
      </c>
      <c r="I32" s="224">
        <v>800</v>
      </c>
      <c r="J32" s="224">
        <v>0</v>
      </c>
      <c r="K32" s="230">
        <v>0</v>
      </c>
      <c r="L32" s="230">
        <v>0</v>
      </c>
      <c r="M32" s="230">
        <v>800</v>
      </c>
      <c r="N32" s="224" t="s">
        <v>67</v>
      </c>
      <c r="O32" s="224" t="s">
        <v>67</v>
      </c>
      <c r="P32" s="233" t="s">
        <v>67</v>
      </c>
      <c r="Q32" s="224" t="s">
        <v>67</v>
      </c>
      <c r="R32" s="238" t="s">
        <v>67</v>
      </c>
      <c r="S32" s="224" t="s">
        <v>67</v>
      </c>
      <c r="T32" s="238" t="s">
        <v>67</v>
      </c>
      <c r="U32" s="224">
        <v>0</v>
      </c>
      <c r="V32" s="224" t="s">
        <v>67</v>
      </c>
      <c r="W32" s="224" t="s">
        <v>68</v>
      </c>
      <c r="X32" s="239" t="s">
        <v>67</v>
      </c>
      <c r="Y32" s="243">
        <v>800</v>
      </c>
      <c r="Z32" s="238" t="s">
        <v>67</v>
      </c>
      <c r="AA32" s="238" t="s">
        <v>67</v>
      </c>
      <c r="AB32" s="238" t="s">
        <v>67</v>
      </c>
      <c r="AC32" s="238" t="s">
        <v>67</v>
      </c>
      <c r="AD32" s="203">
        <v>0</v>
      </c>
      <c r="AE32" s="237">
        <v>0</v>
      </c>
      <c r="AF32" s="243">
        <v>0</v>
      </c>
      <c r="AG32" s="243">
        <v>800</v>
      </c>
      <c r="AH32" s="247" t="s">
        <v>126</v>
      </c>
      <c r="AI32" s="207" t="s">
        <v>139</v>
      </c>
    </row>
    <row r="33" s="207" customFormat="1" ht="26" customHeight="1" spans="1:35">
      <c r="A33" s="119">
        <v>32</v>
      </c>
      <c r="B33" s="119" t="s">
        <v>140</v>
      </c>
      <c r="C33" s="119" t="s">
        <v>141</v>
      </c>
      <c r="D33" s="158" t="s">
        <v>142</v>
      </c>
      <c r="E33" s="220">
        <v>17</v>
      </c>
      <c r="F33" s="119">
        <v>136</v>
      </c>
      <c r="G33" s="220">
        <v>176</v>
      </c>
      <c r="H33" s="224">
        <v>0</v>
      </c>
      <c r="I33" s="224">
        <v>1790</v>
      </c>
      <c r="J33" s="224">
        <v>0</v>
      </c>
      <c r="K33" s="230">
        <v>7291.232</v>
      </c>
      <c r="L33" s="230">
        <v>2270.308</v>
      </c>
      <c r="M33" s="230">
        <v>11351.54</v>
      </c>
      <c r="N33" s="231">
        <v>0</v>
      </c>
      <c r="O33" s="231" t="s">
        <v>67</v>
      </c>
      <c r="P33" s="199">
        <v>390</v>
      </c>
      <c r="Q33" s="231" t="s">
        <v>67</v>
      </c>
      <c r="R33" s="199" t="s">
        <v>67</v>
      </c>
      <c r="S33" s="231">
        <v>575.58</v>
      </c>
      <c r="T33" s="199" t="s">
        <v>67</v>
      </c>
      <c r="U33" s="237">
        <v>0</v>
      </c>
      <c r="V33" s="224" t="s">
        <v>67</v>
      </c>
      <c r="W33" s="224" t="s">
        <v>68</v>
      </c>
      <c r="X33" s="233" t="s">
        <v>67</v>
      </c>
      <c r="Y33" s="243">
        <v>12317.12</v>
      </c>
      <c r="Z33" s="199">
        <v>428.8</v>
      </c>
      <c r="AA33" s="233">
        <v>110.2</v>
      </c>
      <c r="AB33" s="199">
        <v>26.8</v>
      </c>
      <c r="AC33" s="199">
        <v>420</v>
      </c>
      <c r="AD33" s="203">
        <v>0</v>
      </c>
      <c r="AE33" s="237">
        <v>985.8</v>
      </c>
      <c r="AF33" s="243">
        <v>0</v>
      </c>
      <c r="AG33" s="243">
        <v>11331.32</v>
      </c>
      <c r="AH33" s="247"/>
      <c r="AI33" s="213" t="s">
        <v>69</v>
      </c>
    </row>
    <row r="34" s="207" customFormat="1" ht="26" customHeight="1" spans="1:35">
      <c r="A34" s="119">
        <v>33</v>
      </c>
      <c r="B34" s="119" t="s">
        <v>143</v>
      </c>
      <c r="C34" s="119" t="s">
        <v>144</v>
      </c>
      <c r="D34" s="158" t="s">
        <v>145</v>
      </c>
      <c r="E34" s="220">
        <v>20.125</v>
      </c>
      <c r="F34" s="119">
        <v>161</v>
      </c>
      <c r="G34" s="220">
        <v>176</v>
      </c>
      <c r="H34" s="224">
        <v>0</v>
      </c>
      <c r="I34" s="224">
        <v>1790</v>
      </c>
      <c r="J34" s="224">
        <v>0</v>
      </c>
      <c r="K34" s="230">
        <v>4210</v>
      </c>
      <c r="L34" s="230">
        <v>1500</v>
      </c>
      <c r="M34" s="230">
        <v>7500</v>
      </c>
      <c r="N34" s="231">
        <v>0</v>
      </c>
      <c r="O34" s="231" t="s">
        <v>67</v>
      </c>
      <c r="P34" s="199">
        <v>160</v>
      </c>
      <c r="Q34" s="231" t="s">
        <v>67</v>
      </c>
      <c r="R34" s="199" t="s">
        <v>67</v>
      </c>
      <c r="S34" s="231" t="s">
        <v>67</v>
      </c>
      <c r="T34" s="199" t="s">
        <v>67</v>
      </c>
      <c r="U34" s="237">
        <v>0</v>
      </c>
      <c r="V34" s="224" t="s">
        <v>67</v>
      </c>
      <c r="W34" s="224" t="s">
        <v>68</v>
      </c>
      <c r="X34" s="233" t="s">
        <v>67</v>
      </c>
      <c r="Y34" s="243">
        <v>7660</v>
      </c>
      <c r="Z34" s="199">
        <v>226.9</v>
      </c>
      <c r="AA34" s="233">
        <v>104.57</v>
      </c>
      <c r="AB34" s="199">
        <v>8.51</v>
      </c>
      <c r="AC34" s="199">
        <v>209</v>
      </c>
      <c r="AD34" s="203">
        <v>261.84</v>
      </c>
      <c r="AE34" s="237">
        <v>810.82</v>
      </c>
      <c r="AF34" s="243">
        <v>0</v>
      </c>
      <c r="AG34" s="243">
        <v>6849.18</v>
      </c>
      <c r="AH34" s="247"/>
      <c r="AI34" s="213" t="s">
        <v>69</v>
      </c>
    </row>
    <row r="35" s="207" customFormat="1" ht="26" customHeight="1" spans="1:35">
      <c r="A35" s="119">
        <v>34</v>
      </c>
      <c r="B35" s="119" t="s">
        <v>146</v>
      </c>
      <c r="C35" s="301" t="s">
        <v>147</v>
      </c>
      <c r="D35" s="158" t="s">
        <v>145</v>
      </c>
      <c r="E35" s="220">
        <v>20.5</v>
      </c>
      <c r="F35" s="119">
        <v>164</v>
      </c>
      <c r="G35" s="220">
        <v>176</v>
      </c>
      <c r="H35" s="224">
        <v>0</v>
      </c>
      <c r="I35" s="224">
        <v>1790</v>
      </c>
      <c r="J35" s="224">
        <v>0</v>
      </c>
      <c r="K35" s="230">
        <v>10360</v>
      </c>
      <c r="L35" s="230">
        <v>1350</v>
      </c>
      <c r="M35" s="230">
        <v>13500</v>
      </c>
      <c r="N35" s="231">
        <v>-135</v>
      </c>
      <c r="O35" s="231" t="s">
        <v>67</v>
      </c>
      <c r="P35" s="199" t="s">
        <v>67</v>
      </c>
      <c r="Q35" s="231" t="s">
        <v>67</v>
      </c>
      <c r="R35" s="199" t="s">
        <v>67</v>
      </c>
      <c r="S35" s="231" t="s">
        <v>67</v>
      </c>
      <c r="T35" s="199" t="s">
        <v>67</v>
      </c>
      <c r="U35" s="237">
        <v>0</v>
      </c>
      <c r="V35" s="224" t="s">
        <v>67</v>
      </c>
      <c r="W35" s="224" t="s">
        <v>68</v>
      </c>
      <c r="X35" s="233">
        <v>-60</v>
      </c>
      <c r="Y35" s="243">
        <v>13305</v>
      </c>
      <c r="Z35" s="238">
        <v>226.9</v>
      </c>
      <c r="AA35" s="233">
        <v>104.57</v>
      </c>
      <c r="AB35" s="238">
        <v>8.51</v>
      </c>
      <c r="AC35" s="238">
        <v>209</v>
      </c>
      <c r="AD35" s="203">
        <v>261.84</v>
      </c>
      <c r="AE35" s="237">
        <v>810.82</v>
      </c>
      <c r="AF35" s="243">
        <v>770.32</v>
      </c>
      <c r="AG35" s="243">
        <v>11723.86</v>
      </c>
      <c r="AH35" s="247"/>
      <c r="AI35" s="213" t="s">
        <v>69</v>
      </c>
    </row>
    <row r="36" s="207" customFormat="1" ht="26" customHeight="1" spans="1:35">
      <c r="A36" s="119">
        <v>35</v>
      </c>
      <c r="B36" s="119" t="s">
        <v>148</v>
      </c>
      <c r="C36" s="119" t="s">
        <v>149</v>
      </c>
      <c r="D36" s="158" t="s">
        <v>145</v>
      </c>
      <c r="E36" s="220">
        <v>20.25</v>
      </c>
      <c r="F36" s="119">
        <v>162</v>
      </c>
      <c r="G36" s="220">
        <v>176</v>
      </c>
      <c r="H36" s="224">
        <v>0</v>
      </c>
      <c r="I36" s="224">
        <v>1790</v>
      </c>
      <c r="J36" s="224">
        <v>0</v>
      </c>
      <c r="K36" s="230">
        <v>13510</v>
      </c>
      <c r="L36" s="230">
        <v>1700</v>
      </c>
      <c r="M36" s="230">
        <v>17000</v>
      </c>
      <c r="N36" s="231">
        <v>-170</v>
      </c>
      <c r="O36" s="231" t="s">
        <v>67</v>
      </c>
      <c r="P36" s="199">
        <v>100</v>
      </c>
      <c r="Q36" s="231" t="s">
        <v>67</v>
      </c>
      <c r="R36" s="199" t="s">
        <v>67</v>
      </c>
      <c r="S36" s="231" t="s">
        <v>67</v>
      </c>
      <c r="T36" s="199" t="s">
        <v>67</v>
      </c>
      <c r="U36" s="237">
        <v>0</v>
      </c>
      <c r="V36" s="224" t="s">
        <v>67</v>
      </c>
      <c r="W36" s="224" t="s">
        <v>68</v>
      </c>
      <c r="X36" s="233" t="s">
        <v>67</v>
      </c>
      <c r="Y36" s="243">
        <v>16930</v>
      </c>
      <c r="Z36" s="238">
        <v>226.9</v>
      </c>
      <c r="AA36" s="233">
        <v>104.57</v>
      </c>
      <c r="AB36" s="238">
        <v>8.51</v>
      </c>
      <c r="AC36" s="238">
        <v>159</v>
      </c>
      <c r="AD36" s="203">
        <v>261.84</v>
      </c>
      <c r="AE36" s="237">
        <v>760.82</v>
      </c>
      <c r="AF36" s="243">
        <v>732.82</v>
      </c>
      <c r="AG36" s="243">
        <v>15436.36</v>
      </c>
      <c r="AH36" s="247"/>
      <c r="AI36" s="213" t="s">
        <v>69</v>
      </c>
    </row>
    <row r="37" s="207" customFormat="1" ht="26" customHeight="1" spans="1:35">
      <c r="A37" s="119">
        <v>36</v>
      </c>
      <c r="B37" s="119" t="s">
        <v>150</v>
      </c>
      <c r="C37" s="119" t="s">
        <v>151</v>
      </c>
      <c r="D37" s="158" t="s">
        <v>152</v>
      </c>
      <c r="E37" s="220">
        <v>27.5</v>
      </c>
      <c r="F37" s="119">
        <v>220</v>
      </c>
      <c r="G37" s="220">
        <v>176</v>
      </c>
      <c r="H37" s="224">
        <v>44</v>
      </c>
      <c r="I37" s="224">
        <v>1790</v>
      </c>
      <c r="J37" s="224">
        <v>905.287356321839</v>
      </c>
      <c r="K37" s="224">
        <v>4054.71264367816</v>
      </c>
      <c r="L37" s="224">
        <v>750</v>
      </c>
      <c r="M37" s="230">
        <v>7500</v>
      </c>
      <c r="N37" s="231" t="s">
        <v>67</v>
      </c>
      <c r="O37" s="231" t="s">
        <v>67</v>
      </c>
      <c r="P37" s="199">
        <v>20</v>
      </c>
      <c r="Q37" s="231" t="s">
        <v>67</v>
      </c>
      <c r="R37" s="199" t="s">
        <v>67</v>
      </c>
      <c r="S37" s="231" t="s">
        <v>67</v>
      </c>
      <c r="T37" s="199" t="s">
        <v>67</v>
      </c>
      <c r="U37" s="237">
        <v>0</v>
      </c>
      <c r="V37" s="224" t="s">
        <v>67</v>
      </c>
      <c r="W37" s="224" t="s">
        <v>68</v>
      </c>
      <c r="X37" s="233" t="s">
        <v>67</v>
      </c>
      <c r="Y37" s="243">
        <v>7520</v>
      </c>
      <c r="Z37" s="238">
        <v>226.9</v>
      </c>
      <c r="AA37" s="238">
        <v>104.57</v>
      </c>
      <c r="AB37" s="238">
        <v>8.51</v>
      </c>
      <c r="AC37" s="238">
        <v>159</v>
      </c>
      <c r="AD37" s="203">
        <v>261.84</v>
      </c>
      <c r="AE37" s="237">
        <v>760.82</v>
      </c>
      <c r="AF37" s="243">
        <v>0</v>
      </c>
      <c r="AG37" s="243">
        <v>6759.18</v>
      </c>
      <c r="AH37" s="247"/>
      <c r="AI37" s="213" t="s">
        <v>69</v>
      </c>
    </row>
    <row r="38" s="207" customFormat="1" ht="26" customHeight="1" spans="1:35">
      <c r="A38" s="119">
        <v>37</v>
      </c>
      <c r="B38" s="119" t="s">
        <v>153</v>
      </c>
      <c r="C38" s="119" t="s">
        <v>154</v>
      </c>
      <c r="D38" s="158" t="s">
        <v>152</v>
      </c>
      <c r="E38" s="220">
        <v>28.5625</v>
      </c>
      <c r="F38" s="119">
        <v>228.5</v>
      </c>
      <c r="G38" s="220">
        <v>176</v>
      </c>
      <c r="H38" s="221">
        <v>52.5</v>
      </c>
      <c r="I38" s="224">
        <v>1790</v>
      </c>
      <c r="J38" s="224">
        <v>1080.1724137931</v>
      </c>
      <c r="K38" s="230">
        <v>3879.8275862069</v>
      </c>
      <c r="L38" s="230">
        <v>750</v>
      </c>
      <c r="M38" s="230">
        <v>7500</v>
      </c>
      <c r="N38" s="231">
        <v>0</v>
      </c>
      <c r="O38" s="231" t="s">
        <v>67</v>
      </c>
      <c r="P38" s="199">
        <v>100</v>
      </c>
      <c r="Q38" s="231" t="s">
        <v>67</v>
      </c>
      <c r="R38" s="199" t="s">
        <v>67</v>
      </c>
      <c r="S38" s="231" t="s">
        <v>67</v>
      </c>
      <c r="T38" s="199" t="s">
        <v>67</v>
      </c>
      <c r="U38" s="237">
        <v>0</v>
      </c>
      <c r="V38" s="224" t="s">
        <v>67</v>
      </c>
      <c r="W38" s="224" t="s">
        <v>68</v>
      </c>
      <c r="X38" s="233" t="s">
        <v>67</v>
      </c>
      <c r="Y38" s="243">
        <v>7600</v>
      </c>
      <c r="Z38" s="238">
        <v>226.9</v>
      </c>
      <c r="AA38" s="238">
        <v>104.57</v>
      </c>
      <c r="AB38" s="238">
        <v>8.51</v>
      </c>
      <c r="AC38" s="238">
        <v>159</v>
      </c>
      <c r="AD38" s="243">
        <v>261.84</v>
      </c>
      <c r="AE38" s="237">
        <v>760.82</v>
      </c>
      <c r="AF38" s="243">
        <v>59.95</v>
      </c>
      <c r="AG38" s="243">
        <v>6779.23</v>
      </c>
      <c r="AH38" s="247"/>
      <c r="AI38" s="213" t="s">
        <v>69</v>
      </c>
    </row>
    <row r="39" s="207" customFormat="1" ht="26" customHeight="1" spans="1:35">
      <c r="A39" s="119">
        <v>38</v>
      </c>
      <c r="B39" s="119" t="s">
        <v>155</v>
      </c>
      <c r="C39" s="119" t="s">
        <v>156</v>
      </c>
      <c r="D39" s="158" t="s">
        <v>78</v>
      </c>
      <c r="E39" s="220">
        <v>18</v>
      </c>
      <c r="F39" s="119">
        <v>144</v>
      </c>
      <c r="G39" s="220">
        <v>176</v>
      </c>
      <c r="H39" s="221">
        <v>0</v>
      </c>
      <c r="I39" s="224">
        <v>1790</v>
      </c>
      <c r="J39" s="224">
        <v>0</v>
      </c>
      <c r="K39" s="230">
        <v>3430</v>
      </c>
      <c r="L39" s="230">
        <v>580</v>
      </c>
      <c r="M39" s="230">
        <v>5800</v>
      </c>
      <c r="N39" s="231">
        <v>0</v>
      </c>
      <c r="O39" s="231" t="s">
        <v>67</v>
      </c>
      <c r="P39" s="199">
        <v>40</v>
      </c>
      <c r="Q39" s="231" t="s">
        <v>67</v>
      </c>
      <c r="R39" s="199" t="s">
        <v>67</v>
      </c>
      <c r="S39" s="231" t="s">
        <v>67</v>
      </c>
      <c r="T39" s="199" t="s">
        <v>67</v>
      </c>
      <c r="U39" s="237">
        <v>0</v>
      </c>
      <c r="V39" s="224" t="s">
        <v>67</v>
      </c>
      <c r="W39" s="224" t="s">
        <v>68</v>
      </c>
      <c r="X39" s="233" t="s">
        <v>67</v>
      </c>
      <c r="Y39" s="243">
        <v>5840</v>
      </c>
      <c r="Z39" s="238">
        <v>226.9</v>
      </c>
      <c r="AA39" s="238">
        <v>104.57</v>
      </c>
      <c r="AB39" s="238">
        <v>8.51</v>
      </c>
      <c r="AC39" s="238">
        <v>159</v>
      </c>
      <c r="AD39" s="243">
        <v>261.84</v>
      </c>
      <c r="AE39" s="237">
        <v>760.82</v>
      </c>
      <c r="AF39" s="243">
        <v>7.15</v>
      </c>
      <c r="AG39" s="243">
        <v>5072.03</v>
      </c>
      <c r="AH39" s="247"/>
      <c r="AI39" s="213" t="s">
        <v>69</v>
      </c>
    </row>
    <row r="40" s="207" customFormat="1" ht="26" customHeight="1" spans="1:35">
      <c r="A40" s="119">
        <v>39</v>
      </c>
      <c r="B40" s="119" t="s">
        <v>157</v>
      </c>
      <c r="C40" s="119" t="s">
        <v>158</v>
      </c>
      <c r="D40" s="158" t="s">
        <v>159</v>
      </c>
      <c r="E40" s="220">
        <v>26.625</v>
      </c>
      <c r="F40" s="119">
        <v>213</v>
      </c>
      <c r="G40" s="220">
        <v>176</v>
      </c>
      <c r="H40" s="221">
        <v>37</v>
      </c>
      <c r="I40" s="224">
        <v>1790</v>
      </c>
      <c r="J40" s="224">
        <v>761.264367816092</v>
      </c>
      <c r="K40" s="230">
        <v>1498.73563218391</v>
      </c>
      <c r="L40" s="230">
        <v>450</v>
      </c>
      <c r="M40" s="230">
        <v>4500</v>
      </c>
      <c r="N40" s="231">
        <v>-135</v>
      </c>
      <c r="O40" s="231" t="s">
        <v>67</v>
      </c>
      <c r="P40" s="199">
        <v>100</v>
      </c>
      <c r="Q40" s="231" t="s">
        <v>67</v>
      </c>
      <c r="R40" s="199" t="s">
        <v>67</v>
      </c>
      <c r="S40" s="231" t="s">
        <v>67</v>
      </c>
      <c r="T40" s="199" t="s">
        <v>67</v>
      </c>
      <c r="U40" s="237">
        <v>0</v>
      </c>
      <c r="V40" s="224" t="s">
        <v>67</v>
      </c>
      <c r="W40" s="224" t="s">
        <v>68</v>
      </c>
      <c r="X40" s="233" t="s">
        <v>67</v>
      </c>
      <c r="Y40" s="243">
        <v>4465</v>
      </c>
      <c r="Z40" s="233">
        <v>226.9</v>
      </c>
      <c r="AA40" s="233">
        <v>104.57</v>
      </c>
      <c r="AB40" s="233">
        <v>8.51</v>
      </c>
      <c r="AC40" s="233">
        <v>159</v>
      </c>
      <c r="AD40" s="243">
        <v>261.84</v>
      </c>
      <c r="AE40" s="237">
        <v>760.82</v>
      </c>
      <c r="AF40" s="243">
        <v>0</v>
      </c>
      <c r="AG40" s="243">
        <v>3704.18</v>
      </c>
      <c r="AH40" s="247"/>
      <c r="AI40" s="213" t="s">
        <v>69</v>
      </c>
    </row>
  </sheetData>
  <autoFilter ref="A1:AI40">
    <extLst/>
  </autoFilter>
  <conditionalFormatting sqref="B4">
    <cfRule type="duplicateValues" dxfId="0" priority="13"/>
    <cfRule type="duplicateValues" dxfId="0" priority="14"/>
  </conditionalFormatting>
  <conditionalFormatting sqref="B3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31 B33:B1048576">
    <cfRule type="duplicateValues" dxfId="0" priority="12"/>
  </conditionalFormatting>
  <conditionalFormatting sqref="B1:B3 B5:B31 B33:B1048576">
    <cfRule type="duplicateValues" dxfId="0" priority="15"/>
  </conditionalFormatting>
  <conditionalFormatting sqref="B1:B3 B5:B31 B33:B40">
    <cfRule type="duplicateValues" dxfId="0" priority="16"/>
  </conditionalFormatting>
  <pageMargins left="0.0388888888888889" right="0.0784722222222222" top="0.196527777777778" bottom="0.0784722222222222" header="0.156944444444444" footer="0.0784722222222222"/>
  <pageSetup paperSize="9" scale="48" fitToWidth="0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7"/>
  <sheetViews>
    <sheetView topLeftCell="O1" workbookViewId="0">
      <pane ySplit="1" topLeftCell="A2" activePane="bottomLeft" state="frozen"/>
      <selection/>
      <selection pane="bottomLeft" activeCell="C1" sqref="C$1:Z$1048576"/>
    </sheetView>
  </sheetViews>
  <sheetFormatPr defaultColWidth="9" defaultRowHeight="25" customHeight="1"/>
  <cols>
    <col min="1" max="1" width="4.875" style="177" customWidth="1"/>
    <col min="2" max="2" width="6.25" style="178" customWidth="1"/>
    <col min="3" max="3" width="17.875" style="177" customWidth="1"/>
    <col min="4" max="4" width="17.625" style="177" customWidth="1"/>
    <col min="5" max="5" width="11.25" style="177" customWidth="1"/>
    <col min="6" max="6" width="9.375" style="179" customWidth="1"/>
    <col min="7" max="8" width="9.375" style="177" customWidth="1"/>
    <col min="9" max="9" width="12.625" style="180" customWidth="1"/>
    <col min="10" max="10" width="11.5" style="180" customWidth="1"/>
    <col min="11" max="11" width="10.375" style="180" customWidth="1"/>
    <col min="12" max="12" width="10.375" style="181" customWidth="1"/>
    <col min="13" max="13" width="9.375" style="182" customWidth="1"/>
    <col min="14" max="14" width="6.625" style="182" customWidth="1"/>
    <col min="15" max="15" width="8.375" style="182" customWidth="1"/>
    <col min="16" max="16" width="10.375" style="182" customWidth="1"/>
    <col min="17" max="17" width="8.875" style="182" customWidth="1"/>
    <col min="18" max="18" width="6.375" style="183" customWidth="1"/>
    <col min="19" max="20" width="8.375" style="183" customWidth="1"/>
    <col min="21" max="23" width="11.5" style="183" customWidth="1"/>
    <col min="24" max="24" width="9.375" style="183" customWidth="1"/>
    <col min="25" max="25" width="11.5" style="183" customWidth="1"/>
    <col min="26" max="26" width="12.625" style="183" customWidth="1"/>
    <col min="27" max="27" width="10.375" style="184" customWidth="1"/>
    <col min="28" max="28" width="10.25" style="183" customWidth="1"/>
    <col min="29" max="29" width="12" style="185" customWidth="1"/>
    <col min="30" max="30" width="7" style="186" customWidth="1"/>
    <col min="31" max="31" width="7.875" style="186" customWidth="1"/>
    <col min="32" max="16384" width="9" style="186"/>
  </cols>
  <sheetData>
    <row r="1" s="175" customFormat="1" ht="30" customHeight="1" spans="1:31">
      <c r="A1" s="187" t="s">
        <v>14</v>
      </c>
      <c r="B1" s="187" t="s">
        <v>4</v>
      </c>
      <c r="C1" s="187" t="s">
        <v>15</v>
      </c>
      <c r="D1" s="187" t="s">
        <v>160</v>
      </c>
      <c r="E1" s="188" t="s">
        <v>17</v>
      </c>
      <c r="F1" s="189" t="s">
        <v>55</v>
      </c>
      <c r="G1" s="188" t="s">
        <v>57</v>
      </c>
      <c r="H1" s="188" t="s">
        <v>161</v>
      </c>
      <c r="I1" s="192" t="s">
        <v>22</v>
      </c>
      <c r="J1" s="193" t="s">
        <v>23</v>
      </c>
      <c r="K1" s="193" t="s">
        <v>24</v>
      </c>
      <c r="L1" s="193" t="s">
        <v>25</v>
      </c>
      <c r="M1" s="194" t="s">
        <v>26</v>
      </c>
      <c r="N1" s="194" t="s">
        <v>27</v>
      </c>
      <c r="O1" s="194" t="s">
        <v>28</v>
      </c>
      <c r="P1" s="194" t="s">
        <v>29</v>
      </c>
      <c r="Q1" s="194" t="s">
        <v>162</v>
      </c>
      <c r="R1" s="194" t="s">
        <v>32</v>
      </c>
      <c r="S1" s="194" t="s">
        <v>59</v>
      </c>
      <c r="T1" s="194" t="s">
        <v>60</v>
      </c>
      <c r="U1" s="194" t="s">
        <v>35</v>
      </c>
      <c r="V1" s="194" t="s">
        <v>36</v>
      </c>
      <c r="W1" s="194" t="s">
        <v>37</v>
      </c>
      <c r="X1" s="194" t="s">
        <v>38</v>
      </c>
      <c r="Y1" s="194" t="s">
        <v>39</v>
      </c>
      <c r="Z1" s="194" t="s">
        <v>61</v>
      </c>
      <c r="AA1" s="200" t="s">
        <v>62</v>
      </c>
      <c r="AB1" s="193" t="s">
        <v>41</v>
      </c>
      <c r="AC1" s="201" t="s">
        <v>42</v>
      </c>
      <c r="AD1" s="202" t="s">
        <v>7</v>
      </c>
      <c r="AE1" s="175" t="s">
        <v>63</v>
      </c>
    </row>
    <row r="2" s="176" customFormat="1" ht="26" customHeight="1" spans="1:31">
      <c r="A2" s="126">
        <v>1</v>
      </c>
      <c r="B2" s="126" t="s">
        <v>163</v>
      </c>
      <c r="C2" s="126" t="s">
        <v>164</v>
      </c>
      <c r="D2" s="126" t="s">
        <v>152</v>
      </c>
      <c r="E2" s="190" t="s">
        <v>165</v>
      </c>
      <c r="F2" s="191">
        <v>201</v>
      </c>
      <c r="G2" s="191">
        <v>75.5</v>
      </c>
      <c r="H2" s="191">
        <v>276.5</v>
      </c>
      <c r="I2" s="195">
        <v>3953.95</v>
      </c>
      <c r="J2" s="196">
        <v>0</v>
      </c>
      <c r="K2" s="196" t="s">
        <v>67</v>
      </c>
      <c r="L2" s="197" t="s">
        <v>67</v>
      </c>
      <c r="M2" s="197">
        <v>40</v>
      </c>
      <c r="N2" s="197" t="s">
        <v>67</v>
      </c>
      <c r="O2" s="197" t="s">
        <v>67</v>
      </c>
      <c r="P2" s="197" t="s">
        <v>67</v>
      </c>
      <c r="Q2" s="197" t="s">
        <v>67</v>
      </c>
      <c r="R2" s="198" t="s">
        <v>67</v>
      </c>
      <c r="S2" s="198" t="s">
        <v>67</v>
      </c>
      <c r="T2" s="198" t="s">
        <v>67</v>
      </c>
      <c r="U2" s="198">
        <v>3993.95</v>
      </c>
      <c r="V2" s="199">
        <v>226.9</v>
      </c>
      <c r="W2" s="199">
        <v>104.57</v>
      </c>
      <c r="X2" s="199">
        <v>8.51</v>
      </c>
      <c r="Y2" s="199">
        <v>89.5</v>
      </c>
      <c r="Z2" s="196">
        <v>261.84</v>
      </c>
      <c r="AA2" s="203">
        <v>691.32</v>
      </c>
      <c r="AB2" s="196">
        <v>0</v>
      </c>
      <c r="AC2" s="204">
        <v>3302.63</v>
      </c>
      <c r="AD2" s="126"/>
      <c r="AE2" s="176" t="s">
        <v>69</v>
      </c>
    </row>
    <row r="3" s="176" customFormat="1" ht="26" customHeight="1" spans="1:31">
      <c r="A3" s="126">
        <v>2</v>
      </c>
      <c r="B3" s="126" t="s">
        <v>166</v>
      </c>
      <c r="C3" s="126" t="s">
        <v>167</v>
      </c>
      <c r="D3" s="126" t="s">
        <v>152</v>
      </c>
      <c r="E3" s="190" t="s">
        <v>165</v>
      </c>
      <c r="F3" s="191">
        <v>200</v>
      </c>
      <c r="G3" s="191">
        <v>78.5</v>
      </c>
      <c r="H3" s="191">
        <v>278.5</v>
      </c>
      <c r="I3" s="195">
        <v>3982.55</v>
      </c>
      <c r="J3" s="196">
        <v>0</v>
      </c>
      <c r="K3" s="196" t="s">
        <v>67</v>
      </c>
      <c r="L3" s="197" t="s">
        <v>67</v>
      </c>
      <c r="M3" s="197">
        <v>40</v>
      </c>
      <c r="N3" s="197" t="s">
        <v>67</v>
      </c>
      <c r="O3" s="197" t="s">
        <v>67</v>
      </c>
      <c r="P3" s="197" t="s">
        <v>67</v>
      </c>
      <c r="Q3" s="197" t="s">
        <v>67</v>
      </c>
      <c r="R3" s="198" t="s">
        <v>67</v>
      </c>
      <c r="S3" s="198" t="s">
        <v>67</v>
      </c>
      <c r="T3" s="198" t="s">
        <v>67</v>
      </c>
      <c r="U3" s="198">
        <v>4022.55</v>
      </c>
      <c r="V3" s="199">
        <v>226.9</v>
      </c>
      <c r="W3" s="199">
        <v>104.57</v>
      </c>
      <c r="X3" s="199">
        <v>8.51</v>
      </c>
      <c r="Y3" s="199">
        <v>89.5</v>
      </c>
      <c r="Z3" s="196">
        <v>261.84</v>
      </c>
      <c r="AA3" s="203">
        <v>691.32</v>
      </c>
      <c r="AB3" s="196">
        <v>0</v>
      </c>
      <c r="AC3" s="204">
        <v>3331.23</v>
      </c>
      <c r="AD3" s="126"/>
      <c r="AE3" s="176" t="s">
        <v>69</v>
      </c>
    </row>
    <row r="4" s="176" customFormat="1" ht="26" customHeight="1" spans="1:31">
      <c r="A4" s="126">
        <v>3</v>
      </c>
      <c r="B4" s="126" t="s">
        <v>168</v>
      </c>
      <c r="C4" s="126" t="s">
        <v>169</v>
      </c>
      <c r="D4" s="126" t="s">
        <v>152</v>
      </c>
      <c r="E4" s="190" t="s">
        <v>165</v>
      </c>
      <c r="F4" s="191">
        <v>204.5</v>
      </c>
      <c r="G4" s="191">
        <v>81</v>
      </c>
      <c r="H4" s="191">
        <v>285.5</v>
      </c>
      <c r="I4" s="195">
        <v>3711.5</v>
      </c>
      <c r="J4" s="196">
        <v>0</v>
      </c>
      <c r="K4" s="196" t="s">
        <v>67</v>
      </c>
      <c r="L4" s="197" t="s">
        <v>67</v>
      </c>
      <c r="M4" s="197">
        <v>40</v>
      </c>
      <c r="N4" s="197" t="s">
        <v>67</v>
      </c>
      <c r="O4" s="197" t="s">
        <v>67</v>
      </c>
      <c r="P4" s="197" t="s">
        <v>67</v>
      </c>
      <c r="Q4" s="197" t="s">
        <v>67</v>
      </c>
      <c r="R4" s="198" t="s">
        <v>67</v>
      </c>
      <c r="S4" s="198" t="s">
        <v>67</v>
      </c>
      <c r="T4" s="198" t="s">
        <v>67</v>
      </c>
      <c r="U4" s="198">
        <v>3751.5</v>
      </c>
      <c r="V4" s="199">
        <v>226.9</v>
      </c>
      <c r="W4" s="199">
        <v>104.57</v>
      </c>
      <c r="X4" s="199">
        <v>8.51</v>
      </c>
      <c r="Y4" s="199">
        <v>89.5</v>
      </c>
      <c r="Z4" s="196">
        <v>261.84</v>
      </c>
      <c r="AA4" s="203">
        <v>691.32</v>
      </c>
      <c r="AB4" s="196">
        <v>0</v>
      </c>
      <c r="AC4" s="204">
        <v>3060.18</v>
      </c>
      <c r="AD4" s="126"/>
      <c r="AE4" s="176" t="s">
        <v>69</v>
      </c>
    </row>
    <row r="5" s="176" customFormat="1" ht="26" customHeight="1" spans="1:31">
      <c r="A5" s="126">
        <v>4</v>
      </c>
      <c r="B5" s="126" t="s">
        <v>170</v>
      </c>
      <c r="C5" s="126" t="s">
        <v>171</v>
      </c>
      <c r="D5" s="126" t="s">
        <v>152</v>
      </c>
      <c r="E5" s="190" t="s">
        <v>165</v>
      </c>
      <c r="F5" s="191">
        <v>164</v>
      </c>
      <c r="G5" s="191">
        <v>71.5</v>
      </c>
      <c r="H5" s="191">
        <v>235.5</v>
      </c>
      <c r="I5" s="195">
        <v>3061.5</v>
      </c>
      <c r="J5" s="196">
        <v>0</v>
      </c>
      <c r="K5" s="196" t="s">
        <v>67</v>
      </c>
      <c r="L5" s="197" t="s">
        <v>67</v>
      </c>
      <c r="M5" s="197">
        <v>20</v>
      </c>
      <c r="N5" s="197" t="s">
        <v>67</v>
      </c>
      <c r="O5" s="197" t="s">
        <v>67</v>
      </c>
      <c r="P5" s="197" t="s">
        <v>67</v>
      </c>
      <c r="Q5" s="197" t="s">
        <v>67</v>
      </c>
      <c r="R5" s="198" t="s">
        <v>67</v>
      </c>
      <c r="S5" s="198" t="s">
        <v>67</v>
      </c>
      <c r="T5" s="198" t="s">
        <v>67</v>
      </c>
      <c r="U5" s="198">
        <v>3081.5</v>
      </c>
      <c r="V5" s="199">
        <v>226.9</v>
      </c>
      <c r="W5" s="199">
        <v>104.57</v>
      </c>
      <c r="X5" s="199">
        <v>8.51</v>
      </c>
      <c r="Y5" s="199">
        <v>89.5</v>
      </c>
      <c r="Z5" s="196">
        <v>261.84</v>
      </c>
      <c r="AA5" s="203">
        <v>691.32</v>
      </c>
      <c r="AB5" s="196">
        <v>0</v>
      </c>
      <c r="AC5" s="204">
        <v>2390.18</v>
      </c>
      <c r="AD5" s="126"/>
      <c r="AE5" s="176" t="s">
        <v>69</v>
      </c>
    </row>
    <row r="6" s="176" customFormat="1" ht="26" customHeight="1" spans="1:31">
      <c r="A6" s="126">
        <v>5</v>
      </c>
      <c r="B6" s="126" t="s">
        <v>172</v>
      </c>
      <c r="C6" s="126" t="s">
        <v>173</v>
      </c>
      <c r="D6" s="126" t="s">
        <v>78</v>
      </c>
      <c r="E6" s="190" t="s">
        <v>174</v>
      </c>
      <c r="F6" s="191">
        <v>236</v>
      </c>
      <c r="G6" s="191">
        <v>0</v>
      </c>
      <c r="H6" s="191">
        <v>236</v>
      </c>
      <c r="I6" s="195">
        <v>3540</v>
      </c>
      <c r="J6" s="196">
        <v>0</v>
      </c>
      <c r="K6" s="198" t="s">
        <v>67</v>
      </c>
      <c r="L6" s="197">
        <v>190</v>
      </c>
      <c r="M6" s="197" t="s">
        <v>67</v>
      </c>
      <c r="N6" s="197" t="s">
        <v>67</v>
      </c>
      <c r="O6" s="197" t="s">
        <v>67</v>
      </c>
      <c r="P6" s="197" t="s">
        <v>67</v>
      </c>
      <c r="Q6" s="197" t="s">
        <v>67</v>
      </c>
      <c r="R6" s="198" t="s">
        <v>67</v>
      </c>
      <c r="S6" s="198" t="s">
        <v>67</v>
      </c>
      <c r="T6" s="198" t="s">
        <v>67</v>
      </c>
      <c r="U6" s="198">
        <v>3730</v>
      </c>
      <c r="V6" s="199">
        <v>243.36</v>
      </c>
      <c r="W6" s="199">
        <v>104.57</v>
      </c>
      <c r="X6" s="199">
        <v>9.13</v>
      </c>
      <c r="Y6" s="199">
        <v>0</v>
      </c>
      <c r="Z6" s="196">
        <v>65.08</v>
      </c>
      <c r="AA6" s="203">
        <v>422.14</v>
      </c>
      <c r="AB6" s="196">
        <v>0</v>
      </c>
      <c r="AC6" s="204">
        <v>3307.86</v>
      </c>
      <c r="AD6" s="126"/>
      <c r="AE6" s="176" t="s">
        <v>69</v>
      </c>
    </row>
    <row r="7" s="176" customFormat="1" ht="26" customHeight="1" spans="1:31">
      <c r="A7" s="126">
        <v>6</v>
      </c>
      <c r="B7" s="127" t="s">
        <v>175</v>
      </c>
      <c r="C7" s="154" t="s">
        <v>176</v>
      </c>
      <c r="D7" s="126" t="s">
        <v>78</v>
      </c>
      <c r="E7" s="190" t="s">
        <v>174</v>
      </c>
      <c r="F7" s="191">
        <v>238</v>
      </c>
      <c r="G7" s="191">
        <v>0</v>
      </c>
      <c r="H7" s="191">
        <v>238</v>
      </c>
      <c r="I7" s="195">
        <v>3570</v>
      </c>
      <c r="J7" s="196">
        <v>0</v>
      </c>
      <c r="K7" s="198" t="s">
        <v>67</v>
      </c>
      <c r="L7" s="197">
        <v>120</v>
      </c>
      <c r="M7" s="197" t="s">
        <v>67</v>
      </c>
      <c r="N7" s="197" t="s">
        <v>67</v>
      </c>
      <c r="O7" s="197" t="s">
        <v>67</v>
      </c>
      <c r="P7" s="197" t="s">
        <v>67</v>
      </c>
      <c r="Q7" s="197" t="s">
        <v>67</v>
      </c>
      <c r="R7" s="198" t="s">
        <v>67</v>
      </c>
      <c r="S7" s="198" t="s">
        <v>67</v>
      </c>
      <c r="T7" s="198" t="s">
        <v>67</v>
      </c>
      <c r="U7" s="198">
        <v>3690</v>
      </c>
      <c r="V7" s="199">
        <v>243.36</v>
      </c>
      <c r="W7" s="199">
        <v>104.57</v>
      </c>
      <c r="X7" s="199">
        <v>9.13</v>
      </c>
      <c r="Y7" s="199">
        <v>89.5</v>
      </c>
      <c r="Z7" s="196">
        <v>48.81</v>
      </c>
      <c r="AA7" s="203">
        <v>495.37</v>
      </c>
      <c r="AB7" s="196">
        <v>0</v>
      </c>
      <c r="AC7" s="204">
        <v>3194.63</v>
      </c>
      <c r="AD7" s="126"/>
      <c r="AE7" s="176" t="s">
        <v>69</v>
      </c>
    </row>
    <row r="8" s="176" customFormat="1" ht="26" customHeight="1" spans="1:31">
      <c r="A8" s="126">
        <v>7</v>
      </c>
      <c r="B8" s="127" t="s">
        <v>177</v>
      </c>
      <c r="C8" s="159" t="s">
        <v>178</v>
      </c>
      <c r="D8" s="126" t="s">
        <v>78</v>
      </c>
      <c r="E8" s="190" t="s">
        <v>174</v>
      </c>
      <c r="F8" s="191">
        <v>279.5</v>
      </c>
      <c r="G8" s="191">
        <v>0</v>
      </c>
      <c r="H8" s="191">
        <v>279.5</v>
      </c>
      <c r="I8" s="195">
        <v>4192.5</v>
      </c>
      <c r="J8" s="196">
        <v>0</v>
      </c>
      <c r="K8" s="198" t="s">
        <v>67</v>
      </c>
      <c r="L8" s="197">
        <v>160</v>
      </c>
      <c r="M8" s="197" t="s">
        <v>67</v>
      </c>
      <c r="N8" s="197" t="s">
        <v>67</v>
      </c>
      <c r="O8" s="197" t="s">
        <v>67</v>
      </c>
      <c r="P8" s="197" t="s">
        <v>67</v>
      </c>
      <c r="Q8" s="197" t="s">
        <v>67</v>
      </c>
      <c r="R8" s="198" t="s">
        <v>67</v>
      </c>
      <c r="S8" s="198" t="s">
        <v>67</v>
      </c>
      <c r="T8" s="198" t="s">
        <v>67</v>
      </c>
      <c r="U8" s="198">
        <v>4352.5</v>
      </c>
      <c r="V8" s="199">
        <v>243.36</v>
      </c>
      <c r="W8" s="123">
        <v>104.57</v>
      </c>
      <c r="X8" s="199">
        <v>9.13</v>
      </c>
      <c r="Y8" s="199">
        <v>0</v>
      </c>
      <c r="Z8" s="196">
        <v>81.35</v>
      </c>
      <c r="AA8" s="203">
        <v>438.41</v>
      </c>
      <c r="AB8" s="196">
        <v>0</v>
      </c>
      <c r="AC8" s="204">
        <v>3914.09</v>
      </c>
      <c r="AD8" s="126"/>
      <c r="AE8" s="176" t="s">
        <v>69</v>
      </c>
    </row>
    <row r="9" s="176" customFormat="1" ht="26" customHeight="1" spans="1:31">
      <c r="A9" s="126">
        <v>8</v>
      </c>
      <c r="B9" s="126" t="s">
        <v>179</v>
      </c>
      <c r="C9" s="130" t="s">
        <v>180</v>
      </c>
      <c r="D9" s="126" t="s">
        <v>78</v>
      </c>
      <c r="E9" s="190" t="s">
        <v>174</v>
      </c>
      <c r="F9" s="191">
        <v>219</v>
      </c>
      <c r="G9" s="191">
        <v>0</v>
      </c>
      <c r="H9" s="191">
        <v>219</v>
      </c>
      <c r="I9" s="195">
        <v>3285</v>
      </c>
      <c r="J9" s="196">
        <v>0</v>
      </c>
      <c r="K9" s="198" t="s">
        <v>67</v>
      </c>
      <c r="L9" s="197">
        <v>130</v>
      </c>
      <c r="M9" s="197" t="s">
        <v>67</v>
      </c>
      <c r="N9" s="197" t="s">
        <v>67</v>
      </c>
      <c r="O9" s="197" t="s">
        <v>67</v>
      </c>
      <c r="P9" s="197">
        <v>20</v>
      </c>
      <c r="Q9" s="197" t="s">
        <v>67</v>
      </c>
      <c r="R9" s="198" t="s">
        <v>67</v>
      </c>
      <c r="S9" s="198" t="s">
        <v>67</v>
      </c>
      <c r="T9" s="198" t="s">
        <v>67</v>
      </c>
      <c r="U9" s="198">
        <v>3435</v>
      </c>
      <c r="V9" s="199">
        <v>243.44</v>
      </c>
      <c r="W9" s="199">
        <v>104.57</v>
      </c>
      <c r="X9" s="199">
        <v>9.13</v>
      </c>
      <c r="Y9" s="199">
        <v>89.5</v>
      </c>
      <c r="Z9" s="196">
        <v>48.81</v>
      </c>
      <c r="AA9" s="203">
        <v>495.45</v>
      </c>
      <c r="AB9" s="196">
        <v>0</v>
      </c>
      <c r="AC9" s="204">
        <v>2939.55</v>
      </c>
      <c r="AD9" s="126"/>
      <c r="AE9" s="176" t="s">
        <v>69</v>
      </c>
    </row>
    <row r="10" s="176" customFormat="1" ht="26" customHeight="1" spans="1:31">
      <c r="A10" s="126">
        <v>9</v>
      </c>
      <c r="B10" s="126" t="s">
        <v>181</v>
      </c>
      <c r="C10" s="130" t="s">
        <v>182</v>
      </c>
      <c r="D10" s="126" t="s">
        <v>78</v>
      </c>
      <c r="E10" s="190" t="s">
        <v>174</v>
      </c>
      <c r="F10" s="191">
        <v>12</v>
      </c>
      <c r="G10" s="191">
        <v>0</v>
      </c>
      <c r="H10" s="191">
        <v>12</v>
      </c>
      <c r="I10" s="195">
        <v>180</v>
      </c>
      <c r="J10" s="196">
        <v>0</v>
      </c>
      <c r="K10" s="198" t="s">
        <v>67</v>
      </c>
      <c r="L10" s="197" t="s">
        <v>67</v>
      </c>
      <c r="M10" s="197" t="s">
        <v>67</v>
      </c>
      <c r="N10" s="197" t="s">
        <v>67</v>
      </c>
      <c r="O10" s="197" t="s">
        <v>67</v>
      </c>
      <c r="P10" s="197" t="s">
        <v>67</v>
      </c>
      <c r="Q10" s="197" t="s">
        <v>67</v>
      </c>
      <c r="R10" s="198" t="s">
        <v>67</v>
      </c>
      <c r="S10" s="198" t="s">
        <v>67</v>
      </c>
      <c r="T10" s="198" t="s">
        <v>67</v>
      </c>
      <c r="U10" s="198">
        <v>180</v>
      </c>
      <c r="V10" s="199" t="s">
        <v>67</v>
      </c>
      <c r="W10" s="199" t="s">
        <v>67</v>
      </c>
      <c r="X10" s="199" t="s">
        <v>67</v>
      </c>
      <c r="Y10" s="199" t="s">
        <v>67</v>
      </c>
      <c r="Z10" s="196">
        <v>0</v>
      </c>
      <c r="AA10" s="203">
        <v>0</v>
      </c>
      <c r="AB10" s="196">
        <v>0</v>
      </c>
      <c r="AC10" s="204">
        <v>180</v>
      </c>
      <c r="AD10" s="126"/>
      <c r="AE10" s="176" t="s">
        <v>139</v>
      </c>
    </row>
    <row r="11" s="176" customFormat="1" ht="22" customHeight="1" spans="1:31">
      <c r="A11" s="126">
        <v>10</v>
      </c>
      <c r="B11" s="126" t="s">
        <v>183</v>
      </c>
      <c r="C11" s="130" t="s">
        <v>184</v>
      </c>
      <c r="D11" s="126" t="s">
        <v>78</v>
      </c>
      <c r="E11" s="190" t="s">
        <v>174</v>
      </c>
      <c r="F11" s="191">
        <v>249.5</v>
      </c>
      <c r="G11" s="191">
        <v>0</v>
      </c>
      <c r="H11" s="191">
        <v>249.5</v>
      </c>
      <c r="I11" s="195">
        <v>3742.5</v>
      </c>
      <c r="J11" s="196">
        <v>0</v>
      </c>
      <c r="K11" s="198" t="s">
        <v>67</v>
      </c>
      <c r="L11" s="197">
        <v>200</v>
      </c>
      <c r="M11" s="197" t="s">
        <v>67</v>
      </c>
      <c r="N11" s="197" t="s">
        <v>67</v>
      </c>
      <c r="O11" s="197" t="s">
        <v>67</v>
      </c>
      <c r="P11" s="197" t="s">
        <v>67</v>
      </c>
      <c r="Q11" s="197" t="s">
        <v>67</v>
      </c>
      <c r="R11" s="198" t="s">
        <v>67</v>
      </c>
      <c r="S11" s="198" t="s">
        <v>67</v>
      </c>
      <c r="T11" s="198" t="s">
        <v>67</v>
      </c>
      <c r="U11" s="198">
        <v>3942.5</v>
      </c>
      <c r="V11" s="199" t="s">
        <v>67</v>
      </c>
      <c r="W11" s="199" t="s">
        <v>67</v>
      </c>
      <c r="X11" s="199" t="s">
        <v>67</v>
      </c>
      <c r="Y11" s="199" t="s">
        <v>67</v>
      </c>
      <c r="Z11" s="196">
        <v>0</v>
      </c>
      <c r="AA11" s="203">
        <v>0</v>
      </c>
      <c r="AB11" s="196">
        <v>0</v>
      </c>
      <c r="AC11" s="204">
        <v>3942.5</v>
      </c>
      <c r="AD11" s="126"/>
      <c r="AE11" s="176" t="s">
        <v>69</v>
      </c>
    </row>
    <row r="12" s="176" customFormat="1" customHeight="1" spans="1:31">
      <c r="A12" s="126">
        <v>11</v>
      </c>
      <c r="B12" s="126" t="s">
        <v>185</v>
      </c>
      <c r="C12" s="130" t="s">
        <v>186</v>
      </c>
      <c r="D12" s="126" t="s">
        <v>78</v>
      </c>
      <c r="E12" s="190" t="s">
        <v>187</v>
      </c>
      <c r="F12" s="191">
        <v>247</v>
      </c>
      <c r="G12" s="191">
        <v>0</v>
      </c>
      <c r="H12" s="191">
        <v>247</v>
      </c>
      <c r="I12" s="195">
        <v>3705</v>
      </c>
      <c r="J12" s="196">
        <v>0</v>
      </c>
      <c r="K12" s="198">
        <v>900</v>
      </c>
      <c r="L12" s="197">
        <v>190</v>
      </c>
      <c r="M12" s="197">
        <v>40</v>
      </c>
      <c r="N12" s="197" t="s">
        <v>67</v>
      </c>
      <c r="O12" s="197" t="s">
        <v>67</v>
      </c>
      <c r="P12" s="197" t="s">
        <v>67</v>
      </c>
      <c r="Q12" s="197" t="s">
        <v>67</v>
      </c>
      <c r="R12" s="198" t="s">
        <v>67</v>
      </c>
      <c r="S12" s="198" t="s">
        <v>67</v>
      </c>
      <c r="T12" s="198" t="s">
        <v>67</v>
      </c>
      <c r="U12" s="198">
        <v>4835</v>
      </c>
      <c r="V12" s="199">
        <v>226.9</v>
      </c>
      <c r="W12" s="123">
        <v>104.57</v>
      </c>
      <c r="X12" s="199">
        <v>8.51</v>
      </c>
      <c r="Y12" s="199">
        <v>89.5</v>
      </c>
      <c r="Z12" s="196">
        <v>261.84</v>
      </c>
      <c r="AA12" s="203">
        <v>691.32</v>
      </c>
      <c r="AB12" s="196">
        <v>0</v>
      </c>
      <c r="AC12" s="204">
        <v>4143.68</v>
      </c>
      <c r="AD12" s="126"/>
      <c r="AE12" s="176" t="s">
        <v>69</v>
      </c>
    </row>
    <row r="13" s="176" customFormat="1" customHeight="1" spans="1:31">
      <c r="A13" s="126">
        <v>12</v>
      </c>
      <c r="B13" s="126" t="s">
        <v>188</v>
      </c>
      <c r="C13" s="130" t="s">
        <v>189</v>
      </c>
      <c r="D13" s="126" t="s">
        <v>78</v>
      </c>
      <c r="E13" s="190" t="s">
        <v>187</v>
      </c>
      <c r="F13" s="191">
        <v>261.5</v>
      </c>
      <c r="G13" s="191">
        <v>0</v>
      </c>
      <c r="H13" s="191">
        <v>261.5</v>
      </c>
      <c r="I13" s="195">
        <v>3922.5</v>
      </c>
      <c r="J13" s="196">
        <v>0</v>
      </c>
      <c r="K13" s="198">
        <v>900</v>
      </c>
      <c r="L13" s="197" t="s">
        <v>67</v>
      </c>
      <c r="M13" s="197">
        <v>40</v>
      </c>
      <c r="N13" s="197" t="s">
        <v>67</v>
      </c>
      <c r="O13" s="197" t="s">
        <v>67</v>
      </c>
      <c r="P13" s="197" t="s">
        <v>67</v>
      </c>
      <c r="Q13" s="197" t="s">
        <v>67</v>
      </c>
      <c r="R13" s="198" t="s">
        <v>67</v>
      </c>
      <c r="S13" s="198" t="s">
        <v>67</v>
      </c>
      <c r="T13" s="198" t="s">
        <v>67</v>
      </c>
      <c r="U13" s="198">
        <v>4862.5</v>
      </c>
      <c r="V13" s="199">
        <v>226.9</v>
      </c>
      <c r="W13" s="199">
        <v>104.57</v>
      </c>
      <c r="X13" s="199">
        <v>8.51</v>
      </c>
      <c r="Y13" s="199">
        <v>89.5</v>
      </c>
      <c r="Z13" s="196">
        <v>261.84</v>
      </c>
      <c r="AA13" s="203">
        <v>691.32</v>
      </c>
      <c r="AB13" s="196">
        <v>0</v>
      </c>
      <c r="AC13" s="204">
        <v>4171.18</v>
      </c>
      <c r="AD13" s="126"/>
      <c r="AE13" s="176" t="s">
        <v>69</v>
      </c>
    </row>
    <row r="14" s="176" customFormat="1" ht="26" customHeight="1" spans="1:31">
      <c r="A14" s="126">
        <v>13</v>
      </c>
      <c r="B14" s="130" t="s">
        <v>190</v>
      </c>
      <c r="C14" s="159" t="s">
        <v>191</v>
      </c>
      <c r="D14" s="126" t="s">
        <v>78</v>
      </c>
      <c r="E14" s="190" t="s">
        <v>174</v>
      </c>
      <c r="F14" s="191">
        <v>220</v>
      </c>
      <c r="G14" s="191">
        <v>0</v>
      </c>
      <c r="H14" s="191">
        <v>220</v>
      </c>
      <c r="I14" s="195">
        <v>3300</v>
      </c>
      <c r="J14" s="196">
        <v>0</v>
      </c>
      <c r="K14" s="198" t="s">
        <v>67</v>
      </c>
      <c r="L14" s="197">
        <v>20</v>
      </c>
      <c r="M14" s="197" t="s">
        <v>67</v>
      </c>
      <c r="N14" s="197" t="s">
        <v>67</v>
      </c>
      <c r="O14" s="197" t="s">
        <v>67</v>
      </c>
      <c r="P14" s="197" t="s">
        <v>67</v>
      </c>
      <c r="Q14" s="197" t="s">
        <v>67</v>
      </c>
      <c r="R14" s="198" t="s">
        <v>67</v>
      </c>
      <c r="S14" s="198" t="s">
        <v>67</v>
      </c>
      <c r="T14" s="198" t="s">
        <v>67</v>
      </c>
      <c r="U14" s="198">
        <v>3320</v>
      </c>
      <c r="V14" s="199">
        <v>226.9</v>
      </c>
      <c r="W14" s="199">
        <v>104.57</v>
      </c>
      <c r="X14" s="199">
        <v>8.51</v>
      </c>
      <c r="Y14" s="199">
        <v>89.5</v>
      </c>
      <c r="Z14" s="196">
        <v>261.84</v>
      </c>
      <c r="AA14" s="203">
        <v>691.32</v>
      </c>
      <c r="AB14" s="196">
        <v>0</v>
      </c>
      <c r="AC14" s="204">
        <v>2628.68</v>
      </c>
      <c r="AD14" s="126"/>
      <c r="AE14" s="176" t="s">
        <v>69</v>
      </c>
    </row>
    <row r="15" s="176" customFormat="1" ht="26" customHeight="1" spans="1:31">
      <c r="A15" s="126">
        <v>14</v>
      </c>
      <c r="B15" s="127" t="s">
        <v>192</v>
      </c>
      <c r="C15" s="154" t="s">
        <v>193</v>
      </c>
      <c r="D15" s="126" t="s">
        <v>78</v>
      </c>
      <c r="E15" s="190" t="s">
        <v>174</v>
      </c>
      <c r="F15" s="191">
        <v>48</v>
      </c>
      <c r="G15" s="191">
        <v>0</v>
      </c>
      <c r="H15" s="191">
        <v>48</v>
      </c>
      <c r="I15" s="195">
        <v>720</v>
      </c>
      <c r="J15" s="196">
        <v>0</v>
      </c>
      <c r="K15" s="198" t="s">
        <v>67</v>
      </c>
      <c r="L15" s="197" t="s">
        <v>67</v>
      </c>
      <c r="M15" s="197" t="s">
        <v>67</v>
      </c>
      <c r="N15" s="197" t="s">
        <v>67</v>
      </c>
      <c r="O15" s="197" t="s">
        <v>67</v>
      </c>
      <c r="P15" s="197" t="s">
        <v>67</v>
      </c>
      <c r="Q15" s="197" t="s">
        <v>67</v>
      </c>
      <c r="R15" s="198" t="s">
        <v>67</v>
      </c>
      <c r="S15" s="198" t="s">
        <v>67</v>
      </c>
      <c r="T15" s="198" t="s">
        <v>67</v>
      </c>
      <c r="U15" s="198">
        <v>720</v>
      </c>
      <c r="V15" s="199">
        <v>243.36</v>
      </c>
      <c r="W15" s="199">
        <v>0</v>
      </c>
      <c r="X15" s="199">
        <v>9.13</v>
      </c>
      <c r="Y15" s="199">
        <v>0</v>
      </c>
      <c r="Z15" s="196">
        <v>0</v>
      </c>
      <c r="AA15" s="203">
        <v>252.49</v>
      </c>
      <c r="AB15" s="196">
        <v>0</v>
      </c>
      <c r="AC15" s="204">
        <v>467.51</v>
      </c>
      <c r="AD15" s="126"/>
      <c r="AE15" s="176" t="s">
        <v>139</v>
      </c>
    </row>
    <row r="16" s="176" customFormat="1" ht="26" customHeight="1" spans="1:31">
      <c r="A16" s="126">
        <v>15</v>
      </c>
      <c r="B16" s="127" t="s">
        <v>194</v>
      </c>
      <c r="C16" s="159" t="s">
        <v>195</v>
      </c>
      <c r="D16" s="126" t="s">
        <v>78</v>
      </c>
      <c r="E16" s="126" t="s">
        <v>174</v>
      </c>
      <c r="F16" s="191">
        <v>47</v>
      </c>
      <c r="G16" s="191">
        <v>0</v>
      </c>
      <c r="H16" s="191">
        <v>47</v>
      </c>
      <c r="I16" s="195">
        <v>705</v>
      </c>
      <c r="J16" s="196">
        <v>0</v>
      </c>
      <c r="K16" s="198" t="s">
        <v>67</v>
      </c>
      <c r="L16" s="197">
        <v>40</v>
      </c>
      <c r="M16" s="197" t="s">
        <v>67</v>
      </c>
      <c r="N16" s="197" t="s">
        <v>67</v>
      </c>
      <c r="O16" s="197">
        <v>40</v>
      </c>
      <c r="P16" s="197" t="s">
        <v>67</v>
      </c>
      <c r="Q16" s="197" t="s">
        <v>67</v>
      </c>
      <c r="R16" s="198" t="s">
        <v>67</v>
      </c>
      <c r="S16" s="198" t="s">
        <v>67</v>
      </c>
      <c r="T16" s="198" t="s">
        <v>67</v>
      </c>
      <c r="U16" s="198">
        <v>785</v>
      </c>
      <c r="V16" s="199" t="s">
        <v>67</v>
      </c>
      <c r="W16" s="199" t="s">
        <v>67</v>
      </c>
      <c r="X16" s="199" t="s">
        <v>67</v>
      </c>
      <c r="Y16" s="199" t="s">
        <v>67</v>
      </c>
      <c r="Z16" s="196">
        <v>0</v>
      </c>
      <c r="AA16" s="203">
        <v>0</v>
      </c>
      <c r="AB16" s="196">
        <v>0</v>
      </c>
      <c r="AC16" s="204">
        <v>785</v>
      </c>
      <c r="AD16" s="126"/>
      <c r="AE16" s="176" t="s">
        <v>139</v>
      </c>
    </row>
    <row r="17" s="176" customFormat="1" ht="26" customHeight="1" spans="1:31">
      <c r="A17" s="126">
        <v>16</v>
      </c>
      <c r="B17" s="127" t="s">
        <v>196</v>
      </c>
      <c r="C17" s="154" t="s">
        <v>197</v>
      </c>
      <c r="D17" s="126" t="s">
        <v>78</v>
      </c>
      <c r="E17" s="126" t="s">
        <v>174</v>
      </c>
      <c r="F17" s="191">
        <v>239.5</v>
      </c>
      <c r="G17" s="191">
        <v>0</v>
      </c>
      <c r="H17" s="191">
        <v>239.5</v>
      </c>
      <c r="I17" s="195">
        <v>3592.5</v>
      </c>
      <c r="J17" s="196">
        <v>0</v>
      </c>
      <c r="K17" s="198" t="s">
        <v>67</v>
      </c>
      <c r="L17" s="197">
        <v>130</v>
      </c>
      <c r="M17" s="197" t="s">
        <v>67</v>
      </c>
      <c r="N17" s="197" t="s">
        <v>67</v>
      </c>
      <c r="O17" s="197" t="s">
        <v>67</v>
      </c>
      <c r="P17" s="197" t="s">
        <v>67</v>
      </c>
      <c r="Q17" s="197" t="s">
        <v>67</v>
      </c>
      <c r="R17" s="198" t="s">
        <v>67</v>
      </c>
      <c r="S17" s="198" t="s">
        <v>67</v>
      </c>
      <c r="T17" s="198" t="s">
        <v>67</v>
      </c>
      <c r="U17" s="198">
        <v>3722.5</v>
      </c>
      <c r="V17" s="199">
        <v>243.36</v>
      </c>
      <c r="W17" s="199">
        <v>104.57</v>
      </c>
      <c r="X17" s="199">
        <v>9.13</v>
      </c>
      <c r="Y17" s="199">
        <v>0</v>
      </c>
      <c r="Z17" s="196">
        <v>48.81</v>
      </c>
      <c r="AA17" s="203">
        <v>405.87</v>
      </c>
      <c r="AB17" s="196">
        <v>0</v>
      </c>
      <c r="AC17" s="204">
        <v>3316.63</v>
      </c>
      <c r="AD17" s="126"/>
      <c r="AE17" s="176" t="s">
        <v>69</v>
      </c>
    </row>
    <row r="18" s="176" customFormat="1" ht="26" customHeight="1" spans="1:31">
      <c r="A18" s="126">
        <v>17</v>
      </c>
      <c r="B18" s="126" t="s">
        <v>198</v>
      </c>
      <c r="C18" s="126" t="s">
        <v>199</v>
      </c>
      <c r="D18" s="126" t="s">
        <v>78</v>
      </c>
      <c r="E18" s="126" t="s">
        <v>174</v>
      </c>
      <c r="F18" s="191">
        <v>200</v>
      </c>
      <c r="G18" s="191">
        <v>0</v>
      </c>
      <c r="H18" s="191">
        <v>200</v>
      </c>
      <c r="I18" s="195">
        <v>3000</v>
      </c>
      <c r="J18" s="196">
        <v>0</v>
      </c>
      <c r="K18" s="198" t="s">
        <v>67</v>
      </c>
      <c r="L18" s="197" t="s">
        <v>67</v>
      </c>
      <c r="M18" s="197" t="s">
        <v>67</v>
      </c>
      <c r="N18" s="197" t="s">
        <v>67</v>
      </c>
      <c r="O18" s="197" t="s">
        <v>67</v>
      </c>
      <c r="P18" s="197" t="s">
        <v>67</v>
      </c>
      <c r="Q18" s="197" t="s">
        <v>67</v>
      </c>
      <c r="R18" s="198" t="s">
        <v>67</v>
      </c>
      <c r="S18" s="198" t="s">
        <v>67</v>
      </c>
      <c r="T18" s="198" t="s">
        <v>67</v>
      </c>
      <c r="U18" s="198">
        <v>3000</v>
      </c>
      <c r="V18" s="199" t="s">
        <v>67</v>
      </c>
      <c r="W18" s="199" t="s">
        <v>67</v>
      </c>
      <c r="X18" s="199" t="s">
        <v>67</v>
      </c>
      <c r="Y18" s="199" t="s">
        <v>67</v>
      </c>
      <c r="Z18" s="196">
        <v>0</v>
      </c>
      <c r="AA18" s="203">
        <v>0</v>
      </c>
      <c r="AB18" s="196">
        <v>0</v>
      </c>
      <c r="AC18" s="204">
        <v>3000</v>
      </c>
      <c r="AD18" s="126"/>
      <c r="AE18" s="176" t="s">
        <v>200</v>
      </c>
    </row>
    <row r="19" s="176" customFormat="1" ht="26" customHeight="1" spans="1:31">
      <c r="A19" s="126">
        <v>18</v>
      </c>
      <c r="B19" s="126" t="s">
        <v>201</v>
      </c>
      <c r="C19" s="126" t="s">
        <v>202</v>
      </c>
      <c r="D19" s="126" t="s">
        <v>78</v>
      </c>
      <c r="E19" s="126" t="s">
        <v>203</v>
      </c>
      <c r="F19" s="191">
        <v>253</v>
      </c>
      <c r="G19" s="191">
        <v>0</v>
      </c>
      <c r="H19" s="191">
        <v>253</v>
      </c>
      <c r="I19" s="195">
        <v>3795</v>
      </c>
      <c r="J19" s="196">
        <v>0</v>
      </c>
      <c r="K19" s="198">
        <v>-37.95</v>
      </c>
      <c r="L19" s="197">
        <v>20</v>
      </c>
      <c r="M19" s="197">
        <v>40</v>
      </c>
      <c r="N19" s="197" t="s">
        <v>67</v>
      </c>
      <c r="O19" s="197" t="s">
        <v>67</v>
      </c>
      <c r="P19" s="197" t="s">
        <v>67</v>
      </c>
      <c r="Q19" s="197" t="s">
        <v>67</v>
      </c>
      <c r="R19" s="198" t="s">
        <v>67</v>
      </c>
      <c r="S19" s="198" t="s">
        <v>67</v>
      </c>
      <c r="T19" s="198">
        <v>-30</v>
      </c>
      <c r="U19" s="198">
        <v>3787.05</v>
      </c>
      <c r="V19" s="199">
        <v>226.9</v>
      </c>
      <c r="W19" s="199">
        <v>104.57</v>
      </c>
      <c r="X19" s="199">
        <v>8.51</v>
      </c>
      <c r="Y19" s="199">
        <v>159</v>
      </c>
      <c r="Z19" s="196">
        <v>261.84</v>
      </c>
      <c r="AA19" s="203">
        <v>760.82</v>
      </c>
      <c r="AB19" s="196">
        <v>0</v>
      </c>
      <c r="AC19" s="204">
        <v>3026.23</v>
      </c>
      <c r="AD19" s="126"/>
      <c r="AE19" s="176" t="s">
        <v>69</v>
      </c>
    </row>
    <row r="20" s="176" customFormat="1" ht="26" customHeight="1" spans="1:31">
      <c r="A20" s="126">
        <v>19</v>
      </c>
      <c r="B20" s="126" t="s">
        <v>204</v>
      </c>
      <c r="C20" s="126" t="s">
        <v>205</v>
      </c>
      <c r="D20" s="126" t="s">
        <v>78</v>
      </c>
      <c r="E20" s="126" t="s">
        <v>174</v>
      </c>
      <c r="F20" s="191">
        <v>46</v>
      </c>
      <c r="G20" s="191">
        <v>0</v>
      </c>
      <c r="H20" s="191">
        <v>46</v>
      </c>
      <c r="I20" s="195">
        <v>690</v>
      </c>
      <c r="J20" s="196">
        <v>0</v>
      </c>
      <c r="K20" s="198" t="s">
        <v>67</v>
      </c>
      <c r="L20" s="197" t="s">
        <v>67</v>
      </c>
      <c r="M20" s="197" t="s">
        <v>67</v>
      </c>
      <c r="N20" s="197" t="s">
        <v>67</v>
      </c>
      <c r="O20" s="197">
        <v>50</v>
      </c>
      <c r="P20" s="197" t="s">
        <v>67</v>
      </c>
      <c r="Q20" s="197" t="s">
        <v>67</v>
      </c>
      <c r="R20" s="198" t="s">
        <v>67</v>
      </c>
      <c r="S20" s="198" t="s">
        <v>67</v>
      </c>
      <c r="T20" s="198" t="s">
        <v>67</v>
      </c>
      <c r="U20" s="198">
        <v>740</v>
      </c>
      <c r="V20" s="199" t="s">
        <v>67</v>
      </c>
      <c r="W20" s="199" t="s">
        <v>67</v>
      </c>
      <c r="X20" s="199" t="s">
        <v>67</v>
      </c>
      <c r="Y20" s="199" t="s">
        <v>67</v>
      </c>
      <c r="Z20" s="196">
        <v>0</v>
      </c>
      <c r="AA20" s="203">
        <v>0</v>
      </c>
      <c r="AB20" s="196">
        <v>0</v>
      </c>
      <c r="AC20" s="204">
        <v>740</v>
      </c>
      <c r="AD20" s="126"/>
      <c r="AE20" s="176" t="s">
        <v>139</v>
      </c>
    </row>
    <row r="21" s="176" customFormat="1" ht="26" customHeight="1" spans="1:31">
      <c r="A21" s="126">
        <v>20</v>
      </c>
      <c r="B21" s="126" t="s">
        <v>206</v>
      </c>
      <c r="C21" s="126" t="s">
        <v>207</v>
      </c>
      <c r="D21" s="126" t="s">
        <v>159</v>
      </c>
      <c r="E21" s="126" t="s">
        <v>208</v>
      </c>
      <c r="F21" s="191">
        <v>181</v>
      </c>
      <c r="G21" s="191">
        <v>21.5</v>
      </c>
      <c r="H21" s="191">
        <v>202.5</v>
      </c>
      <c r="I21" s="196">
        <v>2592</v>
      </c>
      <c r="J21" s="196">
        <v>375.1</v>
      </c>
      <c r="K21" s="198" t="s">
        <v>67</v>
      </c>
      <c r="L21" s="197" t="s">
        <v>67</v>
      </c>
      <c r="M21" s="197" t="s">
        <v>67</v>
      </c>
      <c r="N21" s="197" t="s">
        <v>67</v>
      </c>
      <c r="O21" s="197" t="s">
        <v>67</v>
      </c>
      <c r="P21" s="197" t="s">
        <v>67</v>
      </c>
      <c r="Q21" s="197" t="s">
        <v>67</v>
      </c>
      <c r="R21" s="198" t="s">
        <v>67</v>
      </c>
      <c r="S21" s="198" t="s">
        <v>67</v>
      </c>
      <c r="T21" s="198" t="s">
        <v>67</v>
      </c>
      <c r="U21" s="198">
        <v>2967.1</v>
      </c>
      <c r="V21" s="199">
        <v>243.36</v>
      </c>
      <c r="W21" s="123">
        <v>104.57</v>
      </c>
      <c r="X21" s="199">
        <v>9.13</v>
      </c>
      <c r="Y21" s="199">
        <v>89.5</v>
      </c>
      <c r="Z21" s="196">
        <v>65.08</v>
      </c>
      <c r="AA21" s="203">
        <v>511.64</v>
      </c>
      <c r="AB21" s="196">
        <v>0</v>
      </c>
      <c r="AC21" s="204">
        <v>2455.46</v>
      </c>
      <c r="AD21" s="126"/>
      <c r="AE21" s="176" t="s">
        <v>69</v>
      </c>
    </row>
    <row r="22" s="176" customFormat="1" ht="26" customHeight="1" spans="1:31">
      <c r="A22" s="126">
        <v>21</v>
      </c>
      <c r="B22" s="127" t="s">
        <v>209</v>
      </c>
      <c r="C22" s="154" t="s">
        <v>210</v>
      </c>
      <c r="D22" s="126" t="s">
        <v>159</v>
      </c>
      <c r="E22" s="126" t="s">
        <v>208</v>
      </c>
      <c r="F22" s="191">
        <v>109</v>
      </c>
      <c r="G22" s="191">
        <v>24</v>
      </c>
      <c r="H22" s="191">
        <v>133</v>
      </c>
      <c r="I22" s="196">
        <v>1609.3</v>
      </c>
      <c r="J22" s="196">
        <v>248.71</v>
      </c>
      <c r="K22" s="198" t="s">
        <v>67</v>
      </c>
      <c r="L22" s="197" t="s">
        <v>67</v>
      </c>
      <c r="M22" s="197" t="s">
        <v>67</v>
      </c>
      <c r="N22" s="197" t="s">
        <v>67</v>
      </c>
      <c r="O22" s="197" t="s">
        <v>67</v>
      </c>
      <c r="P22" s="197" t="s">
        <v>67</v>
      </c>
      <c r="Q22" s="197" t="s">
        <v>67</v>
      </c>
      <c r="R22" s="198" t="s">
        <v>67</v>
      </c>
      <c r="S22" s="198" t="s">
        <v>67</v>
      </c>
      <c r="T22" s="198" t="s">
        <v>67</v>
      </c>
      <c r="U22" s="198">
        <v>1858.01</v>
      </c>
      <c r="V22" s="199">
        <v>243.36</v>
      </c>
      <c r="W22" s="199">
        <v>104.57</v>
      </c>
      <c r="X22" s="199">
        <v>9.13</v>
      </c>
      <c r="Y22" s="199">
        <v>89.5</v>
      </c>
      <c r="Z22" s="196">
        <v>48.81</v>
      </c>
      <c r="AA22" s="203">
        <v>495.37</v>
      </c>
      <c r="AB22" s="196">
        <v>0</v>
      </c>
      <c r="AC22" s="204">
        <v>1362.64</v>
      </c>
      <c r="AD22" s="126"/>
      <c r="AE22" s="176" t="s">
        <v>69</v>
      </c>
    </row>
    <row r="23" s="176" customFormat="1" ht="26" customHeight="1" spans="1:31">
      <c r="A23" s="126">
        <v>22</v>
      </c>
      <c r="B23" s="126" t="s">
        <v>211</v>
      </c>
      <c r="C23" s="126" t="s">
        <v>212</v>
      </c>
      <c r="D23" s="126" t="s">
        <v>159</v>
      </c>
      <c r="E23" s="126" t="s">
        <v>208</v>
      </c>
      <c r="F23" s="191">
        <v>119</v>
      </c>
      <c r="G23" s="191">
        <v>20</v>
      </c>
      <c r="H23" s="191">
        <v>139</v>
      </c>
      <c r="I23" s="196">
        <v>1639.55</v>
      </c>
      <c r="J23" s="196">
        <v>130.08</v>
      </c>
      <c r="K23" s="198" t="s">
        <v>67</v>
      </c>
      <c r="L23" s="197" t="s">
        <v>67</v>
      </c>
      <c r="M23" s="197" t="s">
        <v>67</v>
      </c>
      <c r="N23" s="197" t="s">
        <v>67</v>
      </c>
      <c r="O23" s="197" t="s">
        <v>67</v>
      </c>
      <c r="P23" s="197" t="s">
        <v>67</v>
      </c>
      <c r="Q23" s="197" t="s">
        <v>67</v>
      </c>
      <c r="R23" s="198" t="s">
        <v>67</v>
      </c>
      <c r="S23" s="198" t="s">
        <v>67</v>
      </c>
      <c r="T23" s="198" t="s">
        <v>67</v>
      </c>
      <c r="U23" s="198">
        <v>1769.63</v>
      </c>
      <c r="V23" s="199">
        <v>243.36</v>
      </c>
      <c r="W23" s="199">
        <v>104.57</v>
      </c>
      <c r="X23" s="199">
        <v>9.13</v>
      </c>
      <c r="Y23" s="199">
        <v>89.5</v>
      </c>
      <c r="Z23" s="196">
        <v>81.35</v>
      </c>
      <c r="AA23" s="203">
        <v>527.91</v>
      </c>
      <c r="AB23" s="196">
        <v>0</v>
      </c>
      <c r="AC23" s="204">
        <v>1241.72</v>
      </c>
      <c r="AD23" s="126"/>
      <c r="AE23" s="176" t="s">
        <v>69</v>
      </c>
    </row>
    <row r="24" s="176" customFormat="1" ht="26" customHeight="1" spans="1:31">
      <c r="A24" s="126">
        <v>23</v>
      </c>
      <c r="B24" s="126" t="s">
        <v>213</v>
      </c>
      <c r="C24" s="130" t="s">
        <v>214</v>
      </c>
      <c r="D24" s="126" t="s">
        <v>159</v>
      </c>
      <c r="E24" s="126" t="s">
        <v>208</v>
      </c>
      <c r="F24" s="191">
        <v>113.5</v>
      </c>
      <c r="G24" s="191">
        <v>21.5</v>
      </c>
      <c r="H24" s="191">
        <v>135</v>
      </c>
      <c r="I24" s="196">
        <v>1633.5</v>
      </c>
      <c r="J24" s="196">
        <v>129.6</v>
      </c>
      <c r="K24" s="198" t="s">
        <v>67</v>
      </c>
      <c r="L24" s="197" t="s">
        <v>67</v>
      </c>
      <c r="M24" s="197" t="s">
        <v>67</v>
      </c>
      <c r="N24" s="197" t="s">
        <v>67</v>
      </c>
      <c r="O24" s="197" t="s">
        <v>67</v>
      </c>
      <c r="P24" s="197">
        <v>20</v>
      </c>
      <c r="Q24" s="197" t="s">
        <v>67</v>
      </c>
      <c r="R24" s="198" t="s">
        <v>67</v>
      </c>
      <c r="S24" s="198" t="s">
        <v>67</v>
      </c>
      <c r="T24" s="198" t="s">
        <v>67</v>
      </c>
      <c r="U24" s="198">
        <v>1783.1</v>
      </c>
      <c r="V24" s="199">
        <v>243.36</v>
      </c>
      <c r="W24" s="199">
        <v>104.57</v>
      </c>
      <c r="X24" s="199">
        <v>9.13</v>
      </c>
      <c r="Y24" s="199">
        <v>89.5</v>
      </c>
      <c r="Z24" s="196">
        <v>65.08</v>
      </c>
      <c r="AA24" s="203">
        <v>511.64</v>
      </c>
      <c r="AB24" s="196">
        <v>0</v>
      </c>
      <c r="AC24" s="204">
        <v>1271.46</v>
      </c>
      <c r="AD24" s="126"/>
      <c r="AE24" s="176" t="s">
        <v>69</v>
      </c>
    </row>
    <row r="25" s="176" customFormat="1" ht="26" customHeight="1" spans="1:31">
      <c r="A25" s="126">
        <v>24</v>
      </c>
      <c r="B25" s="126" t="s">
        <v>215</v>
      </c>
      <c r="C25" s="130" t="s">
        <v>216</v>
      </c>
      <c r="D25" s="126" t="s">
        <v>159</v>
      </c>
      <c r="E25" s="126" t="s">
        <v>208</v>
      </c>
      <c r="F25" s="191">
        <v>127</v>
      </c>
      <c r="G25" s="191">
        <v>11.5</v>
      </c>
      <c r="H25" s="191">
        <v>138.5</v>
      </c>
      <c r="I25" s="196">
        <v>1662</v>
      </c>
      <c r="J25" s="196">
        <v>152.35</v>
      </c>
      <c r="K25" s="198" t="s">
        <v>67</v>
      </c>
      <c r="L25" s="197" t="s">
        <v>67</v>
      </c>
      <c r="M25" s="197" t="s">
        <v>67</v>
      </c>
      <c r="N25" s="197" t="s">
        <v>67</v>
      </c>
      <c r="O25" s="197" t="s">
        <v>67</v>
      </c>
      <c r="P25" s="197" t="s">
        <v>67</v>
      </c>
      <c r="Q25" s="197" t="s">
        <v>67</v>
      </c>
      <c r="R25" s="198" t="s">
        <v>67</v>
      </c>
      <c r="S25" s="198" t="s">
        <v>67</v>
      </c>
      <c r="T25" s="198" t="s">
        <v>67</v>
      </c>
      <c r="U25" s="198">
        <v>1814.35</v>
      </c>
      <c r="V25" s="199">
        <v>243.36</v>
      </c>
      <c r="W25" s="199">
        <v>104.57</v>
      </c>
      <c r="X25" s="199">
        <v>9.13</v>
      </c>
      <c r="Y25" s="199">
        <v>89.5</v>
      </c>
      <c r="Z25" s="196">
        <v>81.35</v>
      </c>
      <c r="AA25" s="203">
        <v>527.91</v>
      </c>
      <c r="AB25" s="196">
        <v>0</v>
      </c>
      <c r="AC25" s="204">
        <v>1286.44</v>
      </c>
      <c r="AD25" s="126"/>
      <c r="AE25" s="176" t="s">
        <v>69</v>
      </c>
    </row>
    <row r="26" s="176" customFormat="1" ht="26" customHeight="1" spans="1:31">
      <c r="A26" s="126">
        <v>25</v>
      </c>
      <c r="B26" s="127" t="s">
        <v>217</v>
      </c>
      <c r="C26" s="154" t="s">
        <v>218</v>
      </c>
      <c r="D26" s="126" t="s">
        <v>159</v>
      </c>
      <c r="E26" s="126" t="s">
        <v>208</v>
      </c>
      <c r="F26" s="191">
        <v>151</v>
      </c>
      <c r="G26" s="191">
        <v>16.5</v>
      </c>
      <c r="H26" s="191">
        <v>167.5</v>
      </c>
      <c r="I26" s="196">
        <v>2010</v>
      </c>
      <c r="J26" s="196">
        <v>184.25</v>
      </c>
      <c r="K26" s="198" t="s">
        <v>67</v>
      </c>
      <c r="L26" s="197" t="s">
        <v>67</v>
      </c>
      <c r="M26" s="197">
        <v>60</v>
      </c>
      <c r="N26" s="197" t="s">
        <v>67</v>
      </c>
      <c r="O26" s="197" t="s">
        <v>67</v>
      </c>
      <c r="P26" s="197" t="s">
        <v>67</v>
      </c>
      <c r="Q26" s="197" t="s">
        <v>67</v>
      </c>
      <c r="R26" s="198" t="s">
        <v>67</v>
      </c>
      <c r="S26" s="198" t="s">
        <v>67</v>
      </c>
      <c r="T26" s="198" t="s">
        <v>67</v>
      </c>
      <c r="U26" s="198">
        <v>2254.25</v>
      </c>
      <c r="V26" s="199">
        <v>226.9</v>
      </c>
      <c r="W26" s="199">
        <v>104.57</v>
      </c>
      <c r="X26" s="199">
        <v>8.51</v>
      </c>
      <c r="Y26" s="199">
        <v>89.5</v>
      </c>
      <c r="Z26" s="196">
        <v>261.84</v>
      </c>
      <c r="AA26" s="203">
        <v>691.32</v>
      </c>
      <c r="AB26" s="196">
        <v>0</v>
      </c>
      <c r="AC26" s="204">
        <v>1562.93</v>
      </c>
      <c r="AD26" s="126"/>
      <c r="AE26" s="176" t="s">
        <v>69</v>
      </c>
    </row>
    <row r="27" s="176" customFormat="1" ht="26" customHeight="1" spans="1:31">
      <c r="A27" s="126">
        <v>26</v>
      </c>
      <c r="B27" s="127" t="s">
        <v>219</v>
      </c>
      <c r="C27" s="152" t="s">
        <v>220</v>
      </c>
      <c r="D27" s="126" t="s">
        <v>159</v>
      </c>
      <c r="E27" s="190" t="s">
        <v>208</v>
      </c>
      <c r="F27" s="191">
        <v>143</v>
      </c>
      <c r="G27" s="191">
        <v>12.5</v>
      </c>
      <c r="H27" s="191">
        <v>155.5</v>
      </c>
      <c r="I27" s="196">
        <v>2366</v>
      </c>
      <c r="J27" s="196">
        <v>171.05</v>
      </c>
      <c r="K27" s="198" t="s">
        <v>67</v>
      </c>
      <c r="L27" s="197" t="s">
        <v>67</v>
      </c>
      <c r="M27" s="197">
        <v>140</v>
      </c>
      <c r="N27" s="197" t="s">
        <v>67</v>
      </c>
      <c r="O27" s="197" t="s">
        <v>67</v>
      </c>
      <c r="P27" s="197">
        <v>20</v>
      </c>
      <c r="Q27" s="197" t="s">
        <v>67</v>
      </c>
      <c r="R27" s="198" t="s">
        <v>67</v>
      </c>
      <c r="S27" s="198" t="s">
        <v>67</v>
      </c>
      <c r="T27" s="198" t="s">
        <v>67</v>
      </c>
      <c r="U27" s="198">
        <v>2697.05</v>
      </c>
      <c r="V27" s="199">
        <v>226.9</v>
      </c>
      <c r="W27" s="199">
        <v>104.57</v>
      </c>
      <c r="X27" s="199">
        <v>8.51</v>
      </c>
      <c r="Y27" s="199">
        <v>89.5</v>
      </c>
      <c r="Z27" s="196">
        <v>261.84</v>
      </c>
      <c r="AA27" s="203">
        <v>691.32</v>
      </c>
      <c r="AB27" s="196">
        <v>0</v>
      </c>
      <c r="AC27" s="204">
        <v>2005.73</v>
      </c>
      <c r="AD27" s="126"/>
      <c r="AE27" s="176" t="s">
        <v>69</v>
      </c>
    </row>
    <row r="28" s="176" customFormat="1" ht="26" customHeight="1" spans="1:31">
      <c r="A28" s="126">
        <v>27</v>
      </c>
      <c r="B28" s="127" t="s">
        <v>221</v>
      </c>
      <c r="C28" s="154" t="s">
        <v>222</v>
      </c>
      <c r="D28" s="126" t="s">
        <v>159</v>
      </c>
      <c r="E28" s="126" t="s">
        <v>223</v>
      </c>
      <c r="F28" s="191">
        <v>183</v>
      </c>
      <c r="G28" s="191">
        <v>28.5</v>
      </c>
      <c r="H28" s="191">
        <v>211.5</v>
      </c>
      <c r="I28" s="196">
        <v>2907.7</v>
      </c>
      <c r="J28" s="196">
        <v>266.9</v>
      </c>
      <c r="K28" s="198" t="s">
        <v>67</v>
      </c>
      <c r="L28" s="197">
        <v>500</v>
      </c>
      <c r="M28" s="197">
        <v>180</v>
      </c>
      <c r="N28" s="197" t="s">
        <v>67</v>
      </c>
      <c r="O28" s="197" t="s">
        <v>67</v>
      </c>
      <c r="P28" s="197">
        <v>20</v>
      </c>
      <c r="Q28" s="197" t="s">
        <v>67</v>
      </c>
      <c r="R28" s="198" t="s">
        <v>67</v>
      </c>
      <c r="S28" s="198" t="s">
        <v>67</v>
      </c>
      <c r="T28" s="198" t="s">
        <v>67</v>
      </c>
      <c r="U28" s="198">
        <v>3874.6</v>
      </c>
      <c r="V28" s="199">
        <v>226.9</v>
      </c>
      <c r="W28" s="199">
        <v>104.57</v>
      </c>
      <c r="X28" s="199">
        <v>8.51</v>
      </c>
      <c r="Y28" s="199">
        <v>89.5</v>
      </c>
      <c r="Z28" s="196">
        <v>261.84</v>
      </c>
      <c r="AA28" s="203">
        <v>691.32</v>
      </c>
      <c r="AB28" s="196">
        <v>0</v>
      </c>
      <c r="AC28" s="204">
        <v>3183.28</v>
      </c>
      <c r="AD28" s="126"/>
      <c r="AE28" s="176" t="s">
        <v>69</v>
      </c>
    </row>
    <row r="29" s="176" customFormat="1" ht="26" customHeight="1" spans="1:31">
      <c r="A29" s="126">
        <v>28</v>
      </c>
      <c r="B29" s="127" t="s">
        <v>224</v>
      </c>
      <c r="C29" s="159" t="s">
        <v>225</v>
      </c>
      <c r="D29" s="126" t="s">
        <v>159</v>
      </c>
      <c r="E29" s="190" t="s">
        <v>208</v>
      </c>
      <c r="F29" s="191">
        <v>181</v>
      </c>
      <c r="G29" s="191">
        <v>27.5</v>
      </c>
      <c r="H29" s="191">
        <v>208.5</v>
      </c>
      <c r="I29" s="196">
        <v>2868.8</v>
      </c>
      <c r="J29" s="196">
        <v>265.1</v>
      </c>
      <c r="K29" s="198" t="s">
        <v>67</v>
      </c>
      <c r="L29" s="197" t="s">
        <v>67</v>
      </c>
      <c r="M29" s="197">
        <v>240</v>
      </c>
      <c r="N29" s="197" t="s">
        <v>67</v>
      </c>
      <c r="O29" s="197" t="s">
        <v>67</v>
      </c>
      <c r="P29" s="197">
        <v>20</v>
      </c>
      <c r="Q29" s="197" t="s">
        <v>67</v>
      </c>
      <c r="R29" s="198" t="s">
        <v>67</v>
      </c>
      <c r="S29" s="198" t="s">
        <v>67</v>
      </c>
      <c r="T29" s="198" t="s">
        <v>67</v>
      </c>
      <c r="U29" s="198">
        <v>3393.9</v>
      </c>
      <c r="V29" s="199">
        <v>226.9</v>
      </c>
      <c r="W29" s="199">
        <v>104.57</v>
      </c>
      <c r="X29" s="199">
        <v>8.51</v>
      </c>
      <c r="Y29" s="199">
        <v>89.5</v>
      </c>
      <c r="Z29" s="196">
        <v>261.84</v>
      </c>
      <c r="AA29" s="203">
        <v>691.32</v>
      </c>
      <c r="AB29" s="196">
        <v>0</v>
      </c>
      <c r="AC29" s="204">
        <v>2702.58</v>
      </c>
      <c r="AD29" s="126"/>
      <c r="AE29" s="176" t="s">
        <v>69</v>
      </c>
    </row>
    <row r="30" s="176" customFormat="1" ht="26" customHeight="1" spans="1:31">
      <c r="A30" s="126">
        <v>29</v>
      </c>
      <c r="B30" s="126" t="s">
        <v>226</v>
      </c>
      <c r="C30" s="126" t="s">
        <v>227</v>
      </c>
      <c r="D30" s="126" t="s">
        <v>159</v>
      </c>
      <c r="E30" s="190" t="s">
        <v>208</v>
      </c>
      <c r="F30" s="191">
        <v>173</v>
      </c>
      <c r="G30" s="191">
        <v>21.5</v>
      </c>
      <c r="H30" s="191">
        <v>194.5</v>
      </c>
      <c r="I30" s="196">
        <v>2489.6</v>
      </c>
      <c r="J30" s="196">
        <v>295.1</v>
      </c>
      <c r="K30" s="198" t="s">
        <v>67</v>
      </c>
      <c r="L30" s="197" t="s">
        <v>67</v>
      </c>
      <c r="M30" s="197">
        <v>200</v>
      </c>
      <c r="N30" s="197" t="s">
        <v>67</v>
      </c>
      <c r="O30" s="197" t="s">
        <v>67</v>
      </c>
      <c r="P30" s="197" t="s">
        <v>67</v>
      </c>
      <c r="Q30" s="197" t="s">
        <v>67</v>
      </c>
      <c r="R30" s="198" t="s">
        <v>67</v>
      </c>
      <c r="S30" s="198" t="s">
        <v>67</v>
      </c>
      <c r="T30" s="198" t="s">
        <v>67</v>
      </c>
      <c r="U30" s="198">
        <v>2984.7</v>
      </c>
      <c r="V30" s="199">
        <v>226.9</v>
      </c>
      <c r="W30" s="199">
        <v>104.57</v>
      </c>
      <c r="X30" s="199">
        <v>8.51</v>
      </c>
      <c r="Y30" s="199">
        <v>89.5</v>
      </c>
      <c r="Z30" s="196">
        <v>261.84</v>
      </c>
      <c r="AA30" s="203">
        <v>691.32</v>
      </c>
      <c r="AB30" s="196">
        <v>0</v>
      </c>
      <c r="AC30" s="204">
        <v>2293.38</v>
      </c>
      <c r="AD30" s="126"/>
      <c r="AE30" s="176" t="s">
        <v>69</v>
      </c>
    </row>
    <row r="31" s="176" customFormat="1" ht="26" customHeight="1" spans="1:31">
      <c r="A31" s="126">
        <v>30</v>
      </c>
      <c r="B31" s="126" t="s">
        <v>228</v>
      </c>
      <c r="C31" s="126" t="s">
        <v>229</v>
      </c>
      <c r="D31" s="126" t="s">
        <v>159</v>
      </c>
      <c r="E31" s="190" t="s">
        <v>208</v>
      </c>
      <c r="F31" s="191">
        <v>179</v>
      </c>
      <c r="G31" s="191">
        <v>22</v>
      </c>
      <c r="H31" s="191">
        <v>201</v>
      </c>
      <c r="I31" s="196">
        <v>2572.8</v>
      </c>
      <c r="J31" s="196">
        <v>279.8</v>
      </c>
      <c r="K31" s="198" t="s">
        <v>67</v>
      </c>
      <c r="L31" s="197" t="s">
        <v>67</v>
      </c>
      <c r="M31" s="197">
        <v>160</v>
      </c>
      <c r="N31" s="197" t="s">
        <v>67</v>
      </c>
      <c r="O31" s="197" t="s">
        <v>67</v>
      </c>
      <c r="P31" s="197" t="s">
        <v>67</v>
      </c>
      <c r="Q31" s="197" t="s">
        <v>67</v>
      </c>
      <c r="R31" s="198" t="s">
        <v>67</v>
      </c>
      <c r="S31" s="198" t="s">
        <v>67</v>
      </c>
      <c r="T31" s="198" t="s">
        <v>67</v>
      </c>
      <c r="U31" s="198">
        <v>3012.6</v>
      </c>
      <c r="V31" s="199">
        <v>226.9</v>
      </c>
      <c r="W31" s="199">
        <v>104.57</v>
      </c>
      <c r="X31" s="199">
        <v>8.51</v>
      </c>
      <c r="Y31" s="199">
        <v>89.5</v>
      </c>
      <c r="Z31" s="196">
        <v>261.84</v>
      </c>
      <c r="AA31" s="203">
        <v>691.32</v>
      </c>
      <c r="AB31" s="196">
        <v>0</v>
      </c>
      <c r="AC31" s="204">
        <v>2321.28</v>
      </c>
      <c r="AD31" s="126"/>
      <c r="AE31" s="176" t="s">
        <v>69</v>
      </c>
    </row>
    <row r="32" s="176" customFormat="1" ht="26" customHeight="1" spans="1:31">
      <c r="A32" s="126">
        <v>31</v>
      </c>
      <c r="B32" s="126" t="s">
        <v>230</v>
      </c>
      <c r="C32" s="126" t="s">
        <v>231</v>
      </c>
      <c r="D32" s="126" t="s">
        <v>159</v>
      </c>
      <c r="E32" s="190" t="s">
        <v>232</v>
      </c>
      <c r="F32" s="191">
        <v>184</v>
      </c>
      <c r="G32" s="191">
        <v>27</v>
      </c>
      <c r="H32" s="191">
        <v>211</v>
      </c>
      <c r="I32" s="196">
        <v>2700.8</v>
      </c>
      <c r="J32" s="196">
        <v>285.8</v>
      </c>
      <c r="K32" s="198" t="s">
        <v>67</v>
      </c>
      <c r="L32" s="197" t="s">
        <v>67</v>
      </c>
      <c r="M32" s="197">
        <v>140</v>
      </c>
      <c r="N32" s="197" t="s">
        <v>67</v>
      </c>
      <c r="O32" s="197" t="s">
        <v>67</v>
      </c>
      <c r="P32" s="197" t="s">
        <v>67</v>
      </c>
      <c r="Q32" s="197" t="s">
        <v>67</v>
      </c>
      <c r="R32" s="198" t="s">
        <v>67</v>
      </c>
      <c r="S32" s="198" t="s">
        <v>67</v>
      </c>
      <c r="T32" s="198" t="s">
        <v>67</v>
      </c>
      <c r="U32" s="198">
        <v>3126.6</v>
      </c>
      <c r="V32" s="199">
        <v>226.9</v>
      </c>
      <c r="W32" s="199">
        <v>104.57</v>
      </c>
      <c r="X32" s="199">
        <v>8.51</v>
      </c>
      <c r="Y32" s="199">
        <v>89.5</v>
      </c>
      <c r="Z32" s="196">
        <v>261.84</v>
      </c>
      <c r="AA32" s="203">
        <v>691.32</v>
      </c>
      <c r="AB32" s="196">
        <v>0</v>
      </c>
      <c r="AC32" s="204">
        <v>2435.28</v>
      </c>
      <c r="AD32" s="126"/>
      <c r="AE32" s="176" t="s">
        <v>69</v>
      </c>
    </row>
    <row r="33" s="176" customFormat="1" ht="26" customHeight="1" spans="1:31">
      <c r="A33" s="126">
        <v>32</v>
      </c>
      <c r="B33" s="126" t="s">
        <v>233</v>
      </c>
      <c r="C33" s="126" t="s">
        <v>234</v>
      </c>
      <c r="D33" s="126" t="s">
        <v>159</v>
      </c>
      <c r="E33" s="190" t="s">
        <v>208</v>
      </c>
      <c r="F33" s="191">
        <v>174.5</v>
      </c>
      <c r="G33" s="191">
        <v>19.5</v>
      </c>
      <c r="H33" s="191">
        <v>194</v>
      </c>
      <c r="I33" s="196">
        <v>2483.2</v>
      </c>
      <c r="J33" s="196">
        <v>313.2</v>
      </c>
      <c r="K33" s="198" t="s">
        <v>67</v>
      </c>
      <c r="L33" s="197" t="s">
        <v>67</v>
      </c>
      <c r="M33" s="197">
        <v>80</v>
      </c>
      <c r="N33" s="197" t="s">
        <v>67</v>
      </c>
      <c r="O33" s="197" t="s">
        <v>67</v>
      </c>
      <c r="P33" s="197">
        <v>20</v>
      </c>
      <c r="Q33" s="197" t="s">
        <v>67</v>
      </c>
      <c r="R33" s="198" t="s">
        <v>67</v>
      </c>
      <c r="S33" s="198" t="s">
        <v>67</v>
      </c>
      <c r="T33" s="198" t="s">
        <v>67</v>
      </c>
      <c r="U33" s="198">
        <v>2896.4</v>
      </c>
      <c r="V33" s="199">
        <v>226.9</v>
      </c>
      <c r="W33" s="199">
        <v>104.57</v>
      </c>
      <c r="X33" s="199">
        <v>8.51</v>
      </c>
      <c r="Y33" s="199">
        <v>89.5</v>
      </c>
      <c r="Z33" s="196">
        <v>261.84</v>
      </c>
      <c r="AA33" s="203">
        <v>691.32</v>
      </c>
      <c r="AB33" s="196">
        <v>0</v>
      </c>
      <c r="AC33" s="204">
        <v>2205.08</v>
      </c>
      <c r="AD33" s="126"/>
      <c r="AE33" s="176" t="s">
        <v>69</v>
      </c>
    </row>
    <row r="34" s="176" customFormat="1" ht="26" customHeight="1" spans="1:31">
      <c r="A34" s="126">
        <v>33</v>
      </c>
      <c r="B34" s="126" t="s">
        <v>235</v>
      </c>
      <c r="C34" s="126" t="s">
        <v>236</v>
      </c>
      <c r="D34" s="126" t="s">
        <v>159</v>
      </c>
      <c r="E34" s="190" t="s">
        <v>208</v>
      </c>
      <c r="F34" s="191">
        <v>181</v>
      </c>
      <c r="G34" s="191">
        <v>24.5</v>
      </c>
      <c r="H34" s="191">
        <v>205.5</v>
      </c>
      <c r="I34" s="196">
        <v>2630.4</v>
      </c>
      <c r="J34" s="196">
        <v>282.5</v>
      </c>
      <c r="K34" s="198" t="s">
        <v>67</v>
      </c>
      <c r="L34" s="197" t="s">
        <v>67</v>
      </c>
      <c r="M34" s="197">
        <v>80</v>
      </c>
      <c r="N34" s="197" t="s">
        <v>67</v>
      </c>
      <c r="O34" s="197" t="s">
        <v>67</v>
      </c>
      <c r="P34" s="197">
        <v>20</v>
      </c>
      <c r="Q34" s="197" t="s">
        <v>67</v>
      </c>
      <c r="R34" s="198" t="s">
        <v>67</v>
      </c>
      <c r="S34" s="198" t="s">
        <v>67</v>
      </c>
      <c r="T34" s="198" t="s">
        <v>67</v>
      </c>
      <c r="U34" s="198">
        <v>3012.9</v>
      </c>
      <c r="V34" s="199">
        <v>226.9</v>
      </c>
      <c r="W34" s="199">
        <v>104.57</v>
      </c>
      <c r="X34" s="199">
        <v>8.51</v>
      </c>
      <c r="Y34" s="199">
        <v>89.5</v>
      </c>
      <c r="Z34" s="196">
        <v>261.84</v>
      </c>
      <c r="AA34" s="203">
        <v>691.32</v>
      </c>
      <c r="AB34" s="196">
        <v>0</v>
      </c>
      <c r="AC34" s="204">
        <v>2321.58</v>
      </c>
      <c r="AD34" s="126"/>
      <c r="AE34" s="176" t="s">
        <v>69</v>
      </c>
    </row>
    <row r="35" s="176" customFormat="1" ht="26" customHeight="1" spans="1:31">
      <c r="A35" s="126">
        <v>34</v>
      </c>
      <c r="B35" s="126" t="s">
        <v>237</v>
      </c>
      <c r="C35" s="126" t="s">
        <v>238</v>
      </c>
      <c r="D35" s="126" t="s">
        <v>159</v>
      </c>
      <c r="E35" s="190" t="s">
        <v>208</v>
      </c>
      <c r="F35" s="191">
        <v>176</v>
      </c>
      <c r="G35" s="191">
        <v>23.5</v>
      </c>
      <c r="H35" s="191">
        <v>199.5</v>
      </c>
      <c r="I35" s="196">
        <v>2553.6</v>
      </c>
      <c r="J35" s="196">
        <v>336.5</v>
      </c>
      <c r="K35" s="198" t="s">
        <v>67</v>
      </c>
      <c r="L35" s="197" t="s">
        <v>67</v>
      </c>
      <c r="M35" s="197">
        <v>60</v>
      </c>
      <c r="N35" s="197" t="s">
        <v>67</v>
      </c>
      <c r="O35" s="197" t="s">
        <v>67</v>
      </c>
      <c r="P35" s="197">
        <v>20</v>
      </c>
      <c r="Q35" s="197" t="s">
        <v>67</v>
      </c>
      <c r="R35" s="198" t="s">
        <v>67</v>
      </c>
      <c r="S35" s="198" t="s">
        <v>67</v>
      </c>
      <c r="T35" s="198" t="s">
        <v>67</v>
      </c>
      <c r="U35" s="198">
        <v>2970.1</v>
      </c>
      <c r="V35" s="199">
        <v>226.9</v>
      </c>
      <c r="W35" s="199">
        <v>104.57</v>
      </c>
      <c r="X35" s="199">
        <v>8.51</v>
      </c>
      <c r="Y35" s="199">
        <v>89.5</v>
      </c>
      <c r="Z35" s="196">
        <v>261.84</v>
      </c>
      <c r="AA35" s="203">
        <v>691.32</v>
      </c>
      <c r="AB35" s="196">
        <v>0</v>
      </c>
      <c r="AC35" s="204">
        <v>2278.78</v>
      </c>
      <c r="AD35" s="126"/>
      <c r="AE35" s="176" t="s">
        <v>69</v>
      </c>
    </row>
    <row r="36" s="176" customFormat="1" ht="26" customHeight="1" spans="1:31">
      <c r="A36" s="126">
        <v>35</v>
      </c>
      <c r="B36" s="126" t="s">
        <v>239</v>
      </c>
      <c r="C36" s="126" t="s">
        <v>240</v>
      </c>
      <c r="D36" s="126" t="s">
        <v>159</v>
      </c>
      <c r="E36" s="190" t="s">
        <v>208</v>
      </c>
      <c r="F36" s="191">
        <v>181</v>
      </c>
      <c r="G36" s="191">
        <v>21.5</v>
      </c>
      <c r="H36" s="191">
        <v>202.5</v>
      </c>
      <c r="I36" s="196">
        <v>2592</v>
      </c>
      <c r="J36" s="196">
        <v>307.1</v>
      </c>
      <c r="K36" s="198" t="s">
        <v>67</v>
      </c>
      <c r="L36" s="197" t="s">
        <v>67</v>
      </c>
      <c r="M36" s="197">
        <v>20</v>
      </c>
      <c r="N36" s="197" t="s">
        <v>67</v>
      </c>
      <c r="O36" s="197" t="s">
        <v>67</v>
      </c>
      <c r="P36" s="197" t="s">
        <v>67</v>
      </c>
      <c r="Q36" s="197" t="s">
        <v>67</v>
      </c>
      <c r="R36" s="198" t="s">
        <v>67</v>
      </c>
      <c r="S36" s="198" t="s">
        <v>67</v>
      </c>
      <c r="T36" s="198" t="s">
        <v>67</v>
      </c>
      <c r="U36" s="198">
        <v>2919.1</v>
      </c>
      <c r="V36" s="199">
        <v>226.9</v>
      </c>
      <c r="W36" s="199">
        <v>104.57</v>
      </c>
      <c r="X36" s="199">
        <v>8.51</v>
      </c>
      <c r="Y36" s="199">
        <v>89.5</v>
      </c>
      <c r="Z36" s="196">
        <v>261.84</v>
      </c>
      <c r="AA36" s="203">
        <v>691.32</v>
      </c>
      <c r="AB36" s="196">
        <v>0</v>
      </c>
      <c r="AC36" s="204">
        <v>2227.78</v>
      </c>
      <c r="AD36" s="126"/>
      <c r="AE36" s="176" t="s">
        <v>69</v>
      </c>
    </row>
    <row r="37" s="176" customFormat="1" ht="26" customHeight="1" spans="1:31">
      <c r="A37" s="126">
        <v>36</v>
      </c>
      <c r="B37" s="126" t="s">
        <v>241</v>
      </c>
      <c r="C37" s="126" t="s">
        <v>242</v>
      </c>
      <c r="D37" s="126" t="s">
        <v>159</v>
      </c>
      <c r="E37" s="190" t="s">
        <v>208</v>
      </c>
      <c r="F37" s="191">
        <v>127.5</v>
      </c>
      <c r="G37" s="191">
        <v>29.5</v>
      </c>
      <c r="H37" s="191">
        <v>157</v>
      </c>
      <c r="I37" s="196">
        <v>2311.4</v>
      </c>
      <c r="J37" s="196">
        <v>293.59</v>
      </c>
      <c r="K37" s="198" t="s">
        <v>67</v>
      </c>
      <c r="L37" s="197" t="s">
        <v>67</v>
      </c>
      <c r="M37" s="197" t="s">
        <v>67</v>
      </c>
      <c r="N37" s="197" t="s">
        <v>67</v>
      </c>
      <c r="O37" s="197" t="s">
        <v>67</v>
      </c>
      <c r="P37" s="197" t="s">
        <v>67</v>
      </c>
      <c r="Q37" s="197" t="s">
        <v>67</v>
      </c>
      <c r="R37" s="198" t="s">
        <v>67</v>
      </c>
      <c r="S37" s="198" t="s">
        <v>67</v>
      </c>
      <c r="T37" s="198" t="s">
        <v>67</v>
      </c>
      <c r="U37" s="198">
        <v>2604.99</v>
      </c>
      <c r="V37" s="199">
        <v>226.9</v>
      </c>
      <c r="W37" s="199">
        <v>104.57</v>
      </c>
      <c r="X37" s="199">
        <v>8.51</v>
      </c>
      <c r="Y37" s="199">
        <v>89.5</v>
      </c>
      <c r="Z37" s="196">
        <v>261.84</v>
      </c>
      <c r="AA37" s="203">
        <v>691.32</v>
      </c>
      <c r="AB37" s="196">
        <v>0</v>
      </c>
      <c r="AC37" s="204">
        <v>1913.67</v>
      </c>
      <c r="AD37" s="126"/>
      <c r="AE37" s="176" t="s">
        <v>69</v>
      </c>
    </row>
    <row r="38" s="176" customFormat="1" ht="26" customHeight="1" spans="1:31">
      <c r="A38" s="126">
        <v>37</v>
      </c>
      <c r="B38" s="126" t="s">
        <v>243</v>
      </c>
      <c r="C38" s="126" t="s">
        <v>244</v>
      </c>
      <c r="D38" s="126" t="s">
        <v>159</v>
      </c>
      <c r="E38" s="190" t="s">
        <v>232</v>
      </c>
      <c r="F38" s="191">
        <v>122</v>
      </c>
      <c r="G38" s="191">
        <v>27.5</v>
      </c>
      <c r="H38" s="191">
        <v>149.5</v>
      </c>
      <c r="I38" s="196">
        <v>2128.8</v>
      </c>
      <c r="J38" s="196">
        <v>143.52</v>
      </c>
      <c r="K38" s="198" t="s">
        <v>67</v>
      </c>
      <c r="L38" s="197" t="s">
        <v>67</v>
      </c>
      <c r="M38" s="197">
        <v>60</v>
      </c>
      <c r="N38" s="197" t="s">
        <v>67</v>
      </c>
      <c r="O38" s="197" t="s">
        <v>67</v>
      </c>
      <c r="P38" s="197">
        <v>20</v>
      </c>
      <c r="Q38" s="197" t="s">
        <v>67</v>
      </c>
      <c r="R38" s="198" t="s">
        <v>67</v>
      </c>
      <c r="S38" s="198" t="s">
        <v>67</v>
      </c>
      <c r="T38" s="198" t="s">
        <v>67</v>
      </c>
      <c r="U38" s="198">
        <v>2352.32</v>
      </c>
      <c r="V38" s="199">
        <v>226.9</v>
      </c>
      <c r="W38" s="199">
        <v>104.57</v>
      </c>
      <c r="X38" s="199">
        <v>8.51</v>
      </c>
      <c r="Y38" s="199">
        <v>89.5</v>
      </c>
      <c r="Z38" s="196">
        <v>261.84</v>
      </c>
      <c r="AA38" s="203">
        <v>691.32</v>
      </c>
      <c r="AB38" s="196">
        <v>0</v>
      </c>
      <c r="AC38" s="204">
        <v>1661</v>
      </c>
      <c r="AD38" s="126"/>
      <c r="AE38" s="176" t="s">
        <v>69</v>
      </c>
    </row>
    <row r="39" s="176" customFormat="1" ht="26" customHeight="1" spans="1:31">
      <c r="A39" s="126">
        <v>38</v>
      </c>
      <c r="B39" s="131" t="s">
        <v>245</v>
      </c>
      <c r="C39" s="126" t="s">
        <v>246</v>
      </c>
      <c r="D39" s="126" t="s">
        <v>159</v>
      </c>
      <c r="E39" s="190" t="s">
        <v>208</v>
      </c>
      <c r="F39" s="191">
        <v>122</v>
      </c>
      <c r="G39" s="191">
        <v>25.5</v>
      </c>
      <c r="H39" s="191">
        <v>147.5</v>
      </c>
      <c r="I39" s="196">
        <v>1784.75</v>
      </c>
      <c r="J39" s="196">
        <v>141.6</v>
      </c>
      <c r="K39" s="198" t="s">
        <v>67</v>
      </c>
      <c r="L39" s="197" t="s">
        <v>67</v>
      </c>
      <c r="M39" s="197">
        <v>40</v>
      </c>
      <c r="N39" s="197" t="s">
        <v>67</v>
      </c>
      <c r="O39" s="197" t="s">
        <v>67</v>
      </c>
      <c r="P39" s="197" t="s">
        <v>67</v>
      </c>
      <c r="Q39" s="197" t="s">
        <v>67</v>
      </c>
      <c r="R39" s="198" t="s">
        <v>67</v>
      </c>
      <c r="S39" s="198" t="s">
        <v>67</v>
      </c>
      <c r="T39" s="198" t="s">
        <v>67</v>
      </c>
      <c r="U39" s="198">
        <v>1966.35</v>
      </c>
      <c r="V39" s="199">
        <v>226.9</v>
      </c>
      <c r="W39" s="199">
        <v>104.57</v>
      </c>
      <c r="X39" s="199">
        <v>8.51</v>
      </c>
      <c r="Y39" s="199">
        <v>89.5</v>
      </c>
      <c r="Z39" s="196">
        <v>261.84</v>
      </c>
      <c r="AA39" s="203">
        <v>691.32</v>
      </c>
      <c r="AB39" s="196">
        <v>0</v>
      </c>
      <c r="AC39" s="204">
        <v>1275.03</v>
      </c>
      <c r="AD39" s="126"/>
      <c r="AE39" s="176" t="s">
        <v>69</v>
      </c>
    </row>
    <row r="40" s="176" customFormat="1" ht="26" customHeight="1" spans="1:31">
      <c r="A40" s="126">
        <v>39</v>
      </c>
      <c r="B40" s="126" t="s">
        <v>247</v>
      </c>
      <c r="C40" s="126" t="s">
        <v>248</v>
      </c>
      <c r="D40" s="126" t="s">
        <v>159</v>
      </c>
      <c r="E40" s="190" t="s">
        <v>208</v>
      </c>
      <c r="F40" s="191">
        <v>114</v>
      </c>
      <c r="G40" s="191">
        <v>20</v>
      </c>
      <c r="H40" s="191">
        <v>134</v>
      </c>
      <c r="I40" s="196">
        <v>1621.4</v>
      </c>
      <c r="J40" s="196">
        <v>128.64</v>
      </c>
      <c r="K40" s="198" t="s">
        <v>67</v>
      </c>
      <c r="L40" s="197" t="s">
        <v>67</v>
      </c>
      <c r="M40" s="197">
        <v>200</v>
      </c>
      <c r="N40" s="197" t="s">
        <v>67</v>
      </c>
      <c r="O40" s="197" t="s">
        <v>67</v>
      </c>
      <c r="P40" s="197" t="s">
        <v>67</v>
      </c>
      <c r="Q40" s="197" t="s">
        <v>67</v>
      </c>
      <c r="R40" s="198" t="s">
        <v>67</v>
      </c>
      <c r="S40" s="198" t="s">
        <v>67</v>
      </c>
      <c r="T40" s="198" t="s">
        <v>67</v>
      </c>
      <c r="U40" s="198">
        <v>1950.04</v>
      </c>
      <c r="V40" s="199">
        <v>226.9</v>
      </c>
      <c r="W40" s="199">
        <v>104.57</v>
      </c>
      <c r="X40" s="199">
        <v>8.51</v>
      </c>
      <c r="Y40" s="199">
        <v>89.5</v>
      </c>
      <c r="Z40" s="196">
        <v>261.84</v>
      </c>
      <c r="AA40" s="203">
        <v>691.32</v>
      </c>
      <c r="AB40" s="196">
        <v>0</v>
      </c>
      <c r="AC40" s="204">
        <v>1258.72</v>
      </c>
      <c r="AD40" s="126"/>
      <c r="AE40" s="176" t="s">
        <v>69</v>
      </c>
    </row>
    <row r="41" s="176" customFormat="1" ht="26" customHeight="1" spans="1:31">
      <c r="A41" s="126">
        <v>40</v>
      </c>
      <c r="B41" s="126" t="s">
        <v>249</v>
      </c>
      <c r="C41" s="126" t="s">
        <v>250</v>
      </c>
      <c r="D41" s="126" t="s">
        <v>159</v>
      </c>
      <c r="E41" s="190" t="s">
        <v>208</v>
      </c>
      <c r="F41" s="191">
        <v>97</v>
      </c>
      <c r="G41" s="191">
        <v>20.5</v>
      </c>
      <c r="H41" s="191">
        <v>117.5</v>
      </c>
      <c r="I41" s="196">
        <v>1421.75</v>
      </c>
      <c r="J41" s="196">
        <v>112.8</v>
      </c>
      <c r="K41" s="198" t="s">
        <v>67</v>
      </c>
      <c r="L41" s="197" t="s">
        <v>67</v>
      </c>
      <c r="M41" s="197">
        <v>80</v>
      </c>
      <c r="N41" s="197" t="s">
        <v>67</v>
      </c>
      <c r="O41" s="197" t="s">
        <v>67</v>
      </c>
      <c r="P41" s="197" t="s">
        <v>67</v>
      </c>
      <c r="Q41" s="197" t="s">
        <v>67</v>
      </c>
      <c r="R41" s="198" t="s">
        <v>67</v>
      </c>
      <c r="S41" s="198" t="s">
        <v>67</v>
      </c>
      <c r="T41" s="198" t="s">
        <v>67</v>
      </c>
      <c r="U41" s="198">
        <v>1614.55</v>
      </c>
      <c r="V41" s="199">
        <v>226.9</v>
      </c>
      <c r="W41" s="199">
        <v>104.57</v>
      </c>
      <c r="X41" s="199">
        <v>8.51</v>
      </c>
      <c r="Y41" s="199">
        <v>89.5</v>
      </c>
      <c r="Z41" s="196">
        <v>261.84</v>
      </c>
      <c r="AA41" s="203">
        <v>691.32</v>
      </c>
      <c r="AB41" s="196">
        <v>0</v>
      </c>
      <c r="AC41" s="204">
        <v>923.23</v>
      </c>
      <c r="AD41" s="126"/>
      <c r="AE41" s="176" t="s">
        <v>69</v>
      </c>
    </row>
    <row r="42" s="176" customFormat="1" ht="26" customHeight="1" spans="1:31">
      <c r="A42" s="126">
        <v>41</v>
      </c>
      <c r="B42" s="126" t="s">
        <v>251</v>
      </c>
      <c r="C42" s="126" t="s">
        <v>252</v>
      </c>
      <c r="D42" s="126" t="s">
        <v>159</v>
      </c>
      <c r="E42" s="190" t="s">
        <v>208</v>
      </c>
      <c r="F42" s="191">
        <v>177</v>
      </c>
      <c r="G42" s="191">
        <v>26</v>
      </c>
      <c r="H42" s="191">
        <v>203</v>
      </c>
      <c r="I42" s="196">
        <v>2598.4</v>
      </c>
      <c r="J42" s="196">
        <v>300.2</v>
      </c>
      <c r="K42" s="198" t="s">
        <v>67</v>
      </c>
      <c r="L42" s="197" t="s">
        <v>67</v>
      </c>
      <c r="M42" s="197">
        <v>20</v>
      </c>
      <c r="N42" s="197" t="s">
        <v>67</v>
      </c>
      <c r="O42" s="197" t="s">
        <v>67</v>
      </c>
      <c r="P42" s="197" t="s">
        <v>67</v>
      </c>
      <c r="Q42" s="197" t="s">
        <v>67</v>
      </c>
      <c r="R42" s="198" t="s">
        <v>67</v>
      </c>
      <c r="S42" s="198" t="s">
        <v>67</v>
      </c>
      <c r="T42" s="198" t="s">
        <v>67</v>
      </c>
      <c r="U42" s="198">
        <v>2918.6</v>
      </c>
      <c r="V42" s="199">
        <v>226.9</v>
      </c>
      <c r="W42" s="199">
        <v>104.57</v>
      </c>
      <c r="X42" s="199">
        <v>8.51</v>
      </c>
      <c r="Y42" s="199">
        <v>89.5</v>
      </c>
      <c r="Z42" s="196">
        <v>261.84</v>
      </c>
      <c r="AA42" s="203">
        <v>691.32</v>
      </c>
      <c r="AB42" s="196">
        <v>0</v>
      </c>
      <c r="AC42" s="204">
        <v>2227.28</v>
      </c>
      <c r="AD42" s="126"/>
      <c r="AE42" s="176" t="s">
        <v>69</v>
      </c>
    </row>
    <row r="43" s="176" customFormat="1" ht="26" customHeight="1" spans="1:31">
      <c r="A43" s="126">
        <v>42</v>
      </c>
      <c r="B43" s="126" t="s">
        <v>253</v>
      </c>
      <c r="C43" s="126" t="s">
        <v>254</v>
      </c>
      <c r="D43" s="126" t="s">
        <v>159</v>
      </c>
      <c r="E43" s="190" t="s">
        <v>208</v>
      </c>
      <c r="F43" s="191">
        <v>95.5</v>
      </c>
      <c r="G43" s="191">
        <v>24</v>
      </c>
      <c r="H43" s="191">
        <v>119.5</v>
      </c>
      <c r="I43" s="196">
        <v>1645.78</v>
      </c>
      <c r="J43" s="196">
        <v>223.465</v>
      </c>
      <c r="K43" s="198" t="s">
        <v>67</v>
      </c>
      <c r="L43" s="197" t="s">
        <v>67</v>
      </c>
      <c r="M43" s="197">
        <v>20</v>
      </c>
      <c r="N43" s="197" t="s">
        <v>67</v>
      </c>
      <c r="O43" s="197" t="s">
        <v>67</v>
      </c>
      <c r="P43" s="197" t="s">
        <v>67</v>
      </c>
      <c r="Q43" s="197" t="s">
        <v>67</v>
      </c>
      <c r="R43" s="198" t="s">
        <v>67</v>
      </c>
      <c r="S43" s="198" t="s">
        <v>67</v>
      </c>
      <c r="T43" s="198" t="s">
        <v>67</v>
      </c>
      <c r="U43" s="198">
        <v>1889.25</v>
      </c>
      <c r="V43" s="199">
        <v>226.9</v>
      </c>
      <c r="W43" s="199">
        <v>104.57</v>
      </c>
      <c r="X43" s="199">
        <v>8.51</v>
      </c>
      <c r="Y43" s="199">
        <v>0</v>
      </c>
      <c r="Z43" s="196">
        <v>261.84</v>
      </c>
      <c r="AA43" s="203">
        <v>601.82</v>
      </c>
      <c r="AB43" s="196">
        <v>0</v>
      </c>
      <c r="AC43" s="204">
        <v>1287.43</v>
      </c>
      <c r="AD43" s="126"/>
      <c r="AE43" s="176" t="s">
        <v>69</v>
      </c>
    </row>
    <row r="44" s="176" customFormat="1" ht="26" customHeight="1" spans="1:31">
      <c r="A44" s="126">
        <v>43</v>
      </c>
      <c r="B44" s="126" t="s">
        <v>255</v>
      </c>
      <c r="C44" s="126" t="s">
        <v>256</v>
      </c>
      <c r="D44" s="126" t="s">
        <v>159</v>
      </c>
      <c r="E44" s="190" t="s">
        <v>208</v>
      </c>
      <c r="F44" s="191">
        <v>98</v>
      </c>
      <c r="G44" s="191">
        <v>24</v>
      </c>
      <c r="H44" s="191">
        <v>122</v>
      </c>
      <c r="I44" s="196">
        <v>1476.2</v>
      </c>
      <c r="J44" s="196">
        <v>228.14</v>
      </c>
      <c r="K44" s="198" t="s">
        <v>67</v>
      </c>
      <c r="L44" s="197" t="s">
        <v>67</v>
      </c>
      <c r="M44" s="197">
        <v>20</v>
      </c>
      <c r="N44" s="197" t="s">
        <v>67</v>
      </c>
      <c r="O44" s="197" t="s">
        <v>67</v>
      </c>
      <c r="P44" s="197" t="s">
        <v>67</v>
      </c>
      <c r="Q44" s="197" t="s">
        <v>67</v>
      </c>
      <c r="R44" s="198" t="s">
        <v>67</v>
      </c>
      <c r="S44" s="198" t="s">
        <v>67</v>
      </c>
      <c r="T44" s="198" t="s">
        <v>67</v>
      </c>
      <c r="U44" s="198">
        <v>1724.34</v>
      </c>
      <c r="V44" s="199">
        <v>226.9</v>
      </c>
      <c r="W44" s="199">
        <v>104.57</v>
      </c>
      <c r="X44" s="199">
        <v>8.51</v>
      </c>
      <c r="Y44" s="199">
        <v>0</v>
      </c>
      <c r="Z44" s="196">
        <v>261.84</v>
      </c>
      <c r="AA44" s="203">
        <v>601.82</v>
      </c>
      <c r="AB44" s="196">
        <v>0</v>
      </c>
      <c r="AC44" s="204">
        <v>1122.52</v>
      </c>
      <c r="AD44" s="126"/>
      <c r="AE44" s="176" t="s">
        <v>69</v>
      </c>
    </row>
    <row r="45" s="176" customFormat="1" ht="26" customHeight="1" spans="1:31">
      <c r="A45" s="126">
        <v>44</v>
      </c>
      <c r="B45" s="126" t="s">
        <v>257</v>
      </c>
      <c r="C45" s="126" t="s">
        <v>258</v>
      </c>
      <c r="D45" s="126" t="s">
        <v>159</v>
      </c>
      <c r="E45" s="190" t="s">
        <v>208</v>
      </c>
      <c r="F45" s="191">
        <v>173</v>
      </c>
      <c r="G45" s="191">
        <v>22</v>
      </c>
      <c r="H45" s="191">
        <v>195</v>
      </c>
      <c r="I45" s="196">
        <v>2496</v>
      </c>
      <c r="J45" s="196">
        <v>329</v>
      </c>
      <c r="K45" s="198" t="s">
        <v>67</v>
      </c>
      <c r="L45" s="197" t="s">
        <v>67</v>
      </c>
      <c r="M45" s="197">
        <v>20</v>
      </c>
      <c r="N45" s="197" t="s">
        <v>67</v>
      </c>
      <c r="O45" s="197" t="s">
        <v>67</v>
      </c>
      <c r="P45" s="197" t="s">
        <v>67</v>
      </c>
      <c r="Q45" s="197" t="s">
        <v>67</v>
      </c>
      <c r="R45" s="198" t="s">
        <v>67</v>
      </c>
      <c r="S45" s="198" t="s">
        <v>67</v>
      </c>
      <c r="T45" s="198" t="s">
        <v>67</v>
      </c>
      <c r="U45" s="198">
        <v>2845</v>
      </c>
      <c r="V45" s="199">
        <v>226.9</v>
      </c>
      <c r="W45" s="199">
        <v>104.57</v>
      </c>
      <c r="X45" s="199">
        <v>8.51</v>
      </c>
      <c r="Y45" s="199">
        <v>89.5</v>
      </c>
      <c r="Z45" s="196">
        <v>261.84</v>
      </c>
      <c r="AA45" s="203">
        <v>691.32</v>
      </c>
      <c r="AB45" s="196">
        <v>0</v>
      </c>
      <c r="AC45" s="204">
        <v>2153.68</v>
      </c>
      <c r="AD45" s="126"/>
      <c r="AE45" s="176" t="s">
        <v>69</v>
      </c>
    </row>
    <row r="46" s="176" customFormat="1" ht="26" customHeight="1" spans="1:31">
      <c r="A46" s="126">
        <v>45</v>
      </c>
      <c r="B46" s="126" t="s">
        <v>259</v>
      </c>
      <c r="C46" s="126" t="s">
        <v>260</v>
      </c>
      <c r="D46" s="126" t="s">
        <v>159</v>
      </c>
      <c r="E46" s="190" t="s">
        <v>208</v>
      </c>
      <c r="F46" s="191">
        <v>103.5</v>
      </c>
      <c r="G46" s="191">
        <v>27</v>
      </c>
      <c r="H46" s="191">
        <v>130.5</v>
      </c>
      <c r="I46" s="196">
        <v>1579.05</v>
      </c>
      <c r="J46" s="196">
        <v>244.035</v>
      </c>
      <c r="K46" s="198" t="s">
        <v>67</v>
      </c>
      <c r="L46" s="197" t="s">
        <v>67</v>
      </c>
      <c r="M46" s="197" t="s">
        <v>67</v>
      </c>
      <c r="N46" s="197" t="s">
        <v>67</v>
      </c>
      <c r="O46" s="197" t="s">
        <v>67</v>
      </c>
      <c r="P46" s="197" t="s">
        <v>67</v>
      </c>
      <c r="Q46" s="197" t="s">
        <v>67</v>
      </c>
      <c r="R46" s="198" t="s">
        <v>67</v>
      </c>
      <c r="S46" s="198" t="s">
        <v>67</v>
      </c>
      <c r="T46" s="198" t="s">
        <v>67</v>
      </c>
      <c r="U46" s="198">
        <v>1823.09</v>
      </c>
      <c r="V46" s="199">
        <v>243.36</v>
      </c>
      <c r="W46" s="199">
        <v>104.57</v>
      </c>
      <c r="X46" s="199">
        <v>9.13</v>
      </c>
      <c r="Y46" s="199">
        <v>0</v>
      </c>
      <c r="Z46" s="196">
        <v>32.54</v>
      </c>
      <c r="AA46" s="203">
        <v>389.6</v>
      </c>
      <c r="AB46" s="196">
        <v>0</v>
      </c>
      <c r="AC46" s="204">
        <v>1433.49</v>
      </c>
      <c r="AD46" s="126"/>
      <c r="AE46" s="176" t="s">
        <v>69</v>
      </c>
    </row>
    <row r="47" s="176" customFormat="1" ht="26" customHeight="1" spans="1:31">
      <c r="A47" s="126">
        <v>46</v>
      </c>
      <c r="B47" s="126" t="s">
        <v>261</v>
      </c>
      <c r="C47" s="126" t="s">
        <v>262</v>
      </c>
      <c r="D47" s="126" t="s">
        <v>159</v>
      </c>
      <c r="E47" s="190" t="s">
        <v>208</v>
      </c>
      <c r="F47" s="191">
        <v>92.5</v>
      </c>
      <c r="G47" s="191">
        <v>15.5</v>
      </c>
      <c r="H47" s="191">
        <v>108</v>
      </c>
      <c r="I47" s="196">
        <v>1306.8</v>
      </c>
      <c r="J47" s="196">
        <v>201.96</v>
      </c>
      <c r="K47" s="198" t="s">
        <v>67</v>
      </c>
      <c r="L47" s="197" t="s">
        <v>67</v>
      </c>
      <c r="M47" s="197" t="s">
        <v>67</v>
      </c>
      <c r="N47" s="197" t="s">
        <v>67</v>
      </c>
      <c r="O47" s="197" t="s">
        <v>67</v>
      </c>
      <c r="P47" s="197" t="s">
        <v>67</v>
      </c>
      <c r="Q47" s="197" t="s">
        <v>67</v>
      </c>
      <c r="R47" s="198" t="s">
        <v>67</v>
      </c>
      <c r="S47" s="198" t="s">
        <v>67</v>
      </c>
      <c r="T47" s="198" t="s">
        <v>67</v>
      </c>
      <c r="U47" s="198">
        <v>1508.76</v>
      </c>
      <c r="V47" s="199">
        <v>226.9</v>
      </c>
      <c r="W47" s="199">
        <v>104.57</v>
      </c>
      <c r="X47" s="199">
        <v>8.51</v>
      </c>
      <c r="Y47" s="199">
        <v>89.5</v>
      </c>
      <c r="Z47" s="196">
        <v>261.84</v>
      </c>
      <c r="AA47" s="203">
        <v>691.32</v>
      </c>
      <c r="AB47" s="196">
        <v>0</v>
      </c>
      <c r="AC47" s="204">
        <v>817.44</v>
      </c>
      <c r="AD47" s="126"/>
      <c r="AE47" s="176" t="s">
        <v>69</v>
      </c>
    </row>
  </sheetData>
  <autoFilter ref="A1:AF47">
    <extLst/>
  </autoFilter>
  <conditionalFormatting sqref="B14">
    <cfRule type="duplicateValues" dxfId="0" priority="7"/>
    <cfRule type="duplicateValues" dxfId="0" priority="6"/>
  </conditionalFormatting>
  <conditionalFormatting sqref="B15">
    <cfRule type="duplicateValues" dxfId="0" priority="9"/>
    <cfRule type="duplicateValues" dxfId="0" priority="8"/>
  </conditionalFormatting>
  <conditionalFormatting sqref="B$1:B$1048576">
    <cfRule type="duplicateValues" dxfId="0" priority="1"/>
  </conditionalFormatting>
  <conditionalFormatting sqref="B9:B13">
    <cfRule type="duplicateValues" dxfId="0" priority="3"/>
  </conditionalFormatting>
  <conditionalFormatting sqref="B16:B38">
    <cfRule type="duplicateValues" dxfId="0" priority="10"/>
  </conditionalFormatting>
  <conditionalFormatting sqref="B39:B47">
    <cfRule type="duplicateValues" dxfId="0" priority="4"/>
  </conditionalFormatting>
  <conditionalFormatting sqref="B1:B8 B14:B38 B48:B1048576">
    <cfRule type="duplicateValues" dxfId="0" priority="5"/>
  </conditionalFormatting>
  <dataValidations count="1">
    <dataValidation type="list" allowBlank="1" showInputMessage="1" showErrorMessage="1" sqref="AD4 AD36 AD37 AD38 AD47 AD2:AD3 AD5:AD8 AD9:AD13 AD14:AD18 AD19:AD20 AD21:AD27 AD28:AD35 AD39:AD43 AD44:AD46">
      <formula1>"与上月同,转正调薪,离职清算,调岗调薪,特殊调薪,入职定薪"</formula1>
    </dataValidation>
  </dataValidations>
  <pageMargins left="0.118055555555556" right="0.118055555555556" top="0.236111111111111" bottom="0.196527777777778" header="0.156944444444444" footer="0.0784722222222222"/>
  <pageSetup paperSize="9" scale="44" fitToWidth="0" orientation="landscape" horizontalDpi="6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8"/>
  <sheetViews>
    <sheetView topLeftCell="D1" workbookViewId="0">
      <pane ySplit="1" topLeftCell="A111" activePane="bottomLeft" state="frozen"/>
      <selection/>
      <selection pane="bottomLeft" activeCell="L134" sqref="L134"/>
    </sheetView>
  </sheetViews>
  <sheetFormatPr defaultColWidth="9" defaultRowHeight="15" customHeight="1"/>
  <cols>
    <col min="1" max="1" width="4.625" style="136" customWidth="1"/>
    <col min="2" max="2" width="6.25" style="136" customWidth="1"/>
    <col min="3" max="3" width="17.875" style="136" customWidth="1"/>
    <col min="4" max="4" width="4.625" style="136" customWidth="1"/>
    <col min="5" max="5" width="17.625" style="136" customWidth="1"/>
    <col min="6" max="6" width="21.25" style="136" customWidth="1"/>
    <col min="7" max="7" width="4.625" style="136" customWidth="1"/>
    <col min="8" max="8" width="15.875" style="136" customWidth="1"/>
    <col min="9" max="10" width="7.875" style="136" customWidth="1"/>
    <col min="11" max="11" width="9.5" style="136" customWidth="1"/>
    <col min="12" max="12" width="17.625" style="136" customWidth="1"/>
    <col min="13" max="13" width="7.875" style="139" customWidth="1"/>
    <col min="14" max="14" width="13.125" style="136" customWidth="1"/>
    <col min="15" max="16" width="7.875" style="136" customWidth="1"/>
    <col min="17" max="17" width="18.875" style="136" customWidth="1"/>
    <col min="18" max="19" width="4.625" style="136" customWidth="1"/>
    <col min="20" max="16384" width="9" style="136"/>
  </cols>
  <sheetData>
    <row r="1" s="135" customFormat="1" customHeight="1" spans="1:19">
      <c r="A1" s="140" t="s">
        <v>14</v>
      </c>
      <c r="B1" s="140" t="s">
        <v>4</v>
      </c>
      <c r="C1" s="140" t="s">
        <v>15</v>
      </c>
      <c r="D1" s="140" t="s">
        <v>263</v>
      </c>
      <c r="E1" s="140" t="s">
        <v>16</v>
      </c>
      <c r="F1" s="140" t="s">
        <v>17</v>
      </c>
      <c r="G1" s="140" t="s">
        <v>264</v>
      </c>
      <c r="H1" s="140" t="s">
        <v>265</v>
      </c>
      <c r="I1" s="140" t="s">
        <v>18</v>
      </c>
      <c r="J1" s="140" t="s">
        <v>266</v>
      </c>
      <c r="K1" s="140" t="s">
        <v>267</v>
      </c>
      <c r="L1" s="140" t="s">
        <v>43</v>
      </c>
      <c r="M1" s="149" t="s">
        <v>44</v>
      </c>
      <c r="N1" s="140" t="s">
        <v>45</v>
      </c>
      <c r="O1" s="140" t="s">
        <v>46</v>
      </c>
      <c r="P1" s="140" t="s">
        <v>268</v>
      </c>
      <c r="Q1" s="140" t="s">
        <v>269</v>
      </c>
      <c r="R1" s="140" t="s">
        <v>263</v>
      </c>
      <c r="S1" s="140" t="s">
        <v>270</v>
      </c>
    </row>
    <row r="2" s="136" customFormat="1" customHeight="1" spans="1:19">
      <c r="A2" s="141">
        <v>1</v>
      </c>
      <c r="B2" s="141" t="s">
        <v>271</v>
      </c>
      <c r="C2" s="141" t="s">
        <v>272</v>
      </c>
      <c r="D2" s="141" t="s">
        <v>273</v>
      </c>
      <c r="E2" s="141" t="s">
        <v>274</v>
      </c>
      <c r="F2" s="141" t="s">
        <v>275</v>
      </c>
      <c r="G2" s="141" t="s">
        <v>276</v>
      </c>
      <c r="H2" s="141" t="s">
        <v>277</v>
      </c>
      <c r="I2" s="141">
        <v>1790</v>
      </c>
      <c r="J2" s="141" t="s">
        <v>278</v>
      </c>
      <c r="K2" s="141" t="s">
        <v>279</v>
      </c>
      <c r="L2" s="141" t="s">
        <v>280</v>
      </c>
      <c r="M2" s="150" t="s">
        <v>281</v>
      </c>
      <c r="N2" s="141" t="s">
        <v>274</v>
      </c>
      <c r="O2" s="141" t="s">
        <v>282</v>
      </c>
      <c r="P2" s="141" t="s">
        <v>283</v>
      </c>
      <c r="Q2" s="141" t="s">
        <v>284</v>
      </c>
      <c r="R2" s="141" t="s">
        <v>273</v>
      </c>
      <c r="S2" s="141" t="s">
        <v>11</v>
      </c>
    </row>
    <row r="3" s="137" customFormat="1" customHeight="1" spans="1:19">
      <c r="A3" s="141">
        <v>2</v>
      </c>
      <c r="B3" s="119" t="s">
        <v>82</v>
      </c>
      <c r="C3" s="142" t="s">
        <v>83</v>
      </c>
      <c r="D3" s="141" t="s">
        <v>273</v>
      </c>
      <c r="E3" s="141" t="s">
        <v>84</v>
      </c>
      <c r="F3" s="141" t="s">
        <v>285</v>
      </c>
      <c r="G3" s="141" t="s">
        <v>286</v>
      </c>
      <c r="H3" s="141" t="s">
        <v>277</v>
      </c>
      <c r="I3" s="141">
        <v>1790</v>
      </c>
      <c r="J3" s="141" t="s">
        <v>287</v>
      </c>
      <c r="K3" s="141" t="s">
        <v>288</v>
      </c>
      <c r="L3" s="141" t="s">
        <v>289</v>
      </c>
      <c r="M3" s="150" t="s">
        <v>281</v>
      </c>
      <c r="N3" s="141" t="s">
        <v>84</v>
      </c>
      <c r="O3" s="141" t="s">
        <v>290</v>
      </c>
      <c r="P3" s="141" t="s">
        <v>283</v>
      </c>
      <c r="Q3" s="151" t="s">
        <v>291</v>
      </c>
      <c r="R3" s="141" t="s">
        <v>273</v>
      </c>
      <c r="S3" s="141" t="s">
        <v>11</v>
      </c>
    </row>
    <row r="4" s="136" customFormat="1" customHeight="1" spans="1:19">
      <c r="A4" s="141">
        <v>3</v>
      </c>
      <c r="B4" s="141" t="s">
        <v>96</v>
      </c>
      <c r="C4" s="141" t="s">
        <v>97</v>
      </c>
      <c r="D4" s="141" t="s">
        <v>273</v>
      </c>
      <c r="E4" s="141" t="s">
        <v>81</v>
      </c>
      <c r="F4" s="141" t="s">
        <v>292</v>
      </c>
      <c r="G4" s="141" t="s">
        <v>276</v>
      </c>
      <c r="H4" s="141" t="s">
        <v>277</v>
      </c>
      <c r="I4" s="141">
        <v>1790</v>
      </c>
      <c r="J4" s="141" t="s">
        <v>278</v>
      </c>
      <c r="K4" s="141" t="s">
        <v>279</v>
      </c>
      <c r="L4" s="141" t="s">
        <v>280</v>
      </c>
      <c r="M4" s="150" t="s">
        <v>281</v>
      </c>
      <c r="N4" s="141" t="s">
        <v>81</v>
      </c>
      <c r="O4" s="141" t="s">
        <v>282</v>
      </c>
      <c r="P4" s="141" t="s">
        <v>283</v>
      </c>
      <c r="Q4" s="141" t="s">
        <v>293</v>
      </c>
      <c r="R4" s="141" t="s">
        <v>273</v>
      </c>
      <c r="S4" s="141" t="s">
        <v>11</v>
      </c>
    </row>
    <row r="5" s="136" customFormat="1" customHeight="1" spans="1:19">
      <c r="A5" s="141">
        <v>4</v>
      </c>
      <c r="B5" s="141" t="s">
        <v>94</v>
      </c>
      <c r="C5" s="141" t="s">
        <v>294</v>
      </c>
      <c r="D5" s="141" t="s">
        <v>273</v>
      </c>
      <c r="E5" s="141" t="s">
        <v>81</v>
      </c>
      <c r="F5" s="141" t="s">
        <v>295</v>
      </c>
      <c r="G5" s="141" t="s">
        <v>276</v>
      </c>
      <c r="H5" s="141" t="s">
        <v>277</v>
      </c>
      <c r="I5" s="141">
        <v>1790</v>
      </c>
      <c r="J5" s="141" t="s">
        <v>287</v>
      </c>
      <c r="K5" s="141" t="s">
        <v>296</v>
      </c>
      <c r="L5" s="141" t="s">
        <v>297</v>
      </c>
      <c r="M5" s="150" t="s">
        <v>281</v>
      </c>
      <c r="N5" s="141" t="s">
        <v>81</v>
      </c>
      <c r="O5" s="141" t="s">
        <v>290</v>
      </c>
      <c r="P5" s="141" t="s">
        <v>283</v>
      </c>
      <c r="Q5" s="141" t="s">
        <v>298</v>
      </c>
      <c r="R5" s="141" t="s">
        <v>273</v>
      </c>
      <c r="S5" s="141" t="s">
        <v>11</v>
      </c>
    </row>
    <row r="6" s="136" customFormat="1" customHeight="1" spans="1:19">
      <c r="A6" s="141">
        <v>5</v>
      </c>
      <c r="B6" s="141" t="s">
        <v>140</v>
      </c>
      <c r="C6" s="141" t="s">
        <v>141</v>
      </c>
      <c r="D6" s="141" t="s">
        <v>273</v>
      </c>
      <c r="E6" s="141" t="s">
        <v>142</v>
      </c>
      <c r="F6" s="141" t="s">
        <v>299</v>
      </c>
      <c r="G6" s="141" t="s">
        <v>276</v>
      </c>
      <c r="H6" s="141" t="s">
        <v>277</v>
      </c>
      <c r="I6" s="141">
        <v>1790</v>
      </c>
      <c r="J6" s="141" t="s">
        <v>287</v>
      </c>
      <c r="K6" s="141" t="s">
        <v>300</v>
      </c>
      <c r="L6" s="141" t="s">
        <v>301</v>
      </c>
      <c r="M6" s="150" t="s">
        <v>281</v>
      </c>
      <c r="N6" s="141" t="s">
        <v>142</v>
      </c>
      <c r="O6" s="141" t="s">
        <v>290</v>
      </c>
      <c r="P6" s="141" t="s">
        <v>283</v>
      </c>
      <c r="Q6" s="141" t="s">
        <v>302</v>
      </c>
      <c r="R6" s="141" t="s">
        <v>273</v>
      </c>
      <c r="S6" s="141" t="s">
        <v>11</v>
      </c>
    </row>
    <row r="7" s="136" customFormat="1" customHeight="1" spans="1:19">
      <c r="A7" s="141">
        <v>6</v>
      </c>
      <c r="B7" s="141" t="s">
        <v>113</v>
      </c>
      <c r="C7" s="141" t="s">
        <v>114</v>
      </c>
      <c r="D7" s="141" t="s">
        <v>273</v>
      </c>
      <c r="E7" s="141" t="s">
        <v>81</v>
      </c>
      <c r="F7" s="141" t="s">
        <v>303</v>
      </c>
      <c r="G7" s="141" t="s">
        <v>286</v>
      </c>
      <c r="H7" s="141" t="s">
        <v>277</v>
      </c>
      <c r="I7" s="141">
        <v>1790</v>
      </c>
      <c r="J7" s="141" t="s">
        <v>278</v>
      </c>
      <c r="K7" s="141" t="s">
        <v>304</v>
      </c>
      <c r="L7" s="141" t="s">
        <v>305</v>
      </c>
      <c r="M7" s="150" t="s">
        <v>281</v>
      </c>
      <c r="N7" s="141" t="s">
        <v>81</v>
      </c>
      <c r="O7" s="141" t="s">
        <v>282</v>
      </c>
      <c r="P7" s="141" t="s">
        <v>283</v>
      </c>
      <c r="Q7" s="141" t="s">
        <v>306</v>
      </c>
      <c r="R7" s="141" t="s">
        <v>273</v>
      </c>
      <c r="S7" s="141" t="s">
        <v>11</v>
      </c>
    </row>
    <row r="8" s="136" customFormat="1" customHeight="1" spans="1:19">
      <c r="A8" s="141">
        <v>7</v>
      </c>
      <c r="B8" s="141" t="s">
        <v>100</v>
      </c>
      <c r="C8" s="141" t="s">
        <v>101</v>
      </c>
      <c r="D8" s="141" t="s">
        <v>273</v>
      </c>
      <c r="E8" s="141" t="s">
        <v>81</v>
      </c>
      <c r="F8" s="141" t="s">
        <v>307</v>
      </c>
      <c r="G8" s="141" t="s">
        <v>276</v>
      </c>
      <c r="H8" s="141" t="s">
        <v>277</v>
      </c>
      <c r="I8" s="141">
        <v>1790</v>
      </c>
      <c r="J8" s="141" t="s">
        <v>278</v>
      </c>
      <c r="K8" s="141" t="s">
        <v>279</v>
      </c>
      <c r="L8" s="141" t="s">
        <v>280</v>
      </c>
      <c r="M8" s="150" t="s">
        <v>281</v>
      </c>
      <c r="N8" s="141" t="s">
        <v>81</v>
      </c>
      <c r="O8" s="141" t="s">
        <v>282</v>
      </c>
      <c r="P8" s="141" t="s">
        <v>283</v>
      </c>
      <c r="Q8" s="141" t="s">
        <v>308</v>
      </c>
      <c r="R8" s="141" t="s">
        <v>273</v>
      </c>
      <c r="S8" s="141" t="s">
        <v>11</v>
      </c>
    </row>
    <row r="9" s="136" customFormat="1" customHeight="1" spans="1:19">
      <c r="A9" s="141">
        <v>8</v>
      </c>
      <c r="B9" s="141" t="s">
        <v>70</v>
      </c>
      <c r="C9" s="141" t="s">
        <v>71</v>
      </c>
      <c r="D9" s="141" t="s">
        <v>273</v>
      </c>
      <c r="E9" s="141" t="s">
        <v>1</v>
      </c>
      <c r="F9" s="141" t="s">
        <v>309</v>
      </c>
      <c r="G9" s="141" t="s">
        <v>276</v>
      </c>
      <c r="H9" s="141" t="s">
        <v>277</v>
      </c>
      <c r="I9" s="141">
        <v>1790</v>
      </c>
      <c r="J9" s="141" t="s">
        <v>287</v>
      </c>
      <c r="K9" s="141" t="s">
        <v>310</v>
      </c>
      <c r="L9" s="141" t="s">
        <v>311</v>
      </c>
      <c r="M9" s="150" t="s">
        <v>281</v>
      </c>
      <c r="N9" s="141" t="s">
        <v>72</v>
      </c>
      <c r="O9" s="141" t="s">
        <v>312</v>
      </c>
      <c r="P9" s="141" t="s">
        <v>283</v>
      </c>
      <c r="Q9" s="141" t="s">
        <v>313</v>
      </c>
      <c r="R9" s="141" t="s">
        <v>273</v>
      </c>
      <c r="S9" s="141" t="s">
        <v>11</v>
      </c>
    </row>
    <row r="10" s="136" customFormat="1" customHeight="1" spans="1:19">
      <c r="A10" s="141">
        <v>9</v>
      </c>
      <c r="B10" s="143" t="s">
        <v>91</v>
      </c>
      <c r="C10" s="144" t="s">
        <v>92</v>
      </c>
      <c r="D10" s="141" t="s">
        <v>273</v>
      </c>
      <c r="E10" s="141" t="s">
        <v>1</v>
      </c>
      <c r="F10" s="141" t="s">
        <v>314</v>
      </c>
      <c r="G10" s="141" t="s">
        <v>286</v>
      </c>
      <c r="H10" s="141" t="s">
        <v>277</v>
      </c>
      <c r="I10" s="141">
        <v>1790</v>
      </c>
      <c r="J10" s="141" t="s">
        <v>287</v>
      </c>
      <c r="K10" s="141" t="s">
        <v>310</v>
      </c>
      <c r="L10" s="141" t="s">
        <v>311</v>
      </c>
      <c r="M10" s="150" t="s">
        <v>281</v>
      </c>
      <c r="N10" s="141" t="s">
        <v>72</v>
      </c>
      <c r="O10" s="141" t="s">
        <v>290</v>
      </c>
      <c r="P10" s="141" t="s">
        <v>283</v>
      </c>
      <c r="Q10" s="148" t="s">
        <v>315</v>
      </c>
      <c r="R10" s="141" t="s">
        <v>273</v>
      </c>
      <c r="S10" s="141" t="s">
        <v>11</v>
      </c>
    </row>
    <row r="11" s="136" customFormat="1" customHeight="1" spans="1:19">
      <c r="A11" s="141">
        <v>10</v>
      </c>
      <c r="B11" s="141" t="s">
        <v>316</v>
      </c>
      <c r="C11" s="141" t="s">
        <v>317</v>
      </c>
      <c r="D11" s="141" t="s">
        <v>273</v>
      </c>
      <c r="E11" s="141" t="s">
        <v>78</v>
      </c>
      <c r="F11" s="141" t="s">
        <v>174</v>
      </c>
      <c r="G11" s="141" t="s">
        <v>276</v>
      </c>
      <c r="H11" s="141" t="s">
        <v>22</v>
      </c>
      <c r="I11" s="141">
        <v>0</v>
      </c>
      <c r="J11" s="141" t="s">
        <v>318</v>
      </c>
      <c r="K11" s="141" t="s">
        <v>304</v>
      </c>
      <c r="L11" s="141" t="s">
        <v>319</v>
      </c>
      <c r="M11" s="150" t="s">
        <v>320</v>
      </c>
      <c r="N11" s="141" t="s">
        <v>50</v>
      </c>
      <c r="O11" s="141" t="s">
        <v>321</v>
      </c>
      <c r="P11" s="141" t="s">
        <v>283</v>
      </c>
      <c r="Q11" s="141" t="s">
        <v>322</v>
      </c>
      <c r="R11" s="141" t="s">
        <v>273</v>
      </c>
      <c r="S11" s="141" t="s">
        <v>11</v>
      </c>
    </row>
    <row r="12" s="136" customFormat="1" customHeight="1" spans="1:19">
      <c r="A12" s="141">
        <v>11</v>
      </c>
      <c r="B12" s="141" t="s">
        <v>157</v>
      </c>
      <c r="C12" s="141" t="s">
        <v>158</v>
      </c>
      <c r="D12" s="141" t="s">
        <v>273</v>
      </c>
      <c r="E12" s="141" t="s">
        <v>159</v>
      </c>
      <c r="F12" s="141" t="s">
        <v>323</v>
      </c>
      <c r="G12" s="141" t="s">
        <v>276</v>
      </c>
      <c r="H12" s="141" t="s">
        <v>277</v>
      </c>
      <c r="I12" s="141">
        <v>1790</v>
      </c>
      <c r="J12" s="141" t="s">
        <v>318</v>
      </c>
      <c r="K12" s="141" t="s">
        <v>279</v>
      </c>
      <c r="L12" s="141" t="s">
        <v>324</v>
      </c>
      <c r="M12" s="150" t="s">
        <v>320</v>
      </c>
      <c r="N12" s="141" t="s">
        <v>325</v>
      </c>
      <c r="O12" s="141" t="s">
        <v>321</v>
      </c>
      <c r="P12" s="141" t="s">
        <v>283</v>
      </c>
      <c r="Q12" s="141" t="s">
        <v>326</v>
      </c>
      <c r="R12" s="141" t="s">
        <v>273</v>
      </c>
      <c r="S12" s="141" t="s">
        <v>11</v>
      </c>
    </row>
    <row r="13" s="136" customFormat="1" customHeight="1" spans="1:19">
      <c r="A13" s="141">
        <v>12</v>
      </c>
      <c r="B13" s="141" t="s">
        <v>327</v>
      </c>
      <c r="C13" s="141" t="s">
        <v>328</v>
      </c>
      <c r="D13" s="141" t="s">
        <v>273</v>
      </c>
      <c r="E13" s="141" t="s">
        <v>159</v>
      </c>
      <c r="F13" s="141" t="s">
        <v>329</v>
      </c>
      <c r="G13" s="141" t="s">
        <v>286</v>
      </c>
      <c r="H13" s="141" t="s">
        <v>330</v>
      </c>
      <c r="I13" s="141">
        <v>0</v>
      </c>
      <c r="J13" s="141" t="s">
        <v>318</v>
      </c>
      <c r="K13" s="141" t="s">
        <v>279</v>
      </c>
      <c r="L13" s="141" t="s">
        <v>324</v>
      </c>
      <c r="M13" s="150" t="s">
        <v>320</v>
      </c>
      <c r="N13" s="141" t="s">
        <v>325</v>
      </c>
      <c r="O13" s="141" t="s">
        <v>321</v>
      </c>
      <c r="P13" s="141" t="s">
        <v>283</v>
      </c>
      <c r="Q13" s="141" t="s">
        <v>331</v>
      </c>
      <c r="R13" s="141" t="s">
        <v>273</v>
      </c>
      <c r="S13" s="141" t="s">
        <v>11</v>
      </c>
    </row>
    <row r="14" s="136" customFormat="1" customHeight="1" spans="1:19">
      <c r="A14" s="141">
        <v>13</v>
      </c>
      <c r="B14" s="145" t="s">
        <v>219</v>
      </c>
      <c r="C14" s="141" t="s">
        <v>220</v>
      </c>
      <c r="D14" s="141" t="s">
        <v>273</v>
      </c>
      <c r="E14" s="141" t="s">
        <v>159</v>
      </c>
      <c r="F14" s="141" t="s">
        <v>329</v>
      </c>
      <c r="G14" s="141" t="s">
        <v>276</v>
      </c>
      <c r="H14" s="141" t="s">
        <v>330</v>
      </c>
      <c r="I14" s="141">
        <v>0</v>
      </c>
      <c r="J14" s="141" t="s">
        <v>318</v>
      </c>
      <c r="K14" s="141" t="s">
        <v>279</v>
      </c>
      <c r="L14" s="141" t="s">
        <v>324</v>
      </c>
      <c r="M14" s="150" t="s">
        <v>320</v>
      </c>
      <c r="N14" s="141" t="s">
        <v>325</v>
      </c>
      <c r="O14" s="141" t="s">
        <v>321</v>
      </c>
      <c r="P14" s="141" t="s">
        <v>283</v>
      </c>
      <c r="Q14" s="141" t="s">
        <v>332</v>
      </c>
      <c r="R14" s="141" t="s">
        <v>273</v>
      </c>
      <c r="S14" s="141" t="s">
        <v>11</v>
      </c>
    </row>
    <row r="15" s="136" customFormat="1" customHeight="1" spans="1:19">
      <c r="A15" s="141">
        <v>14</v>
      </c>
      <c r="B15" s="141" t="s">
        <v>217</v>
      </c>
      <c r="C15" s="141" t="s">
        <v>218</v>
      </c>
      <c r="D15" s="141" t="s">
        <v>273</v>
      </c>
      <c r="E15" s="141" t="s">
        <v>159</v>
      </c>
      <c r="F15" s="141" t="s">
        <v>329</v>
      </c>
      <c r="G15" s="141" t="s">
        <v>276</v>
      </c>
      <c r="H15" s="141" t="s">
        <v>330</v>
      </c>
      <c r="I15" s="141">
        <v>0</v>
      </c>
      <c r="J15" s="141" t="s">
        <v>318</v>
      </c>
      <c r="K15" s="141" t="s">
        <v>279</v>
      </c>
      <c r="L15" s="141" t="s">
        <v>324</v>
      </c>
      <c r="M15" s="150" t="s">
        <v>320</v>
      </c>
      <c r="N15" s="141" t="s">
        <v>325</v>
      </c>
      <c r="O15" s="141" t="s">
        <v>321</v>
      </c>
      <c r="P15" s="141" t="s">
        <v>283</v>
      </c>
      <c r="Q15" s="141" t="s">
        <v>333</v>
      </c>
      <c r="R15" s="141" t="s">
        <v>273</v>
      </c>
      <c r="S15" s="141" t="s">
        <v>11</v>
      </c>
    </row>
    <row r="16" s="137" customFormat="1" customHeight="1" spans="1:19">
      <c r="A16" s="141">
        <v>15</v>
      </c>
      <c r="B16" s="141" t="s">
        <v>235</v>
      </c>
      <c r="C16" s="141" t="s">
        <v>236</v>
      </c>
      <c r="D16" s="141" t="s">
        <v>273</v>
      </c>
      <c r="E16" s="141" t="s">
        <v>159</v>
      </c>
      <c r="F16" s="141" t="s">
        <v>334</v>
      </c>
      <c r="G16" s="141" t="s">
        <v>286</v>
      </c>
      <c r="H16" s="141" t="s">
        <v>330</v>
      </c>
      <c r="I16" s="141">
        <v>0</v>
      </c>
      <c r="J16" s="141" t="s">
        <v>318</v>
      </c>
      <c r="K16" s="141" t="s">
        <v>279</v>
      </c>
      <c r="L16" s="141" t="s">
        <v>324</v>
      </c>
      <c r="M16" s="150" t="s">
        <v>320</v>
      </c>
      <c r="N16" s="141" t="s">
        <v>325</v>
      </c>
      <c r="O16" s="141" t="s">
        <v>321</v>
      </c>
      <c r="P16" s="141" t="s">
        <v>283</v>
      </c>
      <c r="Q16" s="141" t="s">
        <v>335</v>
      </c>
      <c r="R16" s="141" t="s">
        <v>273</v>
      </c>
      <c r="S16" s="141" t="s">
        <v>11</v>
      </c>
    </row>
    <row r="17" s="136" customFormat="1" customHeight="1" spans="1:19">
      <c r="A17" s="141">
        <v>16</v>
      </c>
      <c r="B17" s="141" t="s">
        <v>233</v>
      </c>
      <c r="C17" s="141" t="s">
        <v>234</v>
      </c>
      <c r="D17" s="141" t="s">
        <v>273</v>
      </c>
      <c r="E17" s="141" t="s">
        <v>159</v>
      </c>
      <c r="F17" s="141" t="s">
        <v>334</v>
      </c>
      <c r="G17" s="141" t="s">
        <v>286</v>
      </c>
      <c r="H17" s="141" t="s">
        <v>330</v>
      </c>
      <c r="I17" s="141">
        <v>0</v>
      </c>
      <c r="J17" s="141" t="s">
        <v>318</v>
      </c>
      <c r="K17" s="141" t="s">
        <v>279</v>
      </c>
      <c r="L17" s="141" t="s">
        <v>324</v>
      </c>
      <c r="M17" s="150" t="s">
        <v>320</v>
      </c>
      <c r="N17" s="141" t="s">
        <v>325</v>
      </c>
      <c r="O17" s="141" t="s">
        <v>321</v>
      </c>
      <c r="P17" s="141" t="s">
        <v>283</v>
      </c>
      <c r="Q17" s="141" t="s">
        <v>336</v>
      </c>
      <c r="R17" s="141" t="s">
        <v>273</v>
      </c>
      <c r="S17" s="141" t="s">
        <v>11</v>
      </c>
    </row>
    <row r="18" customHeight="1" spans="1:19">
      <c r="A18" s="141">
        <v>17</v>
      </c>
      <c r="B18" s="141" t="s">
        <v>237</v>
      </c>
      <c r="C18" s="141" t="s">
        <v>238</v>
      </c>
      <c r="D18" s="141" t="s">
        <v>273</v>
      </c>
      <c r="E18" s="141" t="s">
        <v>159</v>
      </c>
      <c r="F18" s="141" t="s">
        <v>334</v>
      </c>
      <c r="G18" s="141" t="s">
        <v>286</v>
      </c>
      <c r="H18" s="141" t="s">
        <v>330</v>
      </c>
      <c r="I18" s="141">
        <v>0</v>
      </c>
      <c r="J18" s="141" t="s">
        <v>318</v>
      </c>
      <c r="K18" s="141" t="s">
        <v>279</v>
      </c>
      <c r="L18" s="141" t="s">
        <v>324</v>
      </c>
      <c r="M18" s="150" t="s">
        <v>320</v>
      </c>
      <c r="N18" s="141" t="s">
        <v>325</v>
      </c>
      <c r="O18" s="141" t="s">
        <v>321</v>
      </c>
      <c r="P18" s="141" t="s">
        <v>283</v>
      </c>
      <c r="Q18" s="141" t="s">
        <v>337</v>
      </c>
      <c r="R18" s="141" t="s">
        <v>273</v>
      </c>
      <c r="S18" s="141" t="s">
        <v>11</v>
      </c>
    </row>
    <row r="19" s="136" customFormat="1" customHeight="1" spans="1:19">
      <c r="A19" s="141">
        <v>18</v>
      </c>
      <c r="B19" s="146" t="s">
        <v>224</v>
      </c>
      <c r="C19" s="141" t="s">
        <v>225</v>
      </c>
      <c r="D19" s="141" t="s">
        <v>273</v>
      </c>
      <c r="E19" s="141" t="s">
        <v>159</v>
      </c>
      <c r="F19" s="141" t="s">
        <v>334</v>
      </c>
      <c r="G19" s="146" t="s">
        <v>286</v>
      </c>
      <c r="H19" s="141" t="s">
        <v>330</v>
      </c>
      <c r="I19" s="141">
        <v>0</v>
      </c>
      <c r="J19" s="141" t="s">
        <v>318</v>
      </c>
      <c r="K19" s="141" t="s">
        <v>279</v>
      </c>
      <c r="L19" s="141" t="s">
        <v>324</v>
      </c>
      <c r="M19" s="150" t="s">
        <v>320</v>
      </c>
      <c r="N19" s="141" t="s">
        <v>325</v>
      </c>
      <c r="O19" s="141" t="s">
        <v>321</v>
      </c>
      <c r="P19" s="141" t="s">
        <v>283</v>
      </c>
      <c r="Q19" s="141" t="s">
        <v>338</v>
      </c>
      <c r="R19" s="141" t="s">
        <v>273</v>
      </c>
      <c r="S19" s="141" t="s">
        <v>11</v>
      </c>
    </row>
    <row r="20" s="136" customFormat="1" customHeight="1" spans="1:19">
      <c r="A20" s="141">
        <v>19</v>
      </c>
      <c r="B20" s="146" t="s">
        <v>226</v>
      </c>
      <c r="C20" s="141" t="s">
        <v>227</v>
      </c>
      <c r="D20" s="141" t="s">
        <v>273</v>
      </c>
      <c r="E20" s="141" t="s">
        <v>159</v>
      </c>
      <c r="F20" s="141" t="s">
        <v>334</v>
      </c>
      <c r="G20" s="146" t="s">
        <v>286</v>
      </c>
      <c r="H20" s="141" t="s">
        <v>330</v>
      </c>
      <c r="I20" s="141">
        <v>0</v>
      </c>
      <c r="J20" s="141" t="s">
        <v>318</v>
      </c>
      <c r="K20" s="141" t="s">
        <v>279</v>
      </c>
      <c r="L20" s="141" t="s">
        <v>324</v>
      </c>
      <c r="M20" s="150" t="s">
        <v>320</v>
      </c>
      <c r="N20" s="141" t="s">
        <v>325</v>
      </c>
      <c r="O20" s="141" t="s">
        <v>321</v>
      </c>
      <c r="P20" s="141" t="s">
        <v>283</v>
      </c>
      <c r="Q20" s="141" t="s">
        <v>339</v>
      </c>
      <c r="R20" s="141" t="s">
        <v>273</v>
      </c>
      <c r="S20" s="141" t="s">
        <v>11</v>
      </c>
    </row>
    <row r="21" s="136" customFormat="1" customHeight="1" spans="1:19">
      <c r="A21" s="141">
        <v>20</v>
      </c>
      <c r="B21" s="141" t="s">
        <v>228</v>
      </c>
      <c r="C21" s="141" t="s">
        <v>229</v>
      </c>
      <c r="D21" s="141" t="s">
        <v>273</v>
      </c>
      <c r="E21" s="141" t="s">
        <v>159</v>
      </c>
      <c r="F21" s="141" t="s">
        <v>334</v>
      </c>
      <c r="G21" s="146" t="s">
        <v>286</v>
      </c>
      <c r="H21" s="141" t="s">
        <v>330</v>
      </c>
      <c r="I21" s="141">
        <v>0</v>
      </c>
      <c r="J21" s="141" t="s">
        <v>318</v>
      </c>
      <c r="K21" s="141" t="s">
        <v>279</v>
      </c>
      <c r="L21" s="141" t="s">
        <v>324</v>
      </c>
      <c r="M21" s="150" t="s">
        <v>320</v>
      </c>
      <c r="N21" s="141" t="s">
        <v>325</v>
      </c>
      <c r="O21" s="141" t="s">
        <v>321</v>
      </c>
      <c r="P21" s="141" t="s">
        <v>283</v>
      </c>
      <c r="Q21" s="141" t="s">
        <v>340</v>
      </c>
      <c r="R21" s="141" t="s">
        <v>273</v>
      </c>
      <c r="S21" s="141" t="s">
        <v>11</v>
      </c>
    </row>
    <row r="22" s="136" customFormat="1" customHeight="1" spans="1:19">
      <c r="A22" s="141">
        <v>21</v>
      </c>
      <c r="B22" s="141" t="s">
        <v>230</v>
      </c>
      <c r="C22" s="141" t="s">
        <v>231</v>
      </c>
      <c r="D22" s="141" t="s">
        <v>273</v>
      </c>
      <c r="E22" s="141" t="s">
        <v>159</v>
      </c>
      <c r="F22" s="141" t="s">
        <v>334</v>
      </c>
      <c r="G22" s="141" t="s">
        <v>286</v>
      </c>
      <c r="H22" s="141" t="s">
        <v>330</v>
      </c>
      <c r="I22" s="141">
        <v>0</v>
      </c>
      <c r="J22" s="141" t="s">
        <v>318</v>
      </c>
      <c r="K22" s="141" t="s">
        <v>279</v>
      </c>
      <c r="L22" s="141" t="s">
        <v>324</v>
      </c>
      <c r="M22" s="150" t="s">
        <v>320</v>
      </c>
      <c r="N22" s="141" t="s">
        <v>325</v>
      </c>
      <c r="O22" s="141" t="s">
        <v>321</v>
      </c>
      <c r="P22" s="141" t="s">
        <v>283</v>
      </c>
      <c r="Q22" s="141" t="s">
        <v>341</v>
      </c>
      <c r="R22" s="141" t="s">
        <v>273</v>
      </c>
      <c r="S22" s="141" t="s">
        <v>11</v>
      </c>
    </row>
    <row r="23" s="136" customFormat="1" customHeight="1" spans="1:19">
      <c r="A23" s="141">
        <v>22</v>
      </c>
      <c r="B23" s="146" t="s">
        <v>221</v>
      </c>
      <c r="C23" s="141" t="s">
        <v>222</v>
      </c>
      <c r="D23" s="141" t="s">
        <v>273</v>
      </c>
      <c r="E23" s="141" t="s">
        <v>159</v>
      </c>
      <c r="F23" s="141" t="s">
        <v>334</v>
      </c>
      <c r="G23" s="146" t="s">
        <v>286</v>
      </c>
      <c r="H23" s="141" t="s">
        <v>277</v>
      </c>
      <c r="I23" s="141">
        <v>1790</v>
      </c>
      <c r="J23" s="141" t="s">
        <v>318</v>
      </c>
      <c r="K23" s="141" t="s">
        <v>279</v>
      </c>
      <c r="L23" s="141" t="s">
        <v>324</v>
      </c>
      <c r="M23" s="150" t="s">
        <v>320</v>
      </c>
      <c r="N23" s="141" t="s">
        <v>325</v>
      </c>
      <c r="O23" s="141" t="s">
        <v>321</v>
      </c>
      <c r="P23" s="141" t="s">
        <v>283</v>
      </c>
      <c r="Q23" s="141" t="s">
        <v>342</v>
      </c>
      <c r="R23" s="141" t="s">
        <v>273</v>
      </c>
      <c r="S23" s="141" t="s">
        <v>11</v>
      </c>
    </row>
    <row r="24" s="138" customFormat="1" customHeight="1" spans="1:19">
      <c r="A24" s="141">
        <v>23</v>
      </c>
      <c r="B24" s="141" t="s">
        <v>257</v>
      </c>
      <c r="C24" s="141" t="s">
        <v>258</v>
      </c>
      <c r="D24" s="141" t="s">
        <v>273</v>
      </c>
      <c r="E24" s="141" t="s">
        <v>159</v>
      </c>
      <c r="F24" s="141" t="s">
        <v>334</v>
      </c>
      <c r="G24" s="141" t="s">
        <v>286</v>
      </c>
      <c r="H24" s="141" t="s">
        <v>330</v>
      </c>
      <c r="I24" s="141">
        <v>0</v>
      </c>
      <c r="J24" s="141" t="s">
        <v>318</v>
      </c>
      <c r="K24" s="141" t="s">
        <v>279</v>
      </c>
      <c r="L24" s="141" t="s">
        <v>324</v>
      </c>
      <c r="M24" s="150" t="s">
        <v>320</v>
      </c>
      <c r="N24" s="141" t="s">
        <v>325</v>
      </c>
      <c r="O24" s="141" t="s">
        <v>321</v>
      </c>
      <c r="P24" s="141" t="s">
        <v>283</v>
      </c>
      <c r="Q24" s="141" t="s">
        <v>343</v>
      </c>
      <c r="R24" s="141" t="s">
        <v>273</v>
      </c>
      <c r="S24" s="141" t="s">
        <v>11</v>
      </c>
    </row>
    <row r="25" s="138" customFormat="1" customHeight="1" spans="1:19">
      <c r="A25" s="141">
        <v>24</v>
      </c>
      <c r="B25" s="141" t="s">
        <v>239</v>
      </c>
      <c r="C25" s="141" t="s">
        <v>240</v>
      </c>
      <c r="D25" s="141" t="s">
        <v>273</v>
      </c>
      <c r="E25" s="141" t="s">
        <v>159</v>
      </c>
      <c r="F25" s="141" t="s">
        <v>334</v>
      </c>
      <c r="G25" s="141" t="s">
        <v>286</v>
      </c>
      <c r="H25" s="141" t="s">
        <v>330</v>
      </c>
      <c r="I25" s="141">
        <v>0</v>
      </c>
      <c r="J25" s="141" t="s">
        <v>318</v>
      </c>
      <c r="K25" s="141" t="s">
        <v>279</v>
      </c>
      <c r="L25" s="141" t="s">
        <v>324</v>
      </c>
      <c r="M25" s="150" t="s">
        <v>320</v>
      </c>
      <c r="N25" s="141" t="s">
        <v>325</v>
      </c>
      <c r="O25" s="141" t="s">
        <v>321</v>
      </c>
      <c r="P25" s="141" t="s">
        <v>283</v>
      </c>
      <c r="Q25" s="141" t="s">
        <v>344</v>
      </c>
      <c r="R25" s="141" t="s">
        <v>273</v>
      </c>
      <c r="S25" s="141" t="s">
        <v>11</v>
      </c>
    </row>
    <row r="26" s="136" customFormat="1" customHeight="1" spans="1:19">
      <c r="A26" s="141">
        <v>25</v>
      </c>
      <c r="B26" s="141" t="s">
        <v>251</v>
      </c>
      <c r="C26" s="141" t="s">
        <v>252</v>
      </c>
      <c r="D26" s="141" t="s">
        <v>273</v>
      </c>
      <c r="E26" s="141" t="s">
        <v>159</v>
      </c>
      <c r="F26" s="141" t="s">
        <v>334</v>
      </c>
      <c r="G26" s="141" t="s">
        <v>286</v>
      </c>
      <c r="H26" s="141" t="s">
        <v>330</v>
      </c>
      <c r="I26" s="141">
        <v>0</v>
      </c>
      <c r="J26" s="141" t="s">
        <v>318</v>
      </c>
      <c r="K26" s="141" t="s">
        <v>279</v>
      </c>
      <c r="L26" s="141" t="s">
        <v>324</v>
      </c>
      <c r="M26" s="150" t="s">
        <v>320</v>
      </c>
      <c r="N26" s="141" t="s">
        <v>325</v>
      </c>
      <c r="O26" s="141" t="s">
        <v>321</v>
      </c>
      <c r="P26" s="141" t="s">
        <v>283</v>
      </c>
      <c r="Q26" s="141" t="s">
        <v>345</v>
      </c>
      <c r="R26" s="141" t="s">
        <v>273</v>
      </c>
      <c r="S26" s="141" t="s">
        <v>11</v>
      </c>
    </row>
    <row r="27" s="136" customFormat="1" customHeight="1" spans="1:19">
      <c r="A27" s="141">
        <v>26</v>
      </c>
      <c r="B27" s="141" t="s">
        <v>243</v>
      </c>
      <c r="C27" s="141" t="s">
        <v>244</v>
      </c>
      <c r="D27" s="141" t="s">
        <v>273</v>
      </c>
      <c r="E27" s="141" t="s">
        <v>159</v>
      </c>
      <c r="F27" s="141" t="s">
        <v>346</v>
      </c>
      <c r="G27" s="141" t="s">
        <v>286</v>
      </c>
      <c r="H27" s="141" t="s">
        <v>330</v>
      </c>
      <c r="I27" s="141">
        <v>0</v>
      </c>
      <c r="J27" s="141" t="s">
        <v>318</v>
      </c>
      <c r="K27" s="141" t="s">
        <v>279</v>
      </c>
      <c r="L27" s="141" t="s">
        <v>324</v>
      </c>
      <c r="M27" s="150" t="s">
        <v>320</v>
      </c>
      <c r="N27" s="141" t="s">
        <v>325</v>
      </c>
      <c r="O27" s="141" t="s">
        <v>321</v>
      </c>
      <c r="P27" s="141" t="s">
        <v>283</v>
      </c>
      <c r="Q27" s="141" t="s">
        <v>347</v>
      </c>
      <c r="R27" s="141" t="s">
        <v>273</v>
      </c>
      <c r="S27" s="141" t="s">
        <v>11</v>
      </c>
    </row>
    <row r="28" s="136" customFormat="1" customHeight="1" spans="1:19">
      <c r="A28" s="141">
        <v>27</v>
      </c>
      <c r="B28" s="141" t="s">
        <v>245</v>
      </c>
      <c r="C28" s="141" t="s">
        <v>246</v>
      </c>
      <c r="D28" s="141" t="s">
        <v>273</v>
      </c>
      <c r="E28" s="141" t="s">
        <v>159</v>
      </c>
      <c r="F28" s="141" t="s">
        <v>346</v>
      </c>
      <c r="G28" s="141" t="s">
        <v>286</v>
      </c>
      <c r="H28" s="141" t="s">
        <v>330</v>
      </c>
      <c r="I28" s="141">
        <v>0</v>
      </c>
      <c r="J28" s="141" t="s">
        <v>318</v>
      </c>
      <c r="K28" s="141" t="s">
        <v>279</v>
      </c>
      <c r="L28" s="141" t="s">
        <v>324</v>
      </c>
      <c r="M28" s="150" t="s">
        <v>320</v>
      </c>
      <c r="N28" s="141" t="s">
        <v>325</v>
      </c>
      <c r="O28" s="141" t="s">
        <v>321</v>
      </c>
      <c r="P28" s="141" t="s">
        <v>283</v>
      </c>
      <c r="Q28" s="141" t="s">
        <v>348</v>
      </c>
      <c r="R28" s="141" t="s">
        <v>273</v>
      </c>
      <c r="S28" s="141" t="s">
        <v>11</v>
      </c>
    </row>
    <row r="29" s="136" customFormat="1" customHeight="1" spans="1:19">
      <c r="A29" s="141">
        <v>28</v>
      </c>
      <c r="B29" s="145" t="s">
        <v>249</v>
      </c>
      <c r="C29" s="141" t="s">
        <v>250</v>
      </c>
      <c r="D29" s="141" t="s">
        <v>273</v>
      </c>
      <c r="E29" s="141" t="s">
        <v>159</v>
      </c>
      <c r="F29" s="141" t="s">
        <v>346</v>
      </c>
      <c r="G29" s="141" t="s">
        <v>286</v>
      </c>
      <c r="H29" s="141" t="s">
        <v>330</v>
      </c>
      <c r="I29" s="141">
        <v>0</v>
      </c>
      <c r="J29" s="141" t="s">
        <v>318</v>
      </c>
      <c r="K29" s="141" t="s">
        <v>279</v>
      </c>
      <c r="L29" s="141" t="s">
        <v>324</v>
      </c>
      <c r="M29" s="150" t="s">
        <v>320</v>
      </c>
      <c r="N29" s="141" t="s">
        <v>325</v>
      </c>
      <c r="O29" s="141" t="s">
        <v>321</v>
      </c>
      <c r="P29" s="141" t="s">
        <v>283</v>
      </c>
      <c r="Q29" s="141" t="s">
        <v>349</v>
      </c>
      <c r="R29" s="141" t="s">
        <v>273</v>
      </c>
      <c r="S29" s="141" t="s">
        <v>11</v>
      </c>
    </row>
    <row r="30" s="136" customFormat="1" customHeight="1" spans="1:19">
      <c r="A30" s="141">
        <v>29</v>
      </c>
      <c r="B30" s="145" t="s">
        <v>247</v>
      </c>
      <c r="C30" s="141" t="s">
        <v>248</v>
      </c>
      <c r="D30" s="141" t="s">
        <v>273</v>
      </c>
      <c r="E30" s="141" t="s">
        <v>159</v>
      </c>
      <c r="F30" s="141" t="s">
        <v>346</v>
      </c>
      <c r="G30" s="141" t="s">
        <v>286</v>
      </c>
      <c r="H30" s="141" t="s">
        <v>330</v>
      </c>
      <c r="I30" s="141">
        <v>0</v>
      </c>
      <c r="J30" s="141" t="s">
        <v>318</v>
      </c>
      <c r="K30" s="141" t="s">
        <v>279</v>
      </c>
      <c r="L30" s="141" t="s">
        <v>324</v>
      </c>
      <c r="M30" s="150" t="s">
        <v>320</v>
      </c>
      <c r="N30" s="141" t="s">
        <v>325</v>
      </c>
      <c r="O30" s="141" t="s">
        <v>321</v>
      </c>
      <c r="P30" s="141" t="s">
        <v>283</v>
      </c>
      <c r="Q30" s="141" t="s">
        <v>350</v>
      </c>
      <c r="R30" s="141" t="s">
        <v>273</v>
      </c>
      <c r="S30" s="141" t="s">
        <v>11</v>
      </c>
    </row>
    <row r="31" customHeight="1" spans="1:19">
      <c r="A31" s="141">
        <v>30</v>
      </c>
      <c r="B31" s="141" t="s">
        <v>351</v>
      </c>
      <c r="C31" s="141" t="s">
        <v>352</v>
      </c>
      <c r="D31" s="141" t="s">
        <v>273</v>
      </c>
      <c r="E31" s="141" t="s">
        <v>159</v>
      </c>
      <c r="F31" s="141" t="s">
        <v>346</v>
      </c>
      <c r="G31" s="141" t="s">
        <v>276</v>
      </c>
      <c r="H31" s="141" t="s">
        <v>330</v>
      </c>
      <c r="I31" s="141">
        <v>0</v>
      </c>
      <c r="J31" s="141" t="s">
        <v>318</v>
      </c>
      <c r="K31" s="141" t="s">
        <v>279</v>
      </c>
      <c r="L31" s="141" t="s">
        <v>324</v>
      </c>
      <c r="M31" s="150" t="s">
        <v>320</v>
      </c>
      <c r="N31" s="141" t="s">
        <v>325</v>
      </c>
      <c r="O31" s="141" t="s">
        <v>321</v>
      </c>
      <c r="P31" s="141" t="s">
        <v>283</v>
      </c>
      <c r="Q31" s="141" t="s">
        <v>353</v>
      </c>
      <c r="R31" s="141" t="s">
        <v>273</v>
      </c>
      <c r="S31" s="141" t="s">
        <v>11</v>
      </c>
    </row>
    <row r="32" s="136" customFormat="1" customHeight="1" spans="1:19">
      <c r="A32" s="141">
        <v>31</v>
      </c>
      <c r="B32" s="141" t="s">
        <v>354</v>
      </c>
      <c r="C32" s="141" t="s">
        <v>355</v>
      </c>
      <c r="D32" s="141" t="s">
        <v>273</v>
      </c>
      <c r="E32" s="141" t="s">
        <v>159</v>
      </c>
      <c r="F32" s="141" t="s">
        <v>346</v>
      </c>
      <c r="G32" s="141" t="s">
        <v>286</v>
      </c>
      <c r="H32" s="141" t="s">
        <v>330</v>
      </c>
      <c r="I32" s="141">
        <v>0</v>
      </c>
      <c r="J32" s="141" t="s">
        <v>318</v>
      </c>
      <c r="K32" s="141" t="s">
        <v>279</v>
      </c>
      <c r="L32" s="141" t="s">
        <v>324</v>
      </c>
      <c r="M32" s="150" t="s">
        <v>320</v>
      </c>
      <c r="N32" s="141" t="s">
        <v>325</v>
      </c>
      <c r="O32" s="141" t="s">
        <v>321</v>
      </c>
      <c r="P32" s="141" t="s">
        <v>283</v>
      </c>
      <c r="Q32" s="141" t="s">
        <v>356</v>
      </c>
      <c r="R32" s="141" t="s">
        <v>273</v>
      </c>
      <c r="S32" s="141" t="s">
        <v>11</v>
      </c>
    </row>
    <row r="33" s="136" customFormat="1" customHeight="1" spans="1:19">
      <c r="A33" s="141">
        <v>32</v>
      </c>
      <c r="B33" s="141" t="s">
        <v>241</v>
      </c>
      <c r="C33" s="141" t="s">
        <v>242</v>
      </c>
      <c r="D33" s="141" t="s">
        <v>273</v>
      </c>
      <c r="E33" s="141" t="s">
        <v>159</v>
      </c>
      <c r="F33" s="141" t="s">
        <v>346</v>
      </c>
      <c r="G33" s="141" t="s">
        <v>276</v>
      </c>
      <c r="H33" s="141" t="s">
        <v>330</v>
      </c>
      <c r="I33" s="141">
        <v>0</v>
      </c>
      <c r="J33" s="141" t="s">
        <v>318</v>
      </c>
      <c r="K33" s="141" t="s">
        <v>279</v>
      </c>
      <c r="L33" s="141" t="s">
        <v>324</v>
      </c>
      <c r="M33" s="150" t="s">
        <v>320</v>
      </c>
      <c r="N33" s="141" t="s">
        <v>325</v>
      </c>
      <c r="O33" s="141" t="s">
        <v>321</v>
      </c>
      <c r="P33" s="141" t="s">
        <v>283</v>
      </c>
      <c r="Q33" s="141" t="s">
        <v>357</v>
      </c>
      <c r="R33" s="141" t="s">
        <v>273</v>
      </c>
      <c r="S33" s="141" t="s">
        <v>11</v>
      </c>
    </row>
    <row r="34" s="136" customFormat="1" customHeight="1" spans="1:19">
      <c r="A34" s="141">
        <v>33</v>
      </c>
      <c r="B34" s="141" t="s">
        <v>253</v>
      </c>
      <c r="C34" s="141" t="s">
        <v>254</v>
      </c>
      <c r="D34" s="141" t="s">
        <v>273</v>
      </c>
      <c r="E34" s="141" t="s">
        <v>159</v>
      </c>
      <c r="F34" s="141" t="s">
        <v>346</v>
      </c>
      <c r="G34" s="141" t="s">
        <v>276</v>
      </c>
      <c r="H34" s="141" t="s">
        <v>330</v>
      </c>
      <c r="I34" s="141">
        <v>0</v>
      </c>
      <c r="J34" s="141" t="s">
        <v>318</v>
      </c>
      <c r="K34" s="141" t="s">
        <v>279</v>
      </c>
      <c r="L34" s="141" t="s">
        <v>324</v>
      </c>
      <c r="M34" s="150" t="s">
        <v>320</v>
      </c>
      <c r="N34" s="141" t="s">
        <v>325</v>
      </c>
      <c r="O34" s="141" t="s">
        <v>321</v>
      </c>
      <c r="P34" s="141" t="s">
        <v>283</v>
      </c>
      <c r="Q34" s="141" t="s">
        <v>358</v>
      </c>
      <c r="R34" s="141" t="s">
        <v>273</v>
      </c>
      <c r="S34" s="141" t="s">
        <v>11</v>
      </c>
    </row>
    <row r="35" s="136" customFormat="1" customHeight="1" spans="1:19">
      <c r="A35" s="141">
        <v>34</v>
      </c>
      <c r="B35" s="141" t="s">
        <v>255</v>
      </c>
      <c r="C35" s="141" t="s">
        <v>256</v>
      </c>
      <c r="D35" s="141" t="s">
        <v>273</v>
      </c>
      <c r="E35" s="141" t="s">
        <v>159</v>
      </c>
      <c r="F35" s="141" t="s">
        <v>346</v>
      </c>
      <c r="G35" s="141" t="s">
        <v>276</v>
      </c>
      <c r="H35" s="141" t="s">
        <v>330</v>
      </c>
      <c r="I35" s="141">
        <v>0</v>
      </c>
      <c r="J35" s="141" t="s">
        <v>318</v>
      </c>
      <c r="K35" s="141" t="s">
        <v>279</v>
      </c>
      <c r="L35" s="141" t="s">
        <v>324</v>
      </c>
      <c r="M35" s="150" t="s">
        <v>320</v>
      </c>
      <c r="N35" s="141" t="s">
        <v>325</v>
      </c>
      <c r="O35" s="141" t="s">
        <v>321</v>
      </c>
      <c r="P35" s="141" t="s">
        <v>283</v>
      </c>
      <c r="Q35" s="141" t="s">
        <v>359</v>
      </c>
      <c r="R35" s="141" t="s">
        <v>273</v>
      </c>
      <c r="S35" s="141" t="s">
        <v>11</v>
      </c>
    </row>
    <row r="36" s="136" customFormat="1" customHeight="1" spans="1:19">
      <c r="A36" s="141">
        <v>35</v>
      </c>
      <c r="B36" s="141" t="s">
        <v>360</v>
      </c>
      <c r="C36" s="141" t="s">
        <v>361</v>
      </c>
      <c r="D36" s="141" t="s">
        <v>273</v>
      </c>
      <c r="E36" s="141" t="s">
        <v>159</v>
      </c>
      <c r="F36" s="141" t="s">
        <v>346</v>
      </c>
      <c r="G36" s="141" t="s">
        <v>276</v>
      </c>
      <c r="H36" s="141" t="s">
        <v>330</v>
      </c>
      <c r="I36" s="141">
        <v>0</v>
      </c>
      <c r="J36" s="141" t="s">
        <v>318</v>
      </c>
      <c r="K36" s="141" t="s">
        <v>279</v>
      </c>
      <c r="L36" s="141" t="s">
        <v>324</v>
      </c>
      <c r="M36" s="150" t="s">
        <v>320</v>
      </c>
      <c r="N36" s="141" t="s">
        <v>325</v>
      </c>
      <c r="O36" s="141" t="s">
        <v>321</v>
      </c>
      <c r="P36" s="141" t="s">
        <v>283</v>
      </c>
      <c r="Q36" s="141" t="s">
        <v>362</v>
      </c>
      <c r="R36" s="141" t="s">
        <v>273</v>
      </c>
      <c r="S36" s="141" t="s">
        <v>11</v>
      </c>
    </row>
    <row r="37" customHeight="1" spans="1:19">
      <c r="A37" s="141">
        <v>36</v>
      </c>
      <c r="B37" s="141" t="s">
        <v>261</v>
      </c>
      <c r="C37" s="141" t="s">
        <v>262</v>
      </c>
      <c r="D37" s="141" t="s">
        <v>273</v>
      </c>
      <c r="E37" s="141" t="s">
        <v>159</v>
      </c>
      <c r="F37" s="141" t="s">
        <v>346</v>
      </c>
      <c r="G37" s="141" t="s">
        <v>276</v>
      </c>
      <c r="H37" s="141" t="s">
        <v>330</v>
      </c>
      <c r="I37" s="141">
        <v>0</v>
      </c>
      <c r="J37" s="141" t="s">
        <v>318</v>
      </c>
      <c r="K37" s="141" t="s">
        <v>279</v>
      </c>
      <c r="L37" s="141" t="s">
        <v>324</v>
      </c>
      <c r="M37" s="150" t="s">
        <v>320</v>
      </c>
      <c r="N37" s="141" t="s">
        <v>325</v>
      </c>
      <c r="O37" s="141" t="s">
        <v>321</v>
      </c>
      <c r="P37" s="141" t="s">
        <v>283</v>
      </c>
      <c r="Q37" s="141" t="s">
        <v>363</v>
      </c>
      <c r="R37" s="141" t="s">
        <v>273</v>
      </c>
      <c r="S37" s="141" t="s">
        <v>11</v>
      </c>
    </row>
    <row r="38" customHeight="1" spans="1:19">
      <c r="A38" s="141">
        <v>37</v>
      </c>
      <c r="B38" s="141" t="s">
        <v>364</v>
      </c>
      <c r="C38" s="141" t="s">
        <v>365</v>
      </c>
      <c r="D38" s="141" t="s">
        <v>273</v>
      </c>
      <c r="E38" s="141" t="s">
        <v>159</v>
      </c>
      <c r="F38" s="141" t="s">
        <v>346</v>
      </c>
      <c r="G38" s="141" t="s">
        <v>286</v>
      </c>
      <c r="H38" s="141" t="s">
        <v>330</v>
      </c>
      <c r="I38" s="141">
        <v>0</v>
      </c>
      <c r="J38" s="141" t="s">
        <v>318</v>
      </c>
      <c r="K38" s="141" t="s">
        <v>279</v>
      </c>
      <c r="L38" s="141" t="s">
        <v>324</v>
      </c>
      <c r="M38" s="150" t="s">
        <v>320</v>
      </c>
      <c r="N38" s="141" t="s">
        <v>325</v>
      </c>
      <c r="O38" s="141" t="s">
        <v>321</v>
      </c>
      <c r="P38" s="141" t="s">
        <v>283</v>
      </c>
      <c r="Q38" s="141" t="s">
        <v>366</v>
      </c>
      <c r="R38" s="141" t="s">
        <v>273</v>
      </c>
      <c r="S38" s="141" t="s">
        <v>11</v>
      </c>
    </row>
    <row r="39" customHeight="1" spans="1:19">
      <c r="A39" s="141">
        <v>38</v>
      </c>
      <c r="B39" s="141" t="s">
        <v>79</v>
      </c>
      <c r="C39" s="141" t="s">
        <v>80</v>
      </c>
      <c r="D39" s="141" t="s">
        <v>273</v>
      </c>
      <c r="E39" s="141" t="s">
        <v>81</v>
      </c>
      <c r="F39" s="141" t="s">
        <v>367</v>
      </c>
      <c r="G39" s="141" t="s">
        <v>276</v>
      </c>
      <c r="H39" s="141" t="s">
        <v>22</v>
      </c>
      <c r="I39" s="141">
        <v>0</v>
      </c>
      <c r="J39" s="141" t="s">
        <v>278</v>
      </c>
      <c r="K39" s="141" t="s">
        <v>279</v>
      </c>
      <c r="L39" s="141" t="s">
        <v>280</v>
      </c>
      <c r="M39" s="150" t="s">
        <v>281</v>
      </c>
      <c r="N39" s="141" t="s">
        <v>81</v>
      </c>
      <c r="O39" s="141" t="s">
        <v>321</v>
      </c>
      <c r="P39" s="141" t="s">
        <v>283</v>
      </c>
      <c r="Q39" s="141" t="s">
        <v>368</v>
      </c>
      <c r="R39" s="141" t="s">
        <v>273</v>
      </c>
      <c r="S39" s="141" t="s">
        <v>11</v>
      </c>
    </row>
    <row r="40" customHeight="1" spans="1:19">
      <c r="A40" s="141">
        <v>39</v>
      </c>
      <c r="B40" s="141" t="s">
        <v>153</v>
      </c>
      <c r="C40" s="141" t="s">
        <v>154</v>
      </c>
      <c r="D40" s="141" t="s">
        <v>273</v>
      </c>
      <c r="E40" s="141" t="s">
        <v>152</v>
      </c>
      <c r="F40" s="141" t="s">
        <v>323</v>
      </c>
      <c r="G40" s="141" t="s">
        <v>276</v>
      </c>
      <c r="H40" s="141" t="s">
        <v>277</v>
      </c>
      <c r="I40" s="141">
        <v>1790</v>
      </c>
      <c r="J40" s="141" t="s">
        <v>318</v>
      </c>
      <c r="K40" s="141" t="s">
        <v>369</v>
      </c>
      <c r="L40" s="141" t="s">
        <v>370</v>
      </c>
      <c r="M40" s="150" t="s">
        <v>320</v>
      </c>
      <c r="N40" s="141" t="s">
        <v>371</v>
      </c>
      <c r="O40" s="141" t="s">
        <v>321</v>
      </c>
      <c r="P40" s="141" t="s">
        <v>283</v>
      </c>
      <c r="Q40" s="141" t="s">
        <v>372</v>
      </c>
      <c r="R40" s="141" t="s">
        <v>273</v>
      </c>
      <c r="S40" s="141" t="s">
        <v>11</v>
      </c>
    </row>
    <row r="41" s="136" customFormat="1" customHeight="1" spans="1:19">
      <c r="A41" s="141">
        <v>40</v>
      </c>
      <c r="B41" s="141" t="s">
        <v>170</v>
      </c>
      <c r="C41" s="141" t="s">
        <v>171</v>
      </c>
      <c r="D41" s="141" t="s">
        <v>273</v>
      </c>
      <c r="E41" s="141" t="s">
        <v>152</v>
      </c>
      <c r="F41" s="141" t="s">
        <v>373</v>
      </c>
      <c r="G41" s="141" t="s">
        <v>286</v>
      </c>
      <c r="H41" s="141" t="s">
        <v>330</v>
      </c>
      <c r="I41" s="141">
        <v>0</v>
      </c>
      <c r="J41" s="141" t="s">
        <v>318</v>
      </c>
      <c r="K41" s="141" t="s">
        <v>369</v>
      </c>
      <c r="L41" s="141" t="s">
        <v>370</v>
      </c>
      <c r="M41" s="150" t="s">
        <v>320</v>
      </c>
      <c r="N41" s="141" t="s">
        <v>371</v>
      </c>
      <c r="O41" s="141" t="s">
        <v>321</v>
      </c>
      <c r="P41" s="141" t="s">
        <v>283</v>
      </c>
      <c r="Q41" s="141" t="s">
        <v>374</v>
      </c>
      <c r="R41" s="141" t="s">
        <v>273</v>
      </c>
      <c r="S41" s="141" t="s">
        <v>11</v>
      </c>
    </row>
    <row r="42" s="136" customFormat="1" customHeight="1" spans="1:19">
      <c r="A42" s="141">
        <v>41</v>
      </c>
      <c r="B42" s="141" t="s">
        <v>166</v>
      </c>
      <c r="C42" s="141" t="s">
        <v>167</v>
      </c>
      <c r="D42" s="141" t="s">
        <v>273</v>
      </c>
      <c r="E42" s="141" t="s">
        <v>152</v>
      </c>
      <c r="F42" s="141" t="s">
        <v>375</v>
      </c>
      <c r="G42" s="141" t="s">
        <v>276</v>
      </c>
      <c r="H42" s="141" t="s">
        <v>22</v>
      </c>
      <c r="I42" s="141">
        <v>0</v>
      </c>
      <c r="J42" s="141" t="s">
        <v>318</v>
      </c>
      <c r="K42" s="141" t="s">
        <v>369</v>
      </c>
      <c r="L42" s="141" t="s">
        <v>370</v>
      </c>
      <c r="M42" s="150" t="s">
        <v>320</v>
      </c>
      <c r="N42" s="141" t="s">
        <v>371</v>
      </c>
      <c r="O42" s="141" t="s">
        <v>321</v>
      </c>
      <c r="P42" s="141" t="s">
        <v>283</v>
      </c>
      <c r="Q42" s="141" t="s">
        <v>376</v>
      </c>
      <c r="R42" s="141" t="s">
        <v>273</v>
      </c>
      <c r="S42" s="141" t="s">
        <v>11</v>
      </c>
    </row>
    <row r="43" customHeight="1" spans="1:19">
      <c r="A43" s="141">
        <v>42</v>
      </c>
      <c r="B43" s="141" t="s">
        <v>163</v>
      </c>
      <c r="C43" s="141" t="s">
        <v>164</v>
      </c>
      <c r="D43" s="141" t="s">
        <v>273</v>
      </c>
      <c r="E43" s="141" t="s">
        <v>152</v>
      </c>
      <c r="F43" s="141" t="s">
        <v>377</v>
      </c>
      <c r="G43" s="141" t="s">
        <v>276</v>
      </c>
      <c r="H43" s="141" t="s">
        <v>22</v>
      </c>
      <c r="I43" s="141">
        <v>0</v>
      </c>
      <c r="J43" s="141" t="s">
        <v>318</v>
      </c>
      <c r="K43" s="141" t="s">
        <v>369</v>
      </c>
      <c r="L43" s="141" t="s">
        <v>370</v>
      </c>
      <c r="M43" s="150" t="s">
        <v>320</v>
      </c>
      <c r="N43" s="141" t="s">
        <v>371</v>
      </c>
      <c r="O43" s="141" t="s">
        <v>321</v>
      </c>
      <c r="P43" s="141" t="s">
        <v>283</v>
      </c>
      <c r="Q43" s="141" t="s">
        <v>378</v>
      </c>
      <c r="R43" s="141" t="s">
        <v>273</v>
      </c>
      <c r="S43" s="141" t="s">
        <v>11</v>
      </c>
    </row>
    <row r="44" s="136" customFormat="1" customHeight="1" spans="1:19">
      <c r="A44" s="141">
        <v>43</v>
      </c>
      <c r="B44" s="141" t="s">
        <v>168</v>
      </c>
      <c r="C44" s="141" t="s">
        <v>169</v>
      </c>
      <c r="D44" s="141" t="s">
        <v>273</v>
      </c>
      <c r="E44" s="141" t="s">
        <v>152</v>
      </c>
      <c r="F44" s="141" t="s">
        <v>379</v>
      </c>
      <c r="G44" s="141" t="s">
        <v>286</v>
      </c>
      <c r="H44" s="141" t="s">
        <v>22</v>
      </c>
      <c r="I44" s="141">
        <v>0</v>
      </c>
      <c r="J44" s="141" t="s">
        <v>318</v>
      </c>
      <c r="K44" s="141" t="s">
        <v>369</v>
      </c>
      <c r="L44" s="141" t="s">
        <v>370</v>
      </c>
      <c r="M44" s="150" t="s">
        <v>320</v>
      </c>
      <c r="N44" s="141" t="s">
        <v>371</v>
      </c>
      <c r="O44" s="141" t="s">
        <v>321</v>
      </c>
      <c r="P44" s="141" t="s">
        <v>283</v>
      </c>
      <c r="Q44" s="141" t="s">
        <v>380</v>
      </c>
      <c r="R44" s="141" t="s">
        <v>273</v>
      </c>
      <c r="S44" s="141" t="s">
        <v>11</v>
      </c>
    </row>
    <row r="45" customHeight="1" spans="1:19">
      <c r="A45" s="141">
        <v>44</v>
      </c>
      <c r="B45" s="119" t="s">
        <v>381</v>
      </c>
      <c r="C45" s="142" t="s">
        <v>382</v>
      </c>
      <c r="D45" s="141" t="s">
        <v>273</v>
      </c>
      <c r="E45" s="141" t="s">
        <v>152</v>
      </c>
      <c r="F45" s="141" t="s">
        <v>383</v>
      </c>
      <c r="G45" s="141" t="s">
        <v>276</v>
      </c>
      <c r="H45" s="141" t="s">
        <v>277</v>
      </c>
      <c r="I45" s="141">
        <v>0</v>
      </c>
      <c r="J45" s="141" t="s">
        <v>318</v>
      </c>
      <c r="K45" s="141" t="s">
        <v>369</v>
      </c>
      <c r="L45" s="141" t="s">
        <v>370</v>
      </c>
      <c r="M45" s="150" t="s">
        <v>320</v>
      </c>
      <c r="N45" s="141" t="s">
        <v>371</v>
      </c>
      <c r="O45" s="141" t="s">
        <v>321</v>
      </c>
      <c r="P45" s="141" t="s">
        <v>283</v>
      </c>
      <c r="Q45" s="148" t="s">
        <v>384</v>
      </c>
      <c r="R45" s="141" t="s">
        <v>273</v>
      </c>
      <c r="S45" s="141" t="s">
        <v>11</v>
      </c>
    </row>
    <row r="46" s="136" customFormat="1" customHeight="1" spans="1:19">
      <c r="A46" s="141">
        <v>45</v>
      </c>
      <c r="B46" s="141" t="s">
        <v>150</v>
      </c>
      <c r="C46" s="141" t="s">
        <v>151</v>
      </c>
      <c r="D46" s="141" t="s">
        <v>273</v>
      </c>
      <c r="E46" s="141" t="s">
        <v>152</v>
      </c>
      <c r="F46" s="141" t="s">
        <v>385</v>
      </c>
      <c r="G46" s="141" t="s">
        <v>276</v>
      </c>
      <c r="H46" s="141" t="s">
        <v>277</v>
      </c>
      <c r="I46" s="141">
        <v>1790</v>
      </c>
      <c r="J46" s="141" t="s">
        <v>318</v>
      </c>
      <c r="K46" s="141" t="s">
        <v>369</v>
      </c>
      <c r="L46" s="141" t="s">
        <v>370</v>
      </c>
      <c r="M46" s="150" t="s">
        <v>320</v>
      </c>
      <c r="N46" s="141" t="s">
        <v>371</v>
      </c>
      <c r="O46" s="141" t="s">
        <v>321</v>
      </c>
      <c r="P46" s="141" t="s">
        <v>283</v>
      </c>
      <c r="Q46" s="141" t="s">
        <v>386</v>
      </c>
      <c r="R46" s="141" t="s">
        <v>273</v>
      </c>
      <c r="S46" s="141" t="s">
        <v>11</v>
      </c>
    </row>
    <row r="47" s="136" customFormat="1" customHeight="1" spans="1:19">
      <c r="A47" s="141">
        <v>46</v>
      </c>
      <c r="B47" s="141" t="s">
        <v>387</v>
      </c>
      <c r="C47" s="141" t="s">
        <v>388</v>
      </c>
      <c r="D47" s="141" t="s">
        <v>273</v>
      </c>
      <c r="E47" s="141" t="s">
        <v>152</v>
      </c>
      <c r="F47" s="141" t="s">
        <v>389</v>
      </c>
      <c r="G47" s="141" t="s">
        <v>286</v>
      </c>
      <c r="H47" s="141" t="s">
        <v>22</v>
      </c>
      <c r="I47" s="141">
        <v>0</v>
      </c>
      <c r="J47" s="141" t="s">
        <v>318</v>
      </c>
      <c r="K47" s="141" t="s">
        <v>369</v>
      </c>
      <c r="L47" s="141" t="s">
        <v>370</v>
      </c>
      <c r="M47" s="150" t="s">
        <v>320</v>
      </c>
      <c r="N47" s="141" t="s">
        <v>371</v>
      </c>
      <c r="O47" s="141" t="s">
        <v>321</v>
      </c>
      <c r="P47" s="141" t="s">
        <v>283</v>
      </c>
      <c r="Q47" s="141" t="s">
        <v>390</v>
      </c>
      <c r="R47" s="141" t="s">
        <v>273</v>
      </c>
      <c r="S47" s="141" t="s">
        <v>11</v>
      </c>
    </row>
    <row r="48" s="136" customFormat="1" customHeight="1" spans="1:19">
      <c r="A48" s="141">
        <v>47</v>
      </c>
      <c r="B48" s="141" t="s">
        <v>391</v>
      </c>
      <c r="C48" s="141" t="s">
        <v>392</v>
      </c>
      <c r="D48" s="141" t="s">
        <v>273</v>
      </c>
      <c r="E48" s="141" t="s">
        <v>152</v>
      </c>
      <c r="F48" s="141" t="s">
        <v>393</v>
      </c>
      <c r="G48" s="141" t="s">
        <v>276</v>
      </c>
      <c r="H48" s="141" t="s">
        <v>330</v>
      </c>
      <c r="I48" s="141">
        <v>0</v>
      </c>
      <c r="J48" s="141" t="s">
        <v>318</v>
      </c>
      <c r="K48" s="141" t="s">
        <v>369</v>
      </c>
      <c r="L48" s="141" t="s">
        <v>370</v>
      </c>
      <c r="M48" s="150" t="s">
        <v>320</v>
      </c>
      <c r="N48" s="141" t="s">
        <v>371</v>
      </c>
      <c r="O48" s="141" t="s">
        <v>321</v>
      </c>
      <c r="P48" s="141" t="s">
        <v>283</v>
      </c>
      <c r="Q48" s="141" t="s">
        <v>394</v>
      </c>
      <c r="R48" s="141" t="s">
        <v>273</v>
      </c>
      <c r="S48" s="141" t="s">
        <v>11</v>
      </c>
    </row>
    <row r="49" customHeight="1" spans="1:19">
      <c r="A49" s="141">
        <v>48</v>
      </c>
      <c r="B49" s="141" t="s">
        <v>64</v>
      </c>
      <c r="C49" s="141" t="s">
        <v>65</v>
      </c>
      <c r="D49" s="141" t="s">
        <v>273</v>
      </c>
      <c r="E49" s="141" t="s">
        <v>66</v>
      </c>
      <c r="F49" s="141" t="s">
        <v>395</v>
      </c>
      <c r="G49" s="141" t="s">
        <v>276</v>
      </c>
      <c r="H49" s="141" t="s">
        <v>277</v>
      </c>
      <c r="I49" s="141">
        <v>2050</v>
      </c>
      <c r="J49" s="141" t="s">
        <v>396</v>
      </c>
      <c r="K49" s="141" t="s">
        <v>397</v>
      </c>
      <c r="L49" s="141" t="s">
        <v>398</v>
      </c>
      <c r="M49" s="150" t="s">
        <v>281</v>
      </c>
      <c r="N49" s="141" t="s">
        <v>66</v>
      </c>
      <c r="O49" s="141" t="s">
        <v>399</v>
      </c>
      <c r="P49" s="141" t="s">
        <v>400</v>
      </c>
      <c r="Q49" s="141" t="s">
        <v>401</v>
      </c>
      <c r="R49" s="141" t="s">
        <v>273</v>
      </c>
      <c r="S49" s="141" t="s">
        <v>13</v>
      </c>
    </row>
    <row r="50" customHeight="1" spans="1:19">
      <c r="A50" s="141">
        <v>49</v>
      </c>
      <c r="B50" s="141" t="s">
        <v>133</v>
      </c>
      <c r="C50" s="141" t="s">
        <v>134</v>
      </c>
      <c r="D50" s="141" t="s">
        <v>273</v>
      </c>
      <c r="E50" s="141" t="s">
        <v>66</v>
      </c>
      <c r="F50" s="141" t="s">
        <v>402</v>
      </c>
      <c r="G50" s="141" t="s">
        <v>276</v>
      </c>
      <c r="H50" s="141" t="s">
        <v>277</v>
      </c>
      <c r="I50" s="141">
        <v>1790</v>
      </c>
      <c r="J50" s="141" t="s">
        <v>396</v>
      </c>
      <c r="K50" s="141" t="s">
        <v>397</v>
      </c>
      <c r="L50" s="141" t="s">
        <v>398</v>
      </c>
      <c r="M50" s="150" t="s">
        <v>403</v>
      </c>
      <c r="N50" s="141" t="s">
        <v>66</v>
      </c>
      <c r="O50" s="141" t="s">
        <v>399</v>
      </c>
      <c r="P50" s="141" t="s">
        <v>400</v>
      </c>
      <c r="Q50" s="141" t="s">
        <v>404</v>
      </c>
      <c r="R50" s="141" t="s">
        <v>273</v>
      </c>
      <c r="S50" s="141" t="s">
        <v>13</v>
      </c>
    </row>
    <row r="51" customHeight="1" spans="1:19">
      <c r="A51" s="141">
        <v>50</v>
      </c>
      <c r="B51" s="141" t="s">
        <v>135</v>
      </c>
      <c r="C51" s="141" t="s">
        <v>136</v>
      </c>
      <c r="D51" s="141" t="s">
        <v>273</v>
      </c>
      <c r="E51" s="141" t="s">
        <v>66</v>
      </c>
      <c r="F51" s="141" t="s">
        <v>405</v>
      </c>
      <c r="G51" s="141" t="s">
        <v>276</v>
      </c>
      <c r="H51" s="141" t="s">
        <v>277</v>
      </c>
      <c r="I51" s="141">
        <v>1790</v>
      </c>
      <c r="J51" s="141" t="s">
        <v>396</v>
      </c>
      <c r="K51" s="141" t="s">
        <v>397</v>
      </c>
      <c r="L51" s="141" t="s">
        <v>398</v>
      </c>
      <c r="M51" s="150" t="s">
        <v>403</v>
      </c>
      <c r="N51" s="141" t="s">
        <v>66</v>
      </c>
      <c r="O51" s="141" t="s">
        <v>399</v>
      </c>
      <c r="P51" s="141" t="s">
        <v>400</v>
      </c>
      <c r="Q51" s="141" t="s">
        <v>406</v>
      </c>
      <c r="R51" s="141" t="s">
        <v>273</v>
      </c>
      <c r="S51" s="141" t="s">
        <v>13</v>
      </c>
    </row>
    <row r="52" customHeight="1" spans="1:19">
      <c r="A52" s="141">
        <v>51</v>
      </c>
      <c r="B52" s="141" t="s">
        <v>137</v>
      </c>
      <c r="C52" s="141" t="s">
        <v>138</v>
      </c>
      <c r="D52" s="141" t="s">
        <v>273</v>
      </c>
      <c r="E52" s="141" t="s">
        <v>66</v>
      </c>
      <c r="F52" s="141" t="s">
        <v>407</v>
      </c>
      <c r="G52" s="141" t="s">
        <v>286</v>
      </c>
      <c r="H52" s="141" t="s">
        <v>277</v>
      </c>
      <c r="I52" s="141">
        <v>1790</v>
      </c>
      <c r="J52" s="141" t="s">
        <v>396</v>
      </c>
      <c r="K52" s="141" t="s">
        <v>397</v>
      </c>
      <c r="L52" s="141" t="s">
        <v>398</v>
      </c>
      <c r="M52" s="150" t="s">
        <v>403</v>
      </c>
      <c r="N52" s="141" t="s">
        <v>66</v>
      </c>
      <c r="O52" s="141" t="s">
        <v>399</v>
      </c>
      <c r="P52" s="141" t="s">
        <v>400</v>
      </c>
      <c r="Q52" s="141" t="s">
        <v>408</v>
      </c>
      <c r="R52" s="141" t="s">
        <v>273</v>
      </c>
      <c r="S52" s="141" t="s">
        <v>13</v>
      </c>
    </row>
    <row r="53" customHeight="1" spans="1:19">
      <c r="A53" s="141">
        <v>52</v>
      </c>
      <c r="B53" s="141" t="s">
        <v>409</v>
      </c>
      <c r="C53" s="141" t="s">
        <v>410</v>
      </c>
      <c r="D53" s="141" t="s">
        <v>273</v>
      </c>
      <c r="E53" s="141" t="s">
        <v>66</v>
      </c>
      <c r="F53" s="141" t="s">
        <v>411</v>
      </c>
      <c r="G53" s="141" t="s">
        <v>276</v>
      </c>
      <c r="H53" s="141" t="s">
        <v>277</v>
      </c>
      <c r="I53" s="141">
        <v>1790</v>
      </c>
      <c r="J53" s="141" t="s">
        <v>396</v>
      </c>
      <c r="K53" s="141" t="s">
        <v>397</v>
      </c>
      <c r="L53" s="141" t="s">
        <v>398</v>
      </c>
      <c r="M53" s="150" t="s">
        <v>281</v>
      </c>
      <c r="N53" s="141" t="s">
        <v>66</v>
      </c>
      <c r="O53" s="141" t="s">
        <v>399</v>
      </c>
      <c r="P53" s="141" t="s">
        <v>400</v>
      </c>
      <c r="Q53" s="141" t="s">
        <v>412</v>
      </c>
      <c r="R53" s="141" t="s">
        <v>273</v>
      </c>
      <c r="S53" s="141" t="s">
        <v>13</v>
      </c>
    </row>
    <row r="54" customHeight="1" spans="1:19">
      <c r="A54" s="141">
        <v>53</v>
      </c>
      <c r="B54" s="141" t="s">
        <v>413</v>
      </c>
      <c r="C54" s="141" t="s">
        <v>414</v>
      </c>
      <c r="D54" s="141" t="s">
        <v>273</v>
      </c>
      <c r="E54" s="141" t="s">
        <v>66</v>
      </c>
      <c r="F54" s="141" t="s">
        <v>415</v>
      </c>
      <c r="G54" s="141" t="s">
        <v>276</v>
      </c>
      <c r="H54" s="141" t="s">
        <v>277</v>
      </c>
      <c r="I54" s="141">
        <v>1790</v>
      </c>
      <c r="J54" s="141" t="s">
        <v>396</v>
      </c>
      <c r="K54" s="141" t="s">
        <v>397</v>
      </c>
      <c r="L54" s="141" t="s">
        <v>398</v>
      </c>
      <c r="M54" s="150" t="s">
        <v>403</v>
      </c>
      <c r="N54" s="141" t="s">
        <v>66</v>
      </c>
      <c r="O54" s="141" t="s">
        <v>399</v>
      </c>
      <c r="P54" s="141" t="s">
        <v>400</v>
      </c>
      <c r="Q54" s="141" t="s">
        <v>416</v>
      </c>
      <c r="R54" s="141" t="s">
        <v>273</v>
      </c>
      <c r="S54" s="141" t="s">
        <v>13</v>
      </c>
    </row>
    <row r="55" customHeight="1" spans="1:19">
      <c r="A55" s="141">
        <v>54</v>
      </c>
      <c r="B55" s="141" t="s">
        <v>185</v>
      </c>
      <c r="C55" s="141" t="s">
        <v>186</v>
      </c>
      <c r="D55" s="141" t="s">
        <v>273</v>
      </c>
      <c r="E55" s="141" t="s">
        <v>78</v>
      </c>
      <c r="F55" s="141" t="s">
        <v>323</v>
      </c>
      <c r="G55" s="141" t="s">
        <v>276</v>
      </c>
      <c r="H55" s="141" t="s">
        <v>22</v>
      </c>
      <c r="I55" s="141">
        <v>0</v>
      </c>
      <c r="J55" s="141" t="s">
        <v>318</v>
      </c>
      <c r="K55" s="141" t="s">
        <v>304</v>
      </c>
      <c r="L55" s="141" t="s">
        <v>319</v>
      </c>
      <c r="M55" s="150" t="s">
        <v>320</v>
      </c>
      <c r="N55" s="141" t="s">
        <v>50</v>
      </c>
      <c r="O55" s="141" t="s">
        <v>321</v>
      </c>
      <c r="P55" s="141" t="s">
        <v>283</v>
      </c>
      <c r="Q55" s="141" t="s">
        <v>417</v>
      </c>
      <c r="R55" s="141" t="s">
        <v>273</v>
      </c>
      <c r="S55" s="141" t="s">
        <v>11</v>
      </c>
    </row>
    <row r="56" customHeight="1" spans="1:19">
      <c r="A56" s="141">
        <v>55</v>
      </c>
      <c r="B56" s="141" t="s">
        <v>188</v>
      </c>
      <c r="C56" s="141" t="s">
        <v>189</v>
      </c>
      <c r="D56" s="141" t="s">
        <v>273</v>
      </c>
      <c r="E56" s="141" t="s">
        <v>78</v>
      </c>
      <c r="F56" s="141" t="s">
        <v>323</v>
      </c>
      <c r="G56" s="141" t="s">
        <v>276</v>
      </c>
      <c r="H56" s="141" t="s">
        <v>22</v>
      </c>
      <c r="I56" s="141">
        <v>0</v>
      </c>
      <c r="J56" s="141" t="s">
        <v>318</v>
      </c>
      <c r="K56" s="141" t="s">
        <v>304</v>
      </c>
      <c r="L56" s="141" t="s">
        <v>319</v>
      </c>
      <c r="M56" s="150" t="s">
        <v>320</v>
      </c>
      <c r="N56" s="141" t="s">
        <v>50</v>
      </c>
      <c r="O56" s="141" t="s">
        <v>321</v>
      </c>
      <c r="P56" s="141" t="s">
        <v>283</v>
      </c>
      <c r="Q56" s="141" t="s">
        <v>418</v>
      </c>
      <c r="R56" s="141" t="s">
        <v>273</v>
      </c>
      <c r="S56" s="141" t="s">
        <v>11</v>
      </c>
    </row>
    <row r="57" customHeight="1" spans="1:19">
      <c r="A57" s="141">
        <v>56</v>
      </c>
      <c r="B57" s="141" t="s">
        <v>419</v>
      </c>
      <c r="C57" s="141" t="s">
        <v>420</v>
      </c>
      <c r="D57" s="141" t="s">
        <v>273</v>
      </c>
      <c r="E57" s="141" t="s">
        <v>78</v>
      </c>
      <c r="F57" s="147" t="s">
        <v>421</v>
      </c>
      <c r="G57" s="141" t="s">
        <v>276</v>
      </c>
      <c r="H57" s="141" t="s">
        <v>22</v>
      </c>
      <c r="I57" s="141">
        <v>0</v>
      </c>
      <c r="J57" s="141" t="s">
        <v>318</v>
      </c>
      <c r="K57" s="141" t="s">
        <v>304</v>
      </c>
      <c r="L57" s="141" t="s">
        <v>319</v>
      </c>
      <c r="M57" s="150" t="s">
        <v>320</v>
      </c>
      <c r="N57" s="141" t="s">
        <v>50</v>
      </c>
      <c r="O57" s="141" t="s">
        <v>321</v>
      </c>
      <c r="P57" s="141" t="s">
        <v>283</v>
      </c>
      <c r="Q57" s="141" t="s">
        <v>422</v>
      </c>
      <c r="R57" s="141" t="s">
        <v>273</v>
      </c>
      <c r="S57" s="141" t="s">
        <v>11</v>
      </c>
    </row>
    <row r="58" customHeight="1" spans="1:19">
      <c r="A58" s="141">
        <v>57</v>
      </c>
      <c r="B58" s="141" t="s">
        <v>155</v>
      </c>
      <c r="C58" s="141" t="s">
        <v>156</v>
      </c>
      <c r="D58" s="141" t="s">
        <v>273</v>
      </c>
      <c r="E58" s="141" t="s">
        <v>78</v>
      </c>
      <c r="F58" s="141" t="s">
        <v>423</v>
      </c>
      <c r="G58" s="141" t="s">
        <v>276</v>
      </c>
      <c r="H58" s="141" t="s">
        <v>277</v>
      </c>
      <c r="I58" s="141">
        <v>1790</v>
      </c>
      <c r="J58" s="141" t="s">
        <v>318</v>
      </c>
      <c r="K58" s="141" t="s">
        <v>304</v>
      </c>
      <c r="L58" s="141" t="s">
        <v>319</v>
      </c>
      <c r="M58" s="150" t="s">
        <v>320</v>
      </c>
      <c r="N58" s="141" t="s">
        <v>50</v>
      </c>
      <c r="O58" s="141" t="s">
        <v>321</v>
      </c>
      <c r="P58" s="141" t="s">
        <v>283</v>
      </c>
      <c r="Q58" s="141" t="s">
        <v>424</v>
      </c>
      <c r="R58" s="141" t="s">
        <v>273</v>
      </c>
      <c r="S58" s="141" t="s">
        <v>11</v>
      </c>
    </row>
    <row r="59" customHeight="1" spans="1:19">
      <c r="A59" s="141">
        <v>58</v>
      </c>
      <c r="B59" s="141" t="s">
        <v>425</v>
      </c>
      <c r="C59" s="141" t="s">
        <v>426</v>
      </c>
      <c r="D59" s="141" t="s">
        <v>273</v>
      </c>
      <c r="E59" s="141" t="s">
        <v>78</v>
      </c>
      <c r="F59" s="148" t="s">
        <v>423</v>
      </c>
      <c r="G59" s="141" t="s">
        <v>276</v>
      </c>
      <c r="H59" s="141" t="s">
        <v>277</v>
      </c>
      <c r="I59" s="141">
        <v>1790</v>
      </c>
      <c r="J59" s="141" t="s">
        <v>318</v>
      </c>
      <c r="K59" s="141" t="s">
        <v>304</v>
      </c>
      <c r="L59" s="141" t="s">
        <v>319</v>
      </c>
      <c r="M59" s="150" t="s">
        <v>320</v>
      </c>
      <c r="N59" s="141" t="s">
        <v>50</v>
      </c>
      <c r="O59" s="141" t="s">
        <v>321</v>
      </c>
      <c r="P59" s="141" t="s">
        <v>283</v>
      </c>
      <c r="Q59" s="141" t="s">
        <v>427</v>
      </c>
      <c r="R59" s="141" t="s">
        <v>273</v>
      </c>
      <c r="S59" s="141" t="s">
        <v>11</v>
      </c>
    </row>
    <row r="60" customHeight="1" spans="1:19">
      <c r="A60" s="141">
        <v>59</v>
      </c>
      <c r="B60" s="141" t="s">
        <v>428</v>
      </c>
      <c r="C60" s="141" t="s">
        <v>429</v>
      </c>
      <c r="D60" s="141" t="s">
        <v>273</v>
      </c>
      <c r="E60" s="141" t="s">
        <v>78</v>
      </c>
      <c r="F60" s="141" t="s">
        <v>430</v>
      </c>
      <c r="G60" s="141" t="s">
        <v>276</v>
      </c>
      <c r="H60" s="141" t="s">
        <v>277</v>
      </c>
      <c r="I60" s="141">
        <v>1790</v>
      </c>
      <c r="J60" s="141" t="s">
        <v>318</v>
      </c>
      <c r="K60" s="141" t="s">
        <v>304</v>
      </c>
      <c r="L60" s="141" t="s">
        <v>319</v>
      </c>
      <c r="M60" s="150" t="s">
        <v>320</v>
      </c>
      <c r="N60" s="141" t="s">
        <v>50</v>
      </c>
      <c r="O60" s="141" t="s">
        <v>321</v>
      </c>
      <c r="P60" s="141" t="s">
        <v>283</v>
      </c>
      <c r="Q60" s="141" t="s">
        <v>431</v>
      </c>
      <c r="R60" s="141" t="s">
        <v>273</v>
      </c>
      <c r="S60" s="141" t="s">
        <v>11</v>
      </c>
    </row>
    <row r="61" customHeight="1" spans="1:19">
      <c r="A61" s="141">
        <v>60</v>
      </c>
      <c r="B61" s="141" t="s">
        <v>76</v>
      </c>
      <c r="C61" s="141" t="s">
        <v>77</v>
      </c>
      <c r="D61" s="141" t="s">
        <v>273</v>
      </c>
      <c r="E61" s="141" t="s">
        <v>78</v>
      </c>
      <c r="F61" s="141" t="s">
        <v>430</v>
      </c>
      <c r="G61" s="141" t="s">
        <v>276</v>
      </c>
      <c r="H61" s="141" t="s">
        <v>277</v>
      </c>
      <c r="I61" s="141">
        <v>1790</v>
      </c>
      <c r="J61" s="141" t="s">
        <v>318</v>
      </c>
      <c r="K61" s="141" t="s">
        <v>304</v>
      </c>
      <c r="L61" s="141" t="s">
        <v>319</v>
      </c>
      <c r="M61" s="150" t="s">
        <v>320</v>
      </c>
      <c r="N61" s="141" t="s">
        <v>50</v>
      </c>
      <c r="O61" s="141" t="s">
        <v>321</v>
      </c>
      <c r="P61" s="141" t="s">
        <v>283</v>
      </c>
      <c r="Q61" s="141" t="s">
        <v>432</v>
      </c>
      <c r="R61" s="141" t="s">
        <v>273</v>
      </c>
      <c r="S61" s="141" t="s">
        <v>11</v>
      </c>
    </row>
    <row r="62" customHeight="1" spans="1:19">
      <c r="A62" s="141">
        <v>61</v>
      </c>
      <c r="B62" s="141" t="s">
        <v>433</v>
      </c>
      <c r="C62" s="141" t="s">
        <v>434</v>
      </c>
      <c r="D62" s="141" t="s">
        <v>273</v>
      </c>
      <c r="E62" s="141" t="s">
        <v>78</v>
      </c>
      <c r="F62" s="141" t="s">
        <v>174</v>
      </c>
      <c r="G62" s="141" t="s">
        <v>276</v>
      </c>
      <c r="H62" s="141" t="s">
        <v>22</v>
      </c>
      <c r="I62" s="141">
        <v>0</v>
      </c>
      <c r="J62" s="141" t="s">
        <v>318</v>
      </c>
      <c r="K62" s="141" t="s">
        <v>304</v>
      </c>
      <c r="L62" s="141" t="s">
        <v>319</v>
      </c>
      <c r="M62" s="150" t="s">
        <v>320</v>
      </c>
      <c r="N62" s="141" t="s">
        <v>50</v>
      </c>
      <c r="O62" s="141" t="s">
        <v>321</v>
      </c>
      <c r="P62" s="141" t="s">
        <v>283</v>
      </c>
      <c r="Q62" s="141" t="s">
        <v>435</v>
      </c>
      <c r="R62" s="141" t="s">
        <v>273</v>
      </c>
      <c r="S62" s="141" t="s">
        <v>11</v>
      </c>
    </row>
    <row r="63" customHeight="1" spans="1:19">
      <c r="A63" s="141">
        <v>62</v>
      </c>
      <c r="B63" s="141" t="s">
        <v>436</v>
      </c>
      <c r="C63" s="141" t="s">
        <v>437</v>
      </c>
      <c r="D63" s="141" t="s">
        <v>273</v>
      </c>
      <c r="E63" s="141" t="s">
        <v>78</v>
      </c>
      <c r="F63" s="141" t="s">
        <v>174</v>
      </c>
      <c r="G63" s="141" t="s">
        <v>286</v>
      </c>
      <c r="H63" s="141" t="s">
        <v>22</v>
      </c>
      <c r="I63" s="141">
        <v>0</v>
      </c>
      <c r="J63" s="141" t="s">
        <v>318</v>
      </c>
      <c r="K63" s="141" t="s">
        <v>304</v>
      </c>
      <c r="L63" s="141" t="s">
        <v>319</v>
      </c>
      <c r="M63" s="150" t="s">
        <v>320</v>
      </c>
      <c r="N63" s="141" t="s">
        <v>50</v>
      </c>
      <c r="O63" s="141" t="s">
        <v>321</v>
      </c>
      <c r="P63" s="141" t="s">
        <v>283</v>
      </c>
      <c r="Q63" s="141" t="s">
        <v>51</v>
      </c>
      <c r="R63" s="141" t="s">
        <v>273</v>
      </c>
      <c r="S63" s="141" t="s">
        <v>11</v>
      </c>
    </row>
    <row r="64" customHeight="1" spans="1:19">
      <c r="A64" s="141">
        <v>63</v>
      </c>
      <c r="B64" s="141" t="s">
        <v>190</v>
      </c>
      <c r="C64" s="141" t="s">
        <v>191</v>
      </c>
      <c r="D64" s="141" t="s">
        <v>273</v>
      </c>
      <c r="E64" s="141" t="s">
        <v>78</v>
      </c>
      <c r="F64" s="141" t="s">
        <v>174</v>
      </c>
      <c r="G64" s="141" t="s">
        <v>286</v>
      </c>
      <c r="H64" s="141" t="s">
        <v>22</v>
      </c>
      <c r="I64" s="141">
        <v>0</v>
      </c>
      <c r="J64" s="141" t="s">
        <v>318</v>
      </c>
      <c r="K64" s="141" t="s">
        <v>304</v>
      </c>
      <c r="L64" s="141" t="s">
        <v>319</v>
      </c>
      <c r="M64" s="150" t="s">
        <v>320</v>
      </c>
      <c r="N64" s="141" t="s">
        <v>50</v>
      </c>
      <c r="O64" s="141" t="s">
        <v>321</v>
      </c>
      <c r="P64" s="141" t="s">
        <v>283</v>
      </c>
      <c r="Q64" s="141" t="s">
        <v>52</v>
      </c>
      <c r="R64" s="141" t="s">
        <v>273</v>
      </c>
      <c r="S64" s="141" t="s">
        <v>11</v>
      </c>
    </row>
    <row r="65" customHeight="1" spans="1:19">
      <c r="A65" s="141">
        <v>64</v>
      </c>
      <c r="B65" s="141" t="s">
        <v>115</v>
      </c>
      <c r="C65" s="152" t="s">
        <v>116</v>
      </c>
      <c r="D65" s="141" t="s">
        <v>273</v>
      </c>
      <c r="E65" s="141" t="s">
        <v>66</v>
      </c>
      <c r="F65" s="141" t="s">
        <v>438</v>
      </c>
      <c r="G65" s="141" t="s">
        <v>276</v>
      </c>
      <c r="H65" s="141" t="s">
        <v>277</v>
      </c>
      <c r="I65" s="141">
        <v>1790</v>
      </c>
      <c r="J65" s="141" t="s">
        <v>396</v>
      </c>
      <c r="K65" s="141" t="s">
        <v>397</v>
      </c>
      <c r="L65" s="141" t="s">
        <v>398</v>
      </c>
      <c r="M65" s="150" t="s">
        <v>281</v>
      </c>
      <c r="N65" s="141" t="s">
        <v>66</v>
      </c>
      <c r="O65" s="141" t="s">
        <v>439</v>
      </c>
      <c r="P65" s="141" t="s">
        <v>283</v>
      </c>
      <c r="Q65" s="141" t="s">
        <v>440</v>
      </c>
      <c r="R65" s="141" t="s">
        <v>273</v>
      </c>
      <c r="S65" s="141" t="s">
        <v>11</v>
      </c>
    </row>
    <row r="66" customHeight="1" spans="1:19">
      <c r="A66" s="141">
        <v>65</v>
      </c>
      <c r="B66" s="141" t="s">
        <v>119</v>
      </c>
      <c r="C66" s="141" t="s">
        <v>120</v>
      </c>
      <c r="D66" s="141" t="s">
        <v>273</v>
      </c>
      <c r="E66" s="141" t="s">
        <v>66</v>
      </c>
      <c r="F66" s="141" t="s">
        <v>441</v>
      </c>
      <c r="G66" s="141" t="s">
        <v>286</v>
      </c>
      <c r="H66" s="141" t="s">
        <v>277</v>
      </c>
      <c r="I66" s="141">
        <v>1790</v>
      </c>
      <c r="J66" s="141" t="s">
        <v>396</v>
      </c>
      <c r="K66" s="141" t="s">
        <v>397</v>
      </c>
      <c r="L66" s="141" t="s">
        <v>398</v>
      </c>
      <c r="M66" s="150" t="s">
        <v>281</v>
      </c>
      <c r="N66" s="141" t="s">
        <v>66</v>
      </c>
      <c r="O66" s="141" t="s">
        <v>439</v>
      </c>
      <c r="P66" s="141" t="s">
        <v>283</v>
      </c>
      <c r="Q66" s="141" t="s">
        <v>442</v>
      </c>
      <c r="R66" s="141" t="s">
        <v>273</v>
      </c>
      <c r="S66" s="141" t="s">
        <v>11</v>
      </c>
    </row>
    <row r="67" customHeight="1" spans="1:19">
      <c r="A67" s="141">
        <v>66</v>
      </c>
      <c r="B67" s="141" t="s">
        <v>117</v>
      </c>
      <c r="C67" s="141" t="s">
        <v>118</v>
      </c>
      <c r="D67" s="141" t="s">
        <v>273</v>
      </c>
      <c r="E67" s="141" t="s">
        <v>66</v>
      </c>
      <c r="F67" s="141" t="s">
        <v>443</v>
      </c>
      <c r="G67" s="141" t="s">
        <v>276</v>
      </c>
      <c r="H67" s="141" t="s">
        <v>277</v>
      </c>
      <c r="I67" s="141">
        <v>0</v>
      </c>
      <c r="J67" s="141" t="s">
        <v>396</v>
      </c>
      <c r="K67" s="141" t="s">
        <v>397</v>
      </c>
      <c r="L67" s="141" t="s">
        <v>398</v>
      </c>
      <c r="M67" s="150" t="s">
        <v>281</v>
      </c>
      <c r="N67" s="141" t="s">
        <v>66</v>
      </c>
      <c r="O67" s="141" t="s">
        <v>399</v>
      </c>
      <c r="P67" s="141" t="s">
        <v>400</v>
      </c>
      <c r="Q67" s="141" t="s">
        <v>444</v>
      </c>
      <c r="R67" s="141" t="s">
        <v>273</v>
      </c>
      <c r="S67" s="141" t="s">
        <v>13</v>
      </c>
    </row>
    <row r="68" customHeight="1" spans="1:19">
      <c r="A68" s="141">
        <v>67</v>
      </c>
      <c r="B68" s="141" t="s">
        <v>129</v>
      </c>
      <c r="C68" s="141" t="s">
        <v>130</v>
      </c>
      <c r="D68" s="141" t="s">
        <v>273</v>
      </c>
      <c r="E68" s="141" t="s">
        <v>66</v>
      </c>
      <c r="F68" s="141" t="s">
        <v>445</v>
      </c>
      <c r="G68" s="141" t="s">
        <v>276</v>
      </c>
      <c r="H68" s="141" t="s">
        <v>277</v>
      </c>
      <c r="I68" s="141">
        <v>0</v>
      </c>
      <c r="J68" s="141" t="s">
        <v>396</v>
      </c>
      <c r="K68" s="141" t="s">
        <v>397</v>
      </c>
      <c r="L68" s="141" t="s">
        <v>398</v>
      </c>
      <c r="M68" s="150" t="s">
        <v>403</v>
      </c>
      <c r="N68" s="141" t="s">
        <v>66</v>
      </c>
      <c r="O68" s="141" t="s">
        <v>399</v>
      </c>
      <c r="P68" s="141" t="s">
        <v>400</v>
      </c>
      <c r="Q68" s="141" t="s">
        <v>446</v>
      </c>
      <c r="R68" s="141" t="s">
        <v>273</v>
      </c>
      <c r="S68" s="141" t="s">
        <v>13</v>
      </c>
    </row>
    <row r="69" customHeight="1" spans="1:19">
      <c r="A69" s="141">
        <v>68</v>
      </c>
      <c r="B69" s="141" t="s">
        <v>131</v>
      </c>
      <c r="C69" s="141" t="s">
        <v>132</v>
      </c>
      <c r="D69" s="141" t="s">
        <v>273</v>
      </c>
      <c r="E69" s="141" t="s">
        <v>66</v>
      </c>
      <c r="F69" s="141" t="s">
        <v>447</v>
      </c>
      <c r="G69" s="141" t="s">
        <v>276</v>
      </c>
      <c r="H69" s="141" t="s">
        <v>277</v>
      </c>
      <c r="I69" s="141">
        <v>1790</v>
      </c>
      <c r="J69" s="141" t="s">
        <v>396</v>
      </c>
      <c r="K69" s="141" t="s">
        <v>397</v>
      </c>
      <c r="L69" s="141" t="s">
        <v>398</v>
      </c>
      <c r="M69" s="150" t="s">
        <v>403</v>
      </c>
      <c r="N69" s="141" t="s">
        <v>66</v>
      </c>
      <c r="O69" s="141" t="s">
        <v>399</v>
      </c>
      <c r="P69" s="141" t="s">
        <v>400</v>
      </c>
      <c r="Q69" s="141" t="s">
        <v>448</v>
      </c>
      <c r="R69" s="141" t="s">
        <v>273</v>
      </c>
      <c r="S69" s="141" t="s">
        <v>13</v>
      </c>
    </row>
    <row r="70" customHeight="1" spans="1:19">
      <c r="A70" s="141">
        <v>69</v>
      </c>
      <c r="B70" s="141" t="s">
        <v>127</v>
      </c>
      <c r="C70" s="141" t="s">
        <v>128</v>
      </c>
      <c r="D70" s="141" t="s">
        <v>273</v>
      </c>
      <c r="E70" s="141" t="s">
        <v>66</v>
      </c>
      <c r="F70" s="141" t="s">
        <v>415</v>
      </c>
      <c r="G70" s="141" t="s">
        <v>276</v>
      </c>
      <c r="H70" s="141" t="s">
        <v>277</v>
      </c>
      <c r="I70" s="141">
        <v>1790</v>
      </c>
      <c r="J70" s="141" t="s">
        <v>396</v>
      </c>
      <c r="K70" s="141" t="s">
        <v>397</v>
      </c>
      <c r="L70" s="141" t="s">
        <v>398</v>
      </c>
      <c r="M70" s="150" t="s">
        <v>403</v>
      </c>
      <c r="N70" s="141" t="s">
        <v>66</v>
      </c>
      <c r="O70" s="141" t="s">
        <v>399</v>
      </c>
      <c r="P70" s="141" t="s">
        <v>400</v>
      </c>
      <c r="Q70" s="141" t="s">
        <v>449</v>
      </c>
      <c r="R70" s="141" t="s">
        <v>273</v>
      </c>
      <c r="S70" s="141" t="s">
        <v>13</v>
      </c>
    </row>
    <row r="71" customHeight="1" spans="1:19">
      <c r="A71" s="141">
        <v>70</v>
      </c>
      <c r="B71" s="141" t="s">
        <v>123</v>
      </c>
      <c r="C71" s="152" t="s">
        <v>124</v>
      </c>
      <c r="D71" s="141" t="s">
        <v>273</v>
      </c>
      <c r="E71" s="141" t="s">
        <v>66</v>
      </c>
      <c r="F71" s="141" t="s">
        <v>450</v>
      </c>
      <c r="G71" s="141" t="s">
        <v>276</v>
      </c>
      <c r="H71" s="141" t="s">
        <v>277</v>
      </c>
      <c r="I71" s="141">
        <v>1790</v>
      </c>
      <c r="J71" s="141" t="s">
        <v>396</v>
      </c>
      <c r="K71" s="141" t="s">
        <v>397</v>
      </c>
      <c r="L71" s="141" t="s">
        <v>398</v>
      </c>
      <c r="M71" s="150" t="s">
        <v>403</v>
      </c>
      <c r="N71" s="141" t="s">
        <v>66</v>
      </c>
      <c r="O71" s="141" t="s">
        <v>399</v>
      </c>
      <c r="P71" s="141" t="s">
        <v>400</v>
      </c>
      <c r="Q71" s="141" t="s">
        <v>451</v>
      </c>
      <c r="R71" s="141" t="s">
        <v>273</v>
      </c>
      <c r="S71" s="141" t="s">
        <v>13</v>
      </c>
    </row>
    <row r="72" customHeight="1" spans="1:19">
      <c r="A72" s="141">
        <v>71</v>
      </c>
      <c r="B72" s="141" t="s">
        <v>121</v>
      </c>
      <c r="C72" s="141" t="s">
        <v>122</v>
      </c>
      <c r="D72" s="141" t="s">
        <v>273</v>
      </c>
      <c r="E72" s="141" t="s">
        <v>66</v>
      </c>
      <c r="F72" s="141" t="s">
        <v>452</v>
      </c>
      <c r="G72" s="141" t="s">
        <v>286</v>
      </c>
      <c r="H72" s="141" t="s">
        <v>277</v>
      </c>
      <c r="I72" s="141">
        <v>0</v>
      </c>
      <c r="J72" s="141" t="s">
        <v>396</v>
      </c>
      <c r="K72" s="141" t="s">
        <v>397</v>
      </c>
      <c r="L72" s="141" t="s">
        <v>398</v>
      </c>
      <c r="M72" s="150" t="s">
        <v>281</v>
      </c>
      <c r="N72" s="141" t="s">
        <v>66</v>
      </c>
      <c r="O72" s="141" t="s">
        <v>399</v>
      </c>
      <c r="P72" s="141" t="s">
        <v>400</v>
      </c>
      <c r="Q72" s="141" t="s">
        <v>453</v>
      </c>
      <c r="R72" s="141" t="s">
        <v>273</v>
      </c>
      <c r="S72" s="141" t="s">
        <v>13</v>
      </c>
    </row>
    <row r="73" customHeight="1" spans="1:19">
      <c r="A73" s="141">
        <v>72</v>
      </c>
      <c r="B73" s="141" t="s">
        <v>98</v>
      </c>
      <c r="C73" s="141" t="s">
        <v>99</v>
      </c>
      <c r="D73" s="141" t="s">
        <v>273</v>
      </c>
      <c r="E73" s="141" t="s">
        <v>81</v>
      </c>
      <c r="F73" s="141" t="s">
        <v>454</v>
      </c>
      <c r="G73" s="141" t="s">
        <v>286</v>
      </c>
      <c r="H73" s="141" t="s">
        <v>277</v>
      </c>
      <c r="I73" s="141">
        <v>1790</v>
      </c>
      <c r="J73" s="141" t="s">
        <v>455</v>
      </c>
      <c r="K73" s="141" t="s">
        <v>296</v>
      </c>
      <c r="L73" s="141" t="s">
        <v>456</v>
      </c>
      <c r="M73" s="150" t="s">
        <v>281</v>
      </c>
      <c r="N73" s="141" t="s">
        <v>81</v>
      </c>
      <c r="O73" s="141" t="s">
        <v>457</v>
      </c>
      <c r="P73" s="141" t="s">
        <v>283</v>
      </c>
      <c r="Q73" s="141" t="s">
        <v>458</v>
      </c>
      <c r="R73" s="141" t="s">
        <v>273</v>
      </c>
      <c r="S73" s="141" t="s">
        <v>11</v>
      </c>
    </row>
    <row r="74" customHeight="1" spans="1:19">
      <c r="A74" s="141">
        <v>73</v>
      </c>
      <c r="B74" s="141" t="s">
        <v>89</v>
      </c>
      <c r="C74" s="141" t="s">
        <v>90</v>
      </c>
      <c r="D74" s="141" t="s">
        <v>273</v>
      </c>
      <c r="E74" s="141" t="s">
        <v>75</v>
      </c>
      <c r="F74" s="141" t="s">
        <v>459</v>
      </c>
      <c r="G74" s="141" t="s">
        <v>276</v>
      </c>
      <c r="H74" s="141" t="s">
        <v>277</v>
      </c>
      <c r="I74" s="141">
        <v>1790</v>
      </c>
      <c r="J74" s="141" t="s">
        <v>455</v>
      </c>
      <c r="K74" s="141" t="s">
        <v>460</v>
      </c>
      <c r="L74" s="141" t="s">
        <v>461</v>
      </c>
      <c r="M74" s="150" t="s">
        <v>281</v>
      </c>
      <c r="N74" s="141" t="s">
        <v>75</v>
      </c>
      <c r="O74" s="141" t="s">
        <v>457</v>
      </c>
      <c r="P74" s="141" t="s">
        <v>283</v>
      </c>
      <c r="Q74" s="141" t="s">
        <v>462</v>
      </c>
      <c r="R74" s="141" t="s">
        <v>273</v>
      </c>
      <c r="S74" s="141" t="s">
        <v>11</v>
      </c>
    </row>
    <row r="75" customHeight="1" spans="1:19">
      <c r="A75" s="141">
        <v>74</v>
      </c>
      <c r="B75" s="141" t="s">
        <v>87</v>
      </c>
      <c r="C75" s="141" t="s">
        <v>88</v>
      </c>
      <c r="D75" s="141" t="s">
        <v>273</v>
      </c>
      <c r="E75" s="141" t="s">
        <v>75</v>
      </c>
      <c r="F75" s="141" t="s">
        <v>463</v>
      </c>
      <c r="G75" s="141" t="s">
        <v>276</v>
      </c>
      <c r="H75" s="141" t="s">
        <v>277</v>
      </c>
      <c r="I75" s="141">
        <v>1790</v>
      </c>
      <c r="J75" s="141" t="s">
        <v>455</v>
      </c>
      <c r="K75" s="141" t="s">
        <v>460</v>
      </c>
      <c r="L75" s="141" t="s">
        <v>461</v>
      </c>
      <c r="M75" s="150" t="s">
        <v>281</v>
      </c>
      <c r="N75" s="141" t="s">
        <v>75</v>
      </c>
      <c r="O75" s="141" t="s">
        <v>457</v>
      </c>
      <c r="P75" s="141" t="s">
        <v>283</v>
      </c>
      <c r="Q75" s="141" t="s">
        <v>464</v>
      </c>
      <c r="R75" s="141" t="s">
        <v>273</v>
      </c>
      <c r="S75" s="141" t="s">
        <v>11</v>
      </c>
    </row>
    <row r="76" customHeight="1" spans="1:19">
      <c r="A76" s="141">
        <v>75</v>
      </c>
      <c r="B76" s="141" t="s">
        <v>201</v>
      </c>
      <c r="C76" s="141" t="s">
        <v>202</v>
      </c>
      <c r="D76" s="141" t="s">
        <v>273</v>
      </c>
      <c r="E76" s="141" t="s">
        <v>78</v>
      </c>
      <c r="F76" s="141" t="s">
        <v>203</v>
      </c>
      <c r="G76" s="141" t="s">
        <v>276</v>
      </c>
      <c r="H76" s="141" t="s">
        <v>22</v>
      </c>
      <c r="I76" s="141">
        <v>0</v>
      </c>
      <c r="J76" s="141" t="s">
        <v>318</v>
      </c>
      <c r="K76" s="141" t="s">
        <v>304</v>
      </c>
      <c r="L76" s="141" t="s">
        <v>319</v>
      </c>
      <c r="M76" s="150" t="s">
        <v>320</v>
      </c>
      <c r="N76" s="141" t="s">
        <v>50</v>
      </c>
      <c r="O76" s="141" t="s">
        <v>321</v>
      </c>
      <c r="P76" s="141" t="s">
        <v>283</v>
      </c>
      <c r="Q76" s="141" t="s">
        <v>465</v>
      </c>
      <c r="R76" s="141" t="s">
        <v>273</v>
      </c>
      <c r="S76" s="141" t="s">
        <v>11</v>
      </c>
    </row>
    <row r="77" customHeight="1" spans="1:19">
      <c r="A77" s="141">
        <v>76</v>
      </c>
      <c r="B77" s="141" t="s">
        <v>85</v>
      </c>
      <c r="C77" s="141" t="s">
        <v>86</v>
      </c>
      <c r="D77" s="141" t="s">
        <v>273</v>
      </c>
      <c r="E77" s="141" t="s">
        <v>75</v>
      </c>
      <c r="F77" s="141" t="s">
        <v>466</v>
      </c>
      <c r="G77" s="141" t="s">
        <v>276</v>
      </c>
      <c r="H77" s="141" t="s">
        <v>277</v>
      </c>
      <c r="I77" s="141">
        <v>1790</v>
      </c>
      <c r="J77" s="141" t="s">
        <v>455</v>
      </c>
      <c r="K77" s="141" t="s">
        <v>460</v>
      </c>
      <c r="L77" s="141" t="s">
        <v>461</v>
      </c>
      <c r="M77" s="150" t="s">
        <v>281</v>
      </c>
      <c r="N77" s="141" t="s">
        <v>75</v>
      </c>
      <c r="O77" s="141" t="s">
        <v>457</v>
      </c>
      <c r="P77" s="141" t="s">
        <v>283</v>
      </c>
      <c r="Q77" s="141" t="s">
        <v>467</v>
      </c>
      <c r="R77" s="141" t="s">
        <v>273</v>
      </c>
      <c r="S77" s="141" t="s">
        <v>11</v>
      </c>
    </row>
    <row r="78" customHeight="1" spans="1:19">
      <c r="A78" s="141">
        <v>77</v>
      </c>
      <c r="B78" s="141" t="s">
        <v>468</v>
      </c>
      <c r="C78" s="141" t="s">
        <v>469</v>
      </c>
      <c r="D78" s="141" t="s">
        <v>273</v>
      </c>
      <c r="E78" s="141" t="s">
        <v>75</v>
      </c>
      <c r="F78" s="141" t="s">
        <v>470</v>
      </c>
      <c r="G78" s="141" t="s">
        <v>276</v>
      </c>
      <c r="H78" s="141" t="s">
        <v>277</v>
      </c>
      <c r="I78" s="141">
        <v>1790</v>
      </c>
      <c r="J78" s="141" t="s">
        <v>455</v>
      </c>
      <c r="K78" s="141" t="s">
        <v>460</v>
      </c>
      <c r="L78" s="141" t="s">
        <v>461</v>
      </c>
      <c r="M78" s="150" t="s">
        <v>281</v>
      </c>
      <c r="N78" s="141" t="s">
        <v>75</v>
      </c>
      <c r="O78" s="141" t="s">
        <v>457</v>
      </c>
      <c r="P78" s="141" t="s">
        <v>283</v>
      </c>
      <c r="Q78" s="141" t="s">
        <v>471</v>
      </c>
      <c r="R78" s="141" t="s">
        <v>273</v>
      </c>
      <c r="S78" s="141" t="s">
        <v>11</v>
      </c>
    </row>
    <row r="79" customHeight="1" spans="1:19">
      <c r="A79" s="141">
        <v>78</v>
      </c>
      <c r="B79" s="141" t="s">
        <v>148</v>
      </c>
      <c r="C79" s="153" t="s">
        <v>149</v>
      </c>
      <c r="D79" s="141" t="s">
        <v>273</v>
      </c>
      <c r="E79" s="141" t="s">
        <v>145</v>
      </c>
      <c r="F79" s="141" t="s">
        <v>472</v>
      </c>
      <c r="G79" s="141" t="s">
        <v>276</v>
      </c>
      <c r="H79" s="141" t="s">
        <v>277</v>
      </c>
      <c r="I79" s="141">
        <v>1790</v>
      </c>
      <c r="J79" s="141" t="s">
        <v>455</v>
      </c>
      <c r="K79" s="141" t="s">
        <v>473</v>
      </c>
      <c r="L79" s="141" t="s">
        <v>474</v>
      </c>
      <c r="M79" s="150" t="s">
        <v>281</v>
      </c>
      <c r="N79" s="141" t="s">
        <v>274</v>
      </c>
      <c r="O79" s="141" t="s">
        <v>457</v>
      </c>
      <c r="P79" s="141" t="s">
        <v>283</v>
      </c>
      <c r="Q79" s="141" t="s">
        <v>475</v>
      </c>
      <c r="R79" s="141" t="s">
        <v>273</v>
      </c>
      <c r="S79" s="141" t="s">
        <v>11</v>
      </c>
    </row>
    <row r="80" customHeight="1" spans="1:19">
      <c r="A80" s="141">
        <v>79</v>
      </c>
      <c r="B80" s="141" t="s">
        <v>104</v>
      </c>
      <c r="C80" s="141" t="s">
        <v>105</v>
      </c>
      <c r="D80" s="141" t="s">
        <v>273</v>
      </c>
      <c r="E80" s="141" t="s">
        <v>81</v>
      </c>
      <c r="F80" s="141" t="s">
        <v>476</v>
      </c>
      <c r="G80" s="141" t="s">
        <v>286</v>
      </c>
      <c r="H80" s="141" t="s">
        <v>277</v>
      </c>
      <c r="I80" s="141">
        <v>1790</v>
      </c>
      <c r="J80" s="141" t="s">
        <v>278</v>
      </c>
      <c r="K80" s="141" t="s">
        <v>369</v>
      </c>
      <c r="L80" s="141" t="s">
        <v>477</v>
      </c>
      <c r="M80" s="150" t="s">
        <v>281</v>
      </c>
      <c r="N80" s="141" t="s">
        <v>81</v>
      </c>
      <c r="O80" s="141" t="s">
        <v>321</v>
      </c>
      <c r="P80" s="141" t="s">
        <v>283</v>
      </c>
      <c r="Q80" s="141" t="s">
        <v>478</v>
      </c>
      <c r="R80" s="141" t="s">
        <v>273</v>
      </c>
      <c r="S80" s="141" t="s">
        <v>11</v>
      </c>
    </row>
    <row r="81" customHeight="1" spans="1:19">
      <c r="A81" s="141">
        <v>80</v>
      </c>
      <c r="B81" s="141" t="s">
        <v>479</v>
      </c>
      <c r="C81" s="141" t="s">
        <v>480</v>
      </c>
      <c r="D81" s="141" t="s">
        <v>273</v>
      </c>
      <c r="E81" s="141" t="s">
        <v>81</v>
      </c>
      <c r="F81" s="141" t="s">
        <v>303</v>
      </c>
      <c r="G81" s="141" t="s">
        <v>276</v>
      </c>
      <c r="H81" s="141" t="s">
        <v>277</v>
      </c>
      <c r="I81" s="141">
        <v>1790</v>
      </c>
      <c r="J81" s="141" t="s">
        <v>278</v>
      </c>
      <c r="K81" s="141" t="s">
        <v>279</v>
      </c>
      <c r="L81" s="141" t="s">
        <v>280</v>
      </c>
      <c r="M81" s="150" t="s">
        <v>281</v>
      </c>
      <c r="N81" s="141" t="s">
        <v>81</v>
      </c>
      <c r="O81" s="141" t="s">
        <v>282</v>
      </c>
      <c r="P81" s="141" t="s">
        <v>283</v>
      </c>
      <c r="Q81" s="141" t="s">
        <v>481</v>
      </c>
      <c r="R81" s="141" t="s">
        <v>273</v>
      </c>
      <c r="S81" s="141" t="s">
        <v>11</v>
      </c>
    </row>
    <row r="82" customHeight="1" spans="1:19">
      <c r="A82" s="141">
        <v>81</v>
      </c>
      <c r="B82" s="141" t="s">
        <v>482</v>
      </c>
      <c r="C82" s="141" t="s">
        <v>483</v>
      </c>
      <c r="D82" s="141" t="s">
        <v>273</v>
      </c>
      <c r="E82" s="141" t="s">
        <v>81</v>
      </c>
      <c r="F82" s="137" t="s">
        <v>484</v>
      </c>
      <c r="G82" s="141" t="s">
        <v>286</v>
      </c>
      <c r="H82" s="141" t="s">
        <v>277</v>
      </c>
      <c r="I82" s="141">
        <v>1790</v>
      </c>
      <c r="J82" s="141" t="s">
        <v>278</v>
      </c>
      <c r="K82" s="141" t="s">
        <v>304</v>
      </c>
      <c r="L82" s="141" t="s">
        <v>305</v>
      </c>
      <c r="M82" s="150" t="s">
        <v>281</v>
      </c>
      <c r="N82" s="141" t="s">
        <v>81</v>
      </c>
      <c r="O82" s="141" t="s">
        <v>282</v>
      </c>
      <c r="P82" s="141" t="s">
        <v>283</v>
      </c>
      <c r="Q82" s="141" t="s">
        <v>485</v>
      </c>
      <c r="R82" s="141" t="s">
        <v>273</v>
      </c>
      <c r="S82" s="141" t="s">
        <v>11</v>
      </c>
    </row>
    <row r="83" customHeight="1" spans="1:19">
      <c r="A83" s="141">
        <v>82</v>
      </c>
      <c r="B83" s="141" t="s">
        <v>102</v>
      </c>
      <c r="C83" s="141" t="s">
        <v>103</v>
      </c>
      <c r="D83" s="141" t="s">
        <v>273</v>
      </c>
      <c r="E83" s="141" t="s">
        <v>81</v>
      </c>
      <c r="F83" s="141" t="s">
        <v>486</v>
      </c>
      <c r="G83" s="141" t="s">
        <v>286</v>
      </c>
      <c r="H83" s="141" t="s">
        <v>277</v>
      </c>
      <c r="I83" s="141">
        <v>1792</v>
      </c>
      <c r="J83" s="141" t="s">
        <v>278</v>
      </c>
      <c r="K83" s="141" t="s">
        <v>279</v>
      </c>
      <c r="L83" s="141" t="s">
        <v>280</v>
      </c>
      <c r="M83" s="150" t="s">
        <v>281</v>
      </c>
      <c r="N83" s="141" t="s">
        <v>81</v>
      </c>
      <c r="O83" s="141" t="s">
        <v>282</v>
      </c>
      <c r="P83" s="141" t="s">
        <v>283</v>
      </c>
      <c r="Q83" s="141" t="s">
        <v>487</v>
      </c>
      <c r="R83" s="141" t="s">
        <v>273</v>
      </c>
      <c r="S83" s="141" t="s">
        <v>11</v>
      </c>
    </row>
    <row r="84" customHeight="1" spans="1:19">
      <c r="A84" s="141">
        <v>83</v>
      </c>
      <c r="B84" s="141" t="s">
        <v>488</v>
      </c>
      <c r="C84" s="141" t="s">
        <v>489</v>
      </c>
      <c r="D84" s="141" t="s">
        <v>273</v>
      </c>
      <c r="E84" s="141" t="s">
        <v>145</v>
      </c>
      <c r="F84" s="141" t="s">
        <v>441</v>
      </c>
      <c r="G84" s="141" t="s">
        <v>286</v>
      </c>
      <c r="H84" s="141" t="s">
        <v>277</v>
      </c>
      <c r="I84" s="141">
        <v>1790</v>
      </c>
      <c r="J84" s="141" t="s">
        <v>278</v>
      </c>
      <c r="K84" s="141" t="s">
        <v>279</v>
      </c>
      <c r="L84" s="141" t="s">
        <v>280</v>
      </c>
      <c r="M84" s="150" t="s">
        <v>281</v>
      </c>
      <c r="N84" s="141" t="s">
        <v>274</v>
      </c>
      <c r="O84" s="141" t="s">
        <v>282</v>
      </c>
      <c r="P84" s="141" t="s">
        <v>283</v>
      </c>
      <c r="Q84" s="141" t="s">
        <v>490</v>
      </c>
      <c r="R84" s="141" t="s">
        <v>273</v>
      </c>
      <c r="S84" s="141" t="s">
        <v>11</v>
      </c>
    </row>
    <row r="85" customHeight="1" spans="1:19">
      <c r="A85" s="141">
        <v>84</v>
      </c>
      <c r="B85" s="141" t="s">
        <v>143</v>
      </c>
      <c r="C85" s="141" t="s">
        <v>144</v>
      </c>
      <c r="D85" s="141" t="s">
        <v>273</v>
      </c>
      <c r="E85" s="141" t="s">
        <v>145</v>
      </c>
      <c r="F85" s="141" t="s">
        <v>491</v>
      </c>
      <c r="G85" s="141" t="s">
        <v>276</v>
      </c>
      <c r="H85" s="141" t="s">
        <v>277</v>
      </c>
      <c r="I85" s="141">
        <v>1790</v>
      </c>
      <c r="J85" s="141" t="s">
        <v>287</v>
      </c>
      <c r="K85" s="141" t="s">
        <v>492</v>
      </c>
      <c r="L85" s="141" t="s">
        <v>493</v>
      </c>
      <c r="M85" s="150" t="s">
        <v>281</v>
      </c>
      <c r="N85" s="141" t="s">
        <v>274</v>
      </c>
      <c r="O85" s="141" t="s">
        <v>290</v>
      </c>
      <c r="P85" s="141" t="s">
        <v>283</v>
      </c>
      <c r="Q85" s="141" t="s">
        <v>494</v>
      </c>
      <c r="R85" s="141" t="s">
        <v>273</v>
      </c>
      <c r="S85" s="141" t="s">
        <v>11</v>
      </c>
    </row>
    <row r="86" customHeight="1" spans="1:19">
      <c r="A86" s="141">
        <v>85</v>
      </c>
      <c r="B86" s="141" t="s">
        <v>146</v>
      </c>
      <c r="C86" s="141" t="s">
        <v>147</v>
      </c>
      <c r="D86" s="141" t="s">
        <v>273</v>
      </c>
      <c r="E86" s="141" t="s">
        <v>145</v>
      </c>
      <c r="F86" s="141" t="s">
        <v>495</v>
      </c>
      <c r="G86" s="141" t="s">
        <v>276</v>
      </c>
      <c r="H86" s="141" t="s">
        <v>277</v>
      </c>
      <c r="I86" s="141">
        <v>1790</v>
      </c>
      <c r="J86" s="141" t="s">
        <v>278</v>
      </c>
      <c r="K86" s="141" t="s">
        <v>279</v>
      </c>
      <c r="L86" s="141" t="s">
        <v>280</v>
      </c>
      <c r="M86" s="150" t="s">
        <v>281</v>
      </c>
      <c r="N86" s="141" t="s">
        <v>274</v>
      </c>
      <c r="O86" s="141" t="s">
        <v>282</v>
      </c>
      <c r="P86" s="141" t="s">
        <v>283</v>
      </c>
      <c r="Q86" s="137" t="s">
        <v>496</v>
      </c>
      <c r="R86" s="141" t="s">
        <v>273</v>
      </c>
      <c r="S86" s="141" t="s">
        <v>12</v>
      </c>
    </row>
    <row r="87" customHeight="1" spans="1:19">
      <c r="A87" s="141">
        <v>86</v>
      </c>
      <c r="B87" s="140" t="s">
        <v>497</v>
      </c>
      <c r="C87" s="154" t="s">
        <v>498</v>
      </c>
      <c r="D87" s="141" t="s">
        <v>273</v>
      </c>
      <c r="E87" s="141" t="s">
        <v>78</v>
      </c>
      <c r="F87" s="141" t="s">
        <v>174</v>
      </c>
      <c r="G87" s="141" t="s">
        <v>276</v>
      </c>
      <c r="H87" s="141" t="s">
        <v>22</v>
      </c>
      <c r="I87" s="141">
        <v>0</v>
      </c>
      <c r="J87" s="141" t="s">
        <v>318</v>
      </c>
      <c r="K87" s="141" t="s">
        <v>304</v>
      </c>
      <c r="L87" s="141" t="s">
        <v>319</v>
      </c>
      <c r="M87" s="150" t="s">
        <v>320</v>
      </c>
      <c r="N87" s="141" t="s">
        <v>50</v>
      </c>
      <c r="O87" s="141" t="s">
        <v>321</v>
      </c>
      <c r="P87" s="141" t="s">
        <v>283</v>
      </c>
      <c r="Q87" s="141" t="s">
        <v>499</v>
      </c>
      <c r="R87" s="141" t="s">
        <v>273</v>
      </c>
      <c r="S87" s="141" t="s">
        <v>11</v>
      </c>
    </row>
    <row r="88" customHeight="1" spans="1:19">
      <c r="A88" s="141">
        <v>87</v>
      </c>
      <c r="B88" s="130" t="s">
        <v>177</v>
      </c>
      <c r="C88" s="154" t="s">
        <v>178</v>
      </c>
      <c r="D88" s="141" t="s">
        <v>273</v>
      </c>
      <c r="E88" s="141" t="s">
        <v>78</v>
      </c>
      <c r="F88" s="141" t="s">
        <v>174</v>
      </c>
      <c r="G88" s="141" t="s">
        <v>286</v>
      </c>
      <c r="H88" s="141" t="s">
        <v>22</v>
      </c>
      <c r="I88" s="141">
        <v>0</v>
      </c>
      <c r="J88" s="141" t="s">
        <v>318</v>
      </c>
      <c r="K88" s="141" t="s">
        <v>304</v>
      </c>
      <c r="L88" s="141" t="s">
        <v>319</v>
      </c>
      <c r="M88" s="150" t="s">
        <v>320</v>
      </c>
      <c r="N88" s="141" t="s">
        <v>50</v>
      </c>
      <c r="O88" s="141" t="s">
        <v>321</v>
      </c>
      <c r="P88" s="141" t="s">
        <v>283</v>
      </c>
      <c r="Q88" s="171" t="s">
        <v>500</v>
      </c>
      <c r="R88" s="141" t="s">
        <v>273</v>
      </c>
      <c r="S88" s="141" t="s">
        <v>11</v>
      </c>
    </row>
    <row r="89" customHeight="1" spans="1:19">
      <c r="A89" s="141">
        <v>88</v>
      </c>
      <c r="B89" s="126" t="s">
        <v>501</v>
      </c>
      <c r="C89" s="154" t="s">
        <v>502</v>
      </c>
      <c r="D89" s="141" t="s">
        <v>273</v>
      </c>
      <c r="E89" s="141" t="s">
        <v>159</v>
      </c>
      <c r="F89" s="155" t="s">
        <v>208</v>
      </c>
      <c r="G89" s="141" t="s">
        <v>276</v>
      </c>
      <c r="H89" s="141" t="s">
        <v>22</v>
      </c>
      <c r="I89" s="141">
        <v>0</v>
      </c>
      <c r="J89" s="141" t="s">
        <v>318</v>
      </c>
      <c r="K89" s="141" t="s">
        <v>279</v>
      </c>
      <c r="L89" s="141" t="s">
        <v>324</v>
      </c>
      <c r="M89" s="150" t="s">
        <v>320</v>
      </c>
      <c r="N89" s="141" t="s">
        <v>325</v>
      </c>
      <c r="O89" s="141" t="s">
        <v>321</v>
      </c>
      <c r="P89" s="141" t="s">
        <v>283</v>
      </c>
      <c r="Q89" s="171" t="s">
        <v>503</v>
      </c>
      <c r="R89" s="141" t="s">
        <v>273</v>
      </c>
      <c r="S89" s="141" t="s">
        <v>11</v>
      </c>
    </row>
    <row r="90" customHeight="1" spans="1:19">
      <c r="A90" s="141">
        <v>89</v>
      </c>
      <c r="B90" s="126" t="s">
        <v>213</v>
      </c>
      <c r="C90" s="126" t="s">
        <v>214</v>
      </c>
      <c r="D90" s="141" t="s">
        <v>273</v>
      </c>
      <c r="E90" s="155" t="s">
        <v>159</v>
      </c>
      <c r="F90" s="155" t="s">
        <v>208</v>
      </c>
      <c r="G90" s="141" t="s">
        <v>286</v>
      </c>
      <c r="H90" s="141" t="s">
        <v>22</v>
      </c>
      <c r="I90" s="141">
        <v>0</v>
      </c>
      <c r="J90" s="141" t="s">
        <v>318</v>
      </c>
      <c r="K90" s="141" t="s">
        <v>279</v>
      </c>
      <c r="L90" s="141" t="s">
        <v>324</v>
      </c>
      <c r="M90" s="150" t="s">
        <v>320</v>
      </c>
      <c r="N90" s="141" t="s">
        <v>325</v>
      </c>
      <c r="O90" s="141" t="s">
        <v>321</v>
      </c>
      <c r="P90" s="141" t="s">
        <v>283</v>
      </c>
      <c r="Q90" s="141" t="s">
        <v>504</v>
      </c>
      <c r="R90" s="141" t="s">
        <v>273</v>
      </c>
      <c r="S90" s="141" t="s">
        <v>11</v>
      </c>
    </row>
    <row r="91" customHeight="1" spans="1:19">
      <c r="A91" s="141">
        <v>90</v>
      </c>
      <c r="B91" s="156" t="s">
        <v>505</v>
      </c>
      <c r="C91" s="157" t="s">
        <v>506</v>
      </c>
      <c r="D91" s="141" t="s">
        <v>273</v>
      </c>
      <c r="E91" s="157" t="s">
        <v>159</v>
      </c>
      <c r="F91" s="157" t="s">
        <v>208</v>
      </c>
      <c r="G91" s="141" t="s">
        <v>276</v>
      </c>
      <c r="H91" s="141" t="s">
        <v>22</v>
      </c>
      <c r="I91" s="141">
        <v>0</v>
      </c>
      <c r="J91" s="141" t="s">
        <v>318</v>
      </c>
      <c r="K91" s="141" t="s">
        <v>279</v>
      </c>
      <c r="L91" s="141" t="s">
        <v>324</v>
      </c>
      <c r="M91" s="150" t="s">
        <v>320</v>
      </c>
      <c r="N91" s="141" t="s">
        <v>325</v>
      </c>
      <c r="O91" s="141" t="s">
        <v>321</v>
      </c>
      <c r="P91" s="141" t="s">
        <v>283</v>
      </c>
      <c r="Q91" s="141" t="s">
        <v>507</v>
      </c>
      <c r="R91" s="141" t="s">
        <v>273</v>
      </c>
      <c r="S91" s="141" t="s">
        <v>11</v>
      </c>
    </row>
    <row r="92" customHeight="1" spans="1:19">
      <c r="A92" s="141">
        <v>91</v>
      </c>
      <c r="B92" s="156" t="s">
        <v>508</v>
      </c>
      <c r="C92" s="157" t="s">
        <v>509</v>
      </c>
      <c r="D92" s="141" t="s">
        <v>273</v>
      </c>
      <c r="E92" s="157" t="s">
        <v>159</v>
      </c>
      <c r="F92" s="157" t="s">
        <v>208</v>
      </c>
      <c r="G92" s="141" t="s">
        <v>276</v>
      </c>
      <c r="H92" s="141" t="s">
        <v>22</v>
      </c>
      <c r="I92" s="141">
        <v>0</v>
      </c>
      <c r="J92" s="141" t="s">
        <v>318</v>
      </c>
      <c r="K92" s="141" t="s">
        <v>279</v>
      </c>
      <c r="L92" s="141" t="s">
        <v>324</v>
      </c>
      <c r="M92" s="150" t="s">
        <v>320</v>
      </c>
      <c r="N92" s="141" t="s">
        <v>325</v>
      </c>
      <c r="O92" s="141" t="s">
        <v>321</v>
      </c>
      <c r="P92" s="141" t="s">
        <v>283</v>
      </c>
      <c r="Q92" s="141" t="s">
        <v>510</v>
      </c>
      <c r="R92" s="141" t="s">
        <v>273</v>
      </c>
      <c r="S92" s="141" t="s">
        <v>11</v>
      </c>
    </row>
    <row r="93" customHeight="1" spans="1:19">
      <c r="A93" s="141">
        <v>92</v>
      </c>
      <c r="B93" s="156" t="s">
        <v>215</v>
      </c>
      <c r="C93" s="157" t="s">
        <v>216</v>
      </c>
      <c r="D93" s="141" t="s">
        <v>273</v>
      </c>
      <c r="E93" s="157" t="s">
        <v>159</v>
      </c>
      <c r="F93" s="157" t="s">
        <v>208</v>
      </c>
      <c r="G93" s="141" t="s">
        <v>276</v>
      </c>
      <c r="H93" s="141" t="s">
        <v>22</v>
      </c>
      <c r="I93" s="141">
        <v>0</v>
      </c>
      <c r="J93" s="141" t="s">
        <v>318</v>
      </c>
      <c r="K93" s="141" t="s">
        <v>279</v>
      </c>
      <c r="L93" s="141" t="s">
        <v>324</v>
      </c>
      <c r="M93" s="150" t="s">
        <v>320</v>
      </c>
      <c r="N93" s="141" t="s">
        <v>325</v>
      </c>
      <c r="O93" s="141" t="s">
        <v>321</v>
      </c>
      <c r="P93" s="141" t="s">
        <v>283</v>
      </c>
      <c r="Q93" s="171" t="s">
        <v>511</v>
      </c>
      <c r="R93" s="141" t="s">
        <v>273</v>
      </c>
      <c r="S93" s="141" t="s">
        <v>11</v>
      </c>
    </row>
    <row r="94" customHeight="1" spans="1:19">
      <c r="A94" s="141">
        <v>93</v>
      </c>
      <c r="B94" s="156" t="s">
        <v>512</v>
      </c>
      <c r="C94" s="157" t="s">
        <v>513</v>
      </c>
      <c r="D94" s="141" t="s">
        <v>273</v>
      </c>
      <c r="E94" s="157" t="s">
        <v>159</v>
      </c>
      <c r="F94" s="157" t="s">
        <v>208</v>
      </c>
      <c r="G94" s="141" t="s">
        <v>276</v>
      </c>
      <c r="H94" s="141" t="s">
        <v>22</v>
      </c>
      <c r="I94" s="141">
        <v>0</v>
      </c>
      <c r="J94" s="141" t="s">
        <v>318</v>
      </c>
      <c r="K94" s="141" t="s">
        <v>279</v>
      </c>
      <c r="L94" s="141" t="s">
        <v>324</v>
      </c>
      <c r="M94" s="150" t="s">
        <v>320</v>
      </c>
      <c r="N94" s="141" t="s">
        <v>325</v>
      </c>
      <c r="O94" s="141" t="s">
        <v>321</v>
      </c>
      <c r="P94" s="141" t="s">
        <v>283</v>
      </c>
      <c r="Q94" s="171" t="s">
        <v>514</v>
      </c>
      <c r="R94" s="141" t="s">
        <v>273</v>
      </c>
      <c r="S94" s="141" t="s">
        <v>11</v>
      </c>
    </row>
    <row r="95" customHeight="1" spans="1:19">
      <c r="A95" s="141">
        <v>94</v>
      </c>
      <c r="B95" s="119" t="s">
        <v>515</v>
      </c>
      <c r="C95" s="119" t="s">
        <v>516</v>
      </c>
      <c r="D95" s="141" t="s">
        <v>273</v>
      </c>
      <c r="E95" s="141" t="s">
        <v>78</v>
      </c>
      <c r="F95" s="141" t="s">
        <v>430</v>
      </c>
      <c r="G95" s="141" t="s">
        <v>276</v>
      </c>
      <c r="H95" s="141" t="s">
        <v>277</v>
      </c>
      <c r="I95" s="141">
        <v>1790</v>
      </c>
      <c r="J95" s="141" t="s">
        <v>318</v>
      </c>
      <c r="K95" s="141" t="s">
        <v>304</v>
      </c>
      <c r="L95" s="141" t="s">
        <v>319</v>
      </c>
      <c r="M95" s="150" t="s">
        <v>320</v>
      </c>
      <c r="N95" s="141" t="s">
        <v>50</v>
      </c>
      <c r="O95" s="141" t="s">
        <v>321</v>
      </c>
      <c r="P95" s="141" t="s">
        <v>283</v>
      </c>
      <c r="Q95" s="171" t="s">
        <v>517</v>
      </c>
      <c r="R95" s="141" t="s">
        <v>273</v>
      </c>
      <c r="S95" s="141" t="s">
        <v>11</v>
      </c>
    </row>
    <row r="96" customHeight="1" spans="1:19">
      <c r="A96" s="141">
        <v>95</v>
      </c>
      <c r="B96" s="119" t="s">
        <v>518</v>
      </c>
      <c r="C96" s="119" t="s">
        <v>519</v>
      </c>
      <c r="D96" s="141" t="s">
        <v>273</v>
      </c>
      <c r="E96" s="158" t="s">
        <v>81</v>
      </c>
      <c r="F96" s="141" t="s">
        <v>187</v>
      </c>
      <c r="G96" s="141" t="s">
        <v>276</v>
      </c>
      <c r="H96" s="141" t="s">
        <v>22</v>
      </c>
      <c r="I96" s="141">
        <v>0</v>
      </c>
      <c r="J96" s="141" t="s">
        <v>278</v>
      </c>
      <c r="K96" s="141" t="s">
        <v>304</v>
      </c>
      <c r="L96" s="141" t="s">
        <v>305</v>
      </c>
      <c r="M96" s="150" t="s">
        <v>281</v>
      </c>
      <c r="N96" s="141" t="s">
        <v>81</v>
      </c>
      <c r="O96" s="141" t="s">
        <v>282</v>
      </c>
      <c r="P96" s="141" t="s">
        <v>283</v>
      </c>
      <c r="Q96" s="145" t="s">
        <v>520</v>
      </c>
      <c r="R96" s="141" t="s">
        <v>273</v>
      </c>
      <c r="S96" s="141" t="s">
        <v>11</v>
      </c>
    </row>
    <row r="97" customHeight="1" spans="1:19">
      <c r="A97" s="141">
        <v>96</v>
      </c>
      <c r="B97" s="119" t="s">
        <v>521</v>
      </c>
      <c r="C97" s="119" t="s">
        <v>522</v>
      </c>
      <c r="D97" s="141" t="s">
        <v>273</v>
      </c>
      <c r="E97" s="158" t="s">
        <v>81</v>
      </c>
      <c r="F97" s="141" t="s">
        <v>187</v>
      </c>
      <c r="G97" s="141" t="s">
        <v>276</v>
      </c>
      <c r="H97" s="141" t="s">
        <v>22</v>
      </c>
      <c r="I97" s="141">
        <v>0</v>
      </c>
      <c r="J97" s="141" t="s">
        <v>278</v>
      </c>
      <c r="K97" s="141" t="s">
        <v>279</v>
      </c>
      <c r="L97" s="141" t="s">
        <v>280</v>
      </c>
      <c r="M97" s="150" t="s">
        <v>281</v>
      </c>
      <c r="N97" s="141" t="s">
        <v>81</v>
      </c>
      <c r="O97" s="141" t="s">
        <v>282</v>
      </c>
      <c r="P97" s="141" t="s">
        <v>283</v>
      </c>
      <c r="Q97" s="145" t="s">
        <v>523</v>
      </c>
      <c r="R97" s="141" t="s">
        <v>273</v>
      </c>
      <c r="S97" s="141" t="s">
        <v>11</v>
      </c>
    </row>
    <row r="98" customHeight="1" spans="1:19">
      <c r="A98" s="141">
        <v>97</v>
      </c>
      <c r="B98" s="126" t="s">
        <v>524</v>
      </c>
      <c r="C98" s="126" t="s">
        <v>525</v>
      </c>
      <c r="D98" s="141" t="s">
        <v>273</v>
      </c>
      <c r="E98" s="141" t="s">
        <v>78</v>
      </c>
      <c r="F98" s="141" t="s">
        <v>174</v>
      </c>
      <c r="G98" s="141" t="s">
        <v>276</v>
      </c>
      <c r="H98" s="141" t="s">
        <v>22</v>
      </c>
      <c r="I98" s="141">
        <v>0</v>
      </c>
      <c r="J98" s="141" t="s">
        <v>318</v>
      </c>
      <c r="K98" s="141" t="s">
        <v>304</v>
      </c>
      <c r="L98" s="141" t="s">
        <v>319</v>
      </c>
      <c r="M98" s="150" t="s">
        <v>320</v>
      </c>
      <c r="N98" s="141" t="s">
        <v>50</v>
      </c>
      <c r="O98" s="141" t="s">
        <v>321</v>
      </c>
      <c r="P98" s="141" t="s">
        <v>283</v>
      </c>
      <c r="Q98" s="141" t="s">
        <v>526</v>
      </c>
      <c r="R98" s="141" t="s">
        <v>273</v>
      </c>
      <c r="S98" s="141" t="s">
        <v>11</v>
      </c>
    </row>
    <row r="99" customHeight="1" spans="1:19">
      <c r="A99" s="141">
        <v>98</v>
      </c>
      <c r="B99" s="140" t="s">
        <v>179</v>
      </c>
      <c r="C99" s="154" t="s">
        <v>180</v>
      </c>
      <c r="D99" s="141" t="s">
        <v>273</v>
      </c>
      <c r="E99" s="141" t="s">
        <v>78</v>
      </c>
      <c r="F99" s="141" t="s">
        <v>174</v>
      </c>
      <c r="G99" s="141" t="s">
        <v>286</v>
      </c>
      <c r="H99" s="141" t="s">
        <v>22</v>
      </c>
      <c r="I99" s="141">
        <v>0</v>
      </c>
      <c r="J99" s="141" t="s">
        <v>318</v>
      </c>
      <c r="K99" s="141" t="s">
        <v>304</v>
      </c>
      <c r="L99" s="141" t="s">
        <v>319</v>
      </c>
      <c r="M99" s="150" t="s">
        <v>320</v>
      </c>
      <c r="N99" s="141" t="s">
        <v>50</v>
      </c>
      <c r="O99" s="141" t="s">
        <v>321</v>
      </c>
      <c r="P99" s="141" t="s">
        <v>283</v>
      </c>
      <c r="Q99" s="141" t="s">
        <v>527</v>
      </c>
      <c r="R99" s="141" t="s">
        <v>273</v>
      </c>
      <c r="S99" s="141" t="s">
        <v>11</v>
      </c>
    </row>
    <row r="100" customHeight="1" spans="1:19">
      <c r="A100" s="141">
        <v>99</v>
      </c>
      <c r="B100" s="130" t="s">
        <v>181</v>
      </c>
      <c r="C100" s="159" t="s">
        <v>182</v>
      </c>
      <c r="D100" s="141" t="s">
        <v>273</v>
      </c>
      <c r="E100" s="141" t="s">
        <v>78</v>
      </c>
      <c r="F100" s="141" t="s">
        <v>174</v>
      </c>
      <c r="G100" s="141" t="s">
        <v>276</v>
      </c>
      <c r="H100" s="141" t="s">
        <v>22</v>
      </c>
      <c r="I100" s="141">
        <v>0</v>
      </c>
      <c r="J100" s="141" t="s">
        <v>318</v>
      </c>
      <c r="K100" s="141" t="s">
        <v>304</v>
      </c>
      <c r="L100" s="141" t="s">
        <v>319</v>
      </c>
      <c r="M100" s="150" t="s">
        <v>320</v>
      </c>
      <c r="N100" s="141" t="s">
        <v>50</v>
      </c>
      <c r="O100" s="141" t="s">
        <v>321</v>
      </c>
      <c r="P100" s="141" t="s">
        <v>283</v>
      </c>
      <c r="Q100" s="171" t="s">
        <v>528</v>
      </c>
      <c r="R100" s="141" t="s">
        <v>273</v>
      </c>
      <c r="S100" s="141" t="s">
        <v>11</v>
      </c>
    </row>
    <row r="101" customHeight="1" spans="1:19">
      <c r="A101" s="141">
        <v>100</v>
      </c>
      <c r="B101" s="126" t="s">
        <v>183</v>
      </c>
      <c r="C101" s="126" t="s">
        <v>184</v>
      </c>
      <c r="D101" s="141" t="s">
        <v>273</v>
      </c>
      <c r="E101" s="141" t="s">
        <v>78</v>
      </c>
      <c r="F101" s="141" t="s">
        <v>174</v>
      </c>
      <c r="G101" s="141" t="s">
        <v>286</v>
      </c>
      <c r="H101" s="141" t="s">
        <v>22</v>
      </c>
      <c r="I101" s="141">
        <v>0</v>
      </c>
      <c r="J101" s="141" t="s">
        <v>318</v>
      </c>
      <c r="K101" s="141" t="s">
        <v>304</v>
      </c>
      <c r="L101" s="141" t="s">
        <v>319</v>
      </c>
      <c r="M101" s="150" t="s">
        <v>320</v>
      </c>
      <c r="N101" s="141" t="s">
        <v>50</v>
      </c>
      <c r="O101" s="141" t="s">
        <v>321</v>
      </c>
      <c r="P101" s="141" t="s">
        <v>283</v>
      </c>
      <c r="Q101" s="141" t="s">
        <v>529</v>
      </c>
      <c r="R101" s="141" t="s">
        <v>273</v>
      </c>
      <c r="S101" s="141" t="s">
        <v>11</v>
      </c>
    </row>
    <row r="102" customHeight="1" spans="1:19">
      <c r="A102" s="141">
        <v>101</v>
      </c>
      <c r="B102" s="126" t="s">
        <v>530</v>
      </c>
      <c r="C102" s="126" t="s">
        <v>531</v>
      </c>
      <c r="D102" s="141" t="s">
        <v>273</v>
      </c>
      <c r="E102" s="141" t="s">
        <v>78</v>
      </c>
      <c r="F102" s="141" t="s">
        <v>174</v>
      </c>
      <c r="G102" s="141" t="s">
        <v>276</v>
      </c>
      <c r="H102" s="141" t="s">
        <v>22</v>
      </c>
      <c r="I102" s="141">
        <v>0</v>
      </c>
      <c r="J102" s="141" t="s">
        <v>318</v>
      </c>
      <c r="K102" s="141" t="s">
        <v>304</v>
      </c>
      <c r="L102" s="141" t="s">
        <v>319</v>
      </c>
      <c r="M102" s="150" t="s">
        <v>320</v>
      </c>
      <c r="N102" s="141" t="s">
        <v>50</v>
      </c>
      <c r="O102" s="141" t="s">
        <v>321</v>
      </c>
      <c r="P102" s="141" t="s">
        <v>283</v>
      </c>
      <c r="Q102" s="171" t="s">
        <v>532</v>
      </c>
      <c r="R102" s="141" t="s">
        <v>273</v>
      </c>
      <c r="S102" s="141" t="s">
        <v>11</v>
      </c>
    </row>
    <row r="103" customHeight="1" spans="1:19">
      <c r="A103" s="141">
        <v>102</v>
      </c>
      <c r="B103" s="126" t="s">
        <v>211</v>
      </c>
      <c r="C103" s="159" t="s">
        <v>212</v>
      </c>
      <c r="D103" s="141" t="s">
        <v>273</v>
      </c>
      <c r="E103" s="155" t="s">
        <v>159</v>
      </c>
      <c r="F103" s="155" t="s">
        <v>208</v>
      </c>
      <c r="G103" s="141" t="s">
        <v>286</v>
      </c>
      <c r="H103" s="141" t="s">
        <v>22</v>
      </c>
      <c r="I103" s="141">
        <v>0</v>
      </c>
      <c r="J103" s="141" t="s">
        <v>318</v>
      </c>
      <c r="K103" s="141" t="s">
        <v>279</v>
      </c>
      <c r="L103" s="141" t="s">
        <v>324</v>
      </c>
      <c r="M103" s="150" t="s">
        <v>320</v>
      </c>
      <c r="N103" s="141" t="s">
        <v>325</v>
      </c>
      <c r="O103" s="141" t="s">
        <v>321</v>
      </c>
      <c r="P103" s="141" t="s">
        <v>283</v>
      </c>
      <c r="Q103" s="141" t="s">
        <v>533</v>
      </c>
      <c r="R103" s="141" t="s">
        <v>273</v>
      </c>
      <c r="S103" s="141" t="s">
        <v>11</v>
      </c>
    </row>
    <row r="104" customHeight="1" spans="1:19">
      <c r="A104" s="141">
        <v>103</v>
      </c>
      <c r="B104" s="126" t="s">
        <v>172</v>
      </c>
      <c r="C104" s="130" t="s">
        <v>173</v>
      </c>
      <c r="D104" s="141" t="s">
        <v>273</v>
      </c>
      <c r="E104" s="141" t="s">
        <v>78</v>
      </c>
      <c r="F104" s="141" t="s">
        <v>174</v>
      </c>
      <c r="G104" s="141" t="s">
        <v>286</v>
      </c>
      <c r="H104" s="141" t="s">
        <v>22</v>
      </c>
      <c r="I104" s="141">
        <v>0</v>
      </c>
      <c r="J104" s="141" t="s">
        <v>318</v>
      </c>
      <c r="K104" s="141" t="s">
        <v>304</v>
      </c>
      <c r="L104" s="141" t="s">
        <v>319</v>
      </c>
      <c r="M104" s="150" t="s">
        <v>320</v>
      </c>
      <c r="N104" s="141" t="s">
        <v>50</v>
      </c>
      <c r="O104" s="141" t="s">
        <v>321</v>
      </c>
      <c r="P104" s="141" t="s">
        <v>283</v>
      </c>
      <c r="Q104" s="136" t="s">
        <v>534</v>
      </c>
      <c r="R104" s="141" t="s">
        <v>273</v>
      </c>
      <c r="S104" s="141" t="s">
        <v>11</v>
      </c>
    </row>
    <row r="105" customHeight="1" spans="1:19">
      <c r="A105" s="141">
        <v>104</v>
      </c>
      <c r="B105" s="126" t="s">
        <v>175</v>
      </c>
      <c r="C105" s="130" t="s">
        <v>176</v>
      </c>
      <c r="D105" s="141" t="s">
        <v>273</v>
      </c>
      <c r="E105" s="141" t="s">
        <v>78</v>
      </c>
      <c r="F105" s="141" t="s">
        <v>174</v>
      </c>
      <c r="G105" s="141" t="s">
        <v>276</v>
      </c>
      <c r="H105" s="141" t="s">
        <v>22</v>
      </c>
      <c r="I105" s="141">
        <v>0</v>
      </c>
      <c r="J105" s="141" t="s">
        <v>318</v>
      </c>
      <c r="K105" s="141" t="s">
        <v>304</v>
      </c>
      <c r="L105" s="141" t="s">
        <v>319</v>
      </c>
      <c r="M105" s="150" t="s">
        <v>320</v>
      </c>
      <c r="N105" s="141" t="s">
        <v>50</v>
      </c>
      <c r="O105" s="141" t="s">
        <v>321</v>
      </c>
      <c r="P105" s="141" t="s">
        <v>283</v>
      </c>
      <c r="Q105" s="136" t="s">
        <v>535</v>
      </c>
      <c r="R105" s="141" t="s">
        <v>273</v>
      </c>
      <c r="S105" s="141" t="s">
        <v>11</v>
      </c>
    </row>
    <row r="106" customHeight="1" spans="1:19">
      <c r="A106" s="141">
        <v>105</v>
      </c>
      <c r="B106" s="126" t="s">
        <v>536</v>
      </c>
      <c r="C106" s="130" t="s">
        <v>537</v>
      </c>
      <c r="D106" s="141" t="s">
        <v>273</v>
      </c>
      <c r="E106" s="141" t="s">
        <v>78</v>
      </c>
      <c r="F106" s="141" t="s">
        <v>174</v>
      </c>
      <c r="G106" s="141" t="s">
        <v>276</v>
      </c>
      <c r="H106" s="141" t="s">
        <v>22</v>
      </c>
      <c r="I106" s="141">
        <v>0</v>
      </c>
      <c r="J106" s="141" t="s">
        <v>318</v>
      </c>
      <c r="K106" s="141" t="s">
        <v>304</v>
      </c>
      <c r="L106" s="141" t="s">
        <v>319</v>
      </c>
      <c r="M106" s="150" t="s">
        <v>320</v>
      </c>
      <c r="N106" s="141" t="s">
        <v>50</v>
      </c>
      <c r="O106" s="141" t="s">
        <v>321</v>
      </c>
      <c r="P106" s="141" t="s">
        <v>283</v>
      </c>
      <c r="Q106" s="141" t="s">
        <v>538</v>
      </c>
      <c r="R106" s="141" t="s">
        <v>273</v>
      </c>
      <c r="S106" s="141" t="s">
        <v>11</v>
      </c>
    </row>
    <row r="107" customHeight="1" spans="1:19">
      <c r="A107" s="141">
        <v>106</v>
      </c>
      <c r="B107" s="126" t="s">
        <v>539</v>
      </c>
      <c r="C107" s="130" t="s">
        <v>540</v>
      </c>
      <c r="D107" s="141" t="s">
        <v>273</v>
      </c>
      <c r="E107" s="141" t="s">
        <v>78</v>
      </c>
      <c r="F107" s="141" t="s">
        <v>174</v>
      </c>
      <c r="G107" s="141" t="s">
        <v>276</v>
      </c>
      <c r="H107" s="141" t="s">
        <v>22</v>
      </c>
      <c r="I107" s="141">
        <v>0</v>
      </c>
      <c r="J107" s="141" t="s">
        <v>318</v>
      </c>
      <c r="K107" s="141" t="s">
        <v>304</v>
      </c>
      <c r="L107" s="141" t="s">
        <v>319</v>
      </c>
      <c r="M107" s="150" t="s">
        <v>320</v>
      </c>
      <c r="N107" s="141" t="s">
        <v>50</v>
      </c>
      <c r="O107" s="141" t="s">
        <v>321</v>
      </c>
      <c r="P107" s="141" t="s">
        <v>283</v>
      </c>
      <c r="Q107" s="136" t="s">
        <v>541</v>
      </c>
      <c r="R107" s="141" t="s">
        <v>273</v>
      </c>
      <c r="S107" s="141" t="s">
        <v>11</v>
      </c>
    </row>
    <row r="108" customHeight="1" spans="1:19">
      <c r="A108" s="141">
        <v>107</v>
      </c>
      <c r="B108" s="126" t="s">
        <v>542</v>
      </c>
      <c r="C108" s="130" t="s">
        <v>543</v>
      </c>
      <c r="D108" s="141" t="s">
        <v>273</v>
      </c>
      <c r="E108" s="141" t="s">
        <v>78</v>
      </c>
      <c r="F108" s="141" t="s">
        <v>174</v>
      </c>
      <c r="G108" s="141" t="s">
        <v>276</v>
      </c>
      <c r="H108" s="141" t="s">
        <v>22</v>
      </c>
      <c r="I108" s="141">
        <v>0</v>
      </c>
      <c r="J108" s="141" t="s">
        <v>318</v>
      </c>
      <c r="K108" s="141" t="s">
        <v>304</v>
      </c>
      <c r="L108" s="141" t="s">
        <v>319</v>
      </c>
      <c r="M108" s="150" t="s">
        <v>320</v>
      </c>
      <c r="N108" s="141" t="s">
        <v>50</v>
      </c>
      <c r="O108" s="141" t="s">
        <v>321</v>
      </c>
      <c r="P108" s="141" t="s">
        <v>283</v>
      </c>
      <c r="Q108" s="141" t="s">
        <v>544</v>
      </c>
      <c r="R108" s="141" t="s">
        <v>273</v>
      </c>
      <c r="S108" s="141" t="s">
        <v>11</v>
      </c>
    </row>
    <row r="109" customHeight="1" spans="1:19">
      <c r="A109" s="141">
        <v>108</v>
      </c>
      <c r="B109" s="126" t="s">
        <v>206</v>
      </c>
      <c r="C109" s="130" t="s">
        <v>207</v>
      </c>
      <c r="D109" s="141" t="s">
        <v>273</v>
      </c>
      <c r="E109" s="155" t="s">
        <v>159</v>
      </c>
      <c r="F109" s="155" t="s">
        <v>208</v>
      </c>
      <c r="G109" s="141" t="s">
        <v>286</v>
      </c>
      <c r="H109" s="141" t="s">
        <v>22</v>
      </c>
      <c r="I109" s="141">
        <v>0</v>
      </c>
      <c r="J109" s="141" t="s">
        <v>318</v>
      </c>
      <c r="K109" s="141" t="s">
        <v>279</v>
      </c>
      <c r="L109" s="141" t="s">
        <v>324</v>
      </c>
      <c r="M109" s="150" t="s">
        <v>320</v>
      </c>
      <c r="N109" s="141" t="s">
        <v>325</v>
      </c>
      <c r="O109" s="141" t="s">
        <v>321</v>
      </c>
      <c r="P109" s="141" t="s">
        <v>283</v>
      </c>
      <c r="Q109" s="136" t="s">
        <v>545</v>
      </c>
      <c r="R109" s="141" t="s">
        <v>273</v>
      </c>
      <c r="S109" s="141" t="s">
        <v>11</v>
      </c>
    </row>
    <row r="110" customHeight="1" spans="1:19">
      <c r="A110" s="141">
        <v>109</v>
      </c>
      <c r="B110" s="126" t="s">
        <v>209</v>
      </c>
      <c r="C110" s="130" t="s">
        <v>210</v>
      </c>
      <c r="D110" s="141" t="s">
        <v>273</v>
      </c>
      <c r="E110" s="155" t="s">
        <v>159</v>
      </c>
      <c r="F110" s="155" t="s">
        <v>208</v>
      </c>
      <c r="G110" s="141" t="s">
        <v>276</v>
      </c>
      <c r="H110" s="141" t="s">
        <v>22</v>
      </c>
      <c r="I110" s="141">
        <v>0</v>
      </c>
      <c r="J110" s="141" t="s">
        <v>318</v>
      </c>
      <c r="K110" s="141" t="s">
        <v>279</v>
      </c>
      <c r="L110" s="141" t="s">
        <v>324</v>
      </c>
      <c r="M110" s="150" t="s">
        <v>320</v>
      </c>
      <c r="N110" s="141" t="s">
        <v>325</v>
      </c>
      <c r="O110" s="141" t="s">
        <v>321</v>
      </c>
      <c r="P110" s="141" t="s">
        <v>283</v>
      </c>
      <c r="Q110" s="136" t="s">
        <v>546</v>
      </c>
      <c r="R110" s="141" t="s">
        <v>273</v>
      </c>
      <c r="S110" s="141" t="s">
        <v>11</v>
      </c>
    </row>
    <row r="111" customHeight="1" spans="1:19">
      <c r="A111" s="141">
        <v>111</v>
      </c>
      <c r="B111" s="119" t="s">
        <v>547</v>
      </c>
      <c r="C111" s="154" t="s">
        <v>548</v>
      </c>
      <c r="D111" s="141" t="s">
        <v>273</v>
      </c>
      <c r="E111" s="158" t="s">
        <v>81</v>
      </c>
      <c r="F111" s="141" t="s">
        <v>549</v>
      </c>
      <c r="G111" s="141" t="s">
        <v>286</v>
      </c>
      <c r="H111" s="141" t="s">
        <v>22</v>
      </c>
      <c r="I111" s="141">
        <v>0</v>
      </c>
      <c r="J111" s="141" t="s">
        <v>278</v>
      </c>
      <c r="K111" s="141" t="s">
        <v>304</v>
      </c>
      <c r="L111" s="141" t="s">
        <v>305</v>
      </c>
      <c r="M111" s="150" t="s">
        <v>281</v>
      </c>
      <c r="N111" s="141" t="s">
        <v>81</v>
      </c>
      <c r="O111" s="141" t="s">
        <v>282</v>
      </c>
      <c r="P111" s="141" t="s">
        <v>283</v>
      </c>
      <c r="Q111" s="136" t="s">
        <v>550</v>
      </c>
      <c r="R111" s="141" t="s">
        <v>273</v>
      </c>
      <c r="S111" s="141" t="s">
        <v>11</v>
      </c>
    </row>
    <row r="112" customHeight="1" spans="1:19">
      <c r="A112" s="141">
        <v>112</v>
      </c>
      <c r="B112" s="119" t="s">
        <v>106</v>
      </c>
      <c r="C112" s="160" t="s">
        <v>107</v>
      </c>
      <c r="D112" s="141" t="s">
        <v>273</v>
      </c>
      <c r="E112" s="158" t="s">
        <v>81</v>
      </c>
      <c r="F112" s="141" t="s">
        <v>549</v>
      </c>
      <c r="G112" s="141" t="s">
        <v>286</v>
      </c>
      <c r="H112" s="141" t="s">
        <v>22</v>
      </c>
      <c r="I112" s="141">
        <v>0</v>
      </c>
      <c r="J112" s="141" t="s">
        <v>278</v>
      </c>
      <c r="K112" s="141" t="s">
        <v>304</v>
      </c>
      <c r="L112" s="141" t="s">
        <v>305</v>
      </c>
      <c r="M112" s="150" t="s">
        <v>281</v>
      </c>
      <c r="N112" s="141" t="s">
        <v>81</v>
      </c>
      <c r="O112" s="141" t="s">
        <v>282</v>
      </c>
      <c r="P112" s="141" t="s">
        <v>283</v>
      </c>
      <c r="Q112" s="136" t="s">
        <v>551</v>
      </c>
      <c r="R112" s="141" t="s">
        <v>273</v>
      </c>
      <c r="S112" s="141" t="s">
        <v>11</v>
      </c>
    </row>
    <row r="113" customHeight="1" spans="1:19">
      <c r="A113" s="141">
        <v>113</v>
      </c>
      <c r="B113" s="119" t="s">
        <v>552</v>
      </c>
      <c r="C113" s="160" t="s">
        <v>553</v>
      </c>
      <c r="D113" s="141" t="s">
        <v>273</v>
      </c>
      <c r="E113" s="158" t="s">
        <v>81</v>
      </c>
      <c r="F113" s="141" t="s">
        <v>549</v>
      </c>
      <c r="G113" s="141" t="s">
        <v>286</v>
      </c>
      <c r="H113" s="141" t="s">
        <v>22</v>
      </c>
      <c r="I113" s="141">
        <v>0</v>
      </c>
      <c r="J113" s="141" t="s">
        <v>278</v>
      </c>
      <c r="K113" s="141" t="s">
        <v>279</v>
      </c>
      <c r="L113" s="141" t="s">
        <v>280</v>
      </c>
      <c r="M113" s="150" t="s">
        <v>281</v>
      </c>
      <c r="N113" s="141" t="s">
        <v>81</v>
      </c>
      <c r="O113" s="141" t="s">
        <v>282</v>
      </c>
      <c r="P113" s="141" t="s">
        <v>283</v>
      </c>
      <c r="Q113" s="172" t="s">
        <v>554</v>
      </c>
      <c r="R113" s="141" t="s">
        <v>273</v>
      </c>
      <c r="S113" s="141" t="s">
        <v>11</v>
      </c>
    </row>
    <row r="114" s="113" customFormat="1" ht="13.5" spans="1:19">
      <c r="A114" s="141">
        <v>114</v>
      </c>
      <c r="B114" s="161" t="s">
        <v>555</v>
      </c>
      <c r="C114" s="160" t="s">
        <v>556</v>
      </c>
      <c r="D114" s="141" t="s">
        <v>273</v>
      </c>
      <c r="E114" s="162" t="s">
        <v>75</v>
      </c>
      <c r="F114" s="163" t="s">
        <v>557</v>
      </c>
      <c r="G114" s="118" t="s">
        <v>276</v>
      </c>
      <c r="H114" s="118" t="s">
        <v>277</v>
      </c>
      <c r="I114" s="118">
        <v>1790</v>
      </c>
      <c r="J114" s="147" t="s">
        <v>455</v>
      </c>
      <c r="K114" s="118" t="s">
        <v>460</v>
      </c>
      <c r="L114" s="147" t="s">
        <v>461</v>
      </c>
      <c r="M114" s="118" t="s">
        <v>281</v>
      </c>
      <c r="N114" s="168" t="s">
        <v>75</v>
      </c>
      <c r="O114" s="113" t="s">
        <v>457</v>
      </c>
      <c r="P114" s="141" t="s">
        <v>283</v>
      </c>
      <c r="Q114" s="172" t="s">
        <v>558</v>
      </c>
      <c r="R114" s="141" t="s">
        <v>273</v>
      </c>
      <c r="S114" s="141" t="s">
        <v>11</v>
      </c>
    </row>
    <row r="115" s="113" customFormat="1" ht="13.5" spans="1:19">
      <c r="A115" s="141">
        <v>115</v>
      </c>
      <c r="B115" s="151" t="s">
        <v>109</v>
      </c>
      <c r="C115" s="144" t="s">
        <v>110</v>
      </c>
      <c r="D115" s="141" t="s">
        <v>273</v>
      </c>
      <c r="E115" s="151" t="s">
        <v>81</v>
      </c>
      <c r="F115" s="147" t="s">
        <v>559</v>
      </c>
      <c r="G115" s="118" t="s">
        <v>286</v>
      </c>
      <c r="H115" s="118" t="s">
        <v>277</v>
      </c>
      <c r="I115" s="118">
        <v>1790</v>
      </c>
      <c r="J115" s="118" t="s">
        <v>278</v>
      </c>
      <c r="K115" s="118" t="s">
        <v>279</v>
      </c>
      <c r="L115" s="147" t="s">
        <v>280</v>
      </c>
      <c r="M115" s="118" t="s">
        <v>281</v>
      </c>
      <c r="N115" s="141" t="s">
        <v>81</v>
      </c>
      <c r="O115" s="141" t="s">
        <v>282</v>
      </c>
      <c r="P115" s="141" t="s">
        <v>283</v>
      </c>
      <c r="Q115" s="136" t="s">
        <v>560</v>
      </c>
      <c r="R115" s="141" t="s">
        <v>273</v>
      </c>
      <c r="S115" s="141" t="s">
        <v>11</v>
      </c>
    </row>
    <row r="116" s="113" customFormat="1" ht="13.5" spans="1:19">
      <c r="A116" s="141">
        <v>116</v>
      </c>
      <c r="B116" s="164" t="s">
        <v>111</v>
      </c>
      <c r="C116" s="142" t="s">
        <v>112</v>
      </c>
      <c r="D116" s="141" t="s">
        <v>273</v>
      </c>
      <c r="E116" s="164" t="s">
        <v>81</v>
      </c>
      <c r="F116" s="148" t="s">
        <v>549</v>
      </c>
      <c r="G116" s="118" t="s">
        <v>286</v>
      </c>
      <c r="H116" s="118" t="s">
        <v>277</v>
      </c>
      <c r="I116" s="118">
        <v>1790</v>
      </c>
      <c r="J116" s="118" t="s">
        <v>278</v>
      </c>
      <c r="K116" s="118" t="s">
        <v>304</v>
      </c>
      <c r="L116" s="147" t="s">
        <v>305</v>
      </c>
      <c r="M116" s="132" t="s">
        <v>320</v>
      </c>
      <c r="N116" s="141" t="s">
        <v>81</v>
      </c>
      <c r="O116" s="141" t="s">
        <v>282</v>
      </c>
      <c r="P116" s="141" t="s">
        <v>283</v>
      </c>
      <c r="Q116" s="136" t="s">
        <v>561</v>
      </c>
      <c r="R116" s="141" t="s">
        <v>273</v>
      </c>
      <c r="S116" s="141" t="s">
        <v>11</v>
      </c>
    </row>
    <row r="117" s="113" customFormat="1" ht="13.5" spans="1:19">
      <c r="A117" s="141">
        <v>117</v>
      </c>
      <c r="B117" s="151" t="s">
        <v>562</v>
      </c>
      <c r="C117" s="144" t="s">
        <v>563</v>
      </c>
      <c r="D117" s="141" t="s">
        <v>273</v>
      </c>
      <c r="E117" s="151" t="s">
        <v>145</v>
      </c>
      <c r="F117" s="147" t="s">
        <v>564</v>
      </c>
      <c r="G117" s="118" t="s">
        <v>276</v>
      </c>
      <c r="H117" s="118" t="s">
        <v>277</v>
      </c>
      <c r="I117" s="118">
        <v>1790</v>
      </c>
      <c r="J117" s="118" t="s">
        <v>278</v>
      </c>
      <c r="K117" s="118" t="s">
        <v>304</v>
      </c>
      <c r="L117" s="147" t="s">
        <v>305</v>
      </c>
      <c r="M117" s="132" t="s">
        <v>320</v>
      </c>
      <c r="N117" s="167" t="s">
        <v>274</v>
      </c>
      <c r="O117" s="141" t="s">
        <v>282</v>
      </c>
      <c r="P117" s="141" t="s">
        <v>283</v>
      </c>
      <c r="Q117" s="172" t="s">
        <v>565</v>
      </c>
      <c r="R117" s="141" t="s">
        <v>273</v>
      </c>
      <c r="S117" s="141" t="s">
        <v>11</v>
      </c>
    </row>
    <row r="118" s="113" customFormat="1" ht="13.5" spans="1:19">
      <c r="A118" s="141">
        <v>118</v>
      </c>
      <c r="B118" s="140" t="s">
        <v>192</v>
      </c>
      <c r="C118" s="152" t="s">
        <v>193</v>
      </c>
      <c r="D118" s="141" t="s">
        <v>273</v>
      </c>
      <c r="E118" s="130" t="s">
        <v>78</v>
      </c>
      <c r="F118" s="141" t="s">
        <v>174</v>
      </c>
      <c r="G118" s="118" t="s">
        <v>276</v>
      </c>
      <c r="H118" s="141" t="s">
        <v>22</v>
      </c>
      <c r="I118" s="141">
        <v>0</v>
      </c>
      <c r="J118" s="147" t="s">
        <v>318</v>
      </c>
      <c r="K118" s="118" t="s">
        <v>304</v>
      </c>
      <c r="L118" s="147" t="s">
        <v>319</v>
      </c>
      <c r="M118" s="118" t="s">
        <v>320</v>
      </c>
      <c r="N118" s="118" t="s">
        <v>50</v>
      </c>
      <c r="O118" s="141" t="s">
        <v>321</v>
      </c>
      <c r="P118" s="141" t="s">
        <v>283</v>
      </c>
      <c r="Q118" s="136" t="s">
        <v>566</v>
      </c>
      <c r="R118" s="141" t="s">
        <v>273</v>
      </c>
      <c r="S118" s="141" t="s">
        <v>11</v>
      </c>
    </row>
    <row r="119" s="113" customFormat="1" ht="13.5" spans="1:19">
      <c r="A119" s="141">
        <v>119</v>
      </c>
      <c r="B119" s="140" t="s">
        <v>194</v>
      </c>
      <c r="C119" s="152" t="s">
        <v>195</v>
      </c>
      <c r="D119" s="141" t="s">
        <v>273</v>
      </c>
      <c r="E119" s="130" t="s">
        <v>78</v>
      </c>
      <c r="F119" s="141" t="s">
        <v>174</v>
      </c>
      <c r="G119" s="118" t="s">
        <v>276</v>
      </c>
      <c r="H119" s="141" t="s">
        <v>22</v>
      </c>
      <c r="I119" s="141">
        <v>0</v>
      </c>
      <c r="J119" s="147" t="s">
        <v>318</v>
      </c>
      <c r="K119" s="118" t="s">
        <v>304</v>
      </c>
      <c r="L119" s="147" t="s">
        <v>319</v>
      </c>
      <c r="M119" s="118" t="s">
        <v>320</v>
      </c>
      <c r="N119" s="118" t="s">
        <v>50</v>
      </c>
      <c r="O119" s="141" t="s">
        <v>321</v>
      </c>
      <c r="P119" s="141" t="s">
        <v>283</v>
      </c>
      <c r="Q119" s="136" t="s">
        <v>567</v>
      </c>
      <c r="R119" s="141" t="s">
        <v>273</v>
      </c>
      <c r="S119" s="141" t="s">
        <v>11</v>
      </c>
    </row>
    <row r="120" s="113" customFormat="1" ht="13.5" spans="1:19">
      <c r="A120" s="141">
        <v>120</v>
      </c>
      <c r="B120" s="140" t="s">
        <v>568</v>
      </c>
      <c r="C120" s="152" t="s">
        <v>569</v>
      </c>
      <c r="D120" s="141" t="s">
        <v>273</v>
      </c>
      <c r="E120" s="130" t="s">
        <v>78</v>
      </c>
      <c r="F120" s="141" t="s">
        <v>174</v>
      </c>
      <c r="G120" s="118" t="s">
        <v>286</v>
      </c>
      <c r="H120" s="141" t="s">
        <v>22</v>
      </c>
      <c r="I120" s="141">
        <v>0</v>
      </c>
      <c r="J120" s="147" t="s">
        <v>318</v>
      </c>
      <c r="K120" s="118" t="s">
        <v>304</v>
      </c>
      <c r="L120" s="147" t="s">
        <v>319</v>
      </c>
      <c r="M120" s="118" t="s">
        <v>320</v>
      </c>
      <c r="N120" s="118" t="s">
        <v>50</v>
      </c>
      <c r="O120" s="141" t="s">
        <v>321</v>
      </c>
      <c r="P120" s="141" t="s">
        <v>283</v>
      </c>
      <c r="Q120" s="141" t="s">
        <v>570</v>
      </c>
      <c r="R120" s="141" t="s">
        <v>273</v>
      </c>
      <c r="S120" s="141" t="s">
        <v>11</v>
      </c>
    </row>
    <row r="121" s="113" customFormat="1" ht="13.5" spans="1:19">
      <c r="A121" s="141">
        <v>121</v>
      </c>
      <c r="B121" s="140" t="s">
        <v>196</v>
      </c>
      <c r="C121" s="152" t="s">
        <v>197</v>
      </c>
      <c r="D121" s="141" t="s">
        <v>273</v>
      </c>
      <c r="E121" s="130" t="s">
        <v>78</v>
      </c>
      <c r="F121" s="141" t="s">
        <v>174</v>
      </c>
      <c r="G121" s="118" t="s">
        <v>286</v>
      </c>
      <c r="H121" s="141" t="s">
        <v>22</v>
      </c>
      <c r="I121" s="141">
        <v>0</v>
      </c>
      <c r="J121" s="147" t="s">
        <v>318</v>
      </c>
      <c r="K121" s="118" t="s">
        <v>304</v>
      </c>
      <c r="L121" s="147" t="s">
        <v>319</v>
      </c>
      <c r="M121" s="118" t="s">
        <v>320</v>
      </c>
      <c r="N121" s="118" t="s">
        <v>50</v>
      </c>
      <c r="O121" s="141" t="s">
        <v>321</v>
      </c>
      <c r="P121" s="141" t="s">
        <v>283</v>
      </c>
      <c r="Q121" s="136" t="s">
        <v>571</v>
      </c>
      <c r="R121" s="141" t="s">
        <v>273</v>
      </c>
      <c r="S121" s="141" t="s">
        <v>11</v>
      </c>
    </row>
    <row r="122" s="113" customFormat="1" ht="13.5" spans="1:19">
      <c r="A122" s="141">
        <v>122</v>
      </c>
      <c r="B122" s="140" t="s">
        <v>209</v>
      </c>
      <c r="C122" s="152" t="s">
        <v>210</v>
      </c>
      <c r="D122" s="141" t="s">
        <v>273</v>
      </c>
      <c r="E122" s="130" t="s">
        <v>159</v>
      </c>
      <c r="F122" s="141" t="s">
        <v>208</v>
      </c>
      <c r="G122" s="118" t="s">
        <v>276</v>
      </c>
      <c r="H122" s="141" t="s">
        <v>22</v>
      </c>
      <c r="I122" s="141">
        <v>0</v>
      </c>
      <c r="J122" s="147" t="s">
        <v>318</v>
      </c>
      <c r="K122" s="118" t="s">
        <v>279</v>
      </c>
      <c r="L122" s="147" t="s">
        <v>324</v>
      </c>
      <c r="M122" s="118" t="s">
        <v>320</v>
      </c>
      <c r="N122" s="118" t="s">
        <v>325</v>
      </c>
      <c r="O122" s="141" t="s">
        <v>321</v>
      </c>
      <c r="P122" s="141" t="s">
        <v>283</v>
      </c>
      <c r="Q122" s="136" t="s">
        <v>546</v>
      </c>
      <c r="R122" s="141" t="s">
        <v>273</v>
      </c>
      <c r="S122" s="141" t="s">
        <v>11</v>
      </c>
    </row>
    <row r="123" s="113" customFormat="1" ht="13.5" spans="1:19">
      <c r="A123" s="141">
        <v>123</v>
      </c>
      <c r="B123" s="164" t="s">
        <v>73</v>
      </c>
      <c r="C123" s="142" t="s">
        <v>74</v>
      </c>
      <c r="D123" s="141" t="s">
        <v>273</v>
      </c>
      <c r="E123" s="164" t="s">
        <v>75</v>
      </c>
      <c r="F123" s="113" t="s">
        <v>203</v>
      </c>
      <c r="G123" s="118" t="s">
        <v>276</v>
      </c>
      <c r="H123" s="118" t="s">
        <v>277</v>
      </c>
      <c r="I123" s="113">
        <v>1790</v>
      </c>
      <c r="J123" s="118" t="s">
        <v>455</v>
      </c>
      <c r="K123" s="118" t="s">
        <v>460</v>
      </c>
      <c r="L123" s="118" t="s">
        <v>461</v>
      </c>
      <c r="M123" s="118" t="s">
        <v>281</v>
      </c>
      <c r="N123" s="168" t="s">
        <v>75</v>
      </c>
      <c r="O123" s="113" t="s">
        <v>457</v>
      </c>
      <c r="P123" s="141" t="s">
        <v>283</v>
      </c>
      <c r="Q123" s="173" t="s">
        <v>572</v>
      </c>
      <c r="R123" s="141" t="s">
        <v>273</v>
      </c>
      <c r="S123" s="141" t="s">
        <v>11</v>
      </c>
    </row>
    <row r="124" s="113" customFormat="1" ht="13.5" spans="1:19">
      <c r="A124" s="141">
        <v>124</v>
      </c>
      <c r="B124" s="140" t="s">
        <v>204</v>
      </c>
      <c r="C124" s="152" t="s">
        <v>205</v>
      </c>
      <c r="D124" s="141" t="s">
        <v>273</v>
      </c>
      <c r="E124" s="130" t="s">
        <v>78</v>
      </c>
      <c r="F124" s="113" t="s">
        <v>174</v>
      </c>
      <c r="G124" s="113" t="s">
        <v>286</v>
      </c>
      <c r="H124" s="141" t="s">
        <v>22</v>
      </c>
      <c r="I124" s="113">
        <v>0</v>
      </c>
      <c r="J124" s="147" t="s">
        <v>318</v>
      </c>
      <c r="K124" s="118" t="s">
        <v>304</v>
      </c>
      <c r="L124" s="167" t="s">
        <v>319</v>
      </c>
      <c r="M124" s="118" t="s">
        <v>320</v>
      </c>
      <c r="N124" s="118" t="s">
        <v>50</v>
      </c>
      <c r="O124" s="141" t="s">
        <v>321</v>
      </c>
      <c r="P124" s="141" t="s">
        <v>283</v>
      </c>
      <c r="Q124" s="141" t="s">
        <v>573</v>
      </c>
      <c r="R124" s="141" t="s">
        <v>273</v>
      </c>
      <c r="S124" s="141" t="s">
        <v>11</v>
      </c>
    </row>
    <row r="125" s="136" customFormat="1" customHeight="1" spans="1:19">
      <c r="A125" s="141">
        <v>125</v>
      </c>
      <c r="B125" s="140" t="s">
        <v>574</v>
      </c>
      <c r="C125" s="165" t="s">
        <v>575</v>
      </c>
      <c r="D125" s="166" t="s">
        <v>273</v>
      </c>
      <c r="E125" s="136" t="s">
        <v>66</v>
      </c>
      <c r="F125" s="136" t="s">
        <v>402</v>
      </c>
      <c r="G125" s="136" t="s">
        <v>276</v>
      </c>
      <c r="H125" s="136" t="s">
        <v>277</v>
      </c>
      <c r="I125" s="136">
        <v>2050</v>
      </c>
      <c r="J125" s="166" t="s">
        <v>396</v>
      </c>
      <c r="K125" s="166" t="s">
        <v>397</v>
      </c>
      <c r="L125" s="166" t="s">
        <v>398</v>
      </c>
      <c r="M125" s="169" t="s">
        <v>281</v>
      </c>
      <c r="N125" s="166" t="s">
        <v>66</v>
      </c>
      <c r="O125" s="166" t="s">
        <v>399</v>
      </c>
      <c r="P125" s="166" t="s">
        <v>400</v>
      </c>
      <c r="Q125" s="174" t="s">
        <v>576</v>
      </c>
      <c r="R125" s="141" t="s">
        <v>273</v>
      </c>
      <c r="S125" s="141" t="s">
        <v>13</v>
      </c>
    </row>
    <row r="126" s="136" customFormat="1" customHeight="1" spans="1:19">
      <c r="A126" s="141">
        <v>126</v>
      </c>
      <c r="B126" s="140" t="s">
        <v>259</v>
      </c>
      <c r="C126" s="154" t="s">
        <v>260</v>
      </c>
      <c r="D126" s="141" t="s">
        <v>273</v>
      </c>
      <c r="E126" s="130" t="s">
        <v>159</v>
      </c>
      <c r="F126" s="141" t="s">
        <v>208</v>
      </c>
      <c r="G126" s="167" t="s">
        <v>276</v>
      </c>
      <c r="H126" s="141" t="s">
        <v>22</v>
      </c>
      <c r="I126" s="141">
        <v>0</v>
      </c>
      <c r="J126" s="163" t="s">
        <v>318</v>
      </c>
      <c r="K126" s="167" t="s">
        <v>279</v>
      </c>
      <c r="L126" s="163" t="s">
        <v>324</v>
      </c>
      <c r="M126" s="167" t="s">
        <v>320</v>
      </c>
      <c r="N126" s="167" t="s">
        <v>325</v>
      </c>
      <c r="O126" s="141" t="s">
        <v>321</v>
      </c>
      <c r="P126" s="141" t="s">
        <v>283</v>
      </c>
      <c r="Q126" s="304" t="s">
        <v>577</v>
      </c>
      <c r="R126" s="141" t="s">
        <v>273</v>
      </c>
      <c r="S126" s="141" t="s">
        <v>11</v>
      </c>
    </row>
    <row r="127" s="136" customFormat="1" customHeight="1" spans="1:19">
      <c r="A127" s="141">
        <v>127</v>
      </c>
      <c r="B127" s="140" t="s">
        <v>578</v>
      </c>
      <c r="C127" s="154" t="s">
        <v>579</v>
      </c>
      <c r="D127" s="141" t="s">
        <v>273</v>
      </c>
      <c r="E127" s="141" t="s">
        <v>66</v>
      </c>
      <c r="F127" s="141" t="s">
        <v>402</v>
      </c>
      <c r="G127" s="141" t="s">
        <v>276</v>
      </c>
      <c r="H127" s="141" t="s">
        <v>277</v>
      </c>
      <c r="I127" s="141">
        <v>2050</v>
      </c>
      <c r="J127" s="141" t="s">
        <v>396</v>
      </c>
      <c r="K127" s="141" t="s">
        <v>397</v>
      </c>
      <c r="L127" s="141" t="s">
        <v>398</v>
      </c>
      <c r="M127" s="150" t="s">
        <v>281</v>
      </c>
      <c r="N127" s="141" t="s">
        <v>66</v>
      </c>
      <c r="O127" s="141" t="s">
        <v>399</v>
      </c>
      <c r="P127" s="141" t="s">
        <v>400</v>
      </c>
      <c r="Q127" s="304" t="s">
        <v>580</v>
      </c>
      <c r="R127" s="141" t="s">
        <v>273</v>
      </c>
      <c r="S127" s="141" t="s">
        <v>13</v>
      </c>
    </row>
    <row r="128" customHeight="1" spans="1:19">
      <c r="A128" s="141">
        <v>128</v>
      </c>
      <c r="B128" s="140" t="s">
        <v>198</v>
      </c>
      <c r="C128" s="154" t="s">
        <v>199</v>
      </c>
      <c r="D128" s="141" t="s">
        <v>273</v>
      </c>
      <c r="E128" s="130" t="s">
        <v>78</v>
      </c>
      <c r="F128" s="141" t="s">
        <v>174</v>
      </c>
      <c r="G128" s="141" t="s">
        <v>276</v>
      </c>
      <c r="H128" s="141" t="s">
        <v>22</v>
      </c>
      <c r="I128" s="136">
        <v>0</v>
      </c>
      <c r="J128" s="170" t="s">
        <v>318</v>
      </c>
      <c r="K128" s="118" t="s">
        <v>304</v>
      </c>
      <c r="L128" s="167" t="str">
        <f>J128&amp;"+"&amp;K128</f>
        <v>生产成本+注塑</v>
      </c>
      <c r="M128" s="118" t="s">
        <v>320</v>
      </c>
      <c r="N128" s="118" t="s">
        <v>581</v>
      </c>
      <c r="O128" s="141" t="s">
        <v>321</v>
      </c>
      <c r="P128" s="141" t="s">
        <v>283</v>
      </c>
      <c r="Q128" s="305" t="s">
        <v>582</v>
      </c>
      <c r="R128" s="141" t="s">
        <v>273</v>
      </c>
      <c r="S128" s="141" t="s">
        <v>11</v>
      </c>
    </row>
    <row r="129" customHeight="1" spans="12:13">
      <c r="L129" s="139"/>
      <c r="M129" s="136"/>
    </row>
    <row r="130" customHeight="1" spans="12:13">
      <c r="L130" s="139"/>
      <c r="M130" s="136"/>
    </row>
    <row r="131" customHeight="1" spans="12:13">
      <c r="L131" s="139"/>
      <c r="M131" s="136"/>
    </row>
    <row r="132" customHeight="1" spans="12:13">
      <c r="L132" s="139"/>
      <c r="M132" s="136"/>
    </row>
    <row r="133" customHeight="1" spans="12:13">
      <c r="L133" s="139"/>
      <c r="M133" s="136"/>
    </row>
    <row r="134" customHeight="1" spans="12:13">
      <c r="L134" s="139"/>
      <c r="M134" s="136"/>
    </row>
    <row r="135" customHeight="1" spans="12:13">
      <c r="L135" s="139"/>
      <c r="M135" s="136"/>
    </row>
    <row r="136" customHeight="1" spans="12:13">
      <c r="L136" s="139"/>
      <c r="M136" s="136"/>
    </row>
    <row r="137" customHeight="1" spans="12:13">
      <c r="L137" s="139"/>
      <c r="M137" s="136"/>
    </row>
    <row r="138" customHeight="1" spans="12:13">
      <c r="L138" s="139"/>
      <c r="M138" s="136"/>
    </row>
    <row r="139" customHeight="1" spans="12:13">
      <c r="L139" s="139"/>
      <c r="M139" s="136"/>
    </row>
    <row r="140" customHeight="1" spans="12:13">
      <c r="L140" s="139"/>
      <c r="M140" s="136"/>
    </row>
    <row r="141" customHeight="1" spans="12:13">
      <c r="L141" s="139"/>
      <c r="M141" s="136"/>
    </row>
    <row r="142" customHeight="1" spans="12:13">
      <c r="L142" s="139"/>
      <c r="M142" s="136"/>
    </row>
    <row r="143" customHeight="1" spans="12:13">
      <c r="L143" s="139"/>
      <c r="M143" s="136"/>
    </row>
    <row r="144" customHeight="1" spans="12:13">
      <c r="L144" s="139"/>
      <c r="M144" s="136"/>
    </row>
    <row r="145" customHeight="1" spans="12:13">
      <c r="L145" s="139"/>
      <c r="M145" s="136"/>
    </row>
    <row r="146" customHeight="1" spans="12:13">
      <c r="L146" s="139"/>
      <c r="M146" s="136"/>
    </row>
    <row r="147" customHeight="1" spans="12:13">
      <c r="L147" s="139"/>
      <c r="M147" s="136"/>
    </row>
    <row r="148" customHeight="1" spans="12:13">
      <c r="L148" s="139"/>
      <c r="M148" s="136"/>
    </row>
    <row r="149" customHeight="1" spans="12:13">
      <c r="L149" s="139"/>
      <c r="M149" s="136"/>
    </row>
    <row r="150" customHeight="1" spans="12:13">
      <c r="L150" s="139"/>
      <c r="M150" s="136"/>
    </row>
    <row r="151" customHeight="1" spans="12:13">
      <c r="L151" s="139"/>
      <c r="M151" s="136"/>
    </row>
    <row r="152" customHeight="1" spans="12:13">
      <c r="L152" s="139"/>
      <c r="M152" s="136"/>
    </row>
    <row r="153" customHeight="1" spans="12:13">
      <c r="L153" s="139"/>
      <c r="M153" s="136"/>
    </row>
    <row r="154" customHeight="1" spans="12:13">
      <c r="L154" s="139"/>
      <c r="M154" s="136"/>
    </row>
    <row r="155" customHeight="1" spans="12:13">
      <c r="L155" s="139"/>
      <c r="M155" s="136"/>
    </row>
    <row r="156" customHeight="1" spans="12:13">
      <c r="L156" s="139"/>
      <c r="M156" s="136"/>
    </row>
    <row r="157" customHeight="1" spans="12:13">
      <c r="L157" s="139"/>
      <c r="M157" s="136"/>
    </row>
    <row r="158" customHeight="1" spans="12:13">
      <c r="L158" s="139"/>
      <c r="M158" s="136"/>
    </row>
  </sheetData>
  <autoFilter ref="A1:S128">
    <sortState ref="A1:S128">
      <sortCondition ref="J1"/>
    </sortState>
    <extLst/>
  </autoFilter>
  <sortState ref="A115:S143">
    <sortCondition ref="E115:E143"/>
  </sortState>
  <conditionalFormatting sqref="B87">
    <cfRule type="duplicateValues" dxfId="0" priority="18"/>
    <cfRule type="duplicateValues" dxfId="0" priority="19"/>
  </conditionalFormatting>
  <conditionalFormatting sqref="B88">
    <cfRule type="duplicateValues" dxfId="0" priority="20"/>
    <cfRule type="duplicateValues" dxfId="0" priority="21"/>
  </conditionalFormatting>
  <conditionalFormatting sqref="B89">
    <cfRule type="duplicateValues" dxfId="0" priority="17"/>
  </conditionalFormatting>
  <conditionalFormatting sqref="B90">
    <cfRule type="duplicateValues" dxfId="0" priority="16"/>
  </conditionalFormatting>
  <conditionalFormatting sqref="B99">
    <cfRule type="duplicateValues" dxfId="0" priority="10"/>
    <cfRule type="duplicateValues" dxfId="0" priority="11"/>
  </conditionalFormatting>
  <conditionalFormatting sqref="B100">
    <cfRule type="duplicateValues" dxfId="0" priority="12"/>
    <cfRule type="duplicateValues" dxfId="0" priority="13"/>
  </conditionalFormatting>
  <conditionalFormatting sqref="B103">
    <cfRule type="duplicateValues" dxfId="0" priority="9"/>
  </conditionalFormatting>
  <conditionalFormatting sqref="B85:B86">
    <cfRule type="duplicateValues" dxfId="0" priority="23"/>
  </conditionalFormatting>
  <conditionalFormatting sqref="B95:B97">
    <cfRule type="duplicateValues" dxfId="0" priority="15"/>
  </conditionalFormatting>
  <conditionalFormatting sqref="B101:B102">
    <cfRule type="duplicateValues" dxfId="0" priority="14"/>
  </conditionalFormatting>
  <conditionalFormatting sqref="B104:B108">
    <cfRule type="duplicateValues" dxfId="0" priority="8"/>
  </conditionalFormatting>
  <conditionalFormatting sqref="B109:B110">
    <cfRule type="duplicateValues" dxfId="0" priority="7"/>
    <cfRule type="duplicateValues" dxfId="0" priority="6"/>
  </conditionalFormatting>
  <conditionalFormatting sqref="B111:B113">
    <cfRule type="duplicateValues" dxfId="0" priority="3"/>
    <cfRule type="duplicateValues" dxfId="0" priority="4"/>
    <cfRule type="duplicateValues" dxfId="0" priority="5"/>
  </conditionalFormatting>
  <conditionalFormatting sqref="B1:B84 B123:B124 B129:B1048576">
    <cfRule type="duplicateValues" dxfId="0" priority="24"/>
    <cfRule type="duplicateValues" dxfId="0" priority="25"/>
  </conditionalFormatting>
  <dataValidations count="4">
    <dataValidation type="list" allowBlank="1" showInputMessage="1" showErrorMessage="1" sqref="J111 J112 J113 J123">
      <formula1>$L$9:$L$13</formula1>
    </dataValidation>
    <dataValidation type="list" allowBlank="1" showInputMessage="1" showErrorMessage="1" sqref="E114 E117 E118 E119 E122 E124 E126 E128 E115:E116 E120:E121">
      <formula1>"制造管理部-注塑车间,制造管理部-喷涂车间,制造管理部-组装车间"</formula1>
    </dataValidation>
    <dataValidation type="list" allowBlank="1" showInputMessage="1" showErrorMessage="1" sqref="M123">
      <formula1>$N$9:$N$11</formula1>
    </dataValidation>
    <dataValidation type="list" allowBlank="1" showInputMessage="1" showErrorMessage="1" sqref="K123">
      <formula1>$M$9:$M$20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8"/>
  <sheetViews>
    <sheetView topLeftCell="A52" workbookViewId="0">
      <selection activeCell="C57" sqref="C57"/>
    </sheetView>
  </sheetViews>
  <sheetFormatPr defaultColWidth="8.725" defaultRowHeight="13.5" outlineLevelCol="3"/>
  <cols>
    <col min="1" max="1" width="5.625" style="113" customWidth="1"/>
    <col min="2" max="2" width="9" style="114"/>
    <col min="3" max="16384" width="8.725" style="113"/>
  </cols>
  <sheetData>
    <row r="1" ht="14.25" spans="1:4">
      <c r="A1" s="115" t="s">
        <v>14</v>
      </c>
      <c r="B1" s="116" t="s">
        <v>4</v>
      </c>
      <c r="C1" s="117" t="s">
        <v>270</v>
      </c>
      <c r="D1" s="118"/>
    </row>
    <row r="2" spans="1:4">
      <c r="A2" s="119">
        <f t="shared" ref="A2:A45" si="0">ROW()-1</f>
        <v>1</v>
      </c>
      <c r="B2" s="120" t="s">
        <v>64</v>
      </c>
      <c r="C2" s="118" t="str">
        <f>VLOOKUP(B2,员工基本信息!B:S,18,0)</f>
        <v>建行</v>
      </c>
      <c r="D2" s="118" t="str">
        <f>VLOOKUP(B2,员工基本信息!B:G,6,0)</f>
        <v>男</v>
      </c>
    </row>
    <row r="3" spans="1:4">
      <c r="A3" s="119">
        <f t="shared" si="0"/>
        <v>2</v>
      </c>
      <c r="B3" s="120" t="s">
        <v>70</v>
      </c>
      <c r="C3" s="118" t="str">
        <f>VLOOKUP(B3,员工基本信息!B:S,18,0)</f>
        <v>沧州</v>
      </c>
      <c r="D3" s="118" t="str">
        <f>VLOOKUP(B3,员工基本信息!B:G,6,0)</f>
        <v>男</v>
      </c>
    </row>
    <row r="4" spans="1:4">
      <c r="A4" s="119">
        <f t="shared" si="0"/>
        <v>3</v>
      </c>
      <c r="B4" s="121" t="s">
        <v>73</v>
      </c>
      <c r="C4" s="118" t="str">
        <f>VLOOKUP(B4,员工基本信息!B:S,18,0)</f>
        <v>沧州</v>
      </c>
      <c r="D4" s="118" t="str">
        <f>VLOOKUP(B4,员工基本信息!B:G,6,0)</f>
        <v>男</v>
      </c>
    </row>
    <row r="5" spans="1:4">
      <c r="A5" s="119">
        <f t="shared" si="0"/>
        <v>4</v>
      </c>
      <c r="B5" s="120" t="s">
        <v>76</v>
      </c>
      <c r="C5" s="118" t="str">
        <f>VLOOKUP(B5,员工基本信息!B:S,18,0)</f>
        <v>沧州</v>
      </c>
      <c r="D5" s="118" t="str">
        <f>VLOOKUP(B5,员工基本信息!B:G,6,0)</f>
        <v>男</v>
      </c>
    </row>
    <row r="6" spans="1:4">
      <c r="A6" s="119">
        <f t="shared" si="0"/>
        <v>5</v>
      </c>
      <c r="B6" s="119" t="s">
        <v>79</v>
      </c>
      <c r="C6" s="118" t="str">
        <f>VLOOKUP(B6,员工基本信息!B:S,18,0)</f>
        <v>沧州</v>
      </c>
      <c r="D6" s="118" t="str">
        <f>VLOOKUP(B6,员工基本信息!B:G,6,0)</f>
        <v>男</v>
      </c>
    </row>
    <row r="7" spans="1:4">
      <c r="A7" s="119">
        <f t="shared" si="0"/>
        <v>6</v>
      </c>
      <c r="B7" s="119" t="s">
        <v>82</v>
      </c>
      <c r="C7" s="118" t="str">
        <f>VLOOKUP(B7,员工基本信息!B:S,18,0)</f>
        <v>沧州</v>
      </c>
      <c r="D7" s="118" t="str">
        <f>VLOOKUP(B7,员工基本信息!B:G,6,0)</f>
        <v>女</v>
      </c>
    </row>
    <row r="8" spans="1:4">
      <c r="A8" s="119">
        <f t="shared" si="0"/>
        <v>7</v>
      </c>
      <c r="B8" s="119" t="s">
        <v>85</v>
      </c>
      <c r="C8" s="118" t="str">
        <f>VLOOKUP(B8,员工基本信息!B:S,18,0)</f>
        <v>沧州</v>
      </c>
      <c r="D8" s="118" t="str">
        <f>VLOOKUP(B8,员工基本信息!B:G,6,0)</f>
        <v>男</v>
      </c>
    </row>
    <row r="9" spans="1:4">
      <c r="A9" s="119">
        <f t="shared" si="0"/>
        <v>8</v>
      </c>
      <c r="B9" s="119" t="s">
        <v>87</v>
      </c>
      <c r="C9" s="118" t="str">
        <f>VLOOKUP(B9,员工基本信息!B:S,18,0)</f>
        <v>沧州</v>
      </c>
      <c r="D9" s="118" t="str">
        <f>VLOOKUP(B9,员工基本信息!B:G,6,0)</f>
        <v>男</v>
      </c>
    </row>
    <row r="10" spans="1:4">
      <c r="A10" s="119">
        <f t="shared" si="0"/>
        <v>9</v>
      </c>
      <c r="B10" s="119" t="s">
        <v>89</v>
      </c>
      <c r="C10" s="118" t="str">
        <f>VLOOKUP(B10,员工基本信息!B:S,18,0)</f>
        <v>沧州</v>
      </c>
      <c r="D10" s="118" t="str">
        <f>VLOOKUP(B10,员工基本信息!B:G,6,0)</f>
        <v>男</v>
      </c>
    </row>
    <row r="11" spans="1:4">
      <c r="A11" s="119">
        <f t="shared" si="0"/>
        <v>10</v>
      </c>
      <c r="B11" s="119" t="s">
        <v>91</v>
      </c>
      <c r="C11" s="118" t="str">
        <f>VLOOKUP(B11,员工基本信息!B:S,18,0)</f>
        <v>沧州</v>
      </c>
      <c r="D11" s="118" t="str">
        <f>VLOOKUP(B11,员工基本信息!B:G,6,0)</f>
        <v>女</v>
      </c>
    </row>
    <row r="12" spans="1:4">
      <c r="A12" s="122">
        <f t="shared" si="0"/>
        <v>11</v>
      </c>
      <c r="B12" s="123" t="s">
        <v>94</v>
      </c>
      <c r="C12" s="118" t="str">
        <f>VLOOKUP(B12,员工基本信息!B:S,18,0)</f>
        <v>沧州</v>
      </c>
      <c r="D12" s="118" t="str">
        <f>VLOOKUP(B12,员工基本信息!B:G,6,0)</f>
        <v>男</v>
      </c>
    </row>
    <row r="13" spans="1:4">
      <c r="A13" s="122">
        <f t="shared" si="0"/>
        <v>12</v>
      </c>
      <c r="B13" s="124" t="s">
        <v>96</v>
      </c>
      <c r="C13" s="118" t="str">
        <f>VLOOKUP(B13,员工基本信息!B:S,18,0)</f>
        <v>沧州</v>
      </c>
      <c r="D13" s="118" t="str">
        <f>VLOOKUP(B13,员工基本信息!B:G,6,0)</f>
        <v>男</v>
      </c>
    </row>
    <row r="14" spans="1:4">
      <c r="A14" s="122">
        <f t="shared" si="0"/>
        <v>13</v>
      </c>
      <c r="B14" s="119" t="s">
        <v>98</v>
      </c>
      <c r="C14" s="118" t="str">
        <f>VLOOKUP(B14,员工基本信息!B:S,18,0)</f>
        <v>沧州</v>
      </c>
      <c r="D14" s="118" t="str">
        <f>VLOOKUP(B14,员工基本信息!B:G,6,0)</f>
        <v>女</v>
      </c>
    </row>
    <row r="15" spans="1:4">
      <c r="A15" s="122">
        <f t="shared" si="0"/>
        <v>14</v>
      </c>
      <c r="B15" s="119" t="s">
        <v>100</v>
      </c>
      <c r="C15" s="118" t="str">
        <f>VLOOKUP(B15,员工基本信息!B:S,18,0)</f>
        <v>沧州</v>
      </c>
      <c r="D15" s="118" t="str">
        <f>VLOOKUP(B15,员工基本信息!B:G,6,0)</f>
        <v>男</v>
      </c>
    </row>
    <row r="16" spans="1:4">
      <c r="A16" s="122">
        <f t="shared" si="0"/>
        <v>15</v>
      </c>
      <c r="B16" s="119" t="s">
        <v>102</v>
      </c>
      <c r="C16" s="118" t="str">
        <f>VLOOKUP(B16,员工基本信息!B:S,18,0)</f>
        <v>沧州</v>
      </c>
      <c r="D16" s="118" t="str">
        <f>VLOOKUP(B16,员工基本信息!B:G,6,0)</f>
        <v>女</v>
      </c>
    </row>
    <row r="17" spans="1:4">
      <c r="A17" s="122">
        <f t="shared" si="0"/>
        <v>16</v>
      </c>
      <c r="B17" s="119" t="s">
        <v>104</v>
      </c>
      <c r="C17" s="118" t="str">
        <f>VLOOKUP(B17,员工基本信息!B:S,18,0)</f>
        <v>沧州</v>
      </c>
      <c r="D17" s="118" t="str">
        <f>VLOOKUP(B17,员工基本信息!B:G,6,0)</f>
        <v>女</v>
      </c>
    </row>
    <row r="18" spans="1:4">
      <c r="A18" s="122">
        <f t="shared" si="0"/>
        <v>17</v>
      </c>
      <c r="B18" s="119" t="s">
        <v>106</v>
      </c>
      <c r="C18" s="118" t="str">
        <f>VLOOKUP(B18,员工基本信息!B:S,18,0)</f>
        <v>沧州</v>
      </c>
      <c r="D18" s="118" t="str">
        <f>VLOOKUP(B18,员工基本信息!B:G,6,0)</f>
        <v>女</v>
      </c>
    </row>
    <row r="19" spans="1:4">
      <c r="A19" s="119">
        <f t="shared" si="0"/>
        <v>18</v>
      </c>
      <c r="B19" s="124" t="s">
        <v>109</v>
      </c>
      <c r="C19" s="118" t="str">
        <f>VLOOKUP(B19,员工基本信息!B:S,18,0)</f>
        <v>沧州</v>
      </c>
      <c r="D19" s="118" t="str">
        <f>VLOOKUP(B19,员工基本信息!B:G,6,0)</f>
        <v>女</v>
      </c>
    </row>
    <row r="20" spans="1:4">
      <c r="A20" s="119">
        <f t="shared" si="0"/>
        <v>19</v>
      </c>
      <c r="B20" s="119" t="s">
        <v>111</v>
      </c>
      <c r="C20" s="118" t="str">
        <f>VLOOKUP(B20,员工基本信息!B:S,18,0)</f>
        <v>沧州</v>
      </c>
      <c r="D20" s="118" t="str">
        <f>VLOOKUP(B20,员工基本信息!B:G,6,0)</f>
        <v>女</v>
      </c>
    </row>
    <row r="21" spans="1:4">
      <c r="A21" s="119">
        <f t="shared" si="0"/>
        <v>20</v>
      </c>
      <c r="B21" s="119" t="s">
        <v>113</v>
      </c>
      <c r="C21" s="118" t="str">
        <f>VLOOKUP(B21,员工基本信息!B:S,18,0)</f>
        <v>沧州</v>
      </c>
      <c r="D21" s="118" t="str">
        <f>VLOOKUP(B21,员工基本信息!B:G,6,0)</f>
        <v>女</v>
      </c>
    </row>
    <row r="22" spans="1:4">
      <c r="A22" s="119">
        <f t="shared" si="0"/>
        <v>21</v>
      </c>
      <c r="B22" s="119" t="s">
        <v>115</v>
      </c>
      <c r="C22" s="118" t="str">
        <f>VLOOKUP(B22,员工基本信息!B:S,18,0)</f>
        <v>沧州</v>
      </c>
      <c r="D22" s="118" t="str">
        <f>VLOOKUP(B22,员工基本信息!B:G,6,0)</f>
        <v>男</v>
      </c>
    </row>
    <row r="23" spans="1:4">
      <c r="A23" s="119">
        <f t="shared" si="0"/>
        <v>22</v>
      </c>
      <c r="B23" s="119" t="s">
        <v>117</v>
      </c>
      <c r="C23" s="118" t="str">
        <f>VLOOKUP(B23,员工基本信息!B:S,18,0)</f>
        <v>建行</v>
      </c>
      <c r="D23" s="118" t="str">
        <f>VLOOKUP(B23,员工基本信息!B:G,6,0)</f>
        <v>男</v>
      </c>
    </row>
    <row r="24" spans="1:4">
      <c r="A24" s="119">
        <f t="shared" si="0"/>
        <v>23</v>
      </c>
      <c r="B24" s="119" t="s">
        <v>119</v>
      </c>
      <c r="C24" s="118" t="str">
        <f>VLOOKUP(B24,员工基本信息!B:S,18,0)</f>
        <v>沧州</v>
      </c>
      <c r="D24" s="118" t="str">
        <f>VLOOKUP(B24,员工基本信息!B:G,6,0)</f>
        <v>女</v>
      </c>
    </row>
    <row r="25" spans="1:4">
      <c r="A25" s="119">
        <f t="shared" si="0"/>
        <v>24</v>
      </c>
      <c r="B25" s="119" t="s">
        <v>121</v>
      </c>
      <c r="C25" s="118" t="str">
        <f>VLOOKUP(B25,员工基本信息!B:S,18,0)</f>
        <v>建行</v>
      </c>
      <c r="D25" s="118" t="str">
        <f>VLOOKUP(B25,员工基本信息!B:G,6,0)</f>
        <v>女</v>
      </c>
    </row>
    <row r="26" spans="1:4">
      <c r="A26" s="119">
        <f t="shared" si="0"/>
        <v>25</v>
      </c>
      <c r="B26" s="119" t="s">
        <v>123</v>
      </c>
      <c r="C26" s="118" t="str">
        <f>VLOOKUP(B26,员工基本信息!B:S,18,0)</f>
        <v>建行</v>
      </c>
      <c r="D26" s="118" t="str">
        <f>VLOOKUP(B26,员工基本信息!B:G,6,0)</f>
        <v>男</v>
      </c>
    </row>
    <row r="27" spans="1:4">
      <c r="A27" s="119">
        <f t="shared" si="0"/>
        <v>26</v>
      </c>
      <c r="B27" s="119" t="s">
        <v>127</v>
      </c>
      <c r="C27" s="118" t="str">
        <f>VLOOKUP(B27,员工基本信息!B:S,18,0)</f>
        <v>建行</v>
      </c>
      <c r="D27" s="118" t="str">
        <f>VLOOKUP(B27,员工基本信息!B:G,6,0)</f>
        <v>男</v>
      </c>
    </row>
    <row r="28" spans="1:4">
      <c r="A28" s="119">
        <f t="shared" si="0"/>
        <v>27</v>
      </c>
      <c r="B28" s="119" t="s">
        <v>129</v>
      </c>
      <c r="C28" s="118" t="str">
        <f>VLOOKUP(B28,员工基本信息!B:S,18,0)</f>
        <v>建行</v>
      </c>
      <c r="D28" s="118" t="str">
        <f>VLOOKUP(B28,员工基本信息!B:G,6,0)</f>
        <v>男</v>
      </c>
    </row>
    <row r="29" spans="1:4">
      <c r="A29" s="119">
        <f t="shared" si="0"/>
        <v>28</v>
      </c>
      <c r="B29" s="119" t="s">
        <v>131</v>
      </c>
      <c r="C29" s="118" t="str">
        <f>VLOOKUP(B29,员工基本信息!B:S,18,0)</f>
        <v>建行</v>
      </c>
      <c r="D29" s="118" t="str">
        <f>VLOOKUP(B29,员工基本信息!B:G,6,0)</f>
        <v>男</v>
      </c>
    </row>
    <row r="30" spans="1:4">
      <c r="A30" s="119">
        <f t="shared" si="0"/>
        <v>29</v>
      </c>
      <c r="B30" s="119" t="s">
        <v>133</v>
      </c>
      <c r="C30" s="118" t="str">
        <f>VLOOKUP(B30,员工基本信息!B:S,18,0)</f>
        <v>建行</v>
      </c>
      <c r="D30" s="118" t="str">
        <f>VLOOKUP(B30,员工基本信息!B:G,6,0)</f>
        <v>男</v>
      </c>
    </row>
    <row r="31" spans="1:4">
      <c r="A31" s="119">
        <f t="shared" si="0"/>
        <v>30</v>
      </c>
      <c r="B31" s="119" t="s">
        <v>135</v>
      </c>
      <c r="C31" s="118" t="str">
        <f>VLOOKUP(B31,员工基本信息!B:S,18,0)</f>
        <v>建行</v>
      </c>
      <c r="D31" s="118" t="str">
        <f>VLOOKUP(B31,员工基本信息!B:G,6,0)</f>
        <v>男</v>
      </c>
    </row>
    <row r="32" spans="1:4">
      <c r="A32" s="119">
        <f t="shared" si="0"/>
        <v>31</v>
      </c>
      <c r="B32" s="125" t="s">
        <v>137</v>
      </c>
      <c r="C32" s="118" t="str">
        <f>VLOOKUP(B32,员工基本信息!B:S,18,0)</f>
        <v>建行</v>
      </c>
      <c r="D32" s="118" t="str">
        <f>VLOOKUP(B32,员工基本信息!B:G,6,0)</f>
        <v>女</v>
      </c>
    </row>
    <row r="33" spans="1:4">
      <c r="A33" s="119">
        <f t="shared" si="0"/>
        <v>32</v>
      </c>
      <c r="B33" s="119" t="s">
        <v>140</v>
      </c>
      <c r="C33" s="118" t="str">
        <f>VLOOKUP(B33,员工基本信息!B:S,18,0)</f>
        <v>沧州</v>
      </c>
      <c r="D33" s="118" t="str">
        <f>VLOOKUP(B33,员工基本信息!B:G,6,0)</f>
        <v>男</v>
      </c>
    </row>
    <row r="34" spans="1:4">
      <c r="A34" s="119">
        <f t="shared" si="0"/>
        <v>33</v>
      </c>
      <c r="B34" s="119" t="s">
        <v>143</v>
      </c>
      <c r="C34" s="118" t="str">
        <f>VLOOKUP(B34,员工基本信息!B:S,18,0)</f>
        <v>沧州</v>
      </c>
      <c r="D34" s="118" t="str">
        <f>VLOOKUP(B34,员工基本信息!B:G,6,0)</f>
        <v>男</v>
      </c>
    </row>
    <row r="35" spans="1:4">
      <c r="A35" s="119">
        <f t="shared" si="0"/>
        <v>34</v>
      </c>
      <c r="B35" s="119" t="s">
        <v>146</v>
      </c>
      <c r="C35" s="118" t="str">
        <f>VLOOKUP(B35,员工基本信息!B:S,18,0)</f>
        <v>中行</v>
      </c>
      <c r="D35" s="118" t="str">
        <f>VLOOKUP(B35,员工基本信息!B:G,6,0)</f>
        <v>男</v>
      </c>
    </row>
    <row r="36" spans="1:4">
      <c r="A36" s="119">
        <f t="shared" si="0"/>
        <v>35</v>
      </c>
      <c r="B36" s="119" t="s">
        <v>148</v>
      </c>
      <c r="C36" s="118" t="str">
        <f>VLOOKUP(B36,员工基本信息!B:S,18,0)</f>
        <v>沧州</v>
      </c>
      <c r="D36" s="118" t="str">
        <f>VLOOKUP(B36,员工基本信息!B:G,6,0)</f>
        <v>男</v>
      </c>
    </row>
    <row r="37" spans="1:4">
      <c r="A37" s="119">
        <f t="shared" si="0"/>
        <v>36</v>
      </c>
      <c r="B37" s="119" t="s">
        <v>150</v>
      </c>
      <c r="C37" s="118" t="str">
        <f>VLOOKUP(B37,员工基本信息!B:S,18,0)</f>
        <v>沧州</v>
      </c>
      <c r="D37" s="118" t="str">
        <f>VLOOKUP(B37,员工基本信息!B:G,6,0)</f>
        <v>男</v>
      </c>
    </row>
    <row r="38" spans="1:4">
      <c r="A38" s="119">
        <f t="shared" si="0"/>
        <v>37</v>
      </c>
      <c r="B38" s="119" t="s">
        <v>153</v>
      </c>
      <c r="C38" s="118" t="str">
        <f>VLOOKUP(B38,员工基本信息!B:S,18,0)</f>
        <v>沧州</v>
      </c>
      <c r="D38" s="118" t="str">
        <f>VLOOKUP(B38,员工基本信息!B:G,6,0)</f>
        <v>男</v>
      </c>
    </row>
    <row r="39" spans="1:4">
      <c r="A39" s="119">
        <f t="shared" si="0"/>
        <v>38</v>
      </c>
      <c r="B39" s="119" t="s">
        <v>155</v>
      </c>
      <c r="C39" s="118" t="str">
        <f>VLOOKUP(B39,员工基本信息!B:S,18,0)</f>
        <v>沧州</v>
      </c>
      <c r="D39" s="118" t="str">
        <f>VLOOKUP(B39,员工基本信息!B:G,6,0)</f>
        <v>男</v>
      </c>
    </row>
    <row r="40" spans="1:4">
      <c r="A40" s="126">
        <f t="shared" si="0"/>
        <v>39</v>
      </c>
      <c r="B40" s="119" t="s">
        <v>157</v>
      </c>
      <c r="C40" s="118" t="str">
        <f>VLOOKUP(B40,员工基本信息!B:S,18,0)</f>
        <v>沧州</v>
      </c>
      <c r="D40" s="118" t="str">
        <f>VLOOKUP(B40,员工基本信息!B:G,6,0)</f>
        <v>男</v>
      </c>
    </row>
    <row r="41" spans="1:4">
      <c r="A41" s="126">
        <f t="shared" si="0"/>
        <v>40</v>
      </c>
      <c r="B41" s="126" t="s">
        <v>163</v>
      </c>
      <c r="C41" s="118" t="str">
        <f>VLOOKUP(B41,员工基本信息!B:S,18,0)</f>
        <v>沧州</v>
      </c>
      <c r="D41" s="118" t="str">
        <f>VLOOKUP(B41,员工基本信息!B:G,6,0)</f>
        <v>男</v>
      </c>
    </row>
    <row r="42" spans="1:4">
      <c r="A42" s="126">
        <f t="shared" si="0"/>
        <v>41</v>
      </c>
      <c r="B42" s="126" t="s">
        <v>166</v>
      </c>
      <c r="C42" s="118" t="str">
        <f>VLOOKUP(B42,员工基本信息!B:S,18,0)</f>
        <v>沧州</v>
      </c>
      <c r="D42" s="118" t="str">
        <f>VLOOKUP(B42,员工基本信息!B:G,6,0)</f>
        <v>男</v>
      </c>
    </row>
    <row r="43" spans="1:4">
      <c r="A43" s="126">
        <f t="shared" si="0"/>
        <v>42</v>
      </c>
      <c r="B43" s="126" t="s">
        <v>168</v>
      </c>
      <c r="C43" s="118" t="str">
        <f>VLOOKUP(B43,员工基本信息!B:S,18,0)</f>
        <v>沧州</v>
      </c>
      <c r="D43" s="118" t="str">
        <f>VLOOKUP(B43,员工基本信息!B:G,6,0)</f>
        <v>女</v>
      </c>
    </row>
    <row r="44" spans="1:4">
      <c r="A44" s="126">
        <f t="shared" si="0"/>
        <v>43</v>
      </c>
      <c r="B44" s="126" t="s">
        <v>170</v>
      </c>
      <c r="C44" s="118" t="str">
        <f>VLOOKUP(B44,员工基本信息!B:S,18,0)</f>
        <v>沧州</v>
      </c>
      <c r="D44" s="118" t="str">
        <f>VLOOKUP(B44,员工基本信息!B:G,6,0)</f>
        <v>女</v>
      </c>
    </row>
    <row r="45" spans="1:4">
      <c r="A45" s="126">
        <f t="shared" si="0"/>
        <v>44</v>
      </c>
      <c r="B45" s="126" t="s">
        <v>172</v>
      </c>
      <c r="C45" s="118" t="str">
        <f>VLOOKUP(B45,员工基本信息!B:S,18,0)</f>
        <v>沧州</v>
      </c>
      <c r="D45" s="118" t="str">
        <f>VLOOKUP(B45,员工基本信息!B:G,6,0)</f>
        <v>女</v>
      </c>
    </row>
    <row r="46" spans="1:4">
      <c r="A46" s="126">
        <f t="shared" ref="A46:A60" si="1">ROW()-1</f>
        <v>45</v>
      </c>
      <c r="B46" s="127" t="s">
        <v>175</v>
      </c>
      <c r="C46" s="118" t="str">
        <f>VLOOKUP(B46,员工基本信息!B:S,18,0)</f>
        <v>沧州</v>
      </c>
      <c r="D46" s="118" t="str">
        <f>VLOOKUP(B46,员工基本信息!B:G,6,0)</f>
        <v>男</v>
      </c>
    </row>
    <row r="47" spans="1:4">
      <c r="A47" s="128">
        <f t="shared" si="1"/>
        <v>46</v>
      </c>
      <c r="B47" s="127" t="s">
        <v>177</v>
      </c>
      <c r="C47" s="118" t="str">
        <f>VLOOKUP(B47,员工基本信息!B:S,18,0)</f>
        <v>沧州</v>
      </c>
      <c r="D47" s="118" t="str">
        <f>VLOOKUP(B47,员工基本信息!B:G,6,0)</f>
        <v>女</v>
      </c>
    </row>
    <row r="48" spans="1:4">
      <c r="A48" s="128">
        <f t="shared" si="1"/>
        <v>47</v>
      </c>
      <c r="B48" s="126" t="s">
        <v>179</v>
      </c>
      <c r="C48" s="118" t="str">
        <f>VLOOKUP(B48,员工基本信息!B:S,18,0)</f>
        <v>沧州</v>
      </c>
      <c r="D48" s="118" t="str">
        <f>VLOOKUP(B48,员工基本信息!B:G,6,0)</f>
        <v>女</v>
      </c>
    </row>
    <row r="49" spans="1:4">
      <c r="A49" s="126">
        <f t="shared" si="1"/>
        <v>48</v>
      </c>
      <c r="B49" s="126" t="s">
        <v>181</v>
      </c>
      <c r="C49" s="118" t="str">
        <f>VLOOKUP(B49,员工基本信息!B:S,18,0)</f>
        <v>沧州</v>
      </c>
      <c r="D49" s="118" t="str">
        <f>VLOOKUP(B49,员工基本信息!B:G,6,0)</f>
        <v>男</v>
      </c>
    </row>
    <row r="50" spans="1:4">
      <c r="A50" s="126">
        <f t="shared" si="1"/>
        <v>49</v>
      </c>
      <c r="B50" s="126" t="s">
        <v>183</v>
      </c>
      <c r="C50" s="118" t="str">
        <f>VLOOKUP(B50,员工基本信息!B:S,18,0)</f>
        <v>沧州</v>
      </c>
      <c r="D50" s="118" t="str">
        <f>VLOOKUP(B50,员工基本信息!B:G,6,0)</f>
        <v>女</v>
      </c>
    </row>
    <row r="51" spans="1:4">
      <c r="A51" s="126">
        <f t="shared" si="1"/>
        <v>50</v>
      </c>
      <c r="B51" s="126" t="s">
        <v>185</v>
      </c>
      <c r="C51" s="118" t="str">
        <f>VLOOKUP(B51,员工基本信息!B:S,18,0)</f>
        <v>沧州</v>
      </c>
      <c r="D51" s="118" t="str">
        <f>VLOOKUP(B51,员工基本信息!B:G,6,0)</f>
        <v>男</v>
      </c>
    </row>
    <row r="52" spans="1:4">
      <c r="A52" s="129">
        <f t="shared" si="1"/>
        <v>51</v>
      </c>
      <c r="B52" s="126" t="s">
        <v>188</v>
      </c>
      <c r="C52" s="118" t="str">
        <f>VLOOKUP(B52,员工基本信息!B:S,18,0)</f>
        <v>沧州</v>
      </c>
      <c r="D52" s="118" t="str">
        <f>VLOOKUP(B52,员工基本信息!B:G,6,0)</f>
        <v>男</v>
      </c>
    </row>
    <row r="53" spans="1:4">
      <c r="A53" s="129">
        <f t="shared" si="1"/>
        <v>52</v>
      </c>
      <c r="B53" s="130" t="s">
        <v>190</v>
      </c>
      <c r="C53" s="118" t="str">
        <f>VLOOKUP(B53,员工基本信息!B:S,18,0)</f>
        <v>沧州</v>
      </c>
      <c r="D53" s="118" t="str">
        <f>VLOOKUP(B53,员工基本信息!B:G,6,0)</f>
        <v>女</v>
      </c>
    </row>
    <row r="54" spans="1:4">
      <c r="A54" s="126">
        <f t="shared" si="1"/>
        <v>53</v>
      </c>
      <c r="B54" s="127" t="s">
        <v>192</v>
      </c>
      <c r="C54" s="118" t="str">
        <f>VLOOKUP(B54,员工基本信息!B:S,18,0)</f>
        <v>沧州</v>
      </c>
      <c r="D54" s="118" t="str">
        <f>VLOOKUP(B54,员工基本信息!B:G,6,0)</f>
        <v>男</v>
      </c>
    </row>
    <row r="55" spans="1:4">
      <c r="A55" s="126">
        <f t="shared" si="1"/>
        <v>54</v>
      </c>
      <c r="B55" s="127" t="s">
        <v>194</v>
      </c>
      <c r="C55" s="118" t="str">
        <f>VLOOKUP(B55,员工基本信息!B:S,18,0)</f>
        <v>沧州</v>
      </c>
      <c r="D55" s="118" t="str">
        <f>VLOOKUP(B55,员工基本信息!B:G,6,0)</f>
        <v>男</v>
      </c>
    </row>
    <row r="56" spans="1:4">
      <c r="A56" s="126">
        <f t="shared" si="1"/>
        <v>55</v>
      </c>
      <c r="B56" s="127" t="s">
        <v>196</v>
      </c>
      <c r="C56" s="118" t="str">
        <f>VLOOKUP(B56,员工基本信息!B:S,18,0)</f>
        <v>沧州</v>
      </c>
      <c r="D56" s="118" t="str">
        <f>VLOOKUP(B56,员工基本信息!B:G,6,0)</f>
        <v>女</v>
      </c>
    </row>
    <row r="57" spans="1:4">
      <c r="A57" s="126">
        <f t="shared" si="1"/>
        <v>56</v>
      </c>
      <c r="B57" s="126" t="s">
        <v>198</v>
      </c>
      <c r="C57" s="118" t="str">
        <f>VLOOKUP(B57,员工基本信息!B:S,18,0)</f>
        <v>沧州</v>
      </c>
      <c r="D57" s="118" t="str">
        <f>VLOOKUP(B57,员工基本信息!B:G,6,0)</f>
        <v>男</v>
      </c>
    </row>
    <row r="58" spans="1:4">
      <c r="A58" s="126">
        <f t="shared" si="1"/>
        <v>57</v>
      </c>
      <c r="B58" s="126" t="s">
        <v>201</v>
      </c>
      <c r="C58" s="118" t="str">
        <f>VLOOKUP(B58,员工基本信息!B:S,18,0)</f>
        <v>沧州</v>
      </c>
      <c r="D58" s="118" t="str">
        <f>VLOOKUP(B58,员工基本信息!B:G,6,0)</f>
        <v>男</v>
      </c>
    </row>
    <row r="59" spans="1:4">
      <c r="A59" s="126">
        <f t="shared" si="1"/>
        <v>58</v>
      </c>
      <c r="B59" s="126" t="s">
        <v>204</v>
      </c>
      <c r="C59" s="118" t="str">
        <f>VLOOKUP(B59,员工基本信息!B:S,18,0)</f>
        <v>沧州</v>
      </c>
      <c r="D59" s="118" t="str">
        <f>VLOOKUP(B59,员工基本信息!B:G,6,0)</f>
        <v>女</v>
      </c>
    </row>
    <row r="60" spans="1:4">
      <c r="A60" s="126">
        <f t="shared" si="1"/>
        <v>59</v>
      </c>
      <c r="B60" s="126" t="s">
        <v>206</v>
      </c>
      <c r="C60" s="118" t="str">
        <f>VLOOKUP(B60,员工基本信息!B:S,18,0)</f>
        <v>沧州</v>
      </c>
      <c r="D60" s="118" t="str">
        <f>VLOOKUP(B60,员工基本信息!B:G,6,0)</f>
        <v>女</v>
      </c>
    </row>
    <row r="61" spans="1:4">
      <c r="A61" s="126">
        <f t="shared" ref="A61:A80" si="2">ROW()-1</f>
        <v>60</v>
      </c>
      <c r="B61" s="127" t="s">
        <v>209</v>
      </c>
      <c r="C61" s="118" t="str">
        <f>VLOOKUP(B61,员工基本信息!B:S,18,0)</f>
        <v>沧州</v>
      </c>
      <c r="D61" s="118" t="str">
        <f>VLOOKUP(B61,员工基本信息!B:G,6,0)</f>
        <v>男</v>
      </c>
    </row>
    <row r="62" spans="1:4">
      <c r="A62" s="126">
        <f t="shared" si="2"/>
        <v>61</v>
      </c>
      <c r="B62" s="126" t="s">
        <v>211</v>
      </c>
      <c r="C62" s="118" t="str">
        <f>VLOOKUP(B62,员工基本信息!B:S,18,0)</f>
        <v>沧州</v>
      </c>
      <c r="D62" s="118" t="str">
        <f>VLOOKUP(B62,员工基本信息!B:G,6,0)</f>
        <v>女</v>
      </c>
    </row>
    <row r="63" spans="1:4">
      <c r="A63" s="126">
        <f t="shared" si="2"/>
        <v>62</v>
      </c>
      <c r="B63" s="126" t="s">
        <v>213</v>
      </c>
      <c r="C63" s="118" t="str">
        <f>VLOOKUP(B63,员工基本信息!B:S,18,0)</f>
        <v>沧州</v>
      </c>
      <c r="D63" s="118" t="str">
        <f>VLOOKUP(B63,员工基本信息!B:G,6,0)</f>
        <v>女</v>
      </c>
    </row>
    <row r="64" spans="1:4">
      <c r="A64" s="126">
        <f t="shared" si="2"/>
        <v>63</v>
      </c>
      <c r="B64" s="126" t="s">
        <v>215</v>
      </c>
      <c r="C64" s="118" t="str">
        <f>VLOOKUP(B64,员工基本信息!B:S,18,0)</f>
        <v>沧州</v>
      </c>
      <c r="D64" s="118" t="str">
        <f>VLOOKUP(B64,员工基本信息!B:G,6,0)</f>
        <v>男</v>
      </c>
    </row>
    <row r="65" spans="1:4">
      <c r="A65" s="126">
        <f t="shared" si="2"/>
        <v>64</v>
      </c>
      <c r="B65" s="127" t="s">
        <v>217</v>
      </c>
      <c r="C65" s="118" t="str">
        <f>VLOOKUP(B65,员工基本信息!B:S,18,0)</f>
        <v>沧州</v>
      </c>
      <c r="D65" s="118" t="str">
        <f>VLOOKUP(B65,员工基本信息!B:G,6,0)</f>
        <v>男</v>
      </c>
    </row>
    <row r="66" spans="1:4">
      <c r="A66" s="126">
        <f t="shared" si="2"/>
        <v>65</v>
      </c>
      <c r="B66" s="127" t="s">
        <v>219</v>
      </c>
      <c r="C66" s="118" t="str">
        <f>VLOOKUP(B66,员工基本信息!B:S,18,0)</f>
        <v>沧州</v>
      </c>
      <c r="D66" s="118" t="str">
        <f>VLOOKUP(B66,员工基本信息!B:G,6,0)</f>
        <v>男</v>
      </c>
    </row>
    <row r="67" spans="1:4">
      <c r="A67" s="126">
        <f t="shared" si="2"/>
        <v>66</v>
      </c>
      <c r="B67" s="127" t="s">
        <v>221</v>
      </c>
      <c r="C67" s="118" t="str">
        <f>VLOOKUP(B67,员工基本信息!B:S,18,0)</f>
        <v>沧州</v>
      </c>
      <c r="D67" s="118" t="str">
        <f>VLOOKUP(B67,员工基本信息!B:G,6,0)</f>
        <v>女</v>
      </c>
    </row>
    <row r="68" spans="1:4">
      <c r="A68" s="126">
        <f t="shared" si="2"/>
        <v>67</v>
      </c>
      <c r="B68" s="127" t="s">
        <v>224</v>
      </c>
      <c r="C68" s="118" t="str">
        <f>VLOOKUP(B68,员工基本信息!B:S,18,0)</f>
        <v>沧州</v>
      </c>
      <c r="D68" s="118" t="str">
        <f>VLOOKUP(B68,员工基本信息!B:G,6,0)</f>
        <v>女</v>
      </c>
    </row>
    <row r="69" spans="1:4">
      <c r="A69" s="126">
        <f t="shared" si="2"/>
        <v>68</v>
      </c>
      <c r="B69" s="126" t="s">
        <v>226</v>
      </c>
      <c r="C69" s="118" t="str">
        <f>VLOOKUP(B69,员工基本信息!B:S,18,0)</f>
        <v>沧州</v>
      </c>
      <c r="D69" s="118" t="str">
        <f>VLOOKUP(B69,员工基本信息!B:G,6,0)</f>
        <v>女</v>
      </c>
    </row>
    <row r="70" spans="1:4">
      <c r="A70" s="126">
        <f t="shared" si="2"/>
        <v>69</v>
      </c>
      <c r="B70" s="126" t="s">
        <v>228</v>
      </c>
      <c r="C70" s="118" t="str">
        <f>VLOOKUP(B70,员工基本信息!B:S,18,0)</f>
        <v>沧州</v>
      </c>
      <c r="D70" s="118" t="str">
        <f>VLOOKUP(B70,员工基本信息!B:G,6,0)</f>
        <v>女</v>
      </c>
    </row>
    <row r="71" spans="1:4">
      <c r="A71" s="126">
        <f t="shared" si="2"/>
        <v>70</v>
      </c>
      <c r="B71" s="126" t="s">
        <v>230</v>
      </c>
      <c r="C71" s="118" t="str">
        <f>VLOOKUP(B71,员工基本信息!B:S,18,0)</f>
        <v>沧州</v>
      </c>
      <c r="D71" s="118" t="str">
        <f>VLOOKUP(B71,员工基本信息!B:G,6,0)</f>
        <v>女</v>
      </c>
    </row>
    <row r="72" spans="1:4">
      <c r="A72" s="126">
        <f t="shared" si="2"/>
        <v>71</v>
      </c>
      <c r="B72" s="126" t="s">
        <v>233</v>
      </c>
      <c r="C72" s="118" t="str">
        <f>VLOOKUP(B72,员工基本信息!B:S,18,0)</f>
        <v>沧州</v>
      </c>
      <c r="D72" s="118" t="str">
        <f>VLOOKUP(B72,员工基本信息!B:G,6,0)</f>
        <v>女</v>
      </c>
    </row>
    <row r="73" spans="1:4">
      <c r="A73" s="126">
        <f t="shared" si="2"/>
        <v>72</v>
      </c>
      <c r="B73" s="126" t="s">
        <v>235</v>
      </c>
      <c r="C73" s="118" t="str">
        <f>VLOOKUP(B73,员工基本信息!B:S,18,0)</f>
        <v>沧州</v>
      </c>
      <c r="D73" s="118" t="str">
        <f>VLOOKUP(B73,员工基本信息!B:G,6,0)</f>
        <v>女</v>
      </c>
    </row>
    <row r="74" spans="1:4">
      <c r="A74" s="126">
        <f t="shared" si="2"/>
        <v>73</v>
      </c>
      <c r="B74" s="126" t="s">
        <v>237</v>
      </c>
      <c r="C74" s="118" t="str">
        <f>VLOOKUP(B74,员工基本信息!B:S,18,0)</f>
        <v>沧州</v>
      </c>
      <c r="D74" s="118" t="str">
        <f>VLOOKUP(B74,员工基本信息!B:G,6,0)</f>
        <v>女</v>
      </c>
    </row>
    <row r="75" spans="1:4">
      <c r="A75" s="126">
        <f t="shared" si="2"/>
        <v>74</v>
      </c>
      <c r="B75" s="126" t="s">
        <v>239</v>
      </c>
      <c r="C75" s="118" t="str">
        <f>VLOOKUP(B75,员工基本信息!B:S,18,0)</f>
        <v>沧州</v>
      </c>
      <c r="D75" s="118" t="str">
        <f>VLOOKUP(B75,员工基本信息!B:G,6,0)</f>
        <v>女</v>
      </c>
    </row>
    <row r="76" spans="1:4">
      <c r="A76" s="126">
        <f t="shared" si="2"/>
        <v>75</v>
      </c>
      <c r="B76" s="126" t="s">
        <v>241</v>
      </c>
      <c r="C76" s="118" t="str">
        <f>VLOOKUP(B76,员工基本信息!B:S,18,0)</f>
        <v>沧州</v>
      </c>
      <c r="D76" s="118" t="str">
        <f>VLOOKUP(B76,员工基本信息!B:G,6,0)</f>
        <v>男</v>
      </c>
    </row>
    <row r="77" spans="1:4">
      <c r="A77" s="126">
        <f t="shared" si="2"/>
        <v>76</v>
      </c>
      <c r="B77" s="126" t="s">
        <v>243</v>
      </c>
      <c r="C77" s="118" t="str">
        <f>VLOOKUP(B77,员工基本信息!B:S,18,0)</f>
        <v>沧州</v>
      </c>
      <c r="D77" s="118" t="str">
        <f>VLOOKUP(B77,员工基本信息!B:G,6,0)</f>
        <v>女</v>
      </c>
    </row>
    <row r="78" spans="1:4">
      <c r="A78" s="126">
        <f t="shared" si="2"/>
        <v>77</v>
      </c>
      <c r="B78" s="131" t="s">
        <v>245</v>
      </c>
      <c r="C78" s="118" t="str">
        <f>VLOOKUP(B78,员工基本信息!B:S,18,0)</f>
        <v>沧州</v>
      </c>
      <c r="D78" s="118" t="str">
        <f>VLOOKUP(B78,员工基本信息!B:G,6,0)</f>
        <v>女</v>
      </c>
    </row>
    <row r="79" spans="1:4">
      <c r="A79" s="126">
        <f t="shared" si="2"/>
        <v>78</v>
      </c>
      <c r="B79" s="126" t="s">
        <v>247</v>
      </c>
      <c r="C79" s="118" t="str">
        <f>VLOOKUP(B79,员工基本信息!B:S,18,0)</f>
        <v>沧州</v>
      </c>
      <c r="D79" s="118" t="str">
        <f>VLOOKUP(B79,员工基本信息!B:G,6,0)</f>
        <v>女</v>
      </c>
    </row>
    <row r="80" spans="1:4">
      <c r="A80" s="126">
        <f t="shared" si="2"/>
        <v>79</v>
      </c>
      <c r="B80" s="126" t="s">
        <v>249</v>
      </c>
      <c r="C80" s="118" t="str">
        <f>VLOOKUP(B80,员工基本信息!B:S,18,0)</f>
        <v>沧州</v>
      </c>
      <c r="D80" s="118" t="str">
        <f>VLOOKUP(B80,员工基本信息!B:G,6,0)</f>
        <v>女</v>
      </c>
    </row>
    <row r="81" spans="1:4">
      <c r="A81" s="126">
        <f t="shared" ref="A81:A92" si="3">ROW()-1</f>
        <v>80</v>
      </c>
      <c r="B81" s="126" t="s">
        <v>251</v>
      </c>
      <c r="C81" s="132" t="str">
        <f>VLOOKUP(B81,员工基本信息!B:S,18,0)</f>
        <v>沧州</v>
      </c>
      <c r="D81" s="132" t="str">
        <f>VLOOKUP(B81,员工基本信息!B:G,6,0)</f>
        <v>女</v>
      </c>
    </row>
    <row r="82" spans="1:4">
      <c r="A82" s="126">
        <f t="shared" si="3"/>
        <v>81</v>
      </c>
      <c r="B82" s="126" t="s">
        <v>253</v>
      </c>
      <c r="C82" s="132" t="str">
        <f>VLOOKUP(B82,员工基本信息!B:S,18,0)</f>
        <v>沧州</v>
      </c>
      <c r="D82" s="132" t="str">
        <f>VLOOKUP(B82,员工基本信息!B:G,6,0)</f>
        <v>男</v>
      </c>
    </row>
    <row r="83" spans="1:4">
      <c r="A83" s="126">
        <f t="shared" si="3"/>
        <v>82</v>
      </c>
      <c r="B83" s="126" t="s">
        <v>255</v>
      </c>
      <c r="C83" s="132" t="str">
        <f>VLOOKUP(B83,员工基本信息!B:S,18,0)</f>
        <v>沧州</v>
      </c>
      <c r="D83" s="132" t="str">
        <f>VLOOKUP(B83,员工基本信息!B:G,6,0)</f>
        <v>男</v>
      </c>
    </row>
    <row r="84" spans="1:4">
      <c r="A84" s="126">
        <f t="shared" si="3"/>
        <v>83</v>
      </c>
      <c r="B84" s="126" t="s">
        <v>257</v>
      </c>
      <c r="C84" s="132" t="str">
        <f>VLOOKUP(B84,员工基本信息!B:S,18,0)</f>
        <v>沧州</v>
      </c>
      <c r="D84" s="132" t="str">
        <f>VLOOKUP(B84,员工基本信息!B:G,6,0)</f>
        <v>女</v>
      </c>
    </row>
    <row r="85" spans="1:4">
      <c r="A85" s="126">
        <f t="shared" si="3"/>
        <v>84</v>
      </c>
      <c r="B85" s="126" t="s">
        <v>259</v>
      </c>
      <c r="C85" s="132" t="str">
        <f>VLOOKUP(B85,员工基本信息!B:S,18,0)</f>
        <v>沧州</v>
      </c>
      <c r="D85" s="132" t="str">
        <f>VLOOKUP(B85,员工基本信息!B:G,6,0)</f>
        <v>男</v>
      </c>
    </row>
    <row r="86" spans="1:4">
      <c r="A86" s="126">
        <f t="shared" si="3"/>
        <v>85</v>
      </c>
      <c r="B86" s="126" t="s">
        <v>261</v>
      </c>
      <c r="C86" s="132" t="str">
        <f>VLOOKUP(B86,员工基本信息!B:S,18,0)</f>
        <v>沧州</v>
      </c>
      <c r="D86" s="132" t="str">
        <f>VLOOKUP(B86,员工基本信息!B:G,6,0)</f>
        <v>男</v>
      </c>
    </row>
    <row r="87" spans="1:4">
      <c r="A87" s="126"/>
      <c r="B87" s="126"/>
      <c r="C87" s="132"/>
      <c r="D87" s="132"/>
    </row>
    <row r="88" spans="1:4">
      <c r="A88" s="126"/>
      <c r="B88" s="126"/>
      <c r="C88" s="132"/>
      <c r="D88" s="132"/>
    </row>
    <row r="89" spans="1:4">
      <c r="A89" s="126"/>
      <c r="B89" s="126"/>
      <c r="C89" s="132"/>
      <c r="D89" s="132"/>
    </row>
    <row r="90" ht="14.25" spans="2:2">
      <c r="B90" s="133"/>
    </row>
    <row r="91" ht="14.25" spans="2:2">
      <c r="B91" s="133"/>
    </row>
    <row r="92" ht="14.25" spans="2:2">
      <c r="B92" s="133"/>
    </row>
    <row r="93" ht="14.25" spans="2:2">
      <c r="B93" s="133"/>
    </row>
    <row r="94" ht="14.25" spans="2:2">
      <c r="B94" s="133"/>
    </row>
    <row r="95" ht="14.25" spans="2:2">
      <c r="B95" s="133"/>
    </row>
    <row r="96" ht="14.25" spans="2:2">
      <c r="B96" s="133"/>
    </row>
    <row r="97" ht="14.25" spans="2:2">
      <c r="B97" s="133"/>
    </row>
    <row r="98" ht="14.25" spans="2:2">
      <c r="B98" s="133"/>
    </row>
    <row r="99" ht="14.25" spans="2:2">
      <c r="B99" s="133"/>
    </row>
    <row r="100" ht="14.25" spans="2:2">
      <c r="B100" s="133"/>
    </row>
    <row r="101" ht="14.25" spans="2:2">
      <c r="B101" s="133"/>
    </row>
    <row r="102" ht="14.25" spans="2:2">
      <c r="B102" s="133"/>
    </row>
    <row r="103" ht="14.25" spans="2:2">
      <c r="B103" s="133"/>
    </row>
    <row r="104" ht="14.25" spans="2:2">
      <c r="B104" s="133"/>
    </row>
    <row r="105" ht="14.25" spans="2:2">
      <c r="B105" s="133"/>
    </row>
    <row r="106" ht="14.25" spans="2:2">
      <c r="B106" s="133"/>
    </row>
    <row r="107" ht="14.25" spans="2:2">
      <c r="B107" s="133"/>
    </row>
    <row r="108" ht="14.25" spans="2:2">
      <c r="B108" s="133"/>
    </row>
    <row r="109" ht="14.25" spans="2:2">
      <c r="B109" s="133"/>
    </row>
    <row r="110" ht="14.25" spans="2:2">
      <c r="B110" s="133"/>
    </row>
    <row r="111" ht="14.25" spans="2:2">
      <c r="B111" s="133"/>
    </row>
    <row r="112" ht="14.25" spans="2:2">
      <c r="B112" s="133"/>
    </row>
    <row r="113" ht="14.25" spans="2:2">
      <c r="B113" s="133"/>
    </row>
    <row r="114" ht="14.25" spans="2:2">
      <c r="B114" s="133"/>
    </row>
    <row r="115" ht="14.25" spans="2:2">
      <c r="B115" s="133"/>
    </row>
    <row r="116" ht="14.25" spans="2:2">
      <c r="B116" s="133"/>
    </row>
    <row r="117" ht="14.25" spans="2:2">
      <c r="B117" s="133"/>
    </row>
    <row r="118" ht="14.25" spans="2:2">
      <c r="B118" s="133"/>
    </row>
    <row r="119" ht="14.25" spans="2:2">
      <c r="B119" s="133"/>
    </row>
    <row r="120" ht="14.25" spans="2:2">
      <c r="B120" s="133"/>
    </row>
    <row r="121" ht="14.25" spans="2:2">
      <c r="B121" s="133"/>
    </row>
    <row r="122" ht="14.25" spans="2:2">
      <c r="B122" s="133"/>
    </row>
    <row r="123" ht="14.25" spans="2:2">
      <c r="B123" s="133"/>
    </row>
    <row r="124" ht="14.25" spans="2:2">
      <c r="B124" s="133"/>
    </row>
    <row r="125" ht="14.25" spans="2:2">
      <c r="B125" s="133"/>
    </row>
    <row r="126" ht="14.25" spans="2:2">
      <c r="B126" s="133"/>
    </row>
    <row r="127" ht="14.25" spans="2:2">
      <c r="B127" s="133"/>
    </row>
    <row r="128" ht="14.25" spans="2:2">
      <c r="B128" s="133"/>
    </row>
    <row r="129" ht="14.25" spans="2:2">
      <c r="B129" s="133"/>
    </row>
    <row r="130" ht="14.25" spans="2:2">
      <c r="B130" s="133"/>
    </row>
    <row r="131" ht="14.25" spans="2:2">
      <c r="B131" s="133"/>
    </row>
    <row r="132" ht="14.25" spans="2:2">
      <c r="B132" s="133"/>
    </row>
    <row r="133" ht="14.25" spans="2:2">
      <c r="B133" s="133"/>
    </row>
    <row r="134" ht="14.25" spans="2:2">
      <c r="B134" s="133"/>
    </row>
    <row r="135" ht="14.25" spans="2:2">
      <c r="B135" s="133"/>
    </row>
    <row r="136" ht="14.25" spans="2:2">
      <c r="B136" s="133"/>
    </row>
    <row r="137" ht="14.25" spans="2:2">
      <c r="B137" s="133"/>
    </row>
    <row r="138" ht="14.25" spans="2:2">
      <c r="B138" s="133"/>
    </row>
    <row r="139" ht="14.25" spans="2:2">
      <c r="B139" s="133"/>
    </row>
    <row r="140" ht="14.25" spans="2:2">
      <c r="B140" s="133"/>
    </row>
    <row r="141" ht="14.25" spans="2:2">
      <c r="B141" s="133"/>
    </row>
    <row r="142" ht="14.25" spans="2:2">
      <c r="B142" s="133"/>
    </row>
    <row r="143" ht="14.25" spans="2:2">
      <c r="B143" s="133"/>
    </row>
    <row r="144" ht="14.25" spans="2:2">
      <c r="B144" s="133"/>
    </row>
    <row r="145" ht="14.25" spans="2:2">
      <c r="B145" s="133"/>
    </row>
    <row r="146" ht="14.25" spans="2:2">
      <c r="B146" s="133"/>
    </row>
    <row r="147" ht="14.25" spans="2:2">
      <c r="B147" s="133"/>
    </row>
    <row r="148" ht="14.25" spans="2:2">
      <c r="B148" s="133"/>
    </row>
    <row r="149" ht="14.25" spans="2:2">
      <c r="B149" s="133"/>
    </row>
    <row r="150" ht="14.25" spans="2:2">
      <c r="B150" s="133"/>
    </row>
    <row r="151" ht="14.25" spans="2:2">
      <c r="B151" s="133"/>
    </row>
    <row r="152" ht="14.25" spans="2:2">
      <c r="B152" s="133"/>
    </row>
    <row r="153" ht="14.25" spans="2:2">
      <c r="B153" s="133"/>
    </row>
    <row r="154" ht="14.25" spans="2:2">
      <c r="B154" s="133"/>
    </row>
    <row r="155" ht="14.25" spans="2:2">
      <c r="B155" s="133"/>
    </row>
    <row r="156" ht="14.25" spans="2:2">
      <c r="B156" s="133"/>
    </row>
    <row r="157" ht="14.25" spans="2:2">
      <c r="B157" s="133"/>
    </row>
    <row r="158" ht="14.25" spans="2:2">
      <c r="B158" s="133"/>
    </row>
    <row r="159" ht="14.25" spans="2:2">
      <c r="B159" s="133"/>
    </row>
    <row r="160" ht="14.25" spans="2:2">
      <c r="B160" s="133"/>
    </row>
    <row r="161" ht="14.25" spans="2:2">
      <c r="B161" s="133"/>
    </row>
    <row r="162" ht="14.25" spans="2:2">
      <c r="B162" s="133"/>
    </row>
    <row r="163" ht="14.25" spans="2:2">
      <c r="B163" s="133"/>
    </row>
    <row r="164" ht="14.25" spans="2:2">
      <c r="B164" s="133"/>
    </row>
    <row r="165" ht="14.25" spans="2:2">
      <c r="B165" s="133"/>
    </row>
    <row r="166" ht="14.25" spans="2:2">
      <c r="B166" s="133"/>
    </row>
    <row r="167" ht="14.25" spans="2:2">
      <c r="B167" s="133"/>
    </row>
    <row r="168" ht="14.25" spans="2:2">
      <c r="B168" s="133"/>
    </row>
    <row r="169" ht="14.25" spans="2:2">
      <c r="B169" s="133"/>
    </row>
    <row r="170" ht="14.25" spans="2:2">
      <c r="B170" s="133"/>
    </row>
    <row r="171" ht="14.25" spans="2:2">
      <c r="B171" s="133"/>
    </row>
    <row r="172" ht="14.25" spans="2:2">
      <c r="B172" s="133"/>
    </row>
    <row r="173" ht="14.25" spans="2:2">
      <c r="B173" s="133"/>
    </row>
    <row r="174" ht="14.25" spans="2:2">
      <c r="B174" s="133"/>
    </row>
    <row r="175" ht="14.25" spans="2:2">
      <c r="B175" s="133"/>
    </row>
    <row r="176" ht="14.25" spans="2:2">
      <c r="B176" s="133"/>
    </row>
    <row r="177" ht="14.25" spans="2:2">
      <c r="B177" s="133"/>
    </row>
    <row r="178" ht="14.25" spans="2:2">
      <c r="B178" s="133"/>
    </row>
    <row r="179" ht="14.25" spans="2:2">
      <c r="B179" s="133"/>
    </row>
    <row r="180" ht="14.25" spans="2:2">
      <c r="B180" s="133"/>
    </row>
    <row r="181" ht="14.25" spans="2:2">
      <c r="B181" s="133"/>
    </row>
    <row r="182" ht="14.25" spans="2:2">
      <c r="B182" s="133"/>
    </row>
    <row r="183" ht="14.25" spans="2:2">
      <c r="B183" s="133"/>
    </row>
    <row r="184" ht="14.25" spans="2:2">
      <c r="B184" s="133"/>
    </row>
    <row r="185" ht="14.25" spans="2:2">
      <c r="B185" s="133"/>
    </row>
    <row r="186" ht="14.25" spans="2:2">
      <c r="B186" s="133"/>
    </row>
    <row r="187" ht="14.25" spans="2:2">
      <c r="B187" s="133"/>
    </row>
    <row r="188" ht="14.25" spans="2:2">
      <c r="B188" s="133"/>
    </row>
    <row r="189" ht="14.25" spans="2:2">
      <c r="B189" s="133"/>
    </row>
    <row r="190" ht="14.25" spans="2:2">
      <c r="B190" s="133"/>
    </row>
    <row r="191" ht="14.25" spans="2:2">
      <c r="B191" s="133"/>
    </row>
    <row r="192" ht="14.25" spans="2:2">
      <c r="B192" s="133"/>
    </row>
    <row r="193" ht="14.25" spans="2:2">
      <c r="B193" s="133"/>
    </row>
    <row r="194" ht="14.25" spans="2:2">
      <c r="B194" s="133"/>
    </row>
    <row r="195" ht="14.25" spans="2:2">
      <c r="B195" s="133"/>
    </row>
    <row r="196" ht="14.25" spans="2:2">
      <c r="B196" s="133"/>
    </row>
    <row r="197" ht="14.25" spans="2:2">
      <c r="B197" s="133"/>
    </row>
    <row r="198" ht="14.25" spans="2:2">
      <c r="B198" s="133"/>
    </row>
    <row r="199" ht="14.25" spans="2:2">
      <c r="B199" s="133"/>
    </row>
    <row r="200" ht="14.25" spans="2:2">
      <c r="B200" s="133"/>
    </row>
    <row r="201" ht="14.25" spans="2:2">
      <c r="B201" s="133"/>
    </row>
    <row r="202" ht="14.25" spans="2:2">
      <c r="B202" s="133"/>
    </row>
    <row r="203" ht="14.25" spans="2:2">
      <c r="B203" s="133"/>
    </row>
    <row r="204" ht="14.25" spans="2:2">
      <c r="B204" s="133"/>
    </row>
    <row r="205" ht="14.25" spans="2:2">
      <c r="B205" s="133"/>
    </row>
    <row r="206" ht="14.25" spans="2:2">
      <c r="B206" s="133"/>
    </row>
    <row r="207" ht="14.25" spans="2:2">
      <c r="B207" s="133"/>
    </row>
    <row r="208" ht="14.25" spans="2:2">
      <c r="B208" s="133"/>
    </row>
    <row r="209" ht="14.25" spans="2:2">
      <c r="B209" s="133"/>
    </row>
    <row r="210" ht="14.25" spans="2:2">
      <c r="B210" s="133"/>
    </row>
    <row r="211" ht="14.25" spans="2:2">
      <c r="B211" s="133"/>
    </row>
    <row r="212" ht="14.25" spans="2:2">
      <c r="B212" s="133"/>
    </row>
    <row r="213" ht="14.25" spans="2:2">
      <c r="B213" s="133"/>
    </row>
    <row r="214" ht="14.25" spans="2:2">
      <c r="B214" s="133"/>
    </row>
    <row r="215" ht="14.25" spans="2:2">
      <c r="B215" s="133"/>
    </row>
    <row r="216" ht="14.25" spans="2:2">
      <c r="B216" s="133"/>
    </row>
    <row r="217" ht="14.25" spans="2:2">
      <c r="B217" s="133"/>
    </row>
    <row r="218" ht="14.25" spans="2:2">
      <c r="B218" s="133"/>
    </row>
    <row r="219" ht="14.25" spans="2:2">
      <c r="B219" s="133"/>
    </row>
    <row r="220" ht="14.25" spans="2:2">
      <c r="B220" s="133"/>
    </row>
    <row r="221" ht="14.25" spans="2:2">
      <c r="B221" s="133"/>
    </row>
    <row r="222" ht="14.25" spans="2:2">
      <c r="B222" s="133"/>
    </row>
    <row r="223" ht="14.25" spans="2:2">
      <c r="B223" s="133"/>
    </row>
    <row r="224" ht="14.25" spans="2:2">
      <c r="B224" s="133"/>
    </row>
    <row r="225" ht="14.25" spans="2:2">
      <c r="B225" s="133"/>
    </row>
    <row r="226" ht="14.25" spans="2:2">
      <c r="B226" s="133"/>
    </row>
    <row r="227" ht="14.25" spans="2:2">
      <c r="B227" s="133"/>
    </row>
    <row r="228" ht="14.25" spans="2:2">
      <c r="B228" s="133"/>
    </row>
    <row r="229" ht="14.25" spans="2:2">
      <c r="B229" s="133"/>
    </row>
    <row r="230" ht="14.25" spans="2:2">
      <c r="B230" s="133"/>
    </row>
    <row r="231" ht="14.25" spans="2:2">
      <c r="B231" s="133"/>
    </row>
    <row r="232" ht="14.25" spans="2:2">
      <c r="B232" s="133"/>
    </row>
    <row r="233" ht="14.25" spans="2:2">
      <c r="B233" s="133"/>
    </row>
    <row r="234" ht="14.25" spans="2:2">
      <c r="B234" s="133"/>
    </row>
    <row r="235" ht="14.25" spans="2:2">
      <c r="B235" s="133"/>
    </row>
    <row r="236" ht="14.25" spans="2:2">
      <c r="B236" s="133"/>
    </row>
    <row r="237" ht="14.25" spans="2:2">
      <c r="B237" s="133"/>
    </row>
    <row r="238" ht="14.25" spans="2:2">
      <c r="B238" s="133"/>
    </row>
    <row r="239" ht="14.25" spans="2:2">
      <c r="B239" s="133"/>
    </row>
    <row r="240" ht="14.25" spans="2:2">
      <c r="B240" s="133"/>
    </row>
    <row r="241" ht="14.25" spans="2:2">
      <c r="B241" s="133"/>
    </row>
    <row r="242" ht="14.25" spans="2:2">
      <c r="B242" s="133"/>
    </row>
    <row r="243" ht="14.25" spans="2:2">
      <c r="B243" s="133"/>
    </row>
    <row r="244" ht="14.25" spans="2:2">
      <c r="B244" s="133"/>
    </row>
    <row r="245" ht="14.25" spans="2:2">
      <c r="B245" s="133"/>
    </row>
    <row r="246" ht="14.25" spans="2:2">
      <c r="B246" s="133"/>
    </row>
    <row r="247" ht="14.25" spans="2:2">
      <c r="B247" s="133"/>
    </row>
    <row r="248" ht="14.25" spans="2:2">
      <c r="B248" s="133"/>
    </row>
    <row r="249" ht="14.25" spans="2:2">
      <c r="B249" s="133"/>
    </row>
    <row r="250" ht="14.25" spans="2:2">
      <c r="B250" s="133"/>
    </row>
    <row r="251" ht="14.25" spans="2:2">
      <c r="B251" s="133"/>
    </row>
    <row r="252" ht="14.25" spans="2:2">
      <c r="B252" s="133"/>
    </row>
    <row r="253" ht="14.25" spans="2:2">
      <c r="B253" s="133"/>
    </row>
    <row r="254" ht="14.25" spans="2:2">
      <c r="B254" s="133"/>
    </row>
    <row r="255" ht="14.25" spans="2:2">
      <c r="B255" s="133"/>
    </row>
    <row r="256" ht="14.25" spans="2:2">
      <c r="B256" s="133"/>
    </row>
    <row r="257" ht="14.25" spans="2:2">
      <c r="B257" s="133"/>
    </row>
    <row r="258" ht="14.25" spans="2:2">
      <c r="B258" s="133"/>
    </row>
    <row r="259" ht="14.25" spans="2:2">
      <c r="B259" s="133"/>
    </row>
    <row r="260" ht="14.25" spans="2:2">
      <c r="B260" s="133"/>
    </row>
    <row r="261" ht="14.25" spans="2:2">
      <c r="B261" s="133"/>
    </row>
    <row r="262" ht="14.25" spans="2:2">
      <c r="B262" s="133"/>
    </row>
    <row r="263" ht="14.25" spans="2:2">
      <c r="B263" s="133"/>
    </row>
    <row r="264" ht="14.25" spans="2:2">
      <c r="B264" s="133"/>
    </row>
    <row r="265" ht="14.25" spans="2:2">
      <c r="B265" s="133"/>
    </row>
    <row r="266" ht="14.25" spans="2:2">
      <c r="B266" s="133"/>
    </row>
    <row r="267" ht="14.25" spans="2:2">
      <c r="B267" s="133"/>
    </row>
    <row r="268" ht="14.25" spans="2:2">
      <c r="B268" s="133"/>
    </row>
    <row r="269" ht="14.25" spans="2:2">
      <c r="B269" s="133"/>
    </row>
    <row r="270" ht="14.25" spans="2:2">
      <c r="B270" s="133"/>
    </row>
    <row r="271" ht="14.25" spans="2:2">
      <c r="B271" s="133"/>
    </row>
    <row r="272" ht="14.25" spans="2:2">
      <c r="B272" s="133"/>
    </row>
    <row r="273" ht="14.25" spans="2:2">
      <c r="B273" s="133"/>
    </row>
    <row r="274" ht="14.25" spans="2:2">
      <c r="B274" s="133"/>
    </row>
    <row r="275" ht="14.25" spans="2:2">
      <c r="B275" s="133"/>
    </row>
    <row r="276" ht="14.25" spans="2:2">
      <c r="B276" s="133"/>
    </row>
    <row r="277" ht="14.25" spans="2:2">
      <c r="B277" s="133"/>
    </row>
    <row r="278" ht="14.25" spans="2:2">
      <c r="B278" s="133"/>
    </row>
    <row r="279" ht="14.25" spans="2:2">
      <c r="B279" s="133"/>
    </row>
    <row r="280" ht="14.25" spans="2:2">
      <c r="B280" s="133"/>
    </row>
    <row r="281" ht="14.25" spans="2:2">
      <c r="B281" s="133"/>
    </row>
    <row r="282" ht="14.25" spans="2:2">
      <c r="B282" s="133"/>
    </row>
    <row r="283" ht="14.25" spans="2:2">
      <c r="B283" s="133"/>
    </row>
    <row r="284" ht="14.25" spans="2:2">
      <c r="B284" s="133"/>
    </row>
    <row r="285" ht="14.25" spans="2:2">
      <c r="B285" s="133"/>
    </row>
    <row r="286" ht="14.25" spans="2:2">
      <c r="B286" s="133"/>
    </row>
    <row r="287" ht="14.25" spans="2:2">
      <c r="B287" s="133"/>
    </row>
    <row r="288" ht="14.25" spans="2:2">
      <c r="B288" s="133"/>
    </row>
    <row r="289" ht="14.25" spans="2:2">
      <c r="B289" s="133"/>
    </row>
    <row r="290" ht="14.25" spans="2:2">
      <c r="B290" s="133"/>
    </row>
    <row r="291" ht="14.25" spans="2:2">
      <c r="B291" s="133"/>
    </row>
    <row r="292" ht="14.25" spans="2:2">
      <c r="B292" s="133"/>
    </row>
    <row r="293" ht="14.25" spans="2:2">
      <c r="B293" s="133"/>
    </row>
    <row r="294" ht="14.25" spans="2:2">
      <c r="B294" s="133"/>
    </row>
    <row r="295" ht="14.25" spans="2:2">
      <c r="B295" s="133"/>
    </row>
    <row r="296" ht="14.25" spans="2:2">
      <c r="B296" s="133"/>
    </row>
    <row r="297" ht="14.25" spans="2:2">
      <c r="B297" s="133"/>
    </row>
    <row r="298" ht="14.25" spans="2:2">
      <c r="B298" s="133"/>
    </row>
    <row r="299" ht="14.25" spans="2:2">
      <c r="B299" s="133"/>
    </row>
    <row r="300" ht="14.25" spans="2:2">
      <c r="B300" s="133"/>
    </row>
    <row r="301" ht="14.25" spans="2:2">
      <c r="B301" s="133"/>
    </row>
    <row r="302" ht="14.25" spans="2:2">
      <c r="B302" s="133"/>
    </row>
    <row r="303" ht="14.25" spans="2:2">
      <c r="B303" s="133"/>
    </row>
    <row r="304" ht="14.25" spans="2:2">
      <c r="B304" s="133"/>
    </row>
    <row r="305" ht="14.25" spans="2:2">
      <c r="B305" s="133"/>
    </row>
    <row r="306" ht="14.25" spans="2:2">
      <c r="B306" s="133"/>
    </row>
    <row r="307" ht="14.25" spans="2:2">
      <c r="B307" s="133"/>
    </row>
    <row r="308" ht="14.25" spans="2:2">
      <c r="B308" s="133"/>
    </row>
    <row r="309" ht="14.25" spans="2:2">
      <c r="B309" s="133"/>
    </row>
    <row r="310" ht="14.25" spans="2:2">
      <c r="B310" s="133"/>
    </row>
    <row r="311" ht="14.25" spans="2:2">
      <c r="B311" s="133"/>
    </row>
    <row r="312" ht="14.25" spans="2:2">
      <c r="B312" s="133"/>
    </row>
    <row r="313" ht="14.25" spans="2:2">
      <c r="B313" s="133"/>
    </row>
    <row r="314" ht="14.25" spans="2:2">
      <c r="B314" s="133"/>
    </row>
    <row r="315" ht="14.25" spans="2:2">
      <c r="B315" s="133"/>
    </row>
    <row r="316" ht="14.25" spans="2:2">
      <c r="B316" s="133"/>
    </row>
    <row r="317" ht="14.25" spans="2:2">
      <c r="B317" s="133"/>
    </row>
    <row r="318" ht="14.25" spans="2:2">
      <c r="B318" s="133"/>
    </row>
    <row r="319" ht="14.25" spans="2:2">
      <c r="B319" s="133"/>
    </row>
    <row r="320" ht="14.25" spans="2:2">
      <c r="B320" s="133"/>
    </row>
    <row r="321" ht="14.25" spans="2:2">
      <c r="B321" s="133"/>
    </row>
    <row r="322" ht="14.25" spans="2:2">
      <c r="B322" s="133"/>
    </row>
    <row r="323" ht="14.25" spans="2:2">
      <c r="B323" s="133"/>
    </row>
    <row r="324" ht="14.25" spans="2:2">
      <c r="B324" s="133"/>
    </row>
    <row r="325" ht="14.25" spans="2:2">
      <c r="B325" s="133"/>
    </row>
    <row r="326" ht="14.25" spans="2:2">
      <c r="B326" s="133"/>
    </row>
    <row r="327" ht="14.25" spans="2:2">
      <c r="B327" s="133"/>
    </row>
    <row r="328" ht="14.25" spans="2:2">
      <c r="B328" s="133"/>
    </row>
    <row r="329" ht="14.25" spans="2:2">
      <c r="B329" s="133"/>
    </row>
    <row r="330" ht="14.25" spans="2:2">
      <c r="B330" s="133"/>
    </row>
    <row r="331" ht="14.25" spans="2:2">
      <c r="B331" s="133"/>
    </row>
    <row r="332" ht="14.25" spans="2:2">
      <c r="B332" s="133"/>
    </row>
    <row r="333" ht="14.25" spans="2:2">
      <c r="B333" s="133"/>
    </row>
    <row r="334" ht="14.25" spans="2:2">
      <c r="B334" s="133"/>
    </row>
    <row r="335" ht="14.25" spans="2:2">
      <c r="B335" s="133"/>
    </row>
    <row r="336" ht="14.25" spans="2:2">
      <c r="B336" s="133"/>
    </row>
    <row r="337" ht="14.25" spans="2:2">
      <c r="B337" s="133"/>
    </row>
    <row r="338" ht="14.25" spans="2:2">
      <c r="B338" s="133"/>
    </row>
    <row r="339" ht="14.25" spans="2:2">
      <c r="B339" s="133"/>
    </row>
    <row r="340" ht="14.25" spans="2:2">
      <c r="B340" s="133"/>
    </row>
    <row r="341" ht="14.25" spans="2:2">
      <c r="B341" s="133"/>
    </row>
    <row r="342" ht="14.25" spans="2:2">
      <c r="B342" s="133"/>
    </row>
    <row r="343" ht="14.25" spans="2:2">
      <c r="B343" s="133"/>
    </row>
    <row r="344" ht="14.25" spans="2:2">
      <c r="B344" s="133"/>
    </row>
    <row r="345" ht="14.25" spans="2:2">
      <c r="B345" s="133"/>
    </row>
    <row r="346" ht="14.25" spans="2:2">
      <c r="B346" s="133"/>
    </row>
    <row r="347" ht="14.25" spans="2:2">
      <c r="B347" s="133"/>
    </row>
    <row r="348" ht="14.25" spans="2:2">
      <c r="B348" s="133"/>
    </row>
    <row r="349" ht="14.25" spans="2:2">
      <c r="B349" s="133"/>
    </row>
    <row r="350" ht="14.25" spans="2:2">
      <c r="B350" s="133"/>
    </row>
    <row r="351" ht="14.25" spans="2:2">
      <c r="B351" s="133"/>
    </row>
    <row r="352" ht="14.25" spans="2:2">
      <c r="B352" s="133"/>
    </row>
    <row r="353" ht="14.25" spans="2:2">
      <c r="B353" s="133"/>
    </row>
    <row r="354" ht="14.25" spans="2:2">
      <c r="B354" s="133"/>
    </row>
    <row r="355" ht="14.25" spans="2:2">
      <c r="B355" s="133"/>
    </row>
    <row r="356" ht="14.25" spans="2:2">
      <c r="B356" s="133"/>
    </row>
    <row r="357" ht="14.25" spans="2:2">
      <c r="B357" s="133"/>
    </row>
    <row r="358" ht="14.25" spans="2:2">
      <c r="B358" s="133"/>
    </row>
    <row r="359" ht="14.25" spans="2:2">
      <c r="B359" s="133"/>
    </row>
    <row r="360" ht="14.25" spans="2:2">
      <c r="B360" s="133"/>
    </row>
    <row r="361" ht="14.25" spans="2:2">
      <c r="B361" s="133"/>
    </row>
    <row r="362" ht="14.25" spans="2:2">
      <c r="B362" s="133"/>
    </row>
    <row r="363" ht="14.25" spans="2:2">
      <c r="B363" s="133"/>
    </row>
    <row r="364" ht="14.25" spans="2:2">
      <c r="B364" s="133"/>
    </row>
    <row r="365" ht="14.25" spans="2:2">
      <c r="B365" s="133"/>
    </row>
    <row r="366" ht="14.25" spans="2:2">
      <c r="B366" s="133"/>
    </row>
    <row r="367" ht="14.25" spans="2:2">
      <c r="B367" s="133"/>
    </row>
    <row r="368" ht="14.25" spans="2:2">
      <c r="B368" s="133"/>
    </row>
    <row r="369" ht="14.25" spans="2:2">
      <c r="B369" s="133"/>
    </row>
    <row r="370" ht="14.25" spans="2:2">
      <c r="B370" s="133"/>
    </row>
    <row r="371" ht="14.25" spans="2:2">
      <c r="B371" s="133"/>
    </row>
    <row r="372" ht="14.25" spans="2:2">
      <c r="B372" s="133"/>
    </row>
    <row r="373" ht="14.25" spans="2:2">
      <c r="B373" s="133"/>
    </row>
    <row r="374" ht="14.25" spans="2:2">
      <c r="B374" s="133"/>
    </row>
    <row r="375" ht="14.25" spans="2:2">
      <c r="B375" s="133"/>
    </row>
    <row r="376" ht="14.25" spans="2:2">
      <c r="B376" s="133"/>
    </row>
    <row r="377" ht="14.25" spans="2:2">
      <c r="B377" s="133"/>
    </row>
    <row r="378" ht="14.25" spans="2:2">
      <c r="B378" s="133"/>
    </row>
    <row r="379" ht="14.25" spans="2:2">
      <c r="B379" s="133"/>
    </row>
    <row r="380" ht="14.25" spans="2:2">
      <c r="B380" s="133"/>
    </row>
    <row r="381" ht="14.25" spans="2:2">
      <c r="B381" s="133"/>
    </row>
    <row r="382" ht="14.25" spans="2:2">
      <c r="B382" s="133"/>
    </row>
    <row r="383" ht="14.25" spans="2:2">
      <c r="B383" s="133"/>
    </row>
    <row r="384" ht="14.25" spans="2:2">
      <c r="B384" s="133"/>
    </row>
    <row r="385" ht="14.25" spans="2:2">
      <c r="B385" s="133"/>
    </row>
    <row r="386" ht="14.25" spans="2:2">
      <c r="B386" s="133"/>
    </row>
    <row r="387" ht="14.25" spans="2:2">
      <c r="B387" s="133"/>
    </row>
    <row r="388" ht="14.25" spans="2:2">
      <c r="B388" s="133"/>
    </row>
    <row r="389" ht="14.25" spans="2:2">
      <c r="B389" s="133"/>
    </row>
    <row r="390" ht="14.25" spans="2:2">
      <c r="B390" s="133"/>
    </row>
    <row r="391" ht="14.25" spans="2:2">
      <c r="B391" s="133"/>
    </row>
    <row r="392" ht="14.25" spans="2:2">
      <c r="B392" s="133"/>
    </row>
    <row r="393" ht="14.25" spans="2:2">
      <c r="B393" s="133"/>
    </row>
    <row r="394" ht="14.25" spans="2:2">
      <c r="B394" s="133"/>
    </row>
    <row r="395" ht="14.25" spans="2:2">
      <c r="B395" s="133"/>
    </row>
    <row r="396" ht="14.25" spans="2:2">
      <c r="B396" s="133"/>
    </row>
    <row r="397" ht="14.25" spans="2:2">
      <c r="B397" s="133"/>
    </row>
    <row r="398" ht="14.25" spans="2:2">
      <c r="B398" s="133"/>
    </row>
    <row r="399" ht="14.25" spans="2:2">
      <c r="B399" s="133"/>
    </row>
    <row r="400" ht="14.25" spans="2:2">
      <c r="B400" s="133"/>
    </row>
    <row r="401" ht="14.25" spans="2:2">
      <c r="B401" s="133"/>
    </row>
    <row r="402" ht="14.25" spans="2:2">
      <c r="B402" s="133"/>
    </row>
    <row r="403" ht="14.25" spans="2:2">
      <c r="B403" s="133"/>
    </row>
    <row r="404" ht="14.25" spans="2:2">
      <c r="B404" s="133"/>
    </row>
    <row r="405" ht="14.25" spans="2:2">
      <c r="B405" s="133"/>
    </row>
    <row r="406" ht="14.25" spans="2:2">
      <c r="B406" s="133"/>
    </row>
    <row r="407" ht="14.25" spans="2:2">
      <c r="B407" s="133"/>
    </row>
    <row r="408" ht="14.25" spans="2:2">
      <c r="B408" s="133"/>
    </row>
    <row r="409" ht="14.25" spans="2:2">
      <c r="B409" s="133"/>
    </row>
    <row r="410" ht="14.25" spans="2:2">
      <c r="B410" s="133"/>
    </row>
    <row r="411" ht="14.25" spans="2:2">
      <c r="B411" s="133"/>
    </row>
    <row r="412" ht="14.25" spans="2:2">
      <c r="B412" s="133"/>
    </row>
    <row r="413" ht="14.25" spans="2:2">
      <c r="B413" s="133"/>
    </row>
    <row r="414" ht="14.25" spans="2:2">
      <c r="B414" s="133"/>
    </row>
    <row r="415" ht="14.25" spans="2:2">
      <c r="B415" s="133"/>
    </row>
    <row r="416" ht="14.25" spans="2:2">
      <c r="B416" s="133"/>
    </row>
    <row r="417" ht="14.25" spans="2:2">
      <c r="B417" s="133"/>
    </row>
    <row r="418" ht="14.25" spans="2:2">
      <c r="B418" s="133"/>
    </row>
    <row r="419" ht="14.25" spans="2:2">
      <c r="B419" s="133"/>
    </row>
    <row r="420" ht="14.25" spans="2:2">
      <c r="B420" s="133"/>
    </row>
    <row r="421" ht="14.25" spans="2:2">
      <c r="B421" s="133"/>
    </row>
    <row r="422" ht="14.25" spans="2:2">
      <c r="B422" s="133"/>
    </row>
    <row r="423" ht="14.25" spans="2:2">
      <c r="B423" s="133"/>
    </row>
    <row r="424" ht="14.25" spans="2:2">
      <c r="B424" s="133"/>
    </row>
    <row r="425" ht="14.25" spans="2:2">
      <c r="B425" s="133"/>
    </row>
    <row r="426" ht="14.25" spans="2:2">
      <c r="B426" s="133"/>
    </row>
    <row r="427" ht="14.25" spans="2:2">
      <c r="B427" s="133"/>
    </row>
    <row r="428" ht="14.25" spans="2:2">
      <c r="B428" s="133"/>
    </row>
    <row r="429" ht="14.25" spans="2:2">
      <c r="B429" s="133"/>
    </row>
    <row r="430" ht="14.25" spans="2:2">
      <c r="B430" s="133"/>
    </row>
    <row r="431" ht="14.25" spans="2:2">
      <c r="B431" s="133"/>
    </row>
    <row r="432" ht="14.25" spans="2:2">
      <c r="B432" s="133"/>
    </row>
    <row r="433" ht="14.25" spans="2:2">
      <c r="B433" s="133"/>
    </row>
    <row r="434" ht="14.25" spans="2:2">
      <c r="B434" s="133"/>
    </row>
    <row r="435" ht="14.25" spans="2:2">
      <c r="B435" s="133"/>
    </row>
    <row r="436" ht="14.25" spans="2:2">
      <c r="B436" s="133"/>
    </row>
    <row r="437" ht="14.25" spans="2:2">
      <c r="B437" s="133"/>
    </row>
    <row r="438" ht="14.25" spans="2:2">
      <c r="B438" s="133"/>
    </row>
    <row r="439" ht="14.25" spans="2:2">
      <c r="B439" s="133"/>
    </row>
    <row r="440" ht="14.25" spans="2:2">
      <c r="B440" s="133"/>
    </row>
    <row r="441" ht="14.25" spans="2:2">
      <c r="B441" s="133"/>
    </row>
    <row r="442" ht="14.25" spans="2:2">
      <c r="B442" s="133"/>
    </row>
    <row r="443" ht="14.25" spans="2:2">
      <c r="B443" s="133"/>
    </row>
    <row r="444" ht="14.25" spans="2:2">
      <c r="B444" s="133"/>
    </row>
    <row r="445" ht="14.25" spans="2:2">
      <c r="B445" s="133"/>
    </row>
    <row r="446" ht="14.25" spans="2:2">
      <c r="B446" s="133"/>
    </row>
    <row r="447" ht="14.25" spans="2:2">
      <c r="B447" s="133"/>
    </row>
    <row r="448" ht="14.25" spans="2:2">
      <c r="B448" s="133"/>
    </row>
    <row r="449" ht="14.25" spans="2:2">
      <c r="B449" s="133"/>
    </row>
    <row r="450" ht="14.25" spans="2:2">
      <c r="B450" s="133"/>
    </row>
    <row r="451" ht="14.25" spans="2:2">
      <c r="B451" s="133"/>
    </row>
    <row r="452" ht="14.25" spans="2:2">
      <c r="B452" s="133"/>
    </row>
    <row r="453" ht="14.25" spans="2:2">
      <c r="B453" s="133"/>
    </row>
    <row r="454" ht="14.25" spans="2:2">
      <c r="B454" s="133"/>
    </row>
    <row r="455" ht="14.25" spans="2:2">
      <c r="B455" s="133"/>
    </row>
    <row r="456" ht="14.25" spans="2:2">
      <c r="B456" s="133"/>
    </row>
    <row r="457" ht="14.25" spans="2:2">
      <c r="B457" s="133"/>
    </row>
    <row r="458" ht="14.25" spans="2:2">
      <c r="B458" s="133"/>
    </row>
    <row r="459" ht="14.25" spans="2:2">
      <c r="B459" s="133"/>
    </row>
    <row r="460" ht="14.25" spans="2:2">
      <c r="B460" s="133"/>
    </row>
    <row r="461" ht="14.25" spans="2:2">
      <c r="B461" s="133"/>
    </row>
    <row r="462" ht="14.25" spans="2:2">
      <c r="B462" s="133"/>
    </row>
    <row r="463" ht="14.25" spans="2:2">
      <c r="B463" s="133"/>
    </row>
    <row r="464" ht="14.25" spans="2:2">
      <c r="B464" s="133"/>
    </row>
    <row r="465" ht="14.25" spans="2:2">
      <c r="B465" s="133"/>
    </row>
    <row r="466" ht="14.25" spans="2:2">
      <c r="B466" s="133"/>
    </row>
    <row r="467" ht="14.25" spans="2:2">
      <c r="B467" s="133"/>
    </row>
    <row r="468" ht="14.25" spans="2:2">
      <c r="B468" s="133"/>
    </row>
    <row r="469" ht="14.25" spans="2:2">
      <c r="B469" s="133"/>
    </row>
    <row r="470" ht="14.25" spans="2:2">
      <c r="B470" s="133"/>
    </row>
    <row r="471" ht="14.25" spans="2:2">
      <c r="B471" s="133"/>
    </row>
    <row r="472" ht="14.25" spans="2:2">
      <c r="B472" s="133"/>
    </row>
    <row r="473" ht="14.25" spans="2:2">
      <c r="B473" s="133"/>
    </row>
    <row r="474" ht="14.25" spans="2:2">
      <c r="B474" s="133"/>
    </row>
    <row r="475" ht="14.25" spans="2:2">
      <c r="B475" s="133"/>
    </row>
    <row r="476" ht="14.25" spans="2:2">
      <c r="B476" s="133"/>
    </row>
    <row r="477" ht="14.25" spans="2:2">
      <c r="B477" s="133"/>
    </row>
    <row r="478" ht="14.25" spans="2:2">
      <c r="B478" s="133"/>
    </row>
    <row r="479" ht="14.25" spans="2:2">
      <c r="B479" s="133"/>
    </row>
    <row r="480" ht="14.25" spans="2:2">
      <c r="B480" s="133"/>
    </row>
    <row r="481" ht="14.25" spans="2:2">
      <c r="B481" s="133"/>
    </row>
    <row r="482" ht="14.25" spans="2:2">
      <c r="B482" s="133"/>
    </row>
    <row r="483" ht="14.25" spans="2:2">
      <c r="B483" s="133"/>
    </row>
    <row r="484" ht="14.25" spans="2:2">
      <c r="B484" s="133"/>
    </row>
    <row r="485" ht="14.25" spans="2:2">
      <c r="B485" s="133"/>
    </row>
    <row r="486" ht="14.25" spans="2:2">
      <c r="B486" s="133"/>
    </row>
    <row r="487" ht="14.25" spans="2:2">
      <c r="B487" s="133"/>
    </row>
    <row r="488" ht="14.25" spans="2:2">
      <c r="B488" s="133"/>
    </row>
    <row r="489" ht="14.25" spans="2:2">
      <c r="B489" s="133"/>
    </row>
    <row r="490" ht="14.25" spans="2:2">
      <c r="B490" s="133"/>
    </row>
    <row r="491" ht="14.25" spans="2:2">
      <c r="B491" s="133"/>
    </row>
    <row r="492" ht="14.25" spans="2:2">
      <c r="B492" s="133"/>
    </row>
    <row r="493" ht="14.25" spans="2:2">
      <c r="B493" s="133"/>
    </row>
    <row r="494" ht="14.25" spans="2:2">
      <c r="B494" s="133"/>
    </row>
    <row r="495" ht="14.25" spans="2:2">
      <c r="B495" s="133"/>
    </row>
    <row r="496" ht="14.25" spans="2:2">
      <c r="B496" s="133"/>
    </row>
    <row r="497" ht="14.25" spans="2:2">
      <c r="B497" s="133"/>
    </row>
    <row r="498" ht="14.25" spans="2:2">
      <c r="B498" s="133"/>
    </row>
    <row r="499" ht="14.25" spans="2:2">
      <c r="B499" s="133"/>
    </row>
    <row r="500" ht="14.25" spans="2:2">
      <c r="B500" s="133"/>
    </row>
    <row r="501" ht="14.25" spans="2:2">
      <c r="B501" s="133"/>
    </row>
    <row r="502" ht="14.25" spans="2:2">
      <c r="B502" s="133"/>
    </row>
    <row r="503" ht="14.25" spans="2:2">
      <c r="B503" s="133"/>
    </row>
    <row r="504" ht="14.25" spans="2:2">
      <c r="B504" s="133"/>
    </row>
    <row r="505" ht="14.25" spans="2:2">
      <c r="B505" s="133"/>
    </row>
    <row r="506" ht="14.25" spans="2:2">
      <c r="B506" s="133"/>
    </row>
    <row r="507" ht="14.25" spans="2:2">
      <c r="B507" s="133"/>
    </row>
    <row r="508" ht="14.25" spans="2:2">
      <c r="B508" s="133"/>
    </row>
    <row r="509" ht="14.25" spans="2:2">
      <c r="B509" s="133"/>
    </row>
    <row r="510" ht="14.25" spans="2:2">
      <c r="B510" s="133"/>
    </row>
    <row r="511" ht="14.25" spans="2:2">
      <c r="B511" s="133"/>
    </row>
    <row r="512" ht="14.25" spans="2:2">
      <c r="B512" s="133"/>
    </row>
    <row r="513" ht="14.25" spans="2:2">
      <c r="B513" s="133"/>
    </row>
    <row r="514" ht="14.25" spans="2:2">
      <c r="B514" s="133"/>
    </row>
    <row r="515" ht="14.25" spans="2:2">
      <c r="B515" s="133"/>
    </row>
    <row r="516" ht="14.25" spans="2:2">
      <c r="B516" s="133"/>
    </row>
    <row r="517" ht="14.25" spans="2:2">
      <c r="B517" s="133"/>
    </row>
    <row r="518" ht="14.25" spans="2:2">
      <c r="B518" s="133"/>
    </row>
    <row r="519" ht="14.25" spans="2:2">
      <c r="B519" s="133"/>
    </row>
    <row r="520" ht="14.25" spans="2:2">
      <c r="B520" s="133"/>
    </row>
    <row r="521" ht="14.25" spans="2:2">
      <c r="B521" s="133"/>
    </row>
    <row r="522" ht="14.25" spans="2:2">
      <c r="B522" s="133"/>
    </row>
    <row r="523" ht="14.25" spans="2:2">
      <c r="B523" s="133"/>
    </row>
    <row r="524" ht="14.25" spans="2:2">
      <c r="B524" s="133"/>
    </row>
    <row r="525" ht="14.25" spans="2:2">
      <c r="B525" s="133"/>
    </row>
    <row r="526" ht="14.25" spans="2:2">
      <c r="B526" s="133"/>
    </row>
    <row r="527" ht="14.25" spans="2:2">
      <c r="B527" s="133"/>
    </row>
    <row r="528" ht="14.25" spans="2:2">
      <c r="B528" s="133"/>
    </row>
    <row r="529" ht="14.25" spans="2:2">
      <c r="B529" s="133"/>
    </row>
    <row r="530" ht="14.25" spans="2:2">
      <c r="B530" s="133"/>
    </row>
    <row r="531" ht="14.25" spans="2:2">
      <c r="B531" s="133"/>
    </row>
    <row r="532" ht="14.25" spans="2:2">
      <c r="B532" s="133"/>
    </row>
    <row r="533" ht="14.25" spans="2:2">
      <c r="B533" s="133"/>
    </row>
    <row r="534" ht="14.25" spans="2:2">
      <c r="B534" s="133"/>
    </row>
    <row r="535" ht="14.25" spans="2:2">
      <c r="B535" s="133"/>
    </row>
    <row r="536" ht="14.25" spans="2:2">
      <c r="B536" s="133"/>
    </row>
    <row r="537" ht="14.25" spans="2:2">
      <c r="B537" s="133"/>
    </row>
    <row r="538" ht="14.25" spans="2:2">
      <c r="B538" s="133"/>
    </row>
    <row r="539" ht="14.25" spans="2:2">
      <c r="B539" s="133"/>
    </row>
    <row r="540" ht="14.25" spans="2:2">
      <c r="B540" s="133"/>
    </row>
    <row r="541" ht="14.25" spans="2:2">
      <c r="B541" s="133"/>
    </row>
    <row r="542" ht="14.25" spans="2:2">
      <c r="B542" s="133"/>
    </row>
    <row r="543" ht="14.25" spans="2:2">
      <c r="B543" s="133"/>
    </row>
    <row r="544" ht="14.25" spans="2:2">
      <c r="B544" s="133"/>
    </row>
    <row r="545" ht="14.25" spans="2:2">
      <c r="B545" s="133"/>
    </row>
    <row r="546" ht="14.25" spans="2:2">
      <c r="B546" s="133"/>
    </row>
    <row r="547" ht="14.25" spans="2:2">
      <c r="B547" s="133"/>
    </row>
    <row r="548" ht="14.25" spans="2:2">
      <c r="B548" s="133"/>
    </row>
    <row r="549" ht="14.25" spans="2:2">
      <c r="B549" s="133"/>
    </row>
    <row r="550" ht="14.25" spans="2:2">
      <c r="B550" s="133"/>
    </row>
    <row r="551" ht="14.25" spans="2:2">
      <c r="B551" s="133"/>
    </row>
    <row r="552" ht="14.25" spans="2:2">
      <c r="B552" s="133"/>
    </row>
    <row r="553" ht="14.25" spans="2:2">
      <c r="B553" s="133"/>
    </row>
    <row r="554" ht="14.25" spans="2:2">
      <c r="B554" s="133"/>
    </row>
    <row r="555" ht="14.25" spans="2:2">
      <c r="B555" s="133"/>
    </row>
    <row r="556" ht="14.25" spans="2:2">
      <c r="B556" s="133"/>
    </row>
    <row r="557" ht="14.25" spans="2:2">
      <c r="B557" s="133"/>
    </row>
    <row r="558" ht="14.25" spans="2:2">
      <c r="B558" s="133"/>
    </row>
    <row r="559" ht="14.25" spans="2:2">
      <c r="B559" s="133"/>
    </row>
    <row r="560" ht="14.25" spans="2:2">
      <c r="B560" s="133"/>
    </row>
    <row r="561" ht="14.25" spans="2:2">
      <c r="B561" s="133"/>
    </row>
    <row r="562" ht="14.25" spans="2:2">
      <c r="B562" s="133"/>
    </row>
    <row r="563" ht="14.25" spans="2:2">
      <c r="B563" s="133"/>
    </row>
    <row r="564" ht="14.25" spans="2:2">
      <c r="B564" s="133"/>
    </row>
    <row r="565" ht="14.25" spans="2:2">
      <c r="B565" s="133"/>
    </row>
    <row r="566" ht="14.25" spans="2:2">
      <c r="B566" s="133"/>
    </row>
    <row r="567" ht="14.25" spans="2:2">
      <c r="B567" s="133"/>
    </row>
    <row r="568" ht="14.25" spans="2:2">
      <c r="B568" s="133"/>
    </row>
    <row r="569" ht="14.25" spans="2:2">
      <c r="B569" s="133"/>
    </row>
    <row r="570" ht="14.25" spans="2:2">
      <c r="B570" s="133"/>
    </row>
    <row r="571" ht="14.25" spans="2:2">
      <c r="B571" s="133"/>
    </row>
    <row r="572" ht="14.25" spans="2:2">
      <c r="B572" s="133"/>
    </row>
    <row r="573" ht="14.25" spans="2:2">
      <c r="B573" s="133"/>
    </row>
    <row r="574" ht="14.25" spans="2:2">
      <c r="B574" s="133"/>
    </row>
    <row r="575" ht="14.25" spans="2:2">
      <c r="B575" s="133"/>
    </row>
    <row r="576" ht="14.25" spans="2:2">
      <c r="B576" s="133"/>
    </row>
    <row r="577" ht="14.25" spans="2:2">
      <c r="B577" s="133"/>
    </row>
    <row r="578" ht="14.25" spans="2:2">
      <c r="B578" s="133"/>
    </row>
    <row r="579" ht="14.25" spans="2:2">
      <c r="B579" s="133"/>
    </row>
    <row r="580" ht="14.25" spans="2:2">
      <c r="B580" s="133"/>
    </row>
    <row r="581" ht="14.25" spans="2:2">
      <c r="B581" s="133"/>
    </row>
    <row r="582" ht="14.25" spans="2:2">
      <c r="B582" s="133"/>
    </row>
    <row r="583" ht="14.25" spans="2:2">
      <c r="B583" s="133"/>
    </row>
    <row r="584" ht="14.25" spans="2:2">
      <c r="B584" s="133"/>
    </row>
    <row r="585" ht="14.25" spans="2:2">
      <c r="B585" s="133"/>
    </row>
    <row r="586" ht="14.25" spans="2:2">
      <c r="B586" s="133"/>
    </row>
    <row r="587" ht="14.25" spans="2:2">
      <c r="B587" s="133"/>
    </row>
    <row r="588" ht="14.25" spans="2:2">
      <c r="B588" s="133"/>
    </row>
    <row r="589" ht="14.25" spans="2:2">
      <c r="B589" s="133"/>
    </row>
    <row r="590" ht="14.25" spans="2:2">
      <c r="B590" s="133"/>
    </row>
    <row r="591" ht="14.25" spans="2:2">
      <c r="B591" s="133"/>
    </row>
    <row r="592" ht="14.25" spans="2:2">
      <c r="B592" s="133"/>
    </row>
    <row r="593" ht="14.25" spans="2:2">
      <c r="B593" s="133"/>
    </row>
    <row r="594" ht="14.25" spans="2:2">
      <c r="B594" s="133"/>
    </row>
    <row r="595" ht="14.25" spans="2:2">
      <c r="B595" s="133"/>
    </row>
    <row r="596" ht="14.25" spans="2:2">
      <c r="B596" s="133"/>
    </row>
    <row r="597" ht="14.25" spans="2:2">
      <c r="B597" s="133"/>
    </row>
    <row r="598" ht="14.25" spans="2:2">
      <c r="B598" s="133"/>
    </row>
    <row r="599" ht="14.25" spans="2:2">
      <c r="B599" s="133"/>
    </row>
    <row r="600" ht="14.25" spans="2:2">
      <c r="B600" s="133"/>
    </row>
    <row r="601" ht="14.25" spans="2:2">
      <c r="B601" s="133"/>
    </row>
    <row r="602" ht="14.25" spans="2:2">
      <c r="B602" s="133"/>
    </row>
    <row r="603" ht="14.25" spans="2:2">
      <c r="B603" s="133"/>
    </row>
    <row r="604" ht="14.25" spans="2:2">
      <c r="B604" s="133"/>
    </row>
    <row r="605" ht="14.25" spans="2:2">
      <c r="B605" s="133"/>
    </row>
    <row r="606" ht="14.25" spans="2:2">
      <c r="B606" s="133"/>
    </row>
    <row r="607" ht="14.25" spans="2:2">
      <c r="B607" s="133"/>
    </row>
    <row r="608" ht="14.25" spans="2:2">
      <c r="B608" s="133"/>
    </row>
    <row r="609" ht="14.25" spans="2:2">
      <c r="B609" s="133"/>
    </row>
    <row r="610" ht="14.25" spans="2:2">
      <c r="B610" s="133"/>
    </row>
    <row r="611" ht="14.25" spans="2:2">
      <c r="B611" s="133"/>
    </row>
    <row r="612" ht="14.25" spans="2:2">
      <c r="B612" s="133"/>
    </row>
    <row r="613" ht="14.25" spans="2:2">
      <c r="B613" s="133"/>
    </row>
    <row r="614" ht="14.25" spans="2:2">
      <c r="B614" s="133"/>
    </row>
    <row r="615" ht="14.25" spans="2:2">
      <c r="B615" s="133"/>
    </row>
    <row r="616" ht="14.25" spans="2:2">
      <c r="B616" s="133"/>
    </row>
    <row r="617" ht="14.25" spans="2:2">
      <c r="B617" s="133"/>
    </row>
    <row r="618" ht="14.25" spans="2:2">
      <c r="B618" s="133"/>
    </row>
    <row r="619" ht="14.25" spans="2:2">
      <c r="B619" s="133"/>
    </row>
    <row r="620" ht="14.25" spans="2:2">
      <c r="B620" s="133"/>
    </row>
    <row r="621" ht="14.25" spans="2:2">
      <c r="B621" s="133"/>
    </row>
    <row r="622" ht="14.25" spans="2:2">
      <c r="B622" s="133"/>
    </row>
    <row r="623" ht="14.25" spans="2:2">
      <c r="B623" s="133"/>
    </row>
    <row r="624" ht="14.25" spans="2:2">
      <c r="B624" s="133"/>
    </row>
    <row r="625" ht="14.25" spans="2:2">
      <c r="B625" s="133"/>
    </row>
    <row r="626" ht="14.25" spans="2:2">
      <c r="B626" s="133"/>
    </row>
    <row r="627" ht="14.25" spans="2:2">
      <c r="B627" s="133"/>
    </row>
    <row r="628" ht="14.25" spans="2:2">
      <c r="B628" s="133"/>
    </row>
    <row r="629" ht="14.25" spans="2:2">
      <c r="B629" s="133"/>
    </row>
    <row r="630" ht="14.25" spans="2:2">
      <c r="B630" s="133"/>
    </row>
    <row r="631" ht="14.25" spans="2:2">
      <c r="B631" s="133"/>
    </row>
    <row r="632" ht="14.25" spans="2:2">
      <c r="B632" s="133"/>
    </row>
    <row r="633" ht="14.25" spans="2:2">
      <c r="B633" s="133"/>
    </row>
    <row r="634" ht="14.25" spans="2:2">
      <c r="B634" s="133"/>
    </row>
    <row r="635" ht="14.25" spans="2:2">
      <c r="B635" s="133"/>
    </row>
    <row r="636" ht="14.25" spans="2:2">
      <c r="B636" s="133"/>
    </row>
    <row r="637" ht="14.25" spans="2:2">
      <c r="B637" s="133"/>
    </row>
    <row r="638" ht="14.25" spans="2:2">
      <c r="B638" s="133"/>
    </row>
    <row r="639" ht="14.25" spans="2:2">
      <c r="B639" s="133"/>
    </row>
    <row r="640" ht="14.25" spans="2:2">
      <c r="B640" s="133"/>
    </row>
    <row r="641" ht="14.25" spans="2:2">
      <c r="B641" s="133"/>
    </row>
    <row r="642" ht="14.25" spans="2:2">
      <c r="B642" s="133"/>
    </row>
    <row r="643" ht="14.25" spans="2:2">
      <c r="B643" s="133"/>
    </row>
    <row r="644" ht="14.25" spans="2:2">
      <c r="B644" s="133"/>
    </row>
    <row r="645" ht="14.25" spans="2:2">
      <c r="B645" s="133"/>
    </row>
    <row r="646" ht="14.25" spans="2:2">
      <c r="B646" s="133"/>
    </row>
    <row r="647" ht="14.25" spans="2:2">
      <c r="B647" s="133"/>
    </row>
    <row r="648" ht="14.25" spans="2:2">
      <c r="B648" s="133"/>
    </row>
    <row r="649" ht="14.25" spans="2:2">
      <c r="B649" s="133"/>
    </row>
    <row r="650" ht="14.25" spans="2:2">
      <c r="B650" s="133"/>
    </row>
    <row r="651" ht="14.25" spans="2:2">
      <c r="B651" s="133"/>
    </row>
    <row r="652" ht="14.25" spans="2:2">
      <c r="B652" s="133"/>
    </row>
    <row r="653" ht="14.25" spans="2:2">
      <c r="B653" s="133"/>
    </row>
    <row r="654" ht="14.25" spans="2:2">
      <c r="B654" s="133"/>
    </row>
    <row r="655" ht="14.25" spans="2:2">
      <c r="B655" s="133"/>
    </row>
    <row r="656" ht="14.25" spans="2:2">
      <c r="B656" s="133"/>
    </row>
    <row r="657" ht="14.25" spans="2:2">
      <c r="B657" s="133"/>
    </row>
    <row r="658" ht="14.25" spans="2:2">
      <c r="B658" s="133"/>
    </row>
    <row r="659" ht="14.25" spans="2:2">
      <c r="B659" s="133"/>
    </row>
    <row r="660" ht="14.25" spans="2:2">
      <c r="B660" s="133"/>
    </row>
    <row r="661" ht="14.25" spans="2:2">
      <c r="B661" s="133"/>
    </row>
    <row r="662" ht="14.25" spans="2:2">
      <c r="B662" s="133"/>
    </row>
    <row r="663" ht="14.25" spans="2:2">
      <c r="B663" s="133"/>
    </row>
    <row r="664" ht="14.25" spans="2:2">
      <c r="B664" s="133"/>
    </row>
    <row r="665" ht="14.25" spans="2:2">
      <c r="B665" s="133"/>
    </row>
    <row r="666" ht="14.25" spans="2:2">
      <c r="B666" s="133"/>
    </row>
    <row r="667" ht="14.25" spans="2:2">
      <c r="B667" s="133"/>
    </row>
    <row r="668" ht="14.25" spans="2:2">
      <c r="B668" s="133"/>
    </row>
    <row r="669" ht="14.25" spans="2:2">
      <c r="B669" s="133"/>
    </row>
    <row r="670" ht="14.25" spans="2:2">
      <c r="B670" s="133"/>
    </row>
    <row r="671" ht="14.25" spans="2:2">
      <c r="B671" s="133"/>
    </row>
    <row r="672" ht="14.25" spans="2:2">
      <c r="B672" s="133"/>
    </row>
    <row r="673" ht="14.25" spans="2:2">
      <c r="B673" s="133"/>
    </row>
    <row r="674" ht="14.25" spans="2:2">
      <c r="B674" s="133"/>
    </row>
    <row r="675" ht="14.25" spans="2:2">
      <c r="B675" s="133"/>
    </row>
    <row r="676" ht="14.25" spans="2:2">
      <c r="B676" s="133"/>
    </row>
    <row r="677" ht="14.25" spans="2:2">
      <c r="B677" s="133"/>
    </row>
    <row r="678" ht="14.25" spans="2:2">
      <c r="B678" s="133"/>
    </row>
    <row r="679" ht="14.25" spans="2:2">
      <c r="B679" s="133"/>
    </row>
    <row r="680" ht="14.25" spans="2:2">
      <c r="B680" s="133"/>
    </row>
    <row r="681" ht="14.25" spans="2:2">
      <c r="B681" s="133"/>
    </row>
    <row r="682" ht="14.25" spans="2:2">
      <c r="B682" s="133"/>
    </row>
    <row r="683" ht="14.25" spans="2:2">
      <c r="B683" s="133"/>
    </row>
    <row r="684" ht="14.25" spans="2:2">
      <c r="B684" s="133"/>
    </row>
    <row r="685" ht="14.25" spans="2:2">
      <c r="B685" s="133"/>
    </row>
    <row r="686" ht="14.25" spans="2:2">
      <c r="B686" s="133"/>
    </row>
    <row r="687" ht="14.25" spans="2:2">
      <c r="B687" s="133"/>
    </row>
    <row r="688" ht="14.25" spans="2:2">
      <c r="B688" s="133"/>
    </row>
    <row r="689" ht="14.25" spans="2:2">
      <c r="B689" s="133"/>
    </row>
    <row r="690" ht="14.25" spans="2:2">
      <c r="B690" s="133"/>
    </row>
    <row r="691" ht="14.25" spans="2:2">
      <c r="B691" s="133"/>
    </row>
    <row r="692" ht="14.25" spans="2:2">
      <c r="B692" s="133"/>
    </row>
    <row r="693" ht="14.25" spans="2:2">
      <c r="B693" s="133"/>
    </row>
    <row r="694" ht="14.25" spans="2:2">
      <c r="B694" s="133"/>
    </row>
    <row r="695" ht="14.25" spans="2:2">
      <c r="B695" s="133"/>
    </row>
    <row r="696" ht="14.25" spans="2:2">
      <c r="B696" s="133"/>
    </row>
    <row r="697" ht="14.25" spans="2:2">
      <c r="B697" s="133"/>
    </row>
    <row r="698" ht="14.25" spans="2:2">
      <c r="B698" s="133"/>
    </row>
    <row r="699" ht="14.25" spans="2:2">
      <c r="B699" s="133"/>
    </row>
    <row r="700" ht="14.25" spans="2:2">
      <c r="B700" s="133"/>
    </row>
    <row r="701" ht="14.25" spans="2:2">
      <c r="B701" s="133"/>
    </row>
    <row r="702" ht="14.25" spans="2:2">
      <c r="B702" s="133"/>
    </row>
    <row r="703" ht="14.25" spans="2:2">
      <c r="B703" s="133"/>
    </row>
    <row r="704" ht="14.25" spans="2:2">
      <c r="B704" s="133"/>
    </row>
    <row r="705" ht="14.25" spans="2:2">
      <c r="B705" s="133"/>
    </row>
    <row r="706" ht="14.25" spans="2:2">
      <c r="B706" s="133"/>
    </row>
    <row r="707" ht="14.25" spans="2:2">
      <c r="B707" s="133"/>
    </row>
    <row r="708" ht="14.25" spans="2:2">
      <c r="B708" s="133"/>
    </row>
    <row r="709" ht="14.25" spans="2:2">
      <c r="B709" s="133"/>
    </row>
    <row r="710" ht="14.25" spans="2:2">
      <c r="B710" s="133"/>
    </row>
    <row r="711" ht="14.25" spans="2:2">
      <c r="B711" s="133"/>
    </row>
    <row r="712" ht="14.25" spans="2:2">
      <c r="B712" s="133"/>
    </row>
    <row r="713" ht="14.25" spans="2:2">
      <c r="B713" s="133"/>
    </row>
    <row r="714" ht="14.25" spans="2:2">
      <c r="B714" s="133"/>
    </row>
    <row r="715" ht="14.25" spans="2:2">
      <c r="B715" s="133"/>
    </row>
    <row r="716" ht="14.25" spans="2:2">
      <c r="B716" s="133"/>
    </row>
    <row r="717" ht="14.25" spans="2:2">
      <c r="B717" s="133"/>
    </row>
    <row r="718" ht="14.25" spans="2:2">
      <c r="B718" s="133"/>
    </row>
    <row r="719" ht="14.25" spans="2:2">
      <c r="B719" s="133"/>
    </row>
    <row r="720" ht="14.25" spans="2:2">
      <c r="B720" s="133"/>
    </row>
    <row r="721" ht="14.25" spans="2:2">
      <c r="B721" s="133"/>
    </row>
    <row r="722" ht="14.25" spans="2:2">
      <c r="B722" s="133"/>
    </row>
    <row r="723" ht="14.25" spans="2:2">
      <c r="B723" s="133"/>
    </row>
    <row r="724" ht="14.25" spans="2:2">
      <c r="B724" s="133"/>
    </row>
    <row r="725" ht="14.25" spans="2:2">
      <c r="B725" s="133"/>
    </row>
    <row r="726" ht="14.25" spans="2:2">
      <c r="B726" s="133"/>
    </row>
    <row r="727" ht="14.25" spans="2:2">
      <c r="B727" s="133"/>
    </row>
    <row r="728" ht="14.25" spans="2:2">
      <c r="B728" s="133"/>
    </row>
    <row r="729" ht="14.25" spans="2:2">
      <c r="B729" s="133"/>
    </row>
    <row r="730" ht="14.25" spans="2:2">
      <c r="B730" s="133"/>
    </row>
    <row r="731" ht="14.25" spans="2:2">
      <c r="B731" s="133"/>
    </row>
    <row r="732" ht="14.25" spans="2:2">
      <c r="B732" s="133"/>
    </row>
    <row r="733" ht="14.25" spans="2:2">
      <c r="B733" s="133"/>
    </row>
    <row r="734" ht="14.25" spans="2:2">
      <c r="B734" s="133"/>
    </row>
    <row r="735" ht="14.25" spans="2:2">
      <c r="B735" s="133"/>
    </row>
    <row r="736" ht="14.25" spans="2:2">
      <c r="B736" s="133"/>
    </row>
    <row r="737" ht="14.25" spans="2:2">
      <c r="B737" s="133"/>
    </row>
    <row r="738" ht="14.25" spans="2:2">
      <c r="B738" s="133"/>
    </row>
    <row r="739" ht="14.25" spans="2:2">
      <c r="B739" s="133"/>
    </row>
    <row r="740" ht="14.25" spans="2:2">
      <c r="B740" s="133"/>
    </row>
    <row r="741" ht="14.25" spans="2:2">
      <c r="B741" s="133"/>
    </row>
    <row r="742" ht="14.25" spans="2:2">
      <c r="B742" s="133"/>
    </row>
    <row r="743" ht="14.25" spans="2:2">
      <c r="B743" s="133"/>
    </row>
    <row r="744" ht="14.25" spans="2:2">
      <c r="B744" s="133"/>
    </row>
    <row r="745" ht="14.25" spans="2:2">
      <c r="B745" s="133"/>
    </row>
    <row r="746" ht="14.25" spans="2:2">
      <c r="B746" s="133"/>
    </row>
    <row r="747" ht="14.25" spans="2:2">
      <c r="B747" s="133"/>
    </row>
    <row r="748" ht="14.25" spans="2:2">
      <c r="B748" s="133"/>
    </row>
    <row r="749" ht="14.25" spans="2:2">
      <c r="B749" s="133"/>
    </row>
    <row r="750" ht="14.25" spans="2:2">
      <c r="B750" s="133"/>
    </row>
    <row r="751" ht="14.25" spans="2:2">
      <c r="B751" s="133"/>
    </row>
    <row r="752" ht="14.25" spans="2:2">
      <c r="B752" s="133"/>
    </row>
    <row r="753" ht="14.25" spans="2:2">
      <c r="B753" s="133"/>
    </row>
    <row r="754" ht="14.25" spans="2:2">
      <c r="B754" s="133"/>
    </row>
    <row r="755" ht="14.25" spans="2:2">
      <c r="B755" s="133"/>
    </row>
    <row r="756" ht="14.25" spans="2:2">
      <c r="B756" s="133"/>
    </row>
    <row r="757" ht="14.25" spans="2:2">
      <c r="B757" s="133"/>
    </row>
    <row r="758" ht="14.25" spans="2:2">
      <c r="B758" s="133"/>
    </row>
    <row r="759" ht="14.25" spans="2:2">
      <c r="B759" s="133"/>
    </row>
    <row r="760" ht="14.25" spans="2:2">
      <c r="B760" s="133"/>
    </row>
    <row r="761" ht="14.25" spans="2:2">
      <c r="B761" s="133"/>
    </row>
    <row r="762" ht="14.25" spans="2:2">
      <c r="B762" s="133"/>
    </row>
    <row r="763" ht="14.25" spans="2:2">
      <c r="B763" s="133"/>
    </row>
    <row r="764" ht="14.25" spans="2:2">
      <c r="B764" s="133"/>
    </row>
    <row r="765" ht="14.25" spans="2:2">
      <c r="B765" s="133"/>
    </row>
    <row r="766" ht="14.25" spans="2:2">
      <c r="B766" s="133"/>
    </row>
    <row r="767" ht="14.25" spans="2:2">
      <c r="B767" s="133"/>
    </row>
    <row r="768" ht="14.25" spans="2:2">
      <c r="B768" s="133"/>
    </row>
    <row r="769" ht="14.25" spans="2:2">
      <c r="B769" s="133"/>
    </row>
    <row r="770" ht="14.25" spans="2:2">
      <c r="B770" s="133"/>
    </row>
    <row r="771" ht="14.25" spans="2:2">
      <c r="B771" s="133"/>
    </row>
    <row r="772" ht="14.25" spans="2:2">
      <c r="B772" s="133"/>
    </row>
    <row r="773" ht="14.25" spans="2:2">
      <c r="B773" s="133"/>
    </row>
    <row r="774" ht="14.25" spans="2:2">
      <c r="B774" s="133"/>
    </row>
    <row r="775" ht="14.25" spans="2:2">
      <c r="B775" s="133"/>
    </row>
    <row r="776" ht="14.25" spans="2:2">
      <c r="B776" s="133"/>
    </row>
    <row r="777" ht="14.25" spans="2:2">
      <c r="B777" s="133"/>
    </row>
    <row r="778" ht="14.25" spans="2:2">
      <c r="B778" s="133"/>
    </row>
    <row r="779" ht="14.25" spans="2:2">
      <c r="B779" s="133"/>
    </row>
    <row r="780" ht="14.25" spans="2:2">
      <c r="B780" s="133"/>
    </row>
    <row r="781" ht="14.25" spans="2:2">
      <c r="B781" s="133"/>
    </row>
    <row r="782" ht="14.25" spans="2:2">
      <c r="B782" s="133"/>
    </row>
    <row r="783" ht="14.25" spans="2:2">
      <c r="B783" s="133"/>
    </row>
    <row r="784" ht="14.25" spans="2:2">
      <c r="B784" s="133"/>
    </row>
    <row r="785" ht="14.25" spans="2:2">
      <c r="B785" s="133"/>
    </row>
    <row r="786" ht="14.25" spans="2:2">
      <c r="B786" s="133"/>
    </row>
    <row r="787" ht="14.25" spans="2:2">
      <c r="B787" s="133"/>
    </row>
    <row r="788" ht="14.25" spans="2:2">
      <c r="B788" s="133"/>
    </row>
    <row r="789" ht="14.25" spans="2:2">
      <c r="B789" s="133"/>
    </row>
    <row r="790" ht="14.25" spans="2:2">
      <c r="B790" s="133"/>
    </row>
    <row r="791" ht="14.25" spans="2:2">
      <c r="B791" s="133"/>
    </row>
    <row r="792" ht="14.25" spans="2:2">
      <c r="B792" s="133"/>
    </row>
    <row r="793" ht="14.25" spans="2:2">
      <c r="B793" s="133"/>
    </row>
    <row r="794" ht="14.25" spans="2:2">
      <c r="B794" s="133"/>
    </row>
    <row r="795" ht="14.25" spans="2:2">
      <c r="B795" s="133"/>
    </row>
    <row r="796" ht="14.25" spans="2:2">
      <c r="B796" s="133"/>
    </row>
    <row r="797" ht="14.25" spans="2:2">
      <c r="B797" s="133"/>
    </row>
    <row r="798" ht="14.25" spans="2:2">
      <c r="B798" s="133"/>
    </row>
    <row r="799" ht="14.25" spans="2:2">
      <c r="B799" s="133"/>
    </row>
    <row r="800" ht="14.25" spans="2:2">
      <c r="B800" s="133"/>
    </row>
    <row r="801" ht="14.25" spans="2:2">
      <c r="B801" s="133"/>
    </row>
    <row r="802" ht="14.25" spans="2:2">
      <c r="B802" s="133"/>
    </row>
    <row r="803" ht="14.25" spans="2:2">
      <c r="B803" s="133"/>
    </row>
    <row r="804" ht="14.25" spans="2:2">
      <c r="B804" s="133"/>
    </row>
    <row r="805" ht="14.25" spans="2:2">
      <c r="B805" s="133"/>
    </row>
    <row r="806" ht="14.25" spans="2:2">
      <c r="B806" s="133"/>
    </row>
    <row r="807" ht="14.25" spans="2:2">
      <c r="B807" s="133"/>
    </row>
    <row r="808" ht="14.25" spans="2:2">
      <c r="B808" s="133"/>
    </row>
    <row r="809" ht="14.25" spans="2:2">
      <c r="B809" s="133"/>
    </row>
    <row r="810" ht="14.25" spans="2:2">
      <c r="B810" s="133"/>
    </row>
    <row r="811" ht="14.25" spans="2:2">
      <c r="B811" s="133"/>
    </row>
    <row r="812" ht="14.25" spans="2:2">
      <c r="B812" s="133"/>
    </row>
    <row r="813" ht="14.25" spans="2:2">
      <c r="B813" s="133"/>
    </row>
    <row r="814" ht="14.25" spans="2:2">
      <c r="B814" s="133"/>
    </row>
    <row r="815" ht="14.25" spans="2:2">
      <c r="B815" s="133"/>
    </row>
    <row r="816" ht="14.25" spans="2:2">
      <c r="B816" s="133"/>
    </row>
    <row r="817" ht="14.25" spans="2:2">
      <c r="B817" s="133"/>
    </row>
    <row r="818" ht="14.25" spans="2:2">
      <c r="B818" s="133"/>
    </row>
    <row r="819" ht="14.25" spans="2:2">
      <c r="B819" s="133"/>
    </row>
    <row r="820" ht="14.25" spans="2:2">
      <c r="B820" s="133"/>
    </row>
    <row r="821" ht="14.25" spans="2:2">
      <c r="B821" s="133"/>
    </row>
    <row r="822" ht="14.25" spans="2:2">
      <c r="B822" s="133"/>
    </row>
    <row r="823" ht="14.25" spans="2:2">
      <c r="B823" s="133"/>
    </row>
    <row r="824" ht="14.25" spans="2:2">
      <c r="B824" s="133"/>
    </row>
    <row r="825" ht="14.25" spans="2:2">
      <c r="B825" s="133"/>
    </row>
    <row r="826" ht="14.25" spans="2:2">
      <c r="B826" s="133"/>
    </row>
    <row r="827" ht="14.25" spans="2:2">
      <c r="B827" s="133"/>
    </row>
    <row r="828" ht="14.25" spans="2:2">
      <c r="B828" s="133"/>
    </row>
    <row r="829" ht="14.25" spans="2:2">
      <c r="B829" s="133"/>
    </row>
    <row r="830" ht="14.25" spans="2:2">
      <c r="B830" s="133"/>
    </row>
    <row r="831" ht="14.25" spans="2:2">
      <c r="B831" s="133"/>
    </row>
    <row r="832" ht="14.25" spans="2:2">
      <c r="B832" s="133"/>
    </row>
    <row r="833" ht="14.25" spans="2:2">
      <c r="B833" s="133"/>
    </row>
    <row r="834" ht="14.25" spans="2:2">
      <c r="B834" s="133"/>
    </row>
    <row r="835" ht="14.25" spans="2:2">
      <c r="B835" s="133"/>
    </row>
    <row r="836" ht="14.25" spans="2:2">
      <c r="B836" s="133"/>
    </row>
    <row r="837" ht="14.25" spans="2:2">
      <c r="B837" s="133"/>
    </row>
    <row r="838" ht="14.25" spans="2:2">
      <c r="B838" s="133"/>
    </row>
    <row r="839" ht="14.25" spans="2:2">
      <c r="B839" s="133"/>
    </row>
    <row r="840" ht="14.25" spans="2:2">
      <c r="B840" s="133"/>
    </row>
    <row r="841" ht="14.25" spans="2:2">
      <c r="B841" s="133"/>
    </row>
    <row r="842" ht="14.25" spans="2:2">
      <c r="B842" s="133"/>
    </row>
    <row r="843" ht="14.25" spans="2:2">
      <c r="B843" s="133"/>
    </row>
    <row r="844" ht="14.25" spans="2:2">
      <c r="B844" s="133"/>
    </row>
    <row r="845" ht="14.25" spans="2:2">
      <c r="B845" s="133"/>
    </row>
    <row r="846" ht="14.25" spans="2:2">
      <c r="B846" s="133"/>
    </row>
    <row r="847" ht="14.25" spans="2:2">
      <c r="B847" s="133"/>
    </row>
    <row r="848" ht="14.25" spans="2:2">
      <c r="B848" s="133"/>
    </row>
    <row r="849" ht="14.25" spans="2:2">
      <c r="B849" s="133"/>
    </row>
    <row r="850" ht="14.25" spans="2:2">
      <c r="B850" s="133"/>
    </row>
    <row r="851" ht="14.25" spans="2:2">
      <c r="B851" s="133"/>
    </row>
    <row r="852" ht="14.25" spans="2:2">
      <c r="B852" s="133"/>
    </row>
    <row r="853" ht="14.25" spans="2:2">
      <c r="B853" s="133"/>
    </row>
    <row r="854" ht="14.25" spans="2:2">
      <c r="B854" s="133"/>
    </row>
    <row r="855" ht="14.25" spans="2:2">
      <c r="B855" s="133"/>
    </row>
    <row r="856" ht="14.25" spans="2:2">
      <c r="B856" s="133"/>
    </row>
    <row r="857" ht="14.25" spans="2:2">
      <c r="B857" s="133"/>
    </row>
    <row r="858" ht="14.25" spans="2:2">
      <c r="B858" s="133"/>
    </row>
    <row r="859" ht="14.25" spans="2:2">
      <c r="B859" s="133"/>
    </row>
    <row r="860" ht="14.25" spans="2:2">
      <c r="B860" s="133"/>
    </row>
    <row r="861" ht="14.25" spans="2:2">
      <c r="B861" s="133"/>
    </row>
    <row r="862" ht="14.25" spans="2:2">
      <c r="B862" s="133"/>
    </row>
    <row r="863" ht="14.25" spans="2:2">
      <c r="B863" s="133"/>
    </row>
    <row r="864" ht="14.25" spans="2:2">
      <c r="B864" s="133"/>
    </row>
    <row r="865" ht="14.25" spans="2:2">
      <c r="B865" s="133"/>
    </row>
    <row r="866" ht="14.25" spans="2:2">
      <c r="B866" s="133"/>
    </row>
    <row r="867" ht="14.25" spans="2:2">
      <c r="B867" s="133"/>
    </row>
    <row r="868" ht="14.25" spans="2:2">
      <c r="B868" s="133"/>
    </row>
    <row r="869" ht="14.25" spans="2:2">
      <c r="B869" s="133"/>
    </row>
    <row r="870" ht="14.25" spans="2:2">
      <c r="B870" s="133"/>
    </row>
    <row r="871" ht="14.25" spans="2:2">
      <c r="B871" s="133"/>
    </row>
    <row r="872" ht="14.25" spans="2:2">
      <c r="B872" s="133"/>
    </row>
    <row r="873" ht="14.25" spans="2:2">
      <c r="B873" s="133"/>
    </row>
    <row r="874" ht="14.25" spans="2:2">
      <c r="B874" s="133"/>
    </row>
    <row r="875" ht="14.25" spans="2:2">
      <c r="B875" s="133"/>
    </row>
    <row r="876" ht="14.25" spans="2:2">
      <c r="B876" s="133"/>
    </row>
    <row r="877" ht="14.25" spans="2:2">
      <c r="B877" s="133"/>
    </row>
    <row r="878" ht="14.25" spans="2:2">
      <c r="B878" s="133"/>
    </row>
    <row r="879" ht="14.25" spans="2:2">
      <c r="B879" s="133"/>
    </row>
    <row r="880" ht="14.25" spans="2:2">
      <c r="B880" s="133"/>
    </row>
    <row r="881" ht="14.25" spans="2:2">
      <c r="B881" s="133"/>
    </row>
    <row r="882" ht="14.25" spans="2:2">
      <c r="B882" s="133"/>
    </row>
    <row r="883" ht="14.25" spans="2:2">
      <c r="B883" s="133"/>
    </row>
    <row r="884" ht="14.25" spans="2:2">
      <c r="B884" s="133"/>
    </row>
    <row r="885" ht="14.25" spans="2:2">
      <c r="B885" s="133"/>
    </row>
    <row r="886" ht="14.25" spans="2:2">
      <c r="B886" s="133"/>
    </row>
    <row r="887" ht="14.25" spans="2:2">
      <c r="B887" s="133"/>
    </row>
    <row r="888" ht="14.25" spans="2:2">
      <c r="B888" s="133"/>
    </row>
    <row r="889" ht="14.25" spans="2:2">
      <c r="B889" s="133"/>
    </row>
    <row r="890" ht="14.25" spans="2:2">
      <c r="B890" s="133"/>
    </row>
    <row r="891" ht="14.25" spans="2:2">
      <c r="B891" s="133"/>
    </row>
    <row r="892" ht="14.25" spans="2:2">
      <c r="B892" s="133"/>
    </row>
    <row r="893" ht="14.25" spans="2:2">
      <c r="B893" s="133"/>
    </row>
    <row r="894" ht="14.25" spans="2:2">
      <c r="B894" s="133"/>
    </row>
    <row r="895" ht="14.25" spans="2:2">
      <c r="B895" s="133"/>
    </row>
    <row r="896" ht="14.25" spans="2:2">
      <c r="B896" s="133"/>
    </row>
    <row r="897" ht="14.25" spans="2:2">
      <c r="B897" s="134"/>
    </row>
    <row r="898" ht="14.25" spans="2:2">
      <c r="B898" s="134"/>
    </row>
    <row r="899" ht="14.25" spans="2:2">
      <c r="B899" s="134"/>
    </row>
    <row r="900" ht="14.25" spans="2:2">
      <c r="B900" s="134"/>
    </row>
    <row r="901" ht="14.25" spans="2:2">
      <c r="B901" s="134"/>
    </row>
    <row r="902" ht="14.25" spans="2:2">
      <c r="B902" s="134"/>
    </row>
    <row r="903" ht="14.25" spans="2:2">
      <c r="B903" s="134"/>
    </row>
    <row r="904" ht="14.25" spans="2:2">
      <c r="B904" s="134"/>
    </row>
    <row r="905" ht="14.25" spans="2:2">
      <c r="B905" s="134"/>
    </row>
    <row r="906" ht="14.25" spans="2:2">
      <c r="B906" s="134"/>
    </row>
    <row r="907" ht="14.25" spans="2:2">
      <c r="B907" s="134"/>
    </row>
    <row r="908" ht="14.25" spans="2:2">
      <c r="B908" s="134"/>
    </row>
  </sheetData>
  <conditionalFormatting sqref="B4">
    <cfRule type="duplicateValues" dxfId="0" priority="16"/>
    <cfRule type="duplicateValues" dxfId="0" priority="15"/>
  </conditionalFormatting>
  <conditionalFormatting sqref="B32"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B53">
    <cfRule type="duplicateValues" dxfId="0" priority="6"/>
    <cfRule type="duplicateValues" dxfId="0" priority="5"/>
  </conditionalFormatting>
  <conditionalFormatting sqref="B54">
    <cfRule type="duplicateValues" dxfId="0" priority="8"/>
    <cfRule type="duplicateValues" dxfId="0" priority="7"/>
  </conditionalFormatting>
  <conditionalFormatting sqref="B87">
    <cfRule type="duplicateValues" dxfId="0" priority="54"/>
  </conditionalFormatting>
  <conditionalFormatting sqref="B41:B86">
    <cfRule type="duplicateValues" dxfId="0" priority="1"/>
  </conditionalFormatting>
  <conditionalFormatting sqref="B48:B52">
    <cfRule type="duplicateValues" dxfId="0" priority="2"/>
  </conditionalFormatting>
  <conditionalFormatting sqref="B55:B77">
    <cfRule type="duplicateValues" dxfId="0" priority="9"/>
  </conditionalFormatting>
  <conditionalFormatting sqref="B78:B86">
    <cfRule type="duplicateValues" dxfId="0" priority="3"/>
  </conditionalFormatting>
  <conditionalFormatting sqref="B88:B89">
    <cfRule type="duplicateValues" dxfId="0" priority="53"/>
  </conditionalFormatting>
  <conditionalFormatting sqref="B2:B3 B5:B31 B33:B40">
    <cfRule type="duplicateValues" dxfId="0" priority="18"/>
    <cfRule type="duplicateValues" dxfId="0" priority="17"/>
  </conditionalFormatting>
  <conditionalFormatting sqref="B2:B31 B33:B40">
    <cfRule type="duplicateValues" dxfId="0" priority="14"/>
  </conditionalFormatting>
  <conditionalFormatting sqref="B41:B47 B53:B77">
    <cfRule type="duplicateValues" dxfId="0" priority="4"/>
  </conditionalFormatting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G14" sqref="G14"/>
    </sheetView>
  </sheetViews>
  <sheetFormatPr defaultColWidth="9" defaultRowHeight="13.5" outlineLevelRow="6"/>
  <cols>
    <col min="1" max="1" width="13.3666666666667" customWidth="1"/>
  </cols>
  <sheetData>
    <row r="1" spans="1:1">
      <c r="A1" s="109" t="s">
        <v>583</v>
      </c>
    </row>
    <row r="2" spans="1:9">
      <c r="A2" s="110" t="s">
        <v>584</v>
      </c>
      <c r="B2" s="111"/>
      <c r="C2" s="111"/>
      <c r="D2" s="111"/>
      <c r="E2" s="111"/>
      <c r="F2" s="111"/>
      <c r="G2" s="111"/>
      <c r="H2" s="111"/>
      <c r="I2" s="111"/>
    </row>
    <row r="3" spans="1:1">
      <c r="A3" s="109" t="s">
        <v>585</v>
      </c>
    </row>
    <row r="4" spans="1:9">
      <c r="A4" s="110" t="s">
        <v>586</v>
      </c>
      <c r="B4" s="111"/>
      <c r="C4" s="111"/>
      <c r="D4" s="111"/>
      <c r="E4" s="111"/>
      <c r="F4" s="111"/>
      <c r="G4" s="111"/>
      <c r="H4" s="111"/>
      <c r="I4" s="111"/>
    </row>
    <row r="5" spans="1:1">
      <c r="A5" s="109" t="s">
        <v>587</v>
      </c>
    </row>
    <row r="6" ht="14.25"/>
    <row r="7" ht="14.25" spans="1:2">
      <c r="A7" s="109" t="s">
        <v>588</v>
      </c>
      <c r="B7" s="112">
        <v>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P28" sqref="P28"/>
    </sheetView>
  </sheetViews>
  <sheetFormatPr defaultColWidth="8.725" defaultRowHeight="14.25"/>
  <cols>
    <col min="1" max="1" width="8.725" style="107"/>
    <col min="2" max="2" width="11.3666666666667" style="107" customWidth="1"/>
    <col min="3" max="11" width="10.125" style="107"/>
    <col min="12" max="14" width="9.25" style="107"/>
    <col min="15" max="16384" width="8.725" style="107"/>
  </cols>
  <sheetData>
    <row r="1" spans="1:14">
      <c r="A1" s="107" t="s">
        <v>58</v>
      </c>
      <c r="B1" s="107" t="s">
        <v>589</v>
      </c>
      <c r="C1" s="107" t="s">
        <v>590</v>
      </c>
      <c r="D1" s="107" t="s">
        <v>591</v>
      </c>
      <c r="E1" s="107" t="s">
        <v>592</v>
      </c>
      <c r="F1" s="107" t="s">
        <v>593</v>
      </c>
      <c r="G1" s="107" t="s">
        <v>594</v>
      </c>
      <c r="H1" s="107" t="s">
        <v>595</v>
      </c>
      <c r="I1" s="107" t="s">
        <v>596</v>
      </c>
      <c r="J1" s="107" t="s">
        <v>597</v>
      </c>
      <c r="K1" s="107" t="s">
        <v>598</v>
      </c>
      <c r="L1" s="107" t="s">
        <v>599</v>
      </c>
      <c r="M1" s="107" t="s">
        <v>600</v>
      </c>
      <c r="N1" s="107" t="s">
        <v>601</v>
      </c>
    </row>
    <row r="15" spans="1:11">
      <c r="A15" s="108"/>
      <c r="B15" s="108" t="s">
        <v>602</v>
      </c>
      <c r="C15" s="107">
        <f t="shared" ref="C15:K15" si="0">SUM(C2:C14)</f>
        <v>0</v>
      </c>
      <c r="D15" s="107">
        <f t="shared" si="0"/>
        <v>0</v>
      </c>
      <c r="E15" s="107">
        <f t="shared" si="0"/>
        <v>0</v>
      </c>
      <c r="F15" s="107">
        <f t="shared" si="0"/>
        <v>0</v>
      </c>
      <c r="G15" s="107">
        <f t="shared" si="0"/>
        <v>0</v>
      </c>
      <c r="H15" s="107">
        <f t="shared" si="0"/>
        <v>0</v>
      </c>
      <c r="I15" s="107">
        <f t="shared" si="0"/>
        <v>0</v>
      </c>
      <c r="J15" s="107">
        <f t="shared" si="0"/>
        <v>0</v>
      </c>
      <c r="K15" s="107">
        <f t="shared" si="0"/>
        <v>0</v>
      </c>
    </row>
    <row r="16" spans="1:14">
      <c r="A16" s="107" t="s">
        <v>10</v>
      </c>
      <c r="B16" s="107" t="s">
        <v>589</v>
      </c>
      <c r="C16" s="107" t="s">
        <v>590</v>
      </c>
      <c r="D16" s="107" t="s">
        <v>591</v>
      </c>
      <c r="E16" s="107" t="s">
        <v>592</v>
      </c>
      <c r="F16" s="107" t="s">
        <v>593</v>
      </c>
      <c r="G16" s="107" t="s">
        <v>594</v>
      </c>
      <c r="H16" s="107" t="s">
        <v>595</v>
      </c>
      <c r="I16" s="107" t="s">
        <v>596</v>
      </c>
      <c r="J16" s="107" t="s">
        <v>597</v>
      </c>
      <c r="K16" s="107" t="s">
        <v>598</v>
      </c>
      <c r="L16" s="107" t="s">
        <v>599</v>
      </c>
      <c r="M16" s="107" t="s">
        <v>600</v>
      </c>
      <c r="N16" s="107" t="s">
        <v>601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银行模板</vt:lpstr>
      <vt:lpstr>工资</vt:lpstr>
      <vt:lpstr>非生产人员工资</vt:lpstr>
      <vt:lpstr>生产人员工资</vt:lpstr>
      <vt:lpstr>员工基本信息</vt:lpstr>
      <vt:lpstr>本月员工姓名</vt:lpstr>
      <vt:lpstr>说明</vt:lpstr>
      <vt:lpstr>input</vt:lpstr>
      <vt:lpstr>对比表</vt:lpstr>
      <vt:lpstr>工资分类统计表</vt:lpstr>
      <vt:lpstr>工资环比分析表</vt:lpstr>
      <vt:lpstr>会计凭证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小虾米</cp:lastModifiedBy>
  <dcterms:created xsi:type="dcterms:W3CDTF">2006-09-13T11:21:00Z</dcterms:created>
  <cp:lastPrinted>2016-12-26T08:37:00Z</cp:lastPrinted>
  <dcterms:modified xsi:type="dcterms:W3CDTF">2021-09-22T05:55:29Z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</vt:lpwstr>
  </property>
  <property fmtid="{D5CDD505-2E9C-101B-9397-08002B2CF9AE}" pid="4" name="KSOReadingLayout">
    <vt:bool>true</vt:bool>
  </property>
  <property fmtid="{D5CDD505-2E9C-101B-9397-08002B2CF9AE}" pid="5" name="ICV">
    <vt:lpwstr>32C979A470BD45298C2451F05D9BAB9F</vt:lpwstr>
  </property>
</Properties>
</file>