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鑫昌-2021年7月\"/>
    </mc:Choice>
  </mc:AlternateContent>
  <xr:revisionPtr revIDLastSave="0" documentId="13_ncr:1_{CD50395E-5BBA-41B5-9485-AD887763329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冲压工序费" sheetId="4" r:id="rId1"/>
    <sheet name="冲压件核价" sheetId="2" r:id="rId2"/>
    <sheet name="Sheet1" sheetId="3" r:id="rId3"/>
  </sheets>
  <definedNames>
    <definedName name="_xlnm._FilterDatabase" localSheetId="2" hidden="1">Sheet1!$A$1:$G$9</definedName>
    <definedName name="_xlnm._FilterDatabase" localSheetId="1" hidden="1">冲压件核价!$A$3:$AE$117</definedName>
    <definedName name="_xlnm.Print_Area" localSheetId="1">冲压件核价!$A$1:$AC$202</definedName>
  </definedNames>
  <calcPr calcId="191029" concurrentCalc="0"/>
</workbook>
</file>

<file path=xl/calcChain.xml><?xml version="1.0" encoding="utf-8"?>
<calcChain xmlns="http://schemas.openxmlformats.org/spreadsheetml/2006/main">
  <c r="AC12" i="2" l="1"/>
  <c r="AC4" i="2"/>
  <c r="U172" i="2"/>
  <c r="W31" i="2"/>
  <c r="W30" i="2"/>
  <c r="W23" i="2"/>
  <c r="W22" i="2"/>
  <c r="W15" i="2"/>
  <c r="W14" i="2"/>
  <c r="W7" i="2"/>
  <c r="W6" i="2"/>
  <c r="AD15" i="2"/>
  <c r="W10" i="2"/>
  <c r="AC191" i="2"/>
  <c r="R184" i="2"/>
  <c r="Y176" i="2"/>
  <c r="Z176" i="2"/>
  <c r="AC176" i="2"/>
  <c r="R175" i="2"/>
  <c r="W172" i="2"/>
  <c r="W175" i="2"/>
  <c r="Y167" i="2"/>
  <c r="Z167" i="2"/>
  <c r="AC167" i="2"/>
  <c r="AA167" i="2"/>
  <c r="W195" i="2"/>
  <c r="W194" i="2"/>
  <c r="W193" i="2"/>
  <c r="W192" i="2"/>
  <c r="W191" i="2"/>
  <c r="J191" i="2"/>
  <c r="O191" i="2"/>
  <c r="W189" i="2"/>
  <c r="J185" i="2"/>
  <c r="O185" i="2"/>
  <c r="W188" i="2"/>
  <c r="W187" i="2"/>
  <c r="W186" i="2"/>
  <c r="W185" i="2"/>
  <c r="U181" i="2"/>
  <c r="W181" i="2"/>
  <c r="W180" i="2"/>
  <c r="W179" i="2"/>
  <c r="K179" i="2"/>
  <c r="P179" i="2"/>
  <c r="P176" i="2"/>
  <c r="W178" i="2"/>
  <c r="W177" i="2"/>
  <c r="W176" i="2"/>
  <c r="K176" i="2"/>
  <c r="J176" i="2"/>
  <c r="W196" i="2"/>
  <c r="Q191" i="2"/>
  <c r="R191" i="2"/>
  <c r="R196" i="2"/>
  <c r="Y191" i="2"/>
  <c r="Z191" i="2"/>
  <c r="O176" i="2"/>
  <c r="Q176" i="2"/>
  <c r="R176" i="2"/>
  <c r="W190" i="2"/>
  <c r="Q185" i="2"/>
  <c r="R185" i="2"/>
  <c r="W184" i="2"/>
  <c r="O179" i="2"/>
  <c r="P171" i="2"/>
  <c r="K170" i="2"/>
  <c r="P170" i="2"/>
  <c r="R190" i="2"/>
  <c r="Y185" i="2"/>
  <c r="Z185" i="2"/>
  <c r="AC185" i="2"/>
  <c r="P167" i="2"/>
  <c r="Q179" i="2"/>
  <c r="R179" i="2"/>
  <c r="O170" i="2"/>
  <c r="AA118" i="2"/>
  <c r="P164" i="2"/>
  <c r="K167" i="2"/>
  <c r="J167" i="2"/>
  <c r="W171" i="2"/>
  <c r="W170" i="2"/>
  <c r="W169" i="2"/>
  <c r="W168" i="2"/>
  <c r="W167" i="2"/>
  <c r="AA160" i="2"/>
  <c r="T165" i="2"/>
  <c r="U165" i="2"/>
  <c r="W165" i="2"/>
  <c r="R164" i="2"/>
  <c r="W163" i="2"/>
  <c r="W164" i="2"/>
  <c r="P163" i="2"/>
  <c r="O163" i="2"/>
  <c r="W162" i="2"/>
  <c r="W161" i="2"/>
  <c r="W160" i="2"/>
  <c r="K160" i="2"/>
  <c r="J160" i="2"/>
  <c r="K156" i="2"/>
  <c r="J156" i="2"/>
  <c r="W158" i="2"/>
  <c r="W157" i="2"/>
  <c r="W156" i="2"/>
  <c r="K152" i="2"/>
  <c r="J152" i="2"/>
  <c r="W154" i="2"/>
  <c r="W153" i="2"/>
  <c r="W152" i="2"/>
  <c r="K147" i="2"/>
  <c r="O147" i="2"/>
  <c r="W150" i="2"/>
  <c r="W149" i="2"/>
  <c r="W148" i="2"/>
  <c r="W147" i="2"/>
  <c r="W145" i="2"/>
  <c r="W144" i="2"/>
  <c r="K142" i="2"/>
  <c r="J142" i="2"/>
  <c r="W143" i="2"/>
  <c r="W142" i="2"/>
  <c r="K138" i="2"/>
  <c r="J138" i="2"/>
  <c r="Q170" i="2"/>
  <c r="R170" i="2"/>
  <c r="O160" i="2"/>
  <c r="P160" i="2"/>
  <c r="O142" i="2"/>
  <c r="O167" i="2"/>
  <c r="W166" i="2"/>
  <c r="Q163" i="2"/>
  <c r="R163" i="2"/>
  <c r="W159" i="2"/>
  <c r="O156" i="2"/>
  <c r="W155" i="2"/>
  <c r="O152" i="2"/>
  <c r="W151" i="2"/>
  <c r="Q147" i="2"/>
  <c r="W146" i="2"/>
  <c r="W140" i="2"/>
  <c r="W139" i="2"/>
  <c r="W138" i="2"/>
  <c r="O138" i="2"/>
  <c r="W136" i="2"/>
  <c r="W135" i="2"/>
  <c r="W134" i="2"/>
  <c r="P134" i="2"/>
  <c r="K134" i="2"/>
  <c r="J134" i="2"/>
  <c r="W133" i="2"/>
  <c r="W132" i="2"/>
  <c r="W131" i="2"/>
  <c r="W130" i="2"/>
  <c r="W129" i="2"/>
  <c r="W128" i="2"/>
  <c r="K128" i="2"/>
  <c r="J128" i="2"/>
  <c r="W126" i="2"/>
  <c r="W123" i="2"/>
  <c r="W122" i="2"/>
  <c r="W125" i="2"/>
  <c r="W124" i="2"/>
  <c r="P124" i="2"/>
  <c r="K124" i="2"/>
  <c r="J124" i="2"/>
  <c r="W120" i="2"/>
  <c r="K118" i="2"/>
  <c r="J118" i="2"/>
  <c r="W121" i="2"/>
  <c r="W119" i="2"/>
  <c r="W118" i="2"/>
  <c r="Q160" i="2"/>
  <c r="R160" i="2"/>
  <c r="R166" i="2"/>
  <c r="Y160" i="2"/>
  <c r="Z160" i="2"/>
  <c r="AC160" i="2"/>
  <c r="Q156" i="2"/>
  <c r="R156" i="2"/>
  <c r="R159" i="2"/>
  <c r="Y156" i="2"/>
  <c r="Z156" i="2"/>
  <c r="AC156" i="2"/>
  <c r="Q152" i="2"/>
  <c r="R152" i="2"/>
  <c r="Q142" i="2"/>
  <c r="R142" i="2"/>
  <c r="Q167" i="2"/>
  <c r="R167" i="2"/>
  <c r="R147" i="2"/>
  <c r="R151" i="2"/>
  <c r="Y147" i="2"/>
  <c r="Z147" i="2"/>
  <c r="AC147" i="2"/>
  <c r="O124" i="2"/>
  <c r="O128" i="2"/>
  <c r="O134" i="2"/>
  <c r="W141" i="2"/>
  <c r="Q138" i="2"/>
  <c r="W127" i="2"/>
  <c r="W137" i="2"/>
  <c r="O118" i="2"/>
  <c r="R138" i="2"/>
  <c r="R141" i="2"/>
  <c r="Y138" i="2"/>
  <c r="Z138" i="2"/>
  <c r="AC138" i="2"/>
  <c r="Q118" i="2"/>
  <c r="R118" i="2"/>
  <c r="R155" i="2"/>
  <c r="Y152" i="2"/>
  <c r="Z152" i="2"/>
  <c r="AC152" i="2"/>
  <c r="Q134" i="2"/>
  <c r="R134" i="2"/>
  <c r="Q128" i="2"/>
  <c r="R128" i="2"/>
  <c r="Q124" i="2"/>
  <c r="R124" i="2"/>
  <c r="R146" i="2"/>
  <c r="Y142" i="2"/>
  <c r="Z142" i="2"/>
  <c r="AC142" i="2"/>
  <c r="R127" i="2"/>
  <c r="Y118" i="2"/>
  <c r="Z118" i="2"/>
  <c r="AC118" i="2"/>
  <c r="R137" i="2"/>
  <c r="Y128" i="2"/>
  <c r="Z128" i="2"/>
  <c r="AC128" i="2"/>
  <c r="G4" i="3"/>
  <c r="W87" i="2"/>
  <c r="W88" i="2"/>
  <c r="R88" i="2"/>
  <c r="W86" i="2"/>
  <c r="W85" i="2"/>
  <c r="W84" i="2"/>
  <c r="W83" i="2"/>
  <c r="W82" i="2"/>
  <c r="O82" i="2"/>
  <c r="W66" i="2"/>
  <c r="W58" i="2"/>
  <c r="W49" i="2"/>
  <c r="W41" i="2"/>
  <c r="R116" i="2"/>
  <c r="R109" i="2"/>
  <c r="W89" i="2"/>
  <c r="Q82" i="2"/>
  <c r="R82" i="2"/>
  <c r="G7" i="3"/>
  <c r="G8" i="3"/>
  <c r="E9" i="3"/>
  <c r="G9" i="3"/>
  <c r="E8" i="3"/>
  <c r="E3" i="3"/>
  <c r="G3" i="3"/>
  <c r="E4" i="3"/>
  <c r="E5" i="3"/>
  <c r="G5" i="3"/>
  <c r="E6" i="3"/>
  <c r="G6" i="3"/>
  <c r="E2" i="3"/>
  <c r="G2" i="3"/>
  <c r="R89" i="2"/>
  <c r="Y82" i="2"/>
  <c r="Z82" i="2"/>
  <c r="AC82" i="2"/>
  <c r="W113" i="2"/>
  <c r="W112" i="2"/>
  <c r="W111" i="2"/>
  <c r="O111" i="2"/>
  <c r="Q111" i="2"/>
  <c r="R111" i="2"/>
  <c r="R117" i="2"/>
  <c r="W117" i="2"/>
  <c r="Y111" i="2"/>
  <c r="Z111" i="2"/>
  <c r="AC111" i="2"/>
  <c r="W101" i="2"/>
  <c r="W100" i="2"/>
  <c r="W99" i="2"/>
  <c r="W98" i="2"/>
  <c r="W97" i="2"/>
  <c r="O97" i="2"/>
  <c r="W105" i="2"/>
  <c r="W106" i="2"/>
  <c r="W104" i="2"/>
  <c r="O104" i="2"/>
  <c r="Q97" i="2"/>
  <c r="W103" i="2"/>
  <c r="W110" i="2"/>
  <c r="Q104" i="2"/>
  <c r="R97" i="2"/>
  <c r="R103" i="2"/>
  <c r="Y97" i="2"/>
  <c r="Z97" i="2"/>
  <c r="AC97" i="2"/>
  <c r="R104" i="2"/>
  <c r="R110" i="2"/>
  <c r="Y104" i="2"/>
  <c r="Z104" i="2"/>
  <c r="AC104" i="2"/>
  <c r="W91" i="2"/>
  <c r="W92" i="2"/>
  <c r="W93" i="2"/>
  <c r="W94" i="2"/>
  <c r="W90" i="2"/>
  <c r="O90" i="2"/>
  <c r="W76" i="2"/>
  <c r="W77" i="2"/>
  <c r="W78" i="2"/>
  <c r="W79" i="2"/>
  <c r="W75" i="2"/>
  <c r="O75" i="2"/>
  <c r="W81" i="2"/>
  <c r="W96" i="2"/>
  <c r="Q90" i="2"/>
  <c r="Q75" i="2"/>
  <c r="O68" i="2"/>
  <c r="W69" i="2"/>
  <c r="W70" i="2"/>
  <c r="W71" i="2"/>
  <c r="W68" i="2"/>
  <c r="O36" i="2"/>
  <c r="W65" i="2"/>
  <c r="W64" i="2"/>
  <c r="W57" i="2"/>
  <c r="W56" i="2"/>
  <c r="R65" i="2"/>
  <c r="R64" i="2"/>
  <c r="W63" i="2"/>
  <c r="W62" i="2"/>
  <c r="W61" i="2"/>
  <c r="W60" i="2"/>
  <c r="O60" i="2"/>
  <c r="O52" i="2"/>
  <c r="W53" i="2"/>
  <c r="W54" i="2"/>
  <c r="W55" i="2"/>
  <c r="W52" i="2"/>
  <c r="R57" i="2"/>
  <c r="R56" i="2"/>
  <c r="W50" i="2"/>
  <c r="W48" i="2"/>
  <c r="W47" i="2"/>
  <c r="W46" i="2"/>
  <c r="W45" i="2"/>
  <c r="W44" i="2"/>
  <c r="W37" i="2"/>
  <c r="W38" i="2"/>
  <c r="W39" i="2"/>
  <c r="W40" i="2"/>
  <c r="W42" i="2"/>
  <c r="W36" i="2"/>
  <c r="O44" i="2"/>
  <c r="O20" i="2"/>
  <c r="O12" i="2"/>
  <c r="P28" i="2"/>
  <c r="P20" i="2"/>
  <c r="O28" i="2"/>
  <c r="W33" i="2"/>
  <c r="W32" i="2"/>
  <c r="W29" i="2"/>
  <c r="W28" i="2"/>
  <c r="W18" i="2"/>
  <c r="P4" i="2"/>
  <c r="O4" i="2"/>
  <c r="P12" i="2"/>
  <c r="W24" i="2"/>
  <c r="W25" i="2"/>
  <c r="W20" i="2"/>
  <c r="W21" i="2"/>
  <c r="W17" i="2"/>
  <c r="W16" i="2"/>
  <c r="W13" i="2"/>
  <c r="W12" i="2"/>
  <c r="W8" i="2"/>
  <c r="W9" i="2"/>
  <c r="W4" i="2"/>
  <c r="W5" i="2"/>
  <c r="Q52" i="2"/>
  <c r="R52" i="2"/>
  <c r="R59" i="2"/>
  <c r="Q68" i="2"/>
  <c r="R68" i="2"/>
  <c r="Q36" i="2"/>
  <c r="R36" i="2"/>
  <c r="R43" i="2"/>
  <c r="Q44" i="2"/>
  <c r="R44" i="2"/>
  <c r="R51" i="2"/>
  <c r="R75" i="2"/>
  <c r="R81" i="2"/>
  <c r="Y75" i="2"/>
  <c r="Z75" i="2"/>
  <c r="AC75" i="2"/>
  <c r="R90" i="2"/>
  <c r="R96" i="2"/>
  <c r="Y90" i="2"/>
  <c r="Z90" i="2"/>
  <c r="AC90" i="2"/>
  <c r="W67" i="2"/>
  <c r="W59" i="2"/>
  <c r="W27" i="2"/>
  <c r="W35" i="2"/>
  <c r="W11" i="2"/>
  <c r="W74" i="2"/>
  <c r="Q60" i="2"/>
  <c r="R60" i="2"/>
  <c r="W51" i="2"/>
  <c r="W43" i="2"/>
  <c r="Q20" i="2"/>
  <c r="R20" i="2"/>
  <c r="Q28" i="2"/>
  <c r="R28" i="2"/>
  <c r="Q4" i="2"/>
  <c r="R4" i="2"/>
  <c r="Q12" i="2"/>
  <c r="R12" i="2"/>
  <c r="W19" i="2"/>
  <c r="R74" i="2"/>
  <c r="Y68" i="2"/>
  <c r="Z68" i="2"/>
  <c r="AC68" i="2"/>
  <c r="R19" i="2"/>
  <c r="Y12" i="2"/>
  <c r="Z12" i="2"/>
  <c r="R11" i="2"/>
  <c r="Y4" i="2"/>
  <c r="Z4" i="2"/>
  <c r="R67" i="2"/>
  <c r="Y60" i="2"/>
  <c r="Z60" i="2"/>
  <c r="AC60" i="2"/>
  <c r="Y52" i="2"/>
  <c r="Z52" i="2"/>
  <c r="AC52" i="2"/>
  <c r="Y44" i="2"/>
  <c r="Z44" i="2"/>
  <c r="AC44" i="2"/>
  <c r="Y36" i="2"/>
  <c r="Z36" i="2"/>
  <c r="AC36" i="2"/>
  <c r="R35" i="2"/>
  <c r="R27" i="2"/>
  <c r="Y20" i="2"/>
  <c r="Y28" i="2"/>
  <c r="Z28" i="2"/>
  <c r="AC28" i="2"/>
  <c r="Z20" i="2"/>
  <c r="AC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吴英格</author>
  </authors>
  <commentList>
    <comment ref="C4" authorId="0" shapeId="0" xr:uid="{A1C6BA1C-5993-42CC-965E-DC4D76B5803F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钣金件SHT0012141</t>
        </r>
      </text>
    </comment>
    <comment ref="F4" authorId="0" shapeId="0" xr:uid="{DB5BDC48-5752-4EC5-91B3-44E4AD02AEF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模具为桥行制作，荣昌开发</t>
        </r>
      </text>
    </comment>
    <comment ref="S6" authorId="1" shapeId="0" xr:uid="{C99738CE-4E8B-4CEB-9E78-66A6B54A390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人工两次取件
</t>
        </r>
      </text>
    </comment>
    <comment ref="S7" authorId="0" shapeId="0" xr:uid="{E45E367B-6CC6-4751-A576-B170F62A9E84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人工两次摆件取件</t>
        </r>
      </text>
    </comment>
    <comment ref="C12" authorId="0" shapeId="0" xr:uid="{14A31579-A015-4976-9DE8-3D7C18B1984F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钣金件SHT0012141</t>
        </r>
      </text>
    </comment>
    <comment ref="F12" authorId="0" shapeId="0" xr:uid="{DF7F9085-D235-45F3-B79A-4D5D6749B133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模具为桥行制作，荣昌开发</t>
        </r>
      </text>
    </comment>
    <comment ref="S14" authorId="1" shapeId="0" xr:uid="{FAAD53B8-A2F3-48AE-AE0B-A1CBD9424B4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人工两次取件
</t>
        </r>
      </text>
    </comment>
    <comment ref="S15" authorId="0" shapeId="0" xr:uid="{7B508C74-F9B9-40DB-9E1E-7691477CB73A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人工两次摆件取件</t>
        </r>
      </text>
    </comment>
    <comment ref="H104" authorId="0" shapeId="0" xr:uid="{1B8147B4-4DF2-40E7-B296-601D0B216E25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估计</t>
        </r>
      </text>
    </comment>
    <comment ref="H111" authorId="0" shapeId="0" xr:uid="{B1810CFE-22B9-47A8-A9BA-08F6F27A418A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估计</t>
        </r>
      </text>
    </comment>
  </commentList>
</comments>
</file>

<file path=xl/sharedStrings.xml><?xml version="1.0" encoding="utf-8"?>
<sst xmlns="http://schemas.openxmlformats.org/spreadsheetml/2006/main" count="622" uniqueCount="237">
  <si>
    <t>序</t>
  </si>
  <si>
    <t>物料代码</t>
  </si>
  <si>
    <t>名称</t>
  </si>
  <si>
    <t>材质</t>
  </si>
  <si>
    <t>含税单价</t>
  </si>
  <si>
    <t>重量</t>
  </si>
  <si>
    <t>材料费</t>
  </si>
  <si>
    <t>加工成本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</si>
  <si>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</si>
  <si>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</si>
  <si>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</si>
  <si>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</si>
  <si>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</si>
  <si>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</si>
  <si>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</si>
  <si>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</si>
  <si>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</si>
  <si>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200T</t>
  </si>
  <si>
    <t>成型</t>
  </si>
  <si>
    <t>冲孔</t>
  </si>
  <si>
    <t>100T</t>
  </si>
  <si>
    <t>不含税单价</t>
  </si>
  <si>
    <t>落料冲孔连体</t>
  </si>
  <si>
    <t>冲孔 *2</t>
  </si>
  <si>
    <t>160T</t>
  </si>
  <si>
    <t>折弯 *2</t>
  </si>
  <si>
    <t>落料 *2</t>
  </si>
  <si>
    <t>成型 双工位</t>
  </si>
  <si>
    <t>冲孔 双工位</t>
  </si>
  <si>
    <t>精冲1 *2</t>
  </si>
  <si>
    <t>精冲2 *2</t>
  </si>
  <si>
    <t xml:space="preserve">落料 </t>
  </si>
  <si>
    <t xml:space="preserve"> 冲孔  </t>
  </si>
  <si>
    <t>M10焊接螺母</t>
  </si>
  <si>
    <t>点焊*2</t>
  </si>
  <si>
    <t>7/16焊接螺母</t>
  </si>
  <si>
    <t>下料</t>
  </si>
  <si>
    <t xml:space="preserve">冲孔 </t>
  </si>
  <si>
    <t>切边</t>
  </si>
  <si>
    <t>下料尺寸</t>
    <phoneticPr fontId="7" type="noConversion"/>
  </si>
  <si>
    <t>长mm</t>
    <phoneticPr fontId="7" type="noConversion"/>
  </si>
  <si>
    <t>宽mm</t>
    <phoneticPr fontId="7" type="noConversion"/>
  </si>
  <si>
    <t>厚mm</t>
    <phoneticPr fontId="7" type="noConversion"/>
  </si>
  <si>
    <t>出件数</t>
    <phoneticPr fontId="7" type="noConversion"/>
  </si>
  <si>
    <t>含税价格</t>
    <phoneticPr fontId="7" type="noConversion"/>
  </si>
  <si>
    <t>未税模具费</t>
    <phoneticPr fontId="7" type="noConversion"/>
  </si>
  <si>
    <t>摊销件数</t>
    <phoneticPr fontId="7" type="noConversion"/>
  </si>
  <si>
    <t>单件</t>
    <phoneticPr fontId="7" type="noConversion"/>
  </si>
  <si>
    <t>02.03.59.006</t>
    <phoneticPr fontId="7" type="noConversion"/>
  </si>
  <si>
    <t>右侧调角器连接板焊接总成</t>
    <phoneticPr fontId="7" type="noConversion"/>
  </si>
  <si>
    <t>材料合计：</t>
    <phoneticPr fontId="7" type="noConversion"/>
  </si>
  <si>
    <t>加工费合计：</t>
    <phoneticPr fontId="7" type="noConversion"/>
  </si>
  <si>
    <t>含模摊未税单价</t>
    <phoneticPr fontId="7" type="noConversion"/>
  </si>
  <si>
    <t>02.03.59.005</t>
    <phoneticPr fontId="7" type="noConversion"/>
  </si>
  <si>
    <t>左侧调角器连接板焊接总成</t>
    <phoneticPr fontId="7" type="noConversion"/>
  </si>
  <si>
    <t>座框右侧内边板</t>
    <phoneticPr fontId="7" type="noConversion"/>
  </si>
  <si>
    <t>系数</t>
    <phoneticPr fontId="7" type="noConversion"/>
  </si>
  <si>
    <t>数量</t>
    <phoneticPr fontId="7" type="noConversion"/>
  </si>
  <si>
    <t>座框左侧内边板</t>
    <phoneticPr fontId="7" type="noConversion"/>
  </si>
  <si>
    <t>厂家</t>
    <phoneticPr fontId="7" type="noConversion"/>
  </si>
  <si>
    <t>鑫昌</t>
    <phoneticPr fontId="7" type="noConversion"/>
  </si>
  <si>
    <t>冲孔2</t>
  </si>
  <si>
    <t>冲压件核价</t>
    <phoneticPr fontId="7" type="noConversion"/>
  </si>
  <si>
    <t>核价区间</t>
    <phoneticPr fontId="7" type="noConversion"/>
  </si>
  <si>
    <t>冲孔1</t>
  </si>
  <si>
    <t>冲孔3</t>
  </si>
  <si>
    <t>SPFH590 2.0</t>
  </si>
  <si>
    <t>落料冲孔</t>
  </si>
  <si>
    <t>折弯*2</t>
  </si>
  <si>
    <t>冲小孔*2</t>
  </si>
  <si>
    <t>SHT0012153</t>
    <phoneticPr fontId="7" type="noConversion"/>
  </si>
  <si>
    <t>SHT0012154</t>
    <phoneticPr fontId="7" type="noConversion"/>
  </si>
  <si>
    <t>02.03.59.009</t>
    <phoneticPr fontId="7" type="noConversion"/>
  </si>
  <si>
    <t>02.03.59.010</t>
    <phoneticPr fontId="7" type="noConversion"/>
  </si>
  <si>
    <t>左侧边框分总成</t>
    <phoneticPr fontId="7" type="noConversion"/>
  </si>
  <si>
    <t>右侧边框分总成</t>
    <phoneticPr fontId="7" type="noConversion"/>
  </si>
  <si>
    <t>02.03.59.012</t>
  </si>
  <si>
    <t>SHT0012140</t>
  </si>
  <si>
    <t>左侧边框</t>
    <phoneticPr fontId="7" type="noConversion"/>
  </si>
  <si>
    <t>右侧边框</t>
    <phoneticPr fontId="7" type="noConversion"/>
  </si>
  <si>
    <t>焊接轴套</t>
    <phoneticPr fontId="7" type="noConversion"/>
  </si>
  <si>
    <t>右侧仰角卡板</t>
  </si>
  <si>
    <t>SAPH440 5.0</t>
  </si>
  <si>
    <t>02.03.59.008</t>
  </si>
  <si>
    <t>左侧仰角卡板</t>
  </si>
  <si>
    <t>QAD号</t>
    <phoneticPr fontId="7" type="noConversion"/>
  </si>
  <si>
    <t>左侧调角器连接板焊接总成</t>
  </si>
  <si>
    <t>点焊</t>
  </si>
  <si>
    <t>SAPH440 2.5</t>
    <phoneticPr fontId="7" type="noConversion"/>
  </si>
  <si>
    <t>齿板锁舌</t>
  </si>
  <si>
    <t>02.03.59.017</t>
  </si>
  <si>
    <t>SPFH590 4.0</t>
  </si>
  <si>
    <t>去毛刺</t>
  </si>
  <si>
    <t>倒角</t>
    <phoneticPr fontId="7" type="noConversion"/>
  </si>
  <si>
    <t>精冲</t>
    <phoneticPr fontId="7" type="noConversion"/>
  </si>
  <si>
    <t>SHT0012144</t>
    <phoneticPr fontId="7" type="noConversion"/>
  </si>
  <si>
    <t>座框前边板</t>
  </si>
  <si>
    <t>02.03.59.013</t>
  </si>
  <si>
    <t>T5左边板</t>
    <phoneticPr fontId="7" type="noConversion"/>
  </si>
  <si>
    <t>SPFH590 2.0</t>
    <phoneticPr fontId="7" type="noConversion"/>
  </si>
  <si>
    <t>M10焊接螺母1个</t>
  </si>
  <si>
    <t xml:space="preserve">焊接 </t>
  </si>
  <si>
    <t>SHT0012832</t>
    <phoneticPr fontId="7" type="noConversion"/>
  </si>
  <si>
    <t>T5座框旋转左支撑焊接件</t>
    <phoneticPr fontId="7" type="noConversion"/>
  </si>
  <si>
    <t>SHT0011727</t>
    <phoneticPr fontId="7" type="noConversion"/>
  </si>
  <si>
    <t>02.03.61.007</t>
    <phoneticPr fontId="7" type="noConversion"/>
  </si>
  <si>
    <t>T5右边板</t>
    <phoneticPr fontId="7" type="noConversion"/>
  </si>
  <si>
    <t>SHT0012833</t>
    <phoneticPr fontId="7" type="noConversion"/>
  </si>
  <si>
    <t>SHT0012146</t>
    <phoneticPr fontId="7" type="noConversion"/>
  </si>
  <si>
    <t>SHT0012269</t>
    <phoneticPr fontId="7" type="noConversion"/>
  </si>
  <si>
    <t>SHT0012268</t>
    <phoneticPr fontId="7" type="noConversion"/>
  </si>
  <si>
    <t>SHT0011726</t>
    <phoneticPr fontId="7" type="noConversion"/>
  </si>
  <si>
    <t>02.03.61.006</t>
    <phoneticPr fontId="7" type="noConversion"/>
  </si>
  <si>
    <t>T5座框旋转左支撑焊接件（原供长生D03,长生供长春）</t>
    <phoneticPr fontId="7" type="noConversion"/>
  </si>
  <si>
    <t>T5座框旋转右支撑焊接件（原供长生D03,长生供长春）</t>
    <phoneticPr fontId="7" type="noConversion"/>
  </si>
  <si>
    <t>仰角旋转支撑轴套BAS0010023</t>
    <phoneticPr fontId="7" type="noConversion"/>
  </si>
  <si>
    <t>SHT0012010</t>
    <phoneticPr fontId="7" type="noConversion"/>
  </si>
  <si>
    <t>成型</t>
    <phoneticPr fontId="7" type="noConversion"/>
  </si>
  <si>
    <t>SHT0012011</t>
    <phoneticPr fontId="7" type="noConversion"/>
  </si>
  <si>
    <t>100T</t>
    <phoneticPr fontId="7" type="noConversion"/>
  </si>
  <si>
    <t>160T</t>
    <phoneticPr fontId="7" type="noConversion"/>
  </si>
  <si>
    <t>整形</t>
    <phoneticPr fontId="7" type="noConversion"/>
  </si>
  <si>
    <t>M10焊接螺母</t>
    <phoneticPr fontId="7" type="noConversion"/>
  </si>
  <si>
    <t>7/16焊接螺母</t>
    <phoneticPr fontId="7" type="noConversion"/>
  </si>
  <si>
    <t>日期</t>
    <phoneticPr fontId="7" type="noConversion"/>
  </si>
  <si>
    <t>产品</t>
    <phoneticPr fontId="7" type="noConversion"/>
  </si>
  <si>
    <t>厚度</t>
    <phoneticPr fontId="7" type="noConversion"/>
  </si>
  <si>
    <t>未税单价</t>
    <phoneticPr fontId="7" type="noConversion"/>
  </si>
  <si>
    <t>含税</t>
    <phoneticPr fontId="7" type="noConversion"/>
  </si>
  <si>
    <t>QSTE420</t>
    <phoneticPr fontId="7" type="noConversion"/>
  </si>
  <si>
    <t>SPHC</t>
    <phoneticPr fontId="7" type="noConversion"/>
  </si>
  <si>
    <t>运费</t>
    <phoneticPr fontId="7" type="noConversion"/>
  </si>
  <si>
    <t>价格</t>
    <phoneticPr fontId="7" type="noConversion"/>
  </si>
  <si>
    <t>1天出1500件，人工费200元/天，30kw电机（0.8功率因数），315冲床37万。</t>
    <phoneticPr fontId="7" type="noConversion"/>
  </si>
  <si>
    <t>1天出1000件，人工费200元/天，23kw电机（0.8功率因数），315油压机15.39万。</t>
    <phoneticPr fontId="7" type="noConversion"/>
  </si>
  <si>
    <t>一天1600个母，200元/天人工费</t>
    <phoneticPr fontId="7" type="noConversion"/>
  </si>
  <si>
    <t>更换冲针（基本500件换一根）</t>
    <phoneticPr fontId="7" type="noConversion"/>
  </si>
  <si>
    <t>补焊</t>
    <phoneticPr fontId="7" type="noConversion"/>
  </si>
  <si>
    <t>委外氩弧焊</t>
    <phoneticPr fontId="7" type="noConversion"/>
  </si>
  <si>
    <t>02.03.59.023</t>
    <phoneticPr fontId="7" type="noConversion"/>
  </si>
  <si>
    <t>座框前边板总成</t>
    <phoneticPr fontId="7" type="noConversion"/>
  </si>
  <si>
    <t>M6焊接螺母</t>
    <phoneticPr fontId="7" type="noConversion"/>
  </si>
  <si>
    <t>焊接*2</t>
    <phoneticPr fontId="7" type="noConversion"/>
  </si>
  <si>
    <t>80T</t>
    <phoneticPr fontId="7" type="noConversion"/>
  </si>
  <si>
    <t>200T</t>
    <phoneticPr fontId="7" type="noConversion"/>
  </si>
  <si>
    <t>315T</t>
  </si>
  <si>
    <t>315T</t>
    <phoneticPr fontId="7" type="noConversion"/>
  </si>
  <si>
    <t>315油</t>
    <phoneticPr fontId="7" type="noConversion"/>
  </si>
  <si>
    <t>02.03.60.009</t>
    <phoneticPr fontId="7" type="noConversion"/>
  </si>
  <si>
    <t>座框左侧外边板</t>
    <phoneticPr fontId="7" type="noConversion"/>
  </si>
  <si>
    <t>座框左侧外边板总成</t>
    <phoneticPr fontId="7" type="noConversion"/>
  </si>
  <si>
    <t>小片</t>
    <phoneticPr fontId="7" type="noConversion"/>
  </si>
  <si>
    <t>落料</t>
    <phoneticPr fontId="7" type="noConversion"/>
  </si>
  <si>
    <t>成型1</t>
    <phoneticPr fontId="7" type="noConversion"/>
  </si>
  <si>
    <t>成型2</t>
    <phoneticPr fontId="7" type="noConversion"/>
  </si>
  <si>
    <t>类别</t>
    <phoneticPr fontId="7" type="noConversion"/>
  </si>
  <si>
    <t>冲压机</t>
    <phoneticPr fontId="7" type="noConversion"/>
  </si>
  <si>
    <t>工序费</t>
    <phoneticPr fontId="7" type="noConversion"/>
  </si>
  <si>
    <t>冲床</t>
    <phoneticPr fontId="7" type="noConversion"/>
  </si>
  <si>
    <t>16T</t>
  </si>
  <si>
    <t>25T</t>
  </si>
  <si>
    <t>40T</t>
  </si>
  <si>
    <t>60T</t>
  </si>
  <si>
    <t>63T</t>
  </si>
  <si>
    <t>65t</t>
  </si>
  <si>
    <t>80T</t>
  </si>
  <si>
    <t>110T</t>
  </si>
  <si>
    <t>125T</t>
  </si>
  <si>
    <t>250T</t>
  </si>
  <si>
    <t>350T</t>
  </si>
  <si>
    <t>400T</t>
  </si>
  <si>
    <t>液压机</t>
    <phoneticPr fontId="7" type="noConversion"/>
  </si>
  <si>
    <t>500T</t>
  </si>
  <si>
    <t>焊接</t>
    <phoneticPr fontId="7" type="noConversion"/>
  </si>
  <si>
    <t>1CM</t>
    <phoneticPr fontId="7" type="noConversion"/>
  </si>
  <si>
    <t>焊螺母</t>
    <phoneticPr fontId="7" type="noConversion"/>
  </si>
  <si>
    <t>1个</t>
    <phoneticPr fontId="7" type="noConversion"/>
  </si>
  <si>
    <t>63T</t>
    <phoneticPr fontId="7" type="noConversion"/>
  </si>
  <si>
    <t>座框右侧外边板总成</t>
    <phoneticPr fontId="7" type="noConversion"/>
  </si>
  <si>
    <t>02.03.60.010</t>
    <phoneticPr fontId="7" type="noConversion"/>
  </si>
  <si>
    <t>座框右侧外边板</t>
    <phoneticPr fontId="7" type="noConversion"/>
  </si>
  <si>
    <t>压弯</t>
    <phoneticPr fontId="7" type="noConversion"/>
  </si>
  <si>
    <t>冲孔切开</t>
    <phoneticPr fontId="7" type="noConversion"/>
  </si>
  <si>
    <t>冲侧孔</t>
    <phoneticPr fontId="7" type="noConversion"/>
  </si>
  <si>
    <t>6.5cm</t>
    <phoneticPr fontId="7" type="noConversion"/>
  </si>
  <si>
    <t>02.03.60.007</t>
    <phoneticPr fontId="7" type="noConversion"/>
  </si>
  <si>
    <t>125T</t>
    <phoneticPr fontId="7" type="noConversion"/>
  </si>
  <si>
    <t>02.03.60.006</t>
    <phoneticPr fontId="7" type="noConversion"/>
  </si>
  <si>
    <t>升降调节固定钣金左</t>
    <phoneticPr fontId="7" type="noConversion"/>
  </si>
  <si>
    <t>升降调节固定钣金右</t>
    <phoneticPr fontId="7" type="noConversion"/>
  </si>
  <si>
    <t>折弯</t>
    <phoneticPr fontId="7" type="noConversion"/>
  </si>
  <si>
    <t>02.03.60.034</t>
    <phoneticPr fontId="7" type="noConversion"/>
  </si>
  <si>
    <t>气囊上支撑板</t>
    <phoneticPr fontId="7" type="noConversion"/>
  </si>
  <si>
    <t>冲孔</t>
    <phoneticPr fontId="7" type="noConversion"/>
  </si>
  <si>
    <t>02.03.60.035</t>
    <phoneticPr fontId="7" type="noConversion"/>
  </si>
  <si>
    <t>气囊上支撑加强板</t>
    <phoneticPr fontId="7" type="noConversion"/>
  </si>
  <si>
    <t>02.03.60.029</t>
    <phoneticPr fontId="7" type="noConversion"/>
  </si>
  <si>
    <t>下框后连接板</t>
    <phoneticPr fontId="7" type="noConversion"/>
  </si>
  <si>
    <t>SHT001283</t>
    <phoneticPr fontId="7" type="noConversion"/>
  </si>
  <si>
    <t>SHT0011996</t>
    <phoneticPr fontId="7" type="noConversion"/>
  </si>
  <si>
    <t>SHT0011995</t>
    <phoneticPr fontId="7" type="noConversion"/>
  </si>
  <si>
    <t>02.03.60.056</t>
    <phoneticPr fontId="7" type="noConversion"/>
  </si>
  <si>
    <t>上框前横梁组件</t>
    <phoneticPr fontId="7" type="noConversion"/>
  </si>
  <si>
    <t>上框前横梁</t>
    <phoneticPr fontId="7" type="noConversion"/>
  </si>
  <si>
    <t>限位板</t>
    <phoneticPr fontId="7" type="noConversion"/>
  </si>
  <si>
    <t>固定销</t>
    <phoneticPr fontId="7" type="noConversion"/>
  </si>
  <si>
    <t>02.03.60.053</t>
    <phoneticPr fontId="7" type="noConversion"/>
  </si>
  <si>
    <t>下框前横梁组件</t>
    <phoneticPr fontId="7" type="noConversion"/>
  </si>
  <si>
    <t>SHT001283（SHT001283+焊轴+SHT0011993）</t>
    <phoneticPr fontId="7" type="noConversion"/>
  </si>
  <si>
    <t>SHT0012198</t>
    <phoneticPr fontId="7" type="noConversion"/>
  </si>
  <si>
    <t>下框前横梁</t>
    <phoneticPr fontId="7" type="noConversion"/>
  </si>
  <si>
    <t>SHT0012187座框加强钣金</t>
    <phoneticPr fontId="7" type="noConversion"/>
  </si>
  <si>
    <t>销轴</t>
    <phoneticPr fontId="7" type="noConversion"/>
  </si>
  <si>
    <t>M8焊接螺母</t>
    <phoneticPr fontId="7" type="noConversion"/>
  </si>
  <si>
    <t>02.03.60.031</t>
    <phoneticPr fontId="7" type="noConversion"/>
  </si>
  <si>
    <t>下框前横梁组件-无减震扣</t>
    <phoneticPr fontId="7" type="noConversion"/>
  </si>
  <si>
    <t>SHT0012004</t>
    <phoneticPr fontId="7" type="noConversion"/>
  </si>
  <si>
    <t>02.03.60.054</t>
    <phoneticPr fontId="7" type="noConversion"/>
  </si>
  <si>
    <t>左旁侧板</t>
    <phoneticPr fontId="7" type="noConversion"/>
  </si>
  <si>
    <t>D03左旁侧板焊接总成</t>
    <phoneticPr fontId="7" type="noConversion"/>
  </si>
  <si>
    <t>D03右旁侧板焊接总成</t>
    <phoneticPr fontId="7" type="noConversion"/>
  </si>
  <si>
    <t>02.03.60.055</t>
    <phoneticPr fontId="7" type="noConversion"/>
  </si>
  <si>
    <t>SHT0012142</t>
    <phoneticPr fontId="7" type="noConversion"/>
  </si>
  <si>
    <t>02.03.59.007</t>
    <phoneticPr fontId="7" type="noConversion"/>
  </si>
  <si>
    <t>SHT0012145</t>
    <phoneticPr fontId="7" type="noConversion"/>
  </si>
  <si>
    <t>SHT0012150</t>
    <phoneticPr fontId="7" type="noConversion"/>
  </si>
  <si>
    <t>SHT0013131</t>
    <phoneticPr fontId="7" type="noConversion"/>
  </si>
  <si>
    <t>02.03.61.002</t>
    <phoneticPr fontId="7" type="noConversion"/>
  </si>
  <si>
    <t>SHT0012210</t>
    <phoneticPr fontId="7" type="noConversion"/>
  </si>
  <si>
    <t>SHT0012211</t>
    <phoneticPr fontId="7" type="noConversion"/>
  </si>
  <si>
    <t>模具转出，不进行费用分摊，共计28100元</t>
    <phoneticPr fontId="7" type="noConversion"/>
  </si>
  <si>
    <t>焊接(氩弧焊)-委外</t>
    <phoneticPr fontId="7" type="noConversion"/>
  </si>
  <si>
    <t>冲孔切断-人工两次取件</t>
    <phoneticPr fontId="7" type="noConversion"/>
  </si>
  <si>
    <t>冲孔切边-人工两次取件</t>
    <phoneticPr fontId="7" type="noConversion"/>
  </si>
  <si>
    <t>切开-人工两次取件</t>
    <phoneticPr fontId="7" type="noConversion"/>
  </si>
  <si>
    <t>冲孔 左右同时-人工两次取件</t>
    <phoneticPr fontId="7" type="noConversion"/>
  </si>
  <si>
    <t>02.03.59.011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</si>
</sst>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_);[Red]\(0.000\)"/>
    <numFmt numFmtId="177" formatCode="0.000_ "/>
    <numFmt numFmtId="178" formatCode="0.00_);[Red]\(0.00\)"/>
    <numFmt numFmtId="179" formatCode="0.00_ "/>
    <numFmt numFmtId="180" formatCode="0.0000_ "/>
    <numFmt numFmtId="181" formatCode="0.0_ "/>
    <numFmt numFmtId="182" formatCode="0_ "/>
    <numFmt numFmtId="183" formatCode="0_);[Red]\(0\)"/>
    <numFmt numFmtId="184" formatCode="0.000"/>
  </numFmts>
  <fonts count="17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3" fillId="0" borderId="1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shrinkToFit="1"/>
    </xf>
    <xf numFmtId="0" fontId="0" fillId="0" borderId="10" xfId="0" applyBorder="1">
      <alignment vertical="center"/>
    </xf>
    <xf numFmtId="178" fontId="0" fillId="0" borderId="10" xfId="0" applyNumberFormat="1" applyBorder="1">
      <alignment vertical="center"/>
    </xf>
    <xf numFmtId="178" fontId="0" fillId="0" borderId="2" xfId="0" applyNumberFormat="1" applyBorder="1" applyAlignment="1">
      <alignment horizontal="center" vertical="center" shrinkToFit="1"/>
    </xf>
    <xf numFmtId="178" fontId="0" fillId="0" borderId="9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178" fontId="0" fillId="0" borderId="10" xfId="0" applyNumberFormat="1" applyBorder="1" applyAlignment="1">
      <alignment vertical="center"/>
    </xf>
    <xf numFmtId="178" fontId="0" fillId="0" borderId="2" xfId="0" applyNumberForma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178" fontId="0" fillId="2" borderId="10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shrinkToFit="1"/>
    </xf>
    <xf numFmtId="178" fontId="0" fillId="0" borderId="2" xfId="0" applyNumberFormat="1" applyBorder="1" applyAlignment="1">
      <alignment horizontal="center" vertical="center"/>
    </xf>
    <xf numFmtId="179" fontId="0" fillId="2" borderId="1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1" fontId="2" fillId="0" borderId="10" xfId="0" applyNumberFormat="1" applyFont="1" applyBorder="1">
      <alignment vertical="center"/>
    </xf>
    <xf numFmtId="182" fontId="3" fillId="3" borderId="10" xfId="0" applyNumberFormat="1" applyFont="1" applyFill="1" applyBorder="1" applyAlignment="1">
      <alignment horizontal="center" vertical="center" wrapText="1"/>
    </xf>
    <xf numFmtId="180" fontId="3" fillId="0" borderId="10" xfId="6" applyNumberFormat="1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80" fontId="3" fillId="0" borderId="10" xfId="5" applyNumberFormat="1" applyFont="1" applyBorder="1" applyAlignment="1">
      <alignment vertical="center"/>
    </xf>
    <xf numFmtId="0" fontId="3" fillId="3" borderId="10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9" fontId="0" fillId="2" borderId="2" xfId="0" applyNumberForma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179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179" fontId="3" fillId="3" borderId="10" xfId="0" applyNumberFormat="1" applyFont="1" applyFill="1" applyBorder="1" applyAlignment="1">
      <alignment horizontal="center" vertical="center" wrapText="1"/>
    </xf>
    <xf numFmtId="178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9" fontId="2" fillId="0" borderId="10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80" fontId="3" fillId="0" borderId="10" xfId="5" applyNumberFormat="1" applyFont="1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58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0" xfId="0" applyFont="1" applyBorder="1" applyAlignment="1">
      <alignment vertical="center" wrapText="1"/>
    </xf>
    <xf numFmtId="176" fontId="0" fillId="0" borderId="10" xfId="0" applyNumberFormat="1" applyBorder="1" applyAlignment="1">
      <alignment vertical="center"/>
    </xf>
    <xf numFmtId="180" fontId="3" fillId="0" borderId="2" xfId="5" applyNumberFormat="1" applyFont="1" applyBorder="1" applyAlignment="1">
      <alignment horizontal="center" vertical="center"/>
    </xf>
    <xf numFmtId="179" fontId="0" fillId="4" borderId="0" xfId="0" applyNumberFormat="1" applyFill="1">
      <alignment vertical="center"/>
    </xf>
    <xf numFmtId="178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9" fontId="3" fillId="3" borderId="10" xfId="0" applyNumberFormat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5" borderId="0" xfId="0" applyFont="1" applyFill="1">
      <alignment vertical="center"/>
    </xf>
    <xf numFmtId="0" fontId="0" fillId="5" borderId="0" xfId="0" applyFill="1">
      <alignment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3" fillId="0" borderId="10" xfId="6" applyNumberFormat="1" applyFont="1" applyFill="1" applyBorder="1" applyAlignment="1" applyProtection="1">
      <alignment horizontal="center" vertical="center" wrapText="1"/>
      <protection locked="0"/>
    </xf>
    <xf numFmtId="179" fontId="0" fillId="0" borderId="11" xfId="0" applyNumberFormat="1" applyBorder="1" applyAlignment="1">
      <alignment horizontal="center" vertical="center" wrapText="1"/>
    </xf>
    <xf numFmtId="177" fontId="0" fillId="0" borderId="10" xfId="0" applyNumberFormat="1" applyFill="1" applyBorder="1" applyAlignment="1">
      <alignment vertical="center"/>
    </xf>
    <xf numFmtId="177" fontId="0" fillId="0" borderId="10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2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9" fontId="0" fillId="0" borderId="10" xfId="0" applyNumberFormat="1" applyFill="1" applyBorder="1" applyAlignment="1">
      <alignment vertical="center"/>
    </xf>
    <xf numFmtId="0" fontId="16" fillId="0" borderId="10" xfId="2" applyFont="1" applyBorder="1" applyAlignment="1">
      <alignment horizontal="center" vertical="center"/>
    </xf>
    <xf numFmtId="0" fontId="6" fillId="0" borderId="0" xfId="2">
      <alignment vertical="center"/>
    </xf>
    <xf numFmtId="0" fontId="6" fillId="0" borderId="10" xfId="2" applyBorder="1" applyAlignment="1">
      <alignment horizontal="center" vertical="center"/>
    </xf>
    <xf numFmtId="179" fontId="4" fillId="2" borderId="10" xfId="2" applyNumberFormat="1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178" fontId="0" fillId="4" borderId="10" xfId="0" applyNumberFormat="1" applyFill="1" applyBorder="1">
      <alignment vertical="center"/>
    </xf>
    <xf numFmtId="0" fontId="6" fillId="0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2" fontId="6" fillId="0" borderId="1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9" fontId="0" fillId="0" borderId="10" xfId="0" applyNumberForma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182" fontId="0" fillId="0" borderId="7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79" fontId="6" fillId="2" borderId="10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9" fontId="0" fillId="0" borderId="10" xfId="1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83" fontId="0" fillId="0" borderId="10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6" fillId="6" borderId="10" xfId="0" applyNumberFormat="1" applyFont="1" applyFill="1" applyBorder="1" applyAlignment="1">
      <alignment horizontal="center" vertical="center" wrapText="1"/>
    </xf>
    <xf numFmtId="14" fontId="0" fillId="6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0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80" fontId="3" fillId="0" borderId="10" xfId="5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178" fontId="6" fillId="0" borderId="2" xfId="0" applyNumberFormat="1" applyFont="1" applyBorder="1" applyAlignment="1">
      <alignment horizontal="center" vertical="center" wrapText="1"/>
    </xf>
    <xf numFmtId="178" fontId="0" fillId="0" borderId="7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9" fontId="0" fillId="4" borderId="2" xfId="0" applyNumberFormat="1" applyFill="1" applyBorder="1" applyAlignment="1">
      <alignment horizontal="center" vertical="center" wrapText="1"/>
    </xf>
    <xf numFmtId="179" fontId="0" fillId="4" borderId="7" xfId="0" applyNumberForma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180" fontId="3" fillId="0" borderId="10" xfId="6" applyNumberFormat="1" applyFont="1" applyFill="1" applyBorder="1" applyAlignment="1" applyProtection="1">
      <alignment horizontal="center" vertical="center" wrapText="1"/>
      <protection locked="0"/>
    </xf>
    <xf numFmtId="179" fontId="3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80" fontId="0" fillId="0" borderId="11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0" fillId="0" borderId="7" xfId="1" applyFont="1" applyBorder="1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83" fontId="0" fillId="0" borderId="7" xfId="0" applyNumberFormat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83" fontId="0" fillId="0" borderId="11" xfId="0" applyNumberFormat="1" applyBorder="1" applyAlignment="1">
      <alignment horizontal="center" vertical="center"/>
    </xf>
    <xf numFmtId="184" fontId="0" fillId="0" borderId="2" xfId="0" applyNumberFormat="1" applyBorder="1" applyAlignment="1">
      <alignment horizontal="center" vertical="center" wrapText="1"/>
    </xf>
    <xf numFmtId="184" fontId="0" fillId="0" borderId="7" xfId="0" applyNumberFormat="1" applyBorder="1" applyAlignment="1">
      <alignment horizontal="center" vertical="center" wrapText="1"/>
    </xf>
    <xf numFmtId="184" fontId="0" fillId="0" borderId="11" xfId="0" applyNumberForma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7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179" fontId="6" fillId="0" borderId="7" xfId="0" applyNumberFormat="1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58" fontId="0" fillId="0" borderId="11" xfId="0" applyNumberFormat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84" fontId="0" fillId="0" borderId="2" xfId="0" applyNumberForma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178" fontId="0" fillId="0" borderId="9" xfId="0" applyNumberFormat="1" applyFill="1" applyBorder="1">
      <alignment vertical="center"/>
    </xf>
    <xf numFmtId="178" fontId="0" fillId="0" borderId="10" xfId="0" applyNumberForma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84" fontId="0" fillId="0" borderId="7" xfId="0" applyNumberFormat="1" applyFill="1" applyBorder="1" applyAlignment="1">
      <alignment horizontal="center" vertical="center"/>
    </xf>
    <xf numFmtId="179" fontId="0" fillId="0" borderId="7" xfId="0" applyNumberForma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178" fontId="0" fillId="0" borderId="10" xfId="0" applyNumberFormat="1" applyFill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184" fontId="0" fillId="0" borderId="11" xfId="0" applyNumberFormat="1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179" fontId="0" fillId="0" borderId="2" xfId="0" applyNumberFormat="1" applyFill="1" applyBorder="1" applyAlignment="1">
      <alignment vertical="center"/>
    </xf>
    <xf numFmtId="179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78" fontId="0" fillId="0" borderId="2" xfId="0" applyNumberFormat="1" applyFill="1" applyBorder="1">
      <alignment vertical="center"/>
    </xf>
    <xf numFmtId="2" fontId="0" fillId="0" borderId="10" xfId="0" applyNumberFormat="1" applyFill="1" applyBorder="1" applyAlignment="1">
      <alignment horizontal="center" vertical="center"/>
    </xf>
    <xf numFmtId="184" fontId="0" fillId="0" borderId="10" xfId="0" applyNumberFormat="1" applyFill="1" applyBorder="1" applyAlignment="1">
      <alignment horizontal="center" vertical="center"/>
    </xf>
    <xf numFmtId="0" fontId="6" fillId="0" borderId="10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80" fontId="3" fillId="0" borderId="10" xfId="5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79" fontId="2" fillId="0" borderId="10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80" fontId="0" fillId="6" borderId="2" xfId="0" applyNumberFormat="1" applyFill="1" applyBorder="1" applyAlignment="1">
      <alignment horizontal="center" vertical="center"/>
    </xf>
    <xf numFmtId="180" fontId="0" fillId="6" borderId="7" xfId="0" applyNumberFormat="1" applyFill="1" applyBorder="1" applyAlignment="1">
      <alignment horizontal="center" vertical="center"/>
    </xf>
    <xf numFmtId="180" fontId="0" fillId="6" borderId="11" xfId="0" applyNumberFormat="1" applyFill="1" applyBorder="1" applyAlignment="1">
      <alignment horizontal="center" vertical="center"/>
    </xf>
    <xf numFmtId="180" fontId="0" fillId="6" borderId="10" xfId="0" applyNumberFormat="1" applyFill="1" applyBorder="1" applyAlignment="1">
      <alignment horizontal="center" vertical="center"/>
    </xf>
  </cellXfs>
  <cellStyles count="7">
    <cellStyle name="BOM_Level_Below3" xfId="6" xr:uid="{04A54BD4-7BDC-4917-96A3-19C7DA7CA5F8}"/>
    <cellStyle name="百分比" xfId="1" builtinId="5"/>
    <cellStyle name="百分比 2" xfId="4" xr:uid="{26B3589F-27DB-41A2-9A05-5D5929F205DE}"/>
    <cellStyle name="常规" xfId="0" builtinId="0"/>
    <cellStyle name="常规 2" xfId="2" xr:uid="{00000000-0005-0000-0000-000002000000}"/>
    <cellStyle name="常规 2 2 6" xfId="3" xr:uid="{00000000-0005-0000-0000-000003000000}"/>
    <cellStyle name="常规 3" xfId="5" xr:uid="{2DF9427C-A2EB-4EF5-9A4E-7FD0F2CCC3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2955-0805-49EC-AA2A-47F598594EBF}">
  <dimension ref="A1:C23"/>
  <sheetViews>
    <sheetView workbookViewId="0">
      <selection activeCell="C31" sqref="C31"/>
    </sheetView>
  </sheetViews>
  <sheetFormatPr defaultRowHeight="14.4" x14ac:dyDescent="0.25"/>
  <cols>
    <col min="1" max="1" width="10.33203125" style="119" customWidth="1"/>
    <col min="2" max="2" width="11.21875" style="119" customWidth="1"/>
    <col min="3" max="3" width="13.109375" style="119" customWidth="1"/>
    <col min="4" max="17" width="7" style="115" customWidth="1"/>
    <col min="18" max="16384" width="8.88671875" style="115"/>
  </cols>
  <sheetData>
    <row r="1" spans="1:3" x14ac:dyDescent="0.25">
      <c r="A1" s="114" t="s">
        <v>155</v>
      </c>
      <c r="B1" s="114" t="s">
        <v>156</v>
      </c>
      <c r="C1" s="114" t="s">
        <v>157</v>
      </c>
    </row>
    <row r="2" spans="1:3" ht="13.5" customHeight="1" x14ac:dyDescent="0.25">
      <c r="A2" s="116" t="s">
        <v>158</v>
      </c>
      <c r="B2" s="116" t="s">
        <v>159</v>
      </c>
      <c r="C2" s="117">
        <v>0.03</v>
      </c>
    </row>
    <row r="3" spans="1:3" ht="13.5" customHeight="1" x14ac:dyDescent="0.25">
      <c r="A3" s="116" t="s">
        <v>158</v>
      </c>
      <c r="B3" s="116" t="s">
        <v>160</v>
      </c>
      <c r="C3" s="117">
        <v>0.03</v>
      </c>
    </row>
    <row r="4" spans="1:3" ht="13.5" customHeight="1" x14ac:dyDescent="0.25">
      <c r="A4" s="116" t="s">
        <v>158</v>
      </c>
      <c r="B4" s="116" t="s">
        <v>161</v>
      </c>
      <c r="C4" s="117">
        <v>0.03</v>
      </c>
    </row>
    <row r="5" spans="1:3" ht="13.5" customHeight="1" x14ac:dyDescent="0.25">
      <c r="A5" s="116" t="s">
        <v>158</v>
      </c>
      <c r="B5" s="116" t="s">
        <v>162</v>
      </c>
      <c r="C5" s="117">
        <v>0.04</v>
      </c>
    </row>
    <row r="6" spans="1:3" ht="13.5" customHeight="1" x14ac:dyDescent="0.25">
      <c r="A6" s="116" t="s">
        <v>158</v>
      </c>
      <c r="B6" s="116" t="s">
        <v>163</v>
      </c>
      <c r="C6" s="117">
        <v>0.04</v>
      </c>
    </row>
    <row r="7" spans="1:3" ht="13.5" customHeight="1" x14ac:dyDescent="0.25">
      <c r="A7" s="116" t="s">
        <v>158</v>
      </c>
      <c r="B7" s="116" t="s">
        <v>164</v>
      </c>
      <c r="C7" s="117">
        <v>0.04</v>
      </c>
    </row>
    <row r="8" spans="1:3" ht="13.5" customHeight="1" x14ac:dyDescent="0.25">
      <c r="A8" s="116" t="s">
        <v>158</v>
      </c>
      <c r="B8" s="116" t="s">
        <v>165</v>
      </c>
      <c r="C8" s="117">
        <v>0.05</v>
      </c>
    </row>
    <row r="9" spans="1:3" ht="13.5" customHeight="1" x14ac:dyDescent="0.25">
      <c r="A9" s="116" t="s">
        <v>158</v>
      </c>
      <c r="B9" s="116" t="s">
        <v>20</v>
      </c>
      <c r="C9" s="117">
        <v>7.0000000000000007E-2</v>
      </c>
    </row>
    <row r="10" spans="1:3" ht="13.5" customHeight="1" x14ac:dyDescent="0.25">
      <c r="A10" s="116" t="s">
        <v>158</v>
      </c>
      <c r="B10" s="116" t="s">
        <v>166</v>
      </c>
      <c r="C10" s="117">
        <v>7.4999999999999997E-2</v>
      </c>
    </row>
    <row r="11" spans="1:3" ht="13.5" customHeight="1" x14ac:dyDescent="0.25">
      <c r="A11" s="116" t="s">
        <v>158</v>
      </c>
      <c r="B11" s="116" t="s">
        <v>167</v>
      </c>
      <c r="C11" s="117">
        <v>0.08</v>
      </c>
    </row>
    <row r="12" spans="1:3" ht="13.5" customHeight="1" x14ac:dyDescent="0.25">
      <c r="A12" s="116" t="s">
        <v>158</v>
      </c>
      <c r="B12" s="116" t="s">
        <v>24</v>
      </c>
      <c r="C12" s="117">
        <v>0.1</v>
      </c>
    </row>
    <row r="13" spans="1:3" ht="13.5" customHeight="1" x14ac:dyDescent="0.25">
      <c r="A13" s="116" t="s">
        <v>158</v>
      </c>
      <c r="B13" s="116" t="s">
        <v>17</v>
      </c>
      <c r="C13" s="118">
        <v>0.15</v>
      </c>
    </row>
    <row r="14" spans="1:3" ht="13.5" customHeight="1" x14ac:dyDescent="0.25">
      <c r="A14" s="116" t="s">
        <v>158</v>
      </c>
      <c r="B14" s="116" t="s">
        <v>168</v>
      </c>
      <c r="C14" s="117">
        <v>0.18</v>
      </c>
    </row>
    <row r="15" spans="1:3" ht="13.5" customHeight="1" x14ac:dyDescent="0.25">
      <c r="A15" s="116" t="s">
        <v>158</v>
      </c>
      <c r="B15" s="116" t="s">
        <v>145</v>
      </c>
      <c r="C15" s="118">
        <v>0.2</v>
      </c>
    </row>
    <row r="16" spans="1:3" ht="13.5" customHeight="1" x14ac:dyDescent="0.25">
      <c r="A16" s="116" t="s">
        <v>158</v>
      </c>
      <c r="B16" s="116" t="s">
        <v>169</v>
      </c>
      <c r="C16" s="118">
        <v>0.28000000000000003</v>
      </c>
    </row>
    <row r="17" spans="1:3" ht="13.5" customHeight="1" x14ac:dyDescent="0.25">
      <c r="A17" s="116" t="s">
        <v>158</v>
      </c>
      <c r="B17" s="116" t="s">
        <v>170</v>
      </c>
      <c r="C17" s="118"/>
    </row>
    <row r="18" spans="1:3" ht="13.5" customHeight="1" x14ac:dyDescent="0.25">
      <c r="A18" s="116" t="s">
        <v>171</v>
      </c>
      <c r="B18" s="116" t="s">
        <v>24</v>
      </c>
      <c r="C18" s="118"/>
    </row>
    <row r="19" spans="1:3" x14ac:dyDescent="0.25">
      <c r="A19" s="116" t="s">
        <v>171</v>
      </c>
      <c r="B19" s="116" t="s">
        <v>17</v>
      </c>
      <c r="C19" s="118">
        <v>0.2</v>
      </c>
    </row>
    <row r="20" spans="1:3" x14ac:dyDescent="0.25">
      <c r="A20" s="116" t="s">
        <v>171</v>
      </c>
      <c r="B20" s="116" t="s">
        <v>145</v>
      </c>
      <c r="C20" s="118">
        <v>0.25</v>
      </c>
    </row>
    <row r="21" spans="1:3" x14ac:dyDescent="0.25">
      <c r="A21" s="116" t="s">
        <v>171</v>
      </c>
      <c r="B21" s="116" t="s">
        <v>172</v>
      </c>
      <c r="C21" s="118">
        <v>0.53</v>
      </c>
    </row>
    <row r="22" spans="1:3" x14ac:dyDescent="0.25">
      <c r="A22" s="116" t="s">
        <v>173</v>
      </c>
      <c r="B22" s="116" t="s">
        <v>174</v>
      </c>
      <c r="C22" s="118">
        <v>0.04</v>
      </c>
    </row>
    <row r="23" spans="1:3" x14ac:dyDescent="0.25">
      <c r="A23" s="116" t="s">
        <v>175</v>
      </c>
      <c r="B23" s="116" t="s">
        <v>176</v>
      </c>
      <c r="C23" s="116">
        <v>7.0000000000000007E-2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6"/>
  <sheetViews>
    <sheetView tabSelected="1" view="pageBreakPreview" zoomScale="80" zoomScaleNormal="87" zoomScaleSheetLayoutView="80" workbookViewId="0">
      <pane xSplit="9" ySplit="3" topLeftCell="J25" activePane="bottomRight" state="frozen"/>
      <selection pane="topRight" activeCell="I1" sqref="I1"/>
      <selection pane="bottomLeft" activeCell="A4" sqref="A4"/>
      <selection pane="bottomRight" activeCell="Z52" sqref="Z52:Z67"/>
    </sheetView>
  </sheetViews>
  <sheetFormatPr defaultColWidth="9" defaultRowHeight="14.4" x14ac:dyDescent="0.25"/>
  <cols>
    <col min="1" max="1" width="3.44140625" customWidth="1"/>
    <col min="2" max="2" width="4.33203125" customWidth="1"/>
    <col min="3" max="3" width="12.21875" customWidth="1"/>
    <col min="4" max="4" width="6.6640625" customWidth="1"/>
    <col min="5" max="5" width="8.6640625" style="1" customWidth="1"/>
    <col min="6" max="6" width="9.21875" style="1" customWidth="1"/>
    <col min="7" max="7" width="23.21875" customWidth="1"/>
    <col min="8" max="8" width="12.109375" customWidth="1"/>
    <col min="9" max="9" width="4.21875" customWidth="1"/>
    <col min="10" max="12" width="8" style="22" customWidth="1"/>
    <col min="13" max="14" width="9.109375" style="23" customWidth="1"/>
    <col min="15" max="15" width="9.5546875" style="24" customWidth="1"/>
    <col min="16" max="16" width="7.6640625" style="24" customWidth="1"/>
    <col min="17" max="17" width="10.109375" style="24" customWidth="1"/>
    <col min="18" max="18" width="12.44140625" style="23" customWidth="1"/>
    <col min="19" max="19" width="21.21875" style="98" customWidth="1"/>
    <col min="20" max="20" width="13.109375" style="3" customWidth="1"/>
    <col min="21" max="21" width="7.44140625" style="2" customWidth="1"/>
    <col min="22" max="22" width="6.44140625" style="3" customWidth="1"/>
    <col min="23" max="23" width="7.109375" style="2" customWidth="1"/>
    <col min="24" max="24" width="6.77734375" style="2" customWidth="1"/>
    <col min="25" max="25" width="8.109375" style="2" customWidth="1"/>
    <col min="26" max="26" width="9.33203125" style="80" customWidth="1"/>
    <col min="27" max="27" width="12.109375" customWidth="1"/>
    <col min="28" max="28" width="9.6640625" customWidth="1"/>
    <col min="29" max="29" width="11.44140625" customWidth="1"/>
    <col min="30" max="30" width="73.44140625" customWidth="1"/>
  </cols>
  <sheetData>
    <row r="1" spans="1:30" ht="17.399999999999999" x14ac:dyDescent="0.25">
      <c r="A1" s="182" t="s">
        <v>62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30" ht="13.5" customHeight="1" x14ac:dyDescent="0.25">
      <c r="A2" s="4" t="s">
        <v>0</v>
      </c>
      <c r="B2" s="190" t="s">
        <v>59</v>
      </c>
      <c r="C2" s="190" t="s">
        <v>63</v>
      </c>
      <c r="D2" s="190" t="s">
        <v>85</v>
      </c>
      <c r="E2" s="188" t="s">
        <v>1</v>
      </c>
      <c r="F2" s="178" t="s">
        <v>2</v>
      </c>
      <c r="G2" s="179" t="s">
        <v>47</v>
      </c>
      <c r="H2" s="196" t="s">
        <v>3</v>
      </c>
      <c r="I2" s="179" t="s">
        <v>57</v>
      </c>
      <c r="J2" s="183" t="s">
        <v>39</v>
      </c>
      <c r="K2" s="184"/>
      <c r="L2" s="184"/>
      <c r="M2" s="172" t="s">
        <v>4</v>
      </c>
      <c r="N2" s="173"/>
      <c r="O2" s="174" t="s">
        <v>5</v>
      </c>
      <c r="P2" s="175"/>
      <c r="Q2" s="176"/>
      <c r="R2" s="194" t="s">
        <v>6</v>
      </c>
      <c r="S2" s="172" t="s">
        <v>7</v>
      </c>
      <c r="T2" s="177"/>
      <c r="U2" s="177"/>
      <c r="V2" s="177"/>
      <c r="W2" s="173"/>
      <c r="X2" s="170" t="s">
        <v>56</v>
      </c>
      <c r="Y2" s="185" t="s">
        <v>44</v>
      </c>
      <c r="Z2" s="192" t="s">
        <v>21</v>
      </c>
      <c r="AA2" s="149" t="s">
        <v>45</v>
      </c>
      <c r="AB2" s="152" t="s">
        <v>46</v>
      </c>
      <c r="AC2" s="149" t="s">
        <v>52</v>
      </c>
    </row>
    <row r="3" spans="1:30" ht="25.5" customHeight="1" x14ac:dyDescent="0.25">
      <c r="A3" s="10" t="s">
        <v>8</v>
      </c>
      <c r="B3" s="156"/>
      <c r="C3" s="191"/>
      <c r="D3" s="191"/>
      <c r="E3" s="189"/>
      <c r="F3" s="169"/>
      <c r="G3" s="180"/>
      <c r="H3" s="180"/>
      <c r="I3" s="187"/>
      <c r="J3" s="17" t="s">
        <v>40</v>
      </c>
      <c r="K3" s="17" t="s">
        <v>41</v>
      </c>
      <c r="L3" s="17" t="s">
        <v>42</v>
      </c>
      <c r="M3" s="20" t="s">
        <v>9</v>
      </c>
      <c r="N3" s="30" t="s">
        <v>10</v>
      </c>
      <c r="O3" s="5" t="s">
        <v>11</v>
      </c>
      <c r="P3" s="19" t="s">
        <v>12</v>
      </c>
      <c r="Q3" s="5" t="s">
        <v>10</v>
      </c>
      <c r="R3" s="195"/>
      <c r="S3" s="81" t="s">
        <v>13</v>
      </c>
      <c r="T3" s="13" t="s">
        <v>14</v>
      </c>
      <c r="U3" s="13" t="s">
        <v>15</v>
      </c>
      <c r="V3" s="16" t="s">
        <v>43</v>
      </c>
      <c r="W3" s="8" t="s">
        <v>16</v>
      </c>
      <c r="X3" s="171"/>
      <c r="Y3" s="186"/>
      <c r="Z3" s="193"/>
      <c r="AA3" s="169"/>
      <c r="AB3" s="178"/>
      <c r="AC3" s="169"/>
    </row>
    <row r="4" spans="1:30" ht="14.4" customHeight="1" x14ac:dyDescent="0.25">
      <c r="A4" s="190"/>
      <c r="B4" s="190" t="s">
        <v>60</v>
      </c>
      <c r="C4" s="202">
        <v>44448</v>
      </c>
      <c r="D4" s="206" t="s">
        <v>70</v>
      </c>
      <c r="E4" s="293" t="s">
        <v>72</v>
      </c>
      <c r="F4" s="205" t="s">
        <v>74</v>
      </c>
      <c r="G4" s="201" t="s">
        <v>78</v>
      </c>
      <c r="H4" s="201" t="s">
        <v>66</v>
      </c>
      <c r="I4" s="159">
        <v>1</v>
      </c>
      <c r="J4" s="153">
        <v>530</v>
      </c>
      <c r="K4" s="153">
        <v>112.5</v>
      </c>
      <c r="L4" s="153">
        <v>2</v>
      </c>
      <c r="M4" s="181">
        <v>6.85</v>
      </c>
      <c r="N4" s="181">
        <v>3.4</v>
      </c>
      <c r="O4" s="181">
        <f>J4*K4*L4*7.85/1000000</f>
        <v>0.93611250000000001</v>
      </c>
      <c r="P4" s="198">
        <f>0.532</f>
        <v>0.53200000000000003</v>
      </c>
      <c r="Q4" s="199">
        <f>O4-P4</f>
        <v>0.40411249999999999</v>
      </c>
      <c r="R4" s="200">
        <f>(M4*O4-N4*Q4)*I4</f>
        <v>5.0383881249999991</v>
      </c>
      <c r="S4" s="84" t="s">
        <v>67</v>
      </c>
      <c r="T4" s="31" t="s">
        <v>146</v>
      </c>
      <c r="U4" s="7">
        <v>0.35</v>
      </c>
      <c r="V4" s="27">
        <v>2</v>
      </c>
      <c r="W4" s="11">
        <f>U4/V4</f>
        <v>0.17499999999999999</v>
      </c>
      <c r="X4" s="146">
        <v>1.2</v>
      </c>
      <c r="Y4" s="194">
        <f>(R11+W11)*X4</f>
        <v>11.08966575</v>
      </c>
      <c r="Z4" s="296">
        <f>Y4/1.13</f>
        <v>9.8138634955752213</v>
      </c>
      <c r="AA4" s="135">
        <v>20000</v>
      </c>
      <c r="AB4" s="135">
        <v>100000</v>
      </c>
      <c r="AC4" s="209">
        <f>Z4+AA4/AB4/2</f>
        <v>9.913863495575221</v>
      </c>
      <c r="AD4" s="72" t="s">
        <v>133</v>
      </c>
    </row>
    <row r="5" spans="1:30" x14ac:dyDescent="0.25">
      <c r="A5" s="197"/>
      <c r="B5" s="197"/>
      <c r="C5" s="203"/>
      <c r="D5" s="207"/>
      <c r="E5" s="294"/>
      <c r="F5" s="203"/>
      <c r="G5" s="201"/>
      <c r="H5" s="201"/>
      <c r="I5" s="159"/>
      <c r="J5" s="153"/>
      <c r="K5" s="153"/>
      <c r="L5" s="153"/>
      <c r="M5" s="181"/>
      <c r="N5" s="181"/>
      <c r="O5" s="181"/>
      <c r="P5" s="198"/>
      <c r="Q5" s="199"/>
      <c r="R5" s="200"/>
      <c r="S5" s="84" t="s">
        <v>18</v>
      </c>
      <c r="T5" s="31" t="s">
        <v>147</v>
      </c>
      <c r="U5" s="7">
        <v>0.4</v>
      </c>
      <c r="V5" s="27">
        <v>2</v>
      </c>
      <c r="W5" s="11">
        <f>U5/V5</f>
        <v>0.2</v>
      </c>
      <c r="X5" s="146"/>
      <c r="Y5" s="195"/>
      <c r="Z5" s="297"/>
      <c r="AA5" s="136"/>
      <c r="AB5" s="136"/>
      <c r="AC5" s="210"/>
      <c r="AD5" s="72" t="s">
        <v>134</v>
      </c>
    </row>
    <row r="6" spans="1:30" x14ac:dyDescent="0.25">
      <c r="A6" s="197"/>
      <c r="B6" s="197"/>
      <c r="C6" s="203"/>
      <c r="D6" s="207"/>
      <c r="E6" s="294"/>
      <c r="F6" s="203"/>
      <c r="G6" s="201"/>
      <c r="H6" s="201"/>
      <c r="I6" s="159"/>
      <c r="J6" s="153"/>
      <c r="K6" s="153"/>
      <c r="L6" s="153"/>
      <c r="M6" s="181"/>
      <c r="N6" s="181"/>
      <c r="O6" s="181"/>
      <c r="P6" s="198"/>
      <c r="Q6" s="199"/>
      <c r="R6" s="200"/>
      <c r="S6" s="84" t="s">
        <v>232</v>
      </c>
      <c r="T6" s="31" t="s">
        <v>17</v>
      </c>
      <c r="U6" s="292">
        <v>0.15</v>
      </c>
      <c r="V6" s="27">
        <v>2</v>
      </c>
      <c r="W6" s="11">
        <f>U6/V6+0.02</f>
        <v>9.5000000000000001E-2</v>
      </c>
      <c r="X6" s="146"/>
      <c r="Y6" s="195"/>
      <c r="Z6" s="297"/>
      <c r="AA6" s="136"/>
      <c r="AB6" s="136"/>
      <c r="AC6" s="210"/>
    </row>
    <row r="7" spans="1:30" x14ac:dyDescent="0.25">
      <c r="A7" s="197"/>
      <c r="B7" s="197"/>
      <c r="C7" s="203"/>
      <c r="D7" s="207"/>
      <c r="E7" s="294"/>
      <c r="F7" s="203"/>
      <c r="G7" s="201"/>
      <c r="H7" s="201"/>
      <c r="I7" s="159"/>
      <c r="J7" s="153"/>
      <c r="K7" s="153"/>
      <c r="L7" s="153"/>
      <c r="M7" s="181"/>
      <c r="N7" s="181"/>
      <c r="O7" s="181"/>
      <c r="P7" s="198"/>
      <c r="Q7" s="199"/>
      <c r="R7" s="200"/>
      <c r="S7" s="84" t="s">
        <v>233</v>
      </c>
      <c r="T7" s="31" t="s">
        <v>17</v>
      </c>
      <c r="U7" s="292">
        <v>0.15</v>
      </c>
      <c r="V7" s="27">
        <v>2</v>
      </c>
      <c r="W7" s="11">
        <f>U7/V7+0.02</f>
        <v>9.5000000000000001E-2</v>
      </c>
      <c r="X7" s="146"/>
      <c r="Y7" s="195"/>
      <c r="Z7" s="297"/>
      <c r="AA7" s="136"/>
      <c r="AB7" s="136"/>
      <c r="AC7" s="210"/>
    </row>
    <row r="8" spans="1:30" x14ac:dyDescent="0.25">
      <c r="A8" s="197"/>
      <c r="B8" s="197"/>
      <c r="C8" s="203"/>
      <c r="D8" s="207"/>
      <c r="E8" s="294"/>
      <c r="F8" s="203"/>
      <c r="G8" s="201"/>
      <c r="H8" s="201"/>
      <c r="I8" s="159"/>
      <c r="J8" s="153"/>
      <c r="K8" s="153"/>
      <c r="L8" s="153"/>
      <c r="M8" s="181"/>
      <c r="N8" s="181"/>
      <c r="O8" s="181"/>
      <c r="P8" s="198"/>
      <c r="Q8" s="199"/>
      <c r="R8" s="200"/>
      <c r="S8" s="84" t="s">
        <v>68</v>
      </c>
      <c r="T8" s="33" t="s">
        <v>24</v>
      </c>
      <c r="U8" s="32">
        <v>0.1</v>
      </c>
      <c r="V8" s="27">
        <v>1</v>
      </c>
      <c r="W8" s="11">
        <f t="shared" ref="W8:W9" si="0">U8/V8</f>
        <v>0.1</v>
      </c>
      <c r="X8" s="146"/>
      <c r="Y8" s="195"/>
      <c r="Z8" s="297"/>
      <c r="AA8" s="136"/>
      <c r="AB8" s="136"/>
      <c r="AC8" s="210"/>
    </row>
    <row r="9" spans="1:30" x14ac:dyDescent="0.25">
      <c r="A9" s="197"/>
      <c r="B9" s="197"/>
      <c r="C9" s="203"/>
      <c r="D9" s="207"/>
      <c r="E9" s="294"/>
      <c r="F9" s="203"/>
      <c r="G9" s="201"/>
      <c r="H9" s="201"/>
      <c r="I9" s="159"/>
      <c r="J9" s="153"/>
      <c r="K9" s="153"/>
      <c r="L9" s="153"/>
      <c r="M9" s="181"/>
      <c r="N9" s="181"/>
      <c r="O9" s="181"/>
      <c r="P9" s="198"/>
      <c r="Q9" s="199"/>
      <c r="R9" s="200"/>
      <c r="S9" s="84" t="s">
        <v>69</v>
      </c>
      <c r="T9" s="33" t="s">
        <v>24</v>
      </c>
      <c r="U9" s="32">
        <v>0.1</v>
      </c>
      <c r="V9" s="27">
        <v>1</v>
      </c>
      <c r="W9" s="11">
        <f t="shared" si="0"/>
        <v>0.1</v>
      </c>
      <c r="X9" s="146"/>
      <c r="Y9" s="195"/>
      <c r="Z9" s="297"/>
      <c r="AA9" s="136"/>
      <c r="AB9" s="136"/>
      <c r="AC9" s="210"/>
    </row>
    <row r="10" spans="1:30" ht="31.2" customHeight="1" x14ac:dyDescent="0.25">
      <c r="A10" s="197"/>
      <c r="B10" s="197"/>
      <c r="C10" s="203"/>
      <c r="D10" s="207"/>
      <c r="E10" s="294"/>
      <c r="F10" s="203"/>
      <c r="G10" s="40" t="s">
        <v>115</v>
      </c>
      <c r="H10" s="36"/>
      <c r="I10" s="27">
        <v>1</v>
      </c>
      <c r="J10" s="14"/>
      <c r="K10" s="14"/>
      <c r="L10" s="14"/>
      <c r="M10" s="37"/>
      <c r="N10" s="35"/>
      <c r="O10" s="37"/>
      <c r="P10" s="38"/>
      <c r="Q10" s="34"/>
      <c r="R10" s="106">
        <v>2.9380000000000002</v>
      </c>
      <c r="S10" s="84" t="s">
        <v>80</v>
      </c>
      <c r="T10" s="45">
        <v>10</v>
      </c>
      <c r="U10" s="48">
        <v>0.05</v>
      </c>
      <c r="V10" s="27">
        <v>1</v>
      </c>
      <c r="W10" s="11">
        <f>U10*T10*V10</f>
        <v>0.5</v>
      </c>
      <c r="X10" s="146"/>
      <c r="Y10" s="195"/>
      <c r="Z10" s="297"/>
      <c r="AA10" s="136"/>
      <c r="AB10" s="136"/>
      <c r="AC10" s="210"/>
    </row>
    <row r="11" spans="1:30" x14ac:dyDescent="0.25">
      <c r="A11" s="191"/>
      <c r="B11" s="191"/>
      <c r="C11" s="204"/>
      <c r="D11" s="208"/>
      <c r="E11" s="295"/>
      <c r="F11" s="204"/>
      <c r="G11" s="139" t="s">
        <v>50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21">
        <f>SUM(R4:R10)</f>
        <v>7.9763881249999997</v>
      </c>
      <c r="S11" s="141" t="s">
        <v>51</v>
      </c>
      <c r="T11" s="141"/>
      <c r="U11" s="141"/>
      <c r="V11" s="141"/>
      <c r="W11" s="18">
        <f>SUM(W4:W10)</f>
        <v>1.2649999999999999</v>
      </c>
      <c r="X11" s="146"/>
      <c r="Y11" s="171"/>
      <c r="Z11" s="298"/>
      <c r="AA11" s="136"/>
      <c r="AB11" s="137"/>
      <c r="AC11" s="212"/>
    </row>
    <row r="12" spans="1:30" ht="14.4" customHeight="1" x14ac:dyDescent="0.25">
      <c r="A12" s="190"/>
      <c r="B12" s="190" t="s">
        <v>60</v>
      </c>
      <c r="C12" s="202">
        <v>44448</v>
      </c>
      <c r="D12" s="206" t="s">
        <v>71</v>
      </c>
      <c r="E12" s="293" t="s">
        <v>73</v>
      </c>
      <c r="F12" s="205" t="s">
        <v>75</v>
      </c>
      <c r="G12" s="201" t="s">
        <v>79</v>
      </c>
      <c r="H12" s="201" t="s">
        <v>66</v>
      </c>
      <c r="I12" s="159">
        <v>1</v>
      </c>
      <c r="J12" s="153">
        <v>530</v>
      </c>
      <c r="K12" s="153">
        <v>112.5</v>
      </c>
      <c r="L12" s="153">
        <v>2</v>
      </c>
      <c r="M12" s="181">
        <v>6.85</v>
      </c>
      <c r="N12" s="181">
        <v>3.4</v>
      </c>
      <c r="O12" s="181">
        <f>J12*K12*L12*7.85/1000000</f>
        <v>0.93611250000000001</v>
      </c>
      <c r="P12" s="198">
        <f>0.532</f>
        <v>0.53200000000000003</v>
      </c>
      <c r="Q12" s="199">
        <f>O12-P12</f>
        <v>0.40411249999999999</v>
      </c>
      <c r="R12" s="200">
        <f>(M12*O12-N12*Q12)*I12</f>
        <v>5.0383881249999991</v>
      </c>
      <c r="S12" s="84" t="s">
        <v>67</v>
      </c>
      <c r="T12" s="31" t="s">
        <v>146</v>
      </c>
      <c r="U12" s="7">
        <v>0.35</v>
      </c>
      <c r="V12" s="27">
        <v>2</v>
      </c>
      <c r="W12" s="11">
        <f>U12/V12</f>
        <v>0.17499999999999999</v>
      </c>
      <c r="X12" s="146">
        <v>1.2</v>
      </c>
      <c r="Y12" s="194">
        <f>(R19+W19)*X12</f>
        <v>11.08966575</v>
      </c>
      <c r="Z12" s="296">
        <f>Y12/1.13</f>
        <v>9.8138634955752213</v>
      </c>
      <c r="AA12" s="136"/>
      <c r="AB12" s="135">
        <v>100000</v>
      </c>
      <c r="AC12" s="209">
        <f>Z12+AA4/AB12/2</f>
        <v>9.913863495575221</v>
      </c>
    </row>
    <row r="13" spans="1:30" x14ac:dyDescent="0.25">
      <c r="A13" s="197"/>
      <c r="B13" s="197"/>
      <c r="C13" s="203"/>
      <c r="D13" s="207"/>
      <c r="E13" s="294"/>
      <c r="F13" s="203"/>
      <c r="G13" s="201"/>
      <c r="H13" s="201"/>
      <c r="I13" s="159"/>
      <c r="J13" s="153"/>
      <c r="K13" s="153"/>
      <c r="L13" s="153"/>
      <c r="M13" s="181"/>
      <c r="N13" s="181"/>
      <c r="O13" s="181"/>
      <c r="P13" s="198"/>
      <c r="Q13" s="199"/>
      <c r="R13" s="200"/>
      <c r="S13" s="84" t="s">
        <v>18</v>
      </c>
      <c r="T13" s="31" t="s">
        <v>147</v>
      </c>
      <c r="U13" s="7">
        <v>0.4</v>
      </c>
      <c r="V13" s="27">
        <v>2</v>
      </c>
      <c r="W13" s="11">
        <f t="shared" ref="W13:W17" si="1">U13/V13</f>
        <v>0.2</v>
      </c>
      <c r="X13" s="146"/>
      <c r="Y13" s="195"/>
      <c r="Z13" s="297"/>
      <c r="AA13" s="136"/>
      <c r="AB13" s="136"/>
      <c r="AC13" s="210"/>
    </row>
    <row r="14" spans="1:30" x14ac:dyDescent="0.25">
      <c r="A14" s="197"/>
      <c r="B14" s="197"/>
      <c r="C14" s="203"/>
      <c r="D14" s="207"/>
      <c r="E14" s="294"/>
      <c r="F14" s="203"/>
      <c r="G14" s="201"/>
      <c r="H14" s="201"/>
      <c r="I14" s="159"/>
      <c r="J14" s="153"/>
      <c r="K14" s="153"/>
      <c r="L14" s="153"/>
      <c r="M14" s="181"/>
      <c r="N14" s="181"/>
      <c r="O14" s="181"/>
      <c r="P14" s="198"/>
      <c r="Q14" s="199"/>
      <c r="R14" s="200"/>
      <c r="S14" s="84" t="s">
        <v>232</v>
      </c>
      <c r="T14" s="31" t="s">
        <v>17</v>
      </c>
      <c r="U14" s="292">
        <v>0.15</v>
      </c>
      <c r="V14" s="123">
        <v>2</v>
      </c>
      <c r="W14" s="11">
        <f>U14/V14+0.02</f>
        <v>9.5000000000000001E-2</v>
      </c>
      <c r="X14" s="146"/>
      <c r="Y14" s="195"/>
      <c r="Z14" s="297"/>
      <c r="AA14" s="136"/>
      <c r="AB14" s="136"/>
      <c r="AC14" s="210"/>
    </row>
    <row r="15" spans="1:30" x14ac:dyDescent="0.25">
      <c r="A15" s="197"/>
      <c r="B15" s="197"/>
      <c r="C15" s="203"/>
      <c r="D15" s="207"/>
      <c r="E15" s="294"/>
      <c r="F15" s="203"/>
      <c r="G15" s="201"/>
      <c r="H15" s="201"/>
      <c r="I15" s="159"/>
      <c r="J15" s="153"/>
      <c r="K15" s="153"/>
      <c r="L15" s="153"/>
      <c r="M15" s="181"/>
      <c r="N15" s="181"/>
      <c r="O15" s="181"/>
      <c r="P15" s="198"/>
      <c r="Q15" s="199"/>
      <c r="R15" s="200"/>
      <c r="S15" s="84" t="s">
        <v>233</v>
      </c>
      <c r="T15" s="31" t="s">
        <v>17</v>
      </c>
      <c r="U15" s="292">
        <v>0.15</v>
      </c>
      <c r="V15" s="123">
        <v>2</v>
      </c>
      <c r="W15" s="11">
        <f>U15/V15+0.02</f>
        <v>9.5000000000000001E-2</v>
      </c>
      <c r="X15" s="146"/>
      <c r="Y15" s="195"/>
      <c r="Z15" s="297"/>
      <c r="AA15" s="136"/>
      <c r="AB15" s="136"/>
      <c r="AC15" s="210"/>
      <c r="AD15">
        <f>30*0.8*8/1500*0.8+2*20*8/1500</f>
        <v>0.31573333333333337</v>
      </c>
    </row>
    <row r="16" spans="1:30" x14ac:dyDescent="0.25">
      <c r="A16" s="197"/>
      <c r="B16" s="197"/>
      <c r="C16" s="203"/>
      <c r="D16" s="207"/>
      <c r="E16" s="294"/>
      <c r="F16" s="203"/>
      <c r="G16" s="201"/>
      <c r="H16" s="201"/>
      <c r="I16" s="159"/>
      <c r="J16" s="153"/>
      <c r="K16" s="153"/>
      <c r="L16" s="153"/>
      <c r="M16" s="181"/>
      <c r="N16" s="181"/>
      <c r="O16" s="181"/>
      <c r="P16" s="198"/>
      <c r="Q16" s="199"/>
      <c r="R16" s="200"/>
      <c r="S16" s="84" t="s">
        <v>68</v>
      </c>
      <c r="T16" s="33" t="s">
        <v>24</v>
      </c>
      <c r="U16" s="32">
        <v>0.1</v>
      </c>
      <c r="V16" s="27">
        <v>1</v>
      </c>
      <c r="W16" s="11">
        <f t="shared" si="1"/>
        <v>0.1</v>
      </c>
      <c r="X16" s="146"/>
      <c r="Y16" s="195"/>
      <c r="Z16" s="297"/>
      <c r="AA16" s="136"/>
      <c r="AB16" s="136"/>
      <c r="AC16" s="210"/>
    </row>
    <row r="17" spans="1:29" x14ac:dyDescent="0.25">
      <c r="A17" s="197"/>
      <c r="B17" s="197"/>
      <c r="C17" s="203"/>
      <c r="D17" s="207"/>
      <c r="E17" s="294"/>
      <c r="F17" s="203"/>
      <c r="G17" s="201"/>
      <c r="H17" s="201"/>
      <c r="I17" s="159"/>
      <c r="J17" s="153"/>
      <c r="K17" s="153"/>
      <c r="L17" s="153"/>
      <c r="M17" s="181"/>
      <c r="N17" s="181"/>
      <c r="O17" s="181"/>
      <c r="P17" s="198"/>
      <c r="Q17" s="199"/>
      <c r="R17" s="200"/>
      <c r="S17" s="84" t="s">
        <v>69</v>
      </c>
      <c r="T17" s="33" t="s">
        <v>24</v>
      </c>
      <c r="U17" s="32">
        <v>0.1</v>
      </c>
      <c r="V17" s="27">
        <v>1</v>
      </c>
      <c r="W17" s="11">
        <f t="shared" si="1"/>
        <v>0.1</v>
      </c>
      <c r="X17" s="146"/>
      <c r="Y17" s="195"/>
      <c r="Z17" s="297"/>
      <c r="AA17" s="136"/>
      <c r="AB17" s="136"/>
      <c r="AC17" s="210"/>
    </row>
    <row r="18" spans="1:29" ht="31.2" customHeight="1" x14ac:dyDescent="0.25">
      <c r="A18" s="197"/>
      <c r="B18" s="197"/>
      <c r="C18" s="203"/>
      <c r="D18" s="207"/>
      <c r="E18" s="294"/>
      <c r="F18" s="203"/>
      <c r="G18" s="40" t="s">
        <v>115</v>
      </c>
      <c r="H18" s="36"/>
      <c r="I18" s="27">
        <v>1</v>
      </c>
      <c r="J18" s="14"/>
      <c r="K18" s="14"/>
      <c r="L18" s="14"/>
      <c r="M18" s="37"/>
      <c r="N18" s="35"/>
      <c r="O18" s="37"/>
      <c r="P18" s="38"/>
      <c r="Q18" s="34"/>
      <c r="R18" s="106">
        <v>2.9380000000000002</v>
      </c>
      <c r="S18" s="84" t="s">
        <v>80</v>
      </c>
      <c r="T18" s="45">
        <v>10</v>
      </c>
      <c r="U18" s="48">
        <v>0.05</v>
      </c>
      <c r="V18" s="27">
        <v>1</v>
      </c>
      <c r="W18" s="11">
        <f>U18*T18*V18</f>
        <v>0.5</v>
      </c>
      <c r="X18" s="146"/>
      <c r="Y18" s="195"/>
      <c r="Z18" s="297"/>
      <c r="AA18" s="136"/>
      <c r="AB18" s="136"/>
      <c r="AC18" s="210"/>
    </row>
    <row r="19" spans="1:29" x14ac:dyDescent="0.25">
      <c r="A19" s="197"/>
      <c r="B19" s="197"/>
      <c r="C19" s="204"/>
      <c r="D19" s="207"/>
      <c r="E19" s="294"/>
      <c r="F19" s="203"/>
      <c r="G19" s="211" t="s">
        <v>50</v>
      </c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41">
        <f>SUM(R12:R18)</f>
        <v>7.9763881249999997</v>
      </c>
      <c r="S19" s="165" t="s">
        <v>51</v>
      </c>
      <c r="T19" s="165"/>
      <c r="U19" s="165"/>
      <c r="V19" s="165"/>
      <c r="W19" s="42">
        <f>SUM(W12:W18)</f>
        <v>1.2649999999999999</v>
      </c>
      <c r="X19" s="213"/>
      <c r="Y19" s="195"/>
      <c r="Z19" s="297"/>
      <c r="AA19" s="137"/>
      <c r="AB19" s="136"/>
      <c r="AC19" s="210"/>
    </row>
    <row r="20" spans="1:29" ht="14.4" customHeight="1" x14ac:dyDescent="0.25">
      <c r="A20" s="154"/>
      <c r="B20" s="190" t="s">
        <v>60</v>
      </c>
      <c r="C20" s="214">
        <v>44448</v>
      </c>
      <c r="D20" s="223" t="s">
        <v>222</v>
      </c>
      <c r="E20" s="149" t="s">
        <v>236</v>
      </c>
      <c r="F20" s="149" t="s">
        <v>55</v>
      </c>
      <c r="G20" s="149" t="s">
        <v>55</v>
      </c>
      <c r="H20" s="153" t="s">
        <v>66</v>
      </c>
      <c r="I20" s="153">
        <v>1</v>
      </c>
      <c r="J20" s="153">
        <v>530</v>
      </c>
      <c r="K20" s="153">
        <v>130</v>
      </c>
      <c r="L20" s="153">
        <v>2</v>
      </c>
      <c r="M20" s="181">
        <v>6.85</v>
      </c>
      <c r="N20" s="147">
        <v>3.4</v>
      </c>
      <c r="O20" s="161">
        <f>J20*K20*L20*7.85/1000000</f>
        <v>1.0817300000000001</v>
      </c>
      <c r="P20" s="220">
        <f>0.689</f>
        <v>0.68899999999999995</v>
      </c>
      <c r="Q20" s="161">
        <f>O20-P20</f>
        <v>0.39273000000000013</v>
      </c>
      <c r="R20" s="161">
        <f>(M20*O20-N20*Q20)*I20</f>
        <v>6.0745684999999998</v>
      </c>
      <c r="S20" s="85" t="s">
        <v>22</v>
      </c>
      <c r="T20" s="31" t="s">
        <v>146</v>
      </c>
      <c r="U20" s="7">
        <v>0.35</v>
      </c>
      <c r="V20" s="27">
        <v>2</v>
      </c>
      <c r="W20" s="11">
        <f>U20/V20</f>
        <v>0.17499999999999999</v>
      </c>
      <c r="X20" s="213">
        <v>1.2</v>
      </c>
      <c r="Y20" s="194">
        <f>(R27+W27)*X20</f>
        <v>8.3274822000000004</v>
      </c>
      <c r="Z20" s="296">
        <f>Y20/1.13</f>
        <v>7.3694532743362844</v>
      </c>
      <c r="AA20" s="218">
        <v>100000</v>
      </c>
      <c r="AB20" s="218">
        <v>100000</v>
      </c>
      <c r="AC20" s="209">
        <f>Z20+AA20/2/AB20</f>
        <v>7.8694532743362844</v>
      </c>
    </row>
    <row r="21" spans="1:29" x14ac:dyDescent="0.25">
      <c r="A21" s="155"/>
      <c r="B21" s="197"/>
      <c r="C21" s="169"/>
      <c r="D21" s="224"/>
      <c r="E21" s="169"/>
      <c r="F21" s="150"/>
      <c r="G21" s="169"/>
      <c r="H21" s="153"/>
      <c r="I21" s="153"/>
      <c r="J21" s="153"/>
      <c r="K21" s="153"/>
      <c r="L21" s="153"/>
      <c r="M21" s="181"/>
      <c r="N21" s="147"/>
      <c r="O21" s="161"/>
      <c r="P21" s="220"/>
      <c r="Q21" s="161"/>
      <c r="R21" s="161"/>
      <c r="S21" s="85" t="s">
        <v>18</v>
      </c>
      <c r="T21" s="31" t="s">
        <v>147</v>
      </c>
      <c r="U21" s="7">
        <v>0.4</v>
      </c>
      <c r="V21" s="27">
        <v>2</v>
      </c>
      <c r="W21" s="11">
        <f t="shared" ref="W21:W25" si="2">U21/V21</f>
        <v>0.2</v>
      </c>
      <c r="X21" s="216"/>
      <c r="Y21" s="195"/>
      <c r="Z21" s="297"/>
      <c r="AA21" s="219"/>
      <c r="AB21" s="219"/>
      <c r="AC21" s="210"/>
    </row>
    <row r="22" spans="1:29" x14ac:dyDescent="0.25">
      <c r="A22" s="155"/>
      <c r="B22" s="197"/>
      <c r="C22" s="169"/>
      <c r="D22" s="224"/>
      <c r="E22" s="169"/>
      <c r="F22" s="150"/>
      <c r="G22" s="169"/>
      <c r="H22" s="153"/>
      <c r="I22" s="153"/>
      <c r="J22" s="153"/>
      <c r="K22" s="153"/>
      <c r="L22" s="153"/>
      <c r="M22" s="181"/>
      <c r="N22" s="147"/>
      <c r="O22" s="161"/>
      <c r="P22" s="220"/>
      <c r="Q22" s="161"/>
      <c r="R22" s="161"/>
      <c r="S22" s="85" t="s">
        <v>234</v>
      </c>
      <c r="T22" s="31" t="s">
        <v>17</v>
      </c>
      <c r="U22" s="266">
        <v>0.15</v>
      </c>
      <c r="V22" s="27">
        <v>2</v>
      </c>
      <c r="W22" s="11">
        <f>U22/V22+0.02</f>
        <v>9.5000000000000001E-2</v>
      </c>
      <c r="X22" s="216"/>
      <c r="Y22" s="195"/>
      <c r="Z22" s="297"/>
      <c r="AA22" s="219"/>
      <c r="AB22" s="219"/>
      <c r="AC22" s="210"/>
    </row>
    <row r="23" spans="1:29" x14ac:dyDescent="0.25">
      <c r="A23" s="155"/>
      <c r="B23" s="197"/>
      <c r="C23" s="169"/>
      <c r="D23" s="224"/>
      <c r="E23" s="169"/>
      <c r="F23" s="150"/>
      <c r="G23" s="169"/>
      <c r="H23" s="153"/>
      <c r="I23" s="153"/>
      <c r="J23" s="153"/>
      <c r="K23" s="153"/>
      <c r="L23" s="153"/>
      <c r="M23" s="181"/>
      <c r="N23" s="147"/>
      <c r="O23" s="161"/>
      <c r="P23" s="220"/>
      <c r="Q23" s="161"/>
      <c r="R23" s="161"/>
      <c r="S23" s="85" t="s">
        <v>235</v>
      </c>
      <c r="T23" s="31" t="s">
        <v>17</v>
      </c>
      <c r="U23" s="266">
        <v>0.15</v>
      </c>
      <c r="V23" s="27">
        <v>2</v>
      </c>
      <c r="W23" s="11">
        <f>U23/V23+0.02</f>
        <v>9.5000000000000001E-2</v>
      </c>
      <c r="X23" s="216"/>
      <c r="Y23" s="195"/>
      <c r="Z23" s="297"/>
      <c r="AA23" s="219"/>
      <c r="AB23" s="219"/>
      <c r="AC23" s="210"/>
    </row>
    <row r="24" spans="1:29" x14ac:dyDescent="0.25">
      <c r="A24" s="155"/>
      <c r="B24" s="197"/>
      <c r="C24" s="169"/>
      <c r="D24" s="224"/>
      <c r="E24" s="169"/>
      <c r="F24" s="150"/>
      <c r="G24" s="169"/>
      <c r="H24" s="153"/>
      <c r="I24" s="153"/>
      <c r="J24" s="153"/>
      <c r="K24" s="153"/>
      <c r="L24" s="153"/>
      <c r="M24" s="181"/>
      <c r="N24" s="147"/>
      <c r="O24" s="161"/>
      <c r="P24" s="220"/>
      <c r="Q24" s="161"/>
      <c r="R24" s="161"/>
      <c r="S24" s="85" t="s">
        <v>23</v>
      </c>
      <c r="T24" s="83" t="s">
        <v>144</v>
      </c>
      <c r="U24" s="7">
        <v>0.2</v>
      </c>
      <c r="V24" s="27">
        <v>1</v>
      </c>
      <c r="W24" s="11">
        <f t="shared" si="2"/>
        <v>0.2</v>
      </c>
      <c r="X24" s="216"/>
      <c r="Y24" s="195"/>
      <c r="Z24" s="297"/>
      <c r="AA24" s="219"/>
      <c r="AB24" s="219"/>
      <c r="AC24" s="210"/>
    </row>
    <row r="25" spans="1:29" x14ac:dyDescent="0.25">
      <c r="A25" s="155"/>
      <c r="B25" s="197"/>
      <c r="C25" s="169"/>
      <c r="D25" s="224"/>
      <c r="E25" s="169"/>
      <c r="F25" s="150"/>
      <c r="G25" s="215"/>
      <c r="H25" s="153"/>
      <c r="I25" s="153"/>
      <c r="J25" s="153"/>
      <c r="K25" s="153"/>
      <c r="L25" s="153"/>
      <c r="M25" s="181"/>
      <c r="N25" s="147"/>
      <c r="O25" s="161"/>
      <c r="P25" s="220"/>
      <c r="Q25" s="161"/>
      <c r="R25" s="161"/>
      <c r="S25" s="85" t="s">
        <v>25</v>
      </c>
      <c r="T25" s="83" t="s">
        <v>120</v>
      </c>
      <c r="U25" s="7">
        <v>0.1</v>
      </c>
      <c r="V25" s="27">
        <v>1</v>
      </c>
      <c r="W25" s="11">
        <f t="shared" si="2"/>
        <v>0.1</v>
      </c>
      <c r="X25" s="216"/>
      <c r="Y25" s="195"/>
      <c r="Z25" s="297"/>
      <c r="AA25" s="219"/>
      <c r="AB25" s="219"/>
      <c r="AC25" s="210"/>
    </row>
    <row r="26" spans="1:29" x14ac:dyDescent="0.25">
      <c r="A26" s="155"/>
      <c r="B26" s="197"/>
      <c r="C26" s="169"/>
      <c r="D26" s="224"/>
      <c r="E26" s="169"/>
      <c r="F26" s="150"/>
      <c r="G26" s="63"/>
      <c r="H26" s="53"/>
      <c r="I26" s="53"/>
      <c r="J26" s="53"/>
      <c r="K26" s="53"/>
      <c r="L26" s="53"/>
      <c r="M26" s="64"/>
      <c r="N26" s="52"/>
      <c r="O26" s="55"/>
      <c r="P26" s="109"/>
      <c r="Q26" s="55"/>
      <c r="R26" s="104"/>
      <c r="S26" s="85"/>
      <c r="T26" s="31"/>
      <c r="U26" s="7"/>
      <c r="V26" s="57"/>
      <c r="W26" s="11"/>
      <c r="X26" s="216"/>
      <c r="Y26" s="195"/>
      <c r="Z26" s="297"/>
      <c r="AA26" s="219"/>
      <c r="AB26" s="219"/>
      <c r="AC26" s="210"/>
    </row>
    <row r="27" spans="1:29" x14ac:dyDescent="0.25">
      <c r="A27" s="156"/>
      <c r="B27" s="191"/>
      <c r="C27" s="215"/>
      <c r="D27" s="225"/>
      <c r="E27" s="215"/>
      <c r="F27" s="151"/>
      <c r="G27" s="139" t="s">
        <v>50</v>
      </c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21">
        <f>SUM(R20)</f>
        <v>6.0745684999999998</v>
      </c>
      <c r="S27" s="141" t="s">
        <v>51</v>
      </c>
      <c r="T27" s="141"/>
      <c r="U27" s="141"/>
      <c r="V27" s="141"/>
      <c r="W27" s="18">
        <f>SUM(W20:W25)</f>
        <v>0.86499999999999988</v>
      </c>
      <c r="X27" s="217"/>
      <c r="Y27" s="171"/>
      <c r="Z27" s="298"/>
      <c r="AA27" s="219"/>
      <c r="AB27" s="227"/>
      <c r="AC27" s="212"/>
    </row>
    <row r="28" spans="1:29" ht="14.4" customHeight="1" x14ac:dyDescent="0.25">
      <c r="A28" s="154"/>
      <c r="B28" s="190" t="s">
        <v>60</v>
      </c>
      <c r="C28" s="214">
        <v>44448</v>
      </c>
      <c r="D28" s="226" t="s">
        <v>77</v>
      </c>
      <c r="E28" s="178" t="s">
        <v>76</v>
      </c>
      <c r="F28" s="149" t="s">
        <v>58</v>
      </c>
      <c r="G28" s="149" t="s">
        <v>58</v>
      </c>
      <c r="H28" s="153" t="s">
        <v>66</v>
      </c>
      <c r="I28" s="153">
        <v>1</v>
      </c>
      <c r="J28" s="153">
        <v>530</v>
      </c>
      <c r="K28" s="153">
        <v>130</v>
      </c>
      <c r="L28" s="153">
        <v>2</v>
      </c>
      <c r="M28" s="181">
        <v>6.85</v>
      </c>
      <c r="N28" s="147">
        <v>3.4</v>
      </c>
      <c r="O28" s="161">
        <f>J28*K28*L28*7.85/1000000</f>
        <v>1.0817300000000001</v>
      </c>
      <c r="P28" s="220">
        <f>0.689</f>
        <v>0.68899999999999995</v>
      </c>
      <c r="Q28" s="161">
        <f>O28-P28</f>
        <v>0.39273000000000013</v>
      </c>
      <c r="R28" s="161">
        <f>(M28*O28-N28*Q28)/I28</f>
        <v>6.0745684999999998</v>
      </c>
      <c r="S28" s="85" t="s">
        <v>22</v>
      </c>
      <c r="T28" s="31" t="s">
        <v>146</v>
      </c>
      <c r="U28" s="7">
        <v>0.35</v>
      </c>
      <c r="V28" s="27">
        <v>2</v>
      </c>
      <c r="W28" s="11">
        <f>U28/V28</f>
        <v>0.17499999999999999</v>
      </c>
      <c r="X28" s="213">
        <v>1.2</v>
      </c>
      <c r="Y28" s="194">
        <f>(R35+W35)*X28</f>
        <v>8.3274822000000004</v>
      </c>
      <c r="Z28" s="296">
        <f>Y28/1.13</f>
        <v>7.3694532743362844</v>
      </c>
      <c r="AA28" s="219"/>
      <c r="AB28" s="218">
        <v>100000</v>
      </c>
      <c r="AC28" s="209">
        <f>Z28+AA20/2/AB28</f>
        <v>7.8694532743362844</v>
      </c>
    </row>
    <row r="29" spans="1:29" x14ac:dyDescent="0.25">
      <c r="A29" s="155"/>
      <c r="B29" s="197"/>
      <c r="C29" s="169"/>
      <c r="D29" s="224"/>
      <c r="E29" s="169"/>
      <c r="F29" s="169"/>
      <c r="G29" s="169"/>
      <c r="H29" s="153"/>
      <c r="I29" s="153"/>
      <c r="J29" s="153"/>
      <c r="K29" s="153"/>
      <c r="L29" s="153"/>
      <c r="M29" s="181"/>
      <c r="N29" s="147"/>
      <c r="O29" s="161"/>
      <c r="P29" s="220"/>
      <c r="Q29" s="161"/>
      <c r="R29" s="161"/>
      <c r="S29" s="85" t="s">
        <v>18</v>
      </c>
      <c r="T29" s="31" t="s">
        <v>147</v>
      </c>
      <c r="U29" s="7">
        <v>0.4</v>
      </c>
      <c r="V29" s="27">
        <v>2</v>
      </c>
      <c r="W29" s="11">
        <f t="shared" ref="W29:W33" si="3">U29/V29</f>
        <v>0.2</v>
      </c>
      <c r="X29" s="216"/>
      <c r="Y29" s="195"/>
      <c r="Z29" s="297"/>
      <c r="AA29" s="219"/>
      <c r="AB29" s="219"/>
      <c r="AC29" s="210"/>
    </row>
    <row r="30" spans="1:29" x14ac:dyDescent="0.25">
      <c r="A30" s="155"/>
      <c r="B30" s="197"/>
      <c r="C30" s="169"/>
      <c r="D30" s="224"/>
      <c r="E30" s="169"/>
      <c r="F30" s="169"/>
      <c r="G30" s="169"/>
      <c r="H30" s="153"/>
      <c r="I30" s="153"/>
      <c r="J30" s="153"/>
      <c r="K30" s="153"/>
      <c r="L30" s="153"/>
      <c r="M30" s="181"/>
      <c r="N30" s="147"/>
      <c r="O30" s="161"/>
      <c r="P30" s="220"/>
      <c r="Q30" s="161"/>
      <c r="R30" s="161"/>
      <c r="S30" s="85" t="s">
        <v>234</v>
      </c>
      <c r="T30" s="31" t="s">
        <v>17</v>
      </c>
      <c r="U30" s="124">
        <v>0.15</v>
      </c>
      <c r="V30" s="123">
        <v>2</v>
      </c>
      <c r="W30" s="11">
        <f>U30/V30+0.02</f>
        <v>9.5000000000000001E-2</v>
      </c>
      <c r="X30" s="216"/>
      <c r="Y30" s="195"/>
      <c r="Z30" s="297"/>
      <c r="AA30" s="219"/>
      <c r="AB30" s="219"/>
      <c r="AC30" s="210"/>
    </row>
    <row r="31" spans="1:29" ht="14.4" customHeight="1" x14ac:dyDescent="0.25">
      <c r="A31" s="155"/>
      <c r="B31" s="197"/>
      <c r="C31" s="169"/>
      <c r="D31" s="224"/>
      <c r="E31" s="169"/>
      <c r="F31" s="169"/>
      <c r="G31" s="169"/>
      <c r="H31" s="153"/>
      <c r="I31" s="153"/>
      <c r="J31" s="153"/>
      <c r="K31" s="153"/>
      <c r="L31" s="153"/>
      <c r="M31" s="181"/>
      <c r="N31" s="147"/>
      <c r="O31" s="161"/>
      <c r="P31" s="220"/>
      <c r="Q31" s="161"/>
      <c r="R31" s="161"/>
      <c r="S31" s="85" t="s">
        <v>235</v>
      </c>
      <c r="T31" s="31" t="s">
        <v>17</v>
      </c>
      <c r="U31" s="124">
        <v>0.15</v>
      </c>
      <c r="V31" s="123">
        <v>2</v>
      </c>
      <c r="W31" s="11">
        <f>U31/V31+0.02</f>
        <v>9.5000000000000001E-2</v>
      </c>
      <c r="X31" s="216"/>
      <c r="Y31" s="195"/>
      <c r="Z31" s="297"/>
      <c r="AA31" s="219"/>
      <c r="AB31" s="219"/>
      <c r="AC31" s="210"/>
    </row>
    <row r="32" spans="1:29" x14ac:dyDescent="0.25">
      <c r="A32" s="155"/>
      <c r="B32" s="197"/>
      <c r="C32" s="169"/>
      <c r="D32" s="224"/>
      <c r="E32" s="169"/>
      <c r="F32" s="169"/>
      <c r="G32" s="169"/>
      <c r="H32" s="153"/>
      <c r="I32" s="153"/>
      <c r="J32" s="153"/>
      <c r="K32" s="153"/>
      <c r="L32" s="153"/>
      <c r="M32" s="181"/>
      <c r="N32" s="147"/>
      <c r="O32" s="161"/>
      <c r="P32" s="220"/>
      <c r="Q32" s="161"/>
      <c r="R32" s="161"/>
      <c r="S32" s="85" t="s">
        <v>23</v>
      </c>
      <c r="T32" s="83" t="s">
        <v>144</v>
      </c>
      <c r="U32" s="7">
        <v>0.2</v>
      </c>
      <c r="V32" s="27">
        <v>1</v>
      </c>
      <c r="W32" s="11">
        <f t="shared" si="3"/>
        <v>0.2</v>
      </c>
      <c r="X32" s="216"/>
      <c r="Y32" s="195"/>
      <c r="Z32" s="297"/>
      <c r="AA32" s="219"/>
      <c r="AB32" s="219"/>
      <c r="AC32" s="210"/>
    </row>
    <row r="33" spans="1:29" x14ac:dyDescent="0.25">
      <c r="A33" s="155"/>
      <c r="B33" s="197"/>
      <c r="C33" s="169"/>
      <c r="D33" s="224"/>
      <c r="E33" s="169"/>
      <c r="F33" s="169"/>
      <c r="G33" s="215"/>
      <c r="H33" s="153"/>
      <c r="I33" s="153"/>
      <c r="J33" s="153"/>
      <c r="K33" s="153"/>
      <c r="L33" s="153"/>
      <c r="M33" s="181"/>
      <c r="N33" s="147"/>
      <c r="O33" s="161"/>
      <c r="P33" s="220"/>
      <c r="Q33" s="161"/>
      <c r="R33" s="161"/>
      <c r="S33" s="85" t="s">
        <v>25</v>
      </c>
      <c r="T33" s="83" t="s">
        <v>120</v>
      </c>
      <c r="U33" s="7">
        <v>0.1</v>
      </c>
      <c r="V33" s="27">
        <v>1</v>
      </c>
      <c r="W33" s="11">
        <f t="shared" si="3"/>
        <v>0.1</v>
      </c>
      <c r="X33" s="216"/>
      <c r="Y33" s="195"/>
      <c r="Z33" s="297"/>
      <c r="AA33" s="219"/>
      <c r="AB33" s="219"/>
      <c r="AC33" s="210"/>
    </row>
    <row r="34" spans="1:29" x14ac:dyDescent="0.25">
      <c r="A34" s="155"/>
      <c r="B34" s="197"/>
      <c r="C34" s="169"/>
      <c r="D34" s="224"/>
      <c r="E34" s="169"/>
      <c r="F34" s="169"/>
      <c r="G34" s="62"/>
      <c r="H34" s="60"/>
      <c r="I34" s="60"/>
      <c r="J34" s="60"/>
      <c r="K34" s="60"/>
      <c r="L34" s="60"/>
      <c r="M34" s="79"/>
      <c r="N34" s="61"/>
      <c r="O34" s="56"/>
      <c r="P34" s="110"/>
      <c r="Q34" s="56"/>
      <c r="R34" s="105"/>
      <c r="S34" s="85"/>
      <c r="T34" s="31"/>
      <c r="U34" s="7"/>
      <c r="V34" s="57"/>
      <c r="W34" s="11"/>
      <c r="X34" s="216"/>
      <c r="Y34" s="195"/>
      <c r="Z34" s="297"/>
      <c r="AA34" s="219"/>
      <c r="AB34" s="219"/>
      <c r="AC34" s="210"/>
    </row>
    <row r="35" spans="1:29" x14ac:dyDescent="0.25">
      <c r="A35" s="155"/>
      <c r="B35" s="197"/>
      <c r="C35" s="169"/>
      <c r="D35" s="224"/>
      <c r="E35" s="169"/>
      <c r="F35" s="169"/>
      <c r="G35" s="211" t="s">
        <v>50</v>
      </c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41">
        <f>SUM(R28)</f>
        <v>6.0745684999999998</v>
      </c>
      <c r="S35" s="141" t="s">
        <v>51</v>
      </c>
      <c r="T35" s="141"/>
      <c r="U35" s="141"/>
      <c r="V35" s="141"/>
      <c r="W35" s="42">
        <f>SUM(W28:W33)</f>
        <v>0.86499999999999988</v>
      </c>
      <c r="X35" s="216"/>
      <c r="Y35" s="195"/>
      <c r="Z35" s="297"/>
      <c r="AA35" s="219"/>
      <c r="AB35" s="219"/>
      <c r="AC35" s="210"/>
    </row>
    <row r="36" spans="1:29" ht="14.4" customHeight="1" x14ac:dyDescent="0.25">
      <c r="A36" s="154"/>
      <c r="B36" s="190" t="s">
        <v>60</v>
      </c>
      <c r="C36" s="214">
        <v>44448</v>
      </c>
      <c r="D36" s="223" t="s">
        <v>224</v>
      </c>
      <c r="E36" s="149" t="s">
        <v>223</v>
      </c>
      <c r="F36" s="178" t="s">
        <v>81</v>
      </c>
      <c r="G36" s="178" t="s">
        <v>81</v>
      </c>
      <c r="H36" s="178" t="s">
        <v>82</v>
      </c>
      <c r="I36" s="178">
        <v>1</v>
      </c>
      <c r="J36" s="178">
        <v>125</v>
      </c>
      <c r="K36" s="178">
        <v>115</v>
      </c>
      <c r="L36" s="178">
        <v>5</v>
      </c>
      <c r="M36" s="228">
        <v>6.3</v>
      </c>
      <c r="N36" s="178">
        <v>3.4</v>
      </c>
      <c r="O36" s="178">
        <f>J36*K36*L36*7.85/1000000</f>
        <v>0.56421874999999999</v>
      </c>
      <c r="P36" s="178">
        <v>0.23499999999999999</v>
      </c>
      <c r="Q36" s="178">
        <f>O36-P36</f>
        <v>0.32921875</v>
      </c>
      <c r="R36" s="245">
        <f>(M36*O36-N36*Q36)*I36</f>
        <v>2.4352343749999998</v>
      </c>
      <c r="S36" s="86" t="s">
        <v>26</v>
      </c>
      <c r="T36" s="73" t="s">
        <v>17</v>
      </c>
      <c r="U36" s="74">
        <v>0.15</v>
      </c>
      <c r="V36" s="59">
        <v>1</v>
      </c>
      <c r="W36" s="11">
        <f>U36/V36</f>
        <v>0.15</v>
      </c>
      <c r="X36" s="213">
        <v>1.2</v>
      </c>
      <c r="Y36" s="194">
        <f>(R43+W43)*X36</f>
        <v>4.0322812499999996</v>
      </c>
      <c r="Z36" s="296">
        <f>Y36/1.13</f>
        <v>3.5683904867256637</v>
      </c>
      <c r="AA36" s="148">
        <v>100000</v>
      </c>
      <c r="AB36" s="218">
        <v>100000</v>
      </c>
      <c r="AC36" s="209">
        <f>Z36+AA36/2/AB36</f>
        <v>4.0683904867256633</v>
      </c>
    </row>
    <row r="37" spans="1:29" ht="14.4" customHeight="1" x14ac:dyDescent="0.25">
      <c r="A37" s="155"/>
      <c r="B37" s="197"/>
      <c r="C37" s="221"/>
      <c r="D37" s="224"/>
      <c r="E37" s="169"/>
      <c r="F37" s="169"/>
      <c r="G37" s="169"/>
      <c r="H37" s="169"/>
      <c r="I37" s="169"/>
      <c r="J37" s="169"/>
      <c r="K37" s="169"/>
      <c r="L37" s="169"/>
      <c r="M37" s="229"/>
      <c r="N37" s="169"/>
      <c r="O37" s="169"/>
      <c r="P37" s="169"/>
      <c r="Q37" s="169"/>
      <c r="R37" s="246"/>
      <c r="S37" s="87" t="s">
        <v>27</v>
      </c>
      <c r="T37" s="31" t="s">
        <v>17</v>
      </c>
      <c r="U37" s="7">
        <v>0.15</v>
      </c>
      <c r="V37" s="27">
        <v>2</v>
      </c>
      <c r="W37" s="11">
        <f t="shared" ref="W37:W42" si="4">U37/V37</f>
        <v>7.4999999999999997E-2</v>
      </c>
      <c r="X37" s="216"/>
      <c r="Y37" s="195"/>
      <c r="Z37" s="297"/>
      <c r="AA37" s="148"/>
      <c r="AB37" s="219"/>
      <c r="AC37" s="210"/>
    </row>
    <row r="38" spans="1:29" ht="14.4" customHeight="1" x14ac:dyDescent="0.25">
      <c r="A38" s="155"/>
      <c r="B38" s="197"/>
      <c r="C38" s="221"/>
      <c r="D38" s="224"/>
      <c r="E38" s="169"/>
      <c r="F38" s="169"/>
      <c r="G38" s="169"/>
      <c r="H38" s="169"/>
      <c r="I38" s="169"/>
      <c r="J38" s="169"/>
      <c r="K38" s="169"/>
      <c r="L38" s="169"/>
      <c r="M38" s="229"/>
      <c r="N38" s="169"/>
      <c r="O38" s="169"/>
      <c r="P38" s="169"/>
      <c r="Q38" s="169"/>
      <c r="R38" s="246"/>
      <c r="S38" s="87" t="s">
        <v>28</v>
      </c>
      <c r="T38" s="31" t="s">
        <v>17</v>
      </c>
      <c r="U38" s="7">
        <v>0.15</v>
      </c>
      <c r="V38" s="27">
        <v>2</v>
      </c>
      <c r="W38" s="11">
        <f t="shared" si="4"/>
        <v>7.4999999999999997E-2</v>
      </c>
      <c r="X38" s="216"/>
      <c r="Y38" s="195"/>
      <c r="Z38" s="297"/>
      <c r="AA38" s="148"/>
      <c r="AB38" s="219"/>
      <c r="AC38" s="210"/>
    </row>
    <row r="39" spans="1:29" ht="14.4" customHeight="1" x14ac:dyDescent="0.15">
      <c r="A39" s="155"/>
      <c r="B39" s="197"/>
      <c r="C39" s="221"/>
      <c r="D39" s="224"/>
      <c r="E39" s="169"/>
      <c r="F39" s="169"/>
      <c r="G39" s="169"/>
      <c r="H39" s="169"/>
      <c r="I39" s="169"/>
      <c r="J39" s="169"/>
      <c r="K39" s="169"/>
      <c r="L39" s="169"/>
      <c r="M39" s="229"/>
      <c r="N39" s="169"/>
      <c r="O39" s="169"/>
      <c r="P39" s="169"/>
      <c r="Q39" s="169"/>
      <c r="R39" s="246"/>
      <c r="S39" s="88" t="s">
        <v>28</v>
      </c>
      <c r="T39" s="31" t="s">
        <v>17</v>
      </c>
      <c r="U39" s="7">
        <v>0.15</v>
      </c>
      <c r="V39" s="27">
        <v>2</v>
      </c>
      <c r="W39" s="11">
        <f t="shared" si="4"/>
        <v>7.4999999999999997E-2</v>
      </c>
      <c r="X39" s="216"/>
      <c r="Y39" s="195"/>
      <c r="Z39" s="297"/>
      <c r="AA39" s="148"/>
      <c r="AB39" s="219"/>
      <c r="AC39" s="210"/>
    </row>
    <row r="40" spans="1:29" x14ac:dyDescent="0.25">
      <c r="A40" s="155"/>
      <c r="B40" s="197"/>
      <c r="C40" s="221"/>
      <c r="D40" s="224"/>
      <c r="E40" s="169"/>
      <c r="F40" s="169"/>
      <c r="G40" s="169"/>
      <c r="H40" s="169"/>
      <c r="I40" s="169"/>
      <c r="J40" s="169"/>
      <c r="K40" s="169"/>
      <c r="L40" s="169"/>
      <c r="M40" s="229"/>
      <c r="N40" s="169"/>
      <c r="O40" s="169"/>
      <c r="P40" s="169"/>
      <c r="Q40" s="169"/>
      <c r="R40" s="246"/>
      <c r="S40" s="87" t="s">
        <v>29</v>
      </c>
      <c r="T40" s="31" t="s">
        <v>17</v>
      </c>
      <c r="U40" s="7">
        <v>0.15</v>
      </c>
      <c r="V40" s="27">
        <v>1</v>
      </c>
      <c r="W40" s="11">
        <f t="shared" si="4"/>
        <v>0.15</v>
      </c>
      <c r="X40" s="216"/>
      <c r="Y40" s="195"/>
      <c r="Z40" s="297"/>
      <c r="AA40" s="148"/>
      <c r="AB40" s="219"/>
      <c r="AC40" s="210"/>
    </row>
    <row r="41" spans="1:29" x14ac:dyDescent="0.25">
      <c r="A41" s="155"/>
      <c r="B41" s="197"/>
      <c r="C41" s="221"/>
      <c r="D41" s="224"/>
      <c r="E41" s="169"/>
      <c r="F41" s="169"/>
      <c r="G41" s="169"/>
      <c r="H41" s="169"/>
      <c r="I41" s="169"/>
      <c r="J41" s="169"/>
      <c r="K41" s="169"/>
      <c r="L41" s="169"/>
      <c r="M41" s="229"/>
      <c r="N41" s="169"/>
      <c r="O41" s="169"/>
      <c r="P41" s="169"/>
      <c r="Q41" s="169"/>
      <c r="R41" s="246"/>
      <c r="S41" s="89" t="s">
        <v>30</v>
      </c>
      <c r="T41" s="47" t="s">
        <v>24</v>
      </c>
      <c r="U41" s="12">
        <v>0.1</v>
      </c>
      <c r="V41" s="58">
        <v>1</v>
      </c>
      <c r="W41" s="46">
        <f t="shared" ref="W41" si="5">U41/V41</f>
        <v>0.1</v>
      </c>
      <c r="X41" s="216"/>
      <c r="Y41" s="195"/>
      <c r="Z41" s="297"/>
      <c r="AA41" s="148"/>
      <c r="AB41" s="219"/>
      <c r="AC41" s="210"/>
    </row>
    <row r="42" spans="1:29" ht="24" x14ac:dyDescent="0.25">
      <c r="A42" s="155"/>
      <c r="B42" s="197"/>
      <c r="C42" s="221"/>
      <c r="D42" s="224"/>
      <c r="E42" s="169"/>
      <c r="F42" s="169"/>
      <c r="G42" s="215"/>
      <c r="H42" s="215"/>
      <c r="I42" s="215"/>
      <c r="J42" s="215"/>
      <c r="K42" s="215"/>
      <c r="L42" s="215"/>
      <c r="M42" s="230"/>
      <c r="N42" s="215"/>
      <c r="O42" s="215"/>
      <c r="P42" s="215"/>
      <c r="Q42" s="215"/>
      <c r="R42" s="247"/>
      <c r="S42" s="90" t="s">
        <v>136</v>
      </c>
      <c r="T42" s="47"/>
      <c r="U42" s="12">
        <v>0.3</v>
      </c>
      <c r="V42" s="25">
        <v>1</v>
      </c>
      <c r="W42" s="46">
        <f t="shared" si="4"/>
        <v>0.3</v>
      </c>
      <c r="X42" s="216"/>
      <c r="Y42" s="195"/>
      <c r="Z42" s="297"/>
      <c r="AA42" s="148"/>
      <c r="AB42" s="219"/>
      <c r="AC42" s="210"/>
    </row>
    <row r="43" spans="1:29" x14ac:dyDescent="0.25">
      <c r="A43" s="156"/>
      <c r="B43" s="191"/>
      <c r="C43" s="222"/>
      <c r="D43" s="225"/>
      <c r="E43" s="215"/>
      <c r="F43" s="215"/>
      <c r="G43" s="211" t="s">
        <v>50</v>
      </c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41">
        <f>SUM(R36)</f>
        <v>2.4352343749999998</v>
      </c>
      <c r="S43" s="165" t="s">
        <v>51</v>
      </c>
      <c r="T43" s="165"/>
      <c r="U43" s="165"/>
      <c r="V43" s="165"/>
      <c r="W43" s="42">
        <f>SUM(W36:W42)</f>
        <v>0.92500000000000004</v>
      </c>
      <c r="X43" s="217"/>
      <c r="Y43" s="195"/>
      <c r="Z43" s="297"/>
      <c r="AA43" s="148"/>
      <c r="AB43" s="227"/>
      <c r="AC43" s="212"/>
    </row>
    <row r="44" spans="1:29" ht="14.4" customHeight="1" x14ac:dyDescent="0.25">
      <c r="A44" s="154"/>
      <c r="B44" s="190" t="s">
        <v>60</v>
      </c>
      <c r="C44" s="214">
        <v>44448</v>
      </c>
      <c r="D44" s="223" t="s">
        <v>95</v>
      </c>
      <c r="E44" s="178" t="s">
        <v>83</v>
      </c>
      <c r="F44" s="178" t="s">
        <v>84</v>
      </c>
      <c r="G44" s="178" t="s">
        <v>84</v>
      </c>
      <c r="H44" s="178" t="s">
        <v>82</v>
      </c>
      <c r="I44" s="178">
        <v>1</v>
      </c>
      <c r="J44" s="178">
        <v>125</v>
      </c>
      <c r="K44" s="178">
        <v>115</v>
      </c>
      <c r="L44" s="178">
        <v>5</v>
      </c>
      <c r="M44" s="228">
        <v>6.3</v>
      </c>
      <c r="N44" s="178">
        <v>3.4</v>
      </c>
      <c r="O44" s="178">
        <f>125*115*5*7.85/1000000</f>
        <v>0.56421874999999999</v>
      </c>
      <c r="P44" s="178">
        <v>0.23499999999999999</v>
      </c>
      <c r="Q44" s="178">
        <f>O44-P44</f>
        <v>0.32921875</v>
      </c>
      <c r="R44" s="245">
        <f>(M44*O44-N44*Q44)*I44</f>
        <v>2.4352343749999998</v>
      </c>
      <c r="S44" s="91" t="s">
        <v>26</v>
      </c>
      <c r="T44" s="31" t="s">
        <v>17</v>
      </c>
      <c r="U44" s="7">
        <v>0.15</v>
      </c>
      <c r="V44" s="27">
        <v>1</v>
      </c>
      <c r="W44" s="11">
        <f>U44/V44</f>
        <v>0.15</v>
      </c>
      <c r="X44" s="146">
        <v>1.2</v>
      </c>
      <c r="Y44" s="147">
        <f>(R51+W51)*X44</f>
        <v>4.0322812499999996</v>
      </c>
      <c r="Z44" s="299">
        <f>Y44/1.13</f>
        <v>3.5683904867256637</v>
      </c>
      <c r="AA44" s="148"/>
      <c r="AB44" s="148">
        <v>100000</v>
      </c>
      <c r="AC44" s="138">
        <f>Z44+AA36/2/AB44</f>
        <v>4.0683904867256633</v>
      </c>
    </row>
    <row r="45" spans="1:29" ht="14.4" customHeight="1" x14ac:dyDescent="0.25">
      <c r="A45" s="155"/>
      <c r="B45" s="197"/>
      <c r="C45" s="221"/>
      <c r="D45" s="224"/>
      <c r="E45" s="169"/>
      <c r="F45" s="169"/>
      <c r="G45" s="169"/>
      <c r="H45" s="169"/>
      <c r="I45" s="169"/>
      <c r="J45" s="169"/>
      <c r="K45" s="169"/>
      <c r="L45" s="169"/>
      <c r="M45" s="229"/>
      <c r="N45" s="169"/>
      <c r="O45" s="169"/>
      <c r="P45" s="169"/>
      <c r="Q45" s="169"/>
      <c r="R45" s="246"/>
      <c r="S45" s="87" t="s">
        <v>27</v>
      </c>
      <c r="T45" s="31" t="s">
        <v>17</v>
      </c>
      <c r="U45" s="7">
        <v>0.15</v>
      </c>
      <c r="V45" s="27">
        <v>2</v>
      </c>
      <c r="W45" s="11">
        <f t="shared" ref="W45:W50" si="6">U45/V45</f>
        <v>7.4999999999999997E-2</v>
      </c>
      <c r="X45" s="146"/>
      <c r="Y45" s="147"/>
      <c r="Z45" s="299"/>
      <c r="AA45" s="148"/>
      <c r="AB45" s="148"/>
      <c r="AC45" s="138"/>
    </row>
    <row r="46" spans="1:29" ht="14.4" customHeight="1" x14ac:dyDescent="0.25">
      <c r="A46" s="155"/>
      <c r="B46" s="197"/>
      <c r="C46" s="221"/>
      <c r="D46" s="224"/>
      <c r="E46" s="169"/>
      <c r="F46" s="169"/>
      <c r="G46" s="169"/>
      <c r="H46" s="169"/>
      <c r="I46" s="169"/>
      <c r="J46" s="169"/>
      <c r="K46" s="169"/>
      <c r="L46" s="169"/>
      <c r="M46" s="229"/>
      <c r="N46" s="169"/>
      <c r="O46" s="169"/>
      <c r="P46" s="169"/>
      <c r="Q46" s="169"/>
      <c r="R46" s="246"/>
      <c r="S46" s="87" t="s">
        <v>28</v>
      </c>
      <c r="T46" s="31" t="s">
        <v>17</v>
      </c>
      <c r="U46" s="7">
        <v>0.15</v>
      </c>
      <c r="V46" s="27">
        <v>2</v>
      </c>
      <c r="W46" s="11">
        <f t="shared" si="6"/>
        <v>7.4999999999999997E-2</v>
      </c>
      <c r="X46" s="146"/>
      <c r="Y46" s="147"/>
      <c r="Z46" s="299"/>
      <c r="AA46" s="148"/>
      <c r="AB46" s="148"/>
      <c r="AC46" s="138"/>
    </row>
    <row r="47" spans="1:29" ht="14.4" customHeight="1" x14ac:dyDescent="0.15">
      <c r="A47" s="155"/>
      <c r="B47" s="197"/>
      <c r="C47" s="221"/>
      <c r="D47" s="224"/>
      <c r="E47" s="169"/>
      <c r="F47" s="169"/>
      <c r="G47" s="169"/>
      <c r="H47" s="169"/>
      <c r="I47" s="169"/>
      <c r="J47" s="169"/>
      <c r="K47" s="169"/>
      <c r="L47" s="169"/>
      <c r="M47" s="229"/>
      <c r="N47" s="169"/>
      <c r="O47" s="169"/>
      <c r="P47" s="169"/>
      <c r="Q47" s="169"/>
      <c r="R47" s="246"/>
      <c r="S47" s="92" t="s">
        <v>28</v>
      </c>
      <c r="T47" s="31" t="s">
        <v>17</v>
      </c>
      <c r="U47" s="7">
        <v>0.15</v>
      </c>
      <c r="V47" s="27">
        <v>2</v>
      </c>
      <c r="W47" s="11">
        <f t="shared" si="6"/>
        <v>7.4999999999999997E-2</v>
      </c>
      <c r="X47" s="146"/>
      <c r="Y47" s="147"/>
      <c r="Z47" s="299"/>
      <c r="AA47" s="148"/>
      <c r="AB47" s="148"/>
      <c r="AC47" s="138"/>
    </row>
    <row r="48" spans="1:29" x14ac:dyDescent="0.25">
      <c r="A48" s="155"/>
      <c r="B48" s="197"/>
      <c r="C48" s="221"/>
      <c r="D48" s="224"/>
      <c r="E48" s="169"/>
      <c r="F48" s="169"/>
      <c r="G48" s="215"/>
      <c r="H48" s="215"/>
      <c r="I48" s="215"/>
      <c r="J48" s="215"/>
      <c r="K48" s="215"/>
      <c r="L48" s="215"/>
      <c r="M48" s="230"/>
      <c r="N48" s="215"/>
      <c r="O48" s="215"/>
      <c r="P48" s="215"/>
      <c r="Q48" s="215"/>
      <c r="R48" s="247"/>
      <c r="S48" s="87" t="s">
        <v>29</v>
      </c>
      <c r="T48" s="31" t="s">
        <v>17</v>
      </c>
      <c r="U48" s="7">
        <v>0.15</v>
      </c>
      <c r="V48" s="27">
        <v>1</v>
      </c>
      <c r="W48" s="11">
        <f t="shared" si="6"/>
        <v>0.15</v>
      </c>
      <c r="X48" s="146"/>
      <c r="Y48" s="147"/>
      <c r="Z48" s="299"/>
      <c r="AA48" s="148"/>
      <c r="AB48" s="148"/>
      <c r="AC48" s="138"/>
    </row>
    <row r="49" spans="1:30" x14ac:dyDescent="0.25">
      <c r="A49" s="155"/>
      <c r="B49" s="197"/>
      <c r="C49" s="221"/>
      <c r="D49" s="224"/>
      <c r="E49" s="169"/>
      <c r="F49" s="169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107"/>
      <c r="S49" s="87" t="s">
        <v>30</v>
      </c>
      <c r="T49" s="31" t="s">
        <v>24</v>
      </c>
      <c r="U49" s="7">
        <v>0.1</v>
      </c>
      <c r="V49" s="57">
        <v>1</v>
      </c>
      <c r="W49" s="11">
        <f t="shared" ref="W49" si="7">U49/V49</f>
        <v>0.1</v>
      </c>
      <c r="X49" s="146"/>
      <c r="Y49" s="147"/>
      <c r="Z49" s="299"/>
      <c r="AA49" s="148"/>
      <c r="AB49" s="148"/>
      <c r="AC49" s="138"/>
    </row>
    <row r="50" spans="1:30" ht="24" x14ac:dyDescent="0.25">
      <c r="A50" s="155"/>
      <c r="B50" s="197"/>
      <c r="C50" s="221"/>
      <c r="D50" s="224"/>
      <c r="E50" s="169"/>
      <c r="F50" s="169"/>
      <c r="G50" s="44"/>
      <c r="H50" s="44"/>
      <c r="I50" s="75"/>
      <c r="J50" s="75"/>
      <c r="K50" s="75"/>
      <c r="L50" s="75"/>
      <c r="M50" s="11"/>
      <c r="N50" s="11"/>
      <c r="O50" s="43"/>
      <c r="P50" s="108"/>
      <c r="Q50" s="43"/>
      <c r="R50" s="43"/>
      <c r="S50" s="90" t="s">
        <v>136</v>
      </c>
      <c r="T50" s="31"/>
      <c r="U50" s="7">
        <v>0.3</v>
      </c>
      <c r="V50" s="27">
        <v>1</v>
      </c>
      <c r="W50" s="11">
        <f t="shared" si="6"/>
        <v>0.3</v>
      </c>
      <c r="X50" s="146"/>
      <c r="Y50" s="147"/>
      <c r="Z50" s="299"/>
      <c r="AA50" s="148"/>
      <c r="AB50" s="148"/>
      <c r="AC50" s="138"/>
    </row>
    <row r="51" spans="1:30" ht="15" thickBot="1" x14ac:dyDescent="0.3">
      <c r="A51" s="155"/>
      <c r="B51" s="197"/>
      <c r="C51" s="221"/>
      <c r="D51" s="224"/>
      <c r="E51" s="169"/>
      <c r="F51" s="169"/>
      <c r="G51" s="211" t="s">
        <v>50</v>
      </c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41">
        <f>SUM(R44)</f>
        <v>2.4352343749999998</v>
      </c>
      <c r="S51" s="165" t="s">
        <v>51</v>
      </c>
      <c r="T51" s="165"/>
      <c r="U51" s="165"/>
      <c r="V51" s="165"/>
      <c r="W51" s="42">
        <f>SUM(W44:W50)</f>
        <v>0.92500000000000004</v>
      </c>
      <c r="X51" s="213"/>
      <c r="Y51" s="194"/>
      <c r="Z51" s="296"/>
      <c r="AA51" s="218"/>
      <c r="AB51" s="218"/>
      <c r="AC51" s="209"/>
    </row>
    <row r="52" spans="1:30" s="100" customFormat="1" ht="14.4" customHeight="1" x14ac:dyDescent="0.25">
      <c r="A52" s="234"/>
      <c r="B52" s="231" t="s">
        <v>60</v>
      </c>
      <c r="C52" s="232">
        <v>44448</v>
      </c>
      <c r="D52" s="223" t="s">
        <v>110</v>
      </c>
      <c r="E52" s="231" t="s">
        <v>53</v>
      </c>
      <c r="F52" s="231" t="s">
        <v>54</v>
      </c>
      <c r="G52" s="234" t="s">
        <v>86</v>
      </c>
      <c r="H52" s="231" t="s">
        <v>88</v>
      </c>
      <c r="I52" s="243">
        <v>1</v>
      </c>
      <c r="J52" s="243">
        <v>223</v>
      </c>
      <c r="K52" s="243">
        <v>140</v>
      </c>
      <c r="L52" s="243">
        <v>2.5</v>
      </c>
      <c r="M52" s="254">
        <v>6.35</v>
      </c>
      <c r="N52" s="243">
        <v>3.4</v>
      </c>
      <c r="O52" s="255">
        <f>J52*K52*L52*7.85/1000000</f>
        <v>0.61269249999999997</v>
      </c>
      <c r="P52" s="243">
        <v>0.45100000000000001</v>
      </c>
      <c r="Q52" s="255">
        <f>O52-P52</f>
        <v>0.16169249999999996</v>
      </c>
      <c r="R52" s="256">
        <f>(M52*O52-N52*Q52)*I52</f>
        <v>3.3408428749999999</v>
      </c>
      <c r="S52" s="257" t="s">
        <v>31</v>
      </c>
      <c r="T52" s="258" t="s">
        <v>17</v>
      </c>
      <c r="U52" s="259">
        <v>0.15</v>
      </c>
      <c r="V52" s="132">
        <v>2</v>
      </c>
      <c r="W52" s="260">
        <f>U52/V52</f>
        <v>7.4999999999999997E-2</v>
      </c>
      <c r="X52" s="146">
        <v>1.2</v>
      </c>
      <c r="Y52" s="147">
        <f>(R59+W59)*X52</f>
        <v>5.9470114499999998</v>
      </c>
      <c r="Z52" s="299">
        <f>Y52/1.13</f>
        <v>5.2628419911504425</v>
      </c>
      <c r="AA52" s="154">
        <v>23500</v>
      </c>
      <c r="AB52" s="148">
        <v>100000</v>
      </c>
      <c r="AC52" s="138">
        <f>Z52+AA52/2/AB52</f>
        <v>5.3803419911504422</v>
      </c>
    </row>
    <row r="53" spans="1:30" s="100" customFormat="1" ht="14.4" customHeight="1" x14ac:dyDescent="0.25">
      <c r="A53" s="236"/>
      <c r="B53" s="237"/>
      <c r="C53" s="241"/>
      <c r="D53" s="224"/>
      <c r="E53" s="236"/>
      <c r="F53" s="236"/>
      <c r="G53" s="236"/>
      <c r="H53" s="237"/>
      <c r="I53" s="261"/>
      <c r="J53" s="261"/>
      <c r="K53" s="261"/>
      <c r="L53" s="261"/>
      <c r="M53" s="262"/>
      <c r="N53" s="261"/>
      <c r="O53" s="263"/>
      <c r="P53" s="261"/>
      <c r="Q53" s="263"/>
      <c r="R53" s="264"/>
      <c r="S53" s="265" t="s">
        <v>18</v>
      </c>
      <c r="T53" s="83" t="s">
        <v>17</v>
      </c>
      <c r="U53" s="266">
        <v>0.15</v>
      </c>
      <c r="V53" s="132">
        <v>1</v>
      </c>
      <c r="W53" s="260">
        <f t="shared" ref="W53:W55" si="8">U53/V53</f>
        <v>0.15</v>
      </c>
      <c r="X53" s="146"/>
      <c r="Y53" s="147"/>
      <c r="Z53" s="299"/>
      <c r="AA53" s="155"/>
      <c r="AB53" s="148"/>
      <c r="AC53" s="138"/>
    </row>
    <row r="54" spans="1:30" s="100" customFormat="1" ht="14.4" customHeight="1" x14ac:dyDescent="0.25">
      <c r="A54" s="236"/>
      <c r="B54" s="237"/>
      <c r="C54" s="241"/>
      <c r="D54" s="224"/>
      <c r="E54" s="236"/>
      <c r="F54" s="236"/>
      <c r="G54" s="236"/>
      <c r="H54" s="237"/>
      <c r="I54" s="261"/>
      <c r="J54" s="261"/>
      <c r="K54" s="261"/>
      <c r="L54" s="261"/>
      <c r="M54" s="262"/>
      <c r="N54" s="261"/>
      <c r="O54" s="263"/>
      <c r="P54" s="261"/>
      <c r="Q54" s="263"/>
      <c r="R54" s="264"/>
      <c r="S54" s="267" t="s">
        <v>32</v>
      </c>
      <c r="T54" s="83" t="s">
        <v>20</v>
      </c>
      <c r="U54" s="266">
        <v>7.0000000000000007E-2</v>
      </c>
      <c r="V54" s="132">
        <v>1</v>
      </c>
      <c r="W54" s="260">
        <f t="shared" si="8"/>
        <v>7.0000000000000007E-2</v>
      </c>
      <c r="X54" s="146"/>
      <c r="Y54" s="147"/>
      <c r="Z54" s="299"/>
      <c r="AA54" s="155"/>
      <c r="AB54" s="148"/>
      <c r="AC54" s="138"/>
    </row>
    <row r="55" spans="1:30" s="100" customFormat="1" ht="14.4" customHeight="1" x14ac:dyDescent="0.25">
      <c r="A55" s="236"/>
      <c r="B55" s="237"/>
      <c r="C55" s="241"/>
      <c r="D55" s="224"/>
      <c r="E55" s="236"/>
      <c r="F55" s="236"/>
      <c r="G55" s="242"/>
      <c r="H55" s="240"/>
      <c r="I55" s="268"/>
      <c r="J55" s="268"/>
      <c r="K55" s="268"/>
      <c r="L55" s="268"/>
      <c r="M55" s="269"/>
      <c r="N55" s="268"/>
      <c r="O55" s="270"/>
      <c r="P55" s="268"/>
      <c r="Q55" s="270"/>
      <c r="R55" s="264"/>
      <c r="S55" s="267" t="s">
        <v>32</v>
      </c>
      <c r="T55" s="83" t="s">
        <v>20</v>
      </c>
      <c r="U55" s="266">
        <v>7.0000000000000007E-2</v>
      </c>
      <c r="V55" s="132">
        <v>1</v>
      </c>
      <c r="W55" s="260">
        <f t="shared" si="8"/>
        <v>7.0000000000000007E-2</v>
      </c>
      <c r="X55" s="146"/>
      <c r="Y55" s="147"/>
      <c r="Z55" s="299"/>
      <c r="AA55" s="155"/>
      <c r="AB55" s="148"/>
      <c r="AC55" s="138"/>
    </row>
    <row r="56" spans="1:30" s="100" customFormat="1" x14ac:dyDescent="0.25">
      <c r="A56" s="236"/>
      <c r="B56" s="237"/>
      <c r="C56" s="241"/>
      <c r="D56" s="224"/>
      <c r="E56" s="236"/>
      <c r="F56" s="236"/>
      <c r="G56" s="271" t="s">
        <v>33</v>
      </c>
      <c r="H56" s="271"/>
      <c r="I56" s="130">
        <v>2</v>
      </c>
      <c r="J56" s="127"/>
      <c r="K56" s="127"/>
      <c r="L56" s="127"/>
      <c r="M56" s="113">
        <v>0.13</v>
      </c>
      <c r="N56" s="134"/>
      <c r="O56" s="113"/>
      <c r="P56" s="108"/>
      <c r="Q56" s="113"/>
      <c r="R56" s="134">
        <f>I56*M56</f>
        <v>0.26</v>
      </c>
      <c r="S56" s="267" t="s">
        <v>34</v>
      </c>
      <c r="T56" s="132"/>
      <c r="U56" s="266">
        <v>0.13</v>
      </c>
      <c r="V56" s="132">
        <v>2</v>
      </c>
      <c r="W56" s="260">
        <f>U56*V56</f>
        <v>0.26</v>
      </c>
      <c r="X56" s="146"/>
      <c r="Y56" s="147"/>
      <c r="Z56" s="299"/>
      <c r="AA56" s="155"/>
      <c r="AB56" s="148"/>
      <c r="AC56" s="138"/>
      <c r="AD56" s="99" t="s">
        <v>135</v>
      </c>
    </row>
    <row r="57" spans="1:30" s="100" customFormat="1" x14ac:dyDescent="0.25">
      <c r="A57" s="236"/>
      <c r="B57" s="237"/>
      <c r="C57" s="241"/>
      <c r="D57" s="224"/>
      <c r="E57" s="236"/>
      <c r="F57" s="236"/>
      <c r="G57" s="271" t="s">
        <v>35</v>
      </c>
      <c r="H57" s="271"/>
      <c r="I57" s="130">
        <v>1</v>
      </c>
      <c r="J57" s="127"/>
      <c r="K57" s="127"/>
      <c r="L57" s="127"/>
      <c r="M57" s="113">
        <v>0.42</v>
      </c>
      <c r="N57" s="134"/>
      <c r="O57" s="113"/>
      <c r="P57" s="108"/>
      <c r="Q57" s="113"/>
      <c r="R57" s="134">
        <f>I57*M57</f>
        <v>0.42</v>
      </c>
      <c r="S57" s="267" t="s">
        <v>87</v>
      </c>
      <c r="T57" s="132"/>
      <c r="U57" s="266">
        <v>0.13</v>
      </c>
      <c r="V57" s="132">
        <v>1</v>
      </c>
      <c r="W57" s="260">
        <f>U57*V57</f>
        <v>0.13</v>
      </c>
      <c r="X57" s="146"/>
      <c r="Y57" s="147"/>
      <c r="Z57" s="299"/>
      <c r="AA57" s="155"/>
      <c r="AB57" s="148"/>
      <c r="AC57" s="138"/>
      <c r="AD57" s="99" t="s">
        <v>135</v>
      </c>
    </row>
    <row r="58" spans="1:30" s="100" customFormat="1" x14ac:dyDescent="0.25">
      <c r="A58" s="236"/>
      <c r="B58" s="237"/>
      <c r="C58" s="241"/>
      <c r="D58" s="224"/>
      <c r="E58" s="236"/>
      <c r="F58" s="236"/>
      <c r="G58" s="272"/>
      <c r="H58" s="272"/>
      <c r="I58" s="131"/>
      <c r="J58" s="273"/>
      <c r="K58" s="273"/>
      <c r="L58" s="273"/>
      <c r="M58" s="274"/>
      <c r="N58" s="275"/>
      <c r="O58" s="274"/>
      <c r="P58" s="276"/>
      <c r="Q58" s="274"/>
      <c r="R58" s="275"/>
      <c r="S58" s="277" t="s">
        <v>137</v>
      </c>
      <c r="T58" s="278" t="s">
        <v>138</v>
      </c>
      <c r="U58" s="279">
        <v>0.18</v>
      </c>
      <c r="V58" s="133">
        <v>1</v>
      </c>
      <c r="W58" s="260">
        <f>U58*V58</f>
        <v>0.18</v>
      </c>
      <c r="X58" s="213"/>
      <c r="Y58" s="194"/>
      <c r="Z58" s="296"/>
      <c r="AA58" s="155"/>
      <c r="AB58" s="218"/>
      <c r="AC58" s="209"/>
      <c r="AD58" s="99"/>
    </row>
    <row r="59" spans="1:30" x14ac:dyDescent="0.25">
      <c r="A59" s="242"/>
      <c r="B59" s="240"/>
      <c r="C59" s="241"/>
      <c r="D59" s="224"/>
      <c r="E59" s="236"/>
      <c r="F59" s="236"/>
      <c r="G59" s="211" t="s">
        <v>50</v>
      </c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41">
        <f>SUM(R52:R57)</f>
        <v>4.0208428749999996</v>
      </c>
      <c r="S59" s="165" t="s">
        <v>51</v>
      </c>
      <c r="T59" s="165"/>
      <c r="U59" s="165"/>
      <c r="V59" s="165"/>
      <c r="W59" s="42">
        <f>SUM(W52:W58)</f>
        <v>0.93500000000000005</v>
      </c>
      <c r="X59" s="213"/>
      <c r="Y59" s="194"/>
      <c r="Z59" s="296"/>
      <c r="AA59" s="155"/>
      <c r="AB59" s="218"/>
      <c r="AC59" s="209"/>
    </row>
    <row r="60" spans="1:30" s="100" customFormat="1" ht="14.4" customHeight="1" x14ac:dyDescent="0.25">
      <c r="A60" s="234"/>
      <c r="B60" s="231" t="s">
        <v>60</v>
      </c>
      <c r="C60" s="145">
        <v>44448</v>
      </c>
      <c r="D60" s="238" t="s">
        <v>109</v>
      </c>
      <c r="E60" s="143" t="s">
        <v>48</v>
      </c>
      <c r="F60" s="143" t="s">
        <v>49</v>
      </c>
      <c r="G60" s="143" t="s">
        <v>49</v>
      </c>
      <c r="H60" s="143" t="s">
        <v>88</v>
      </c>
      <c r="I60" s="142">
        <v>1</v>
      </c>
      <c r="J60" s="142">
        <v>223</v>
      </c>
      <c r="K60" s="142">
        <v>140</v>
      </c>
      <c r="L60" s="142">
        <v>2.5</v>
      </c>
      <c r="M60" s="280">
        <v>6.35</v>
      </c>
      <c r="N60" s="142">
        <v>3.4</v>
      </c>
      <c r="O60" s="281">
        <f>J60*K60*L60*7.85/1000000</f>
        <v>0.61269249999999997</v>
      </c>
      <c r="P60" s="142">
        <v>0.45100000000000001</v>
      </c>
      <c r="Q60" s="281">
        <f>O60-P60</f>
        <v>0.16169249999999996</v>
      </c>
      <c r="R60" s="162">
        <f>(M60*O60-N60*Q60)*I60</f>
        <v>3.3408428749999999</v>
      </c>
      <c r="S60" s="265" t="s">
        <v>31</v>
      </c>
      <c r="T60" s="83" t="s">
        <v>17</v>
      </c>
      <c r="U60" s="266">
        <v>0.15</v>
      </c>
      <c r="V60" s="132">
        <v>2</v>
      </c>
      <c r="W60" s="260">
        <f>U60/V60</f>
        <v>7.4999999999999997E-2</v>
      </c>
      <c r="X60" s="146">
        <v>1.2</v>
      </c>
      <c r="Y60" s="147">
        <f>(R67+W67)*X60</f>
        <v>5.9470114499999998</v>
      </c>
      <c r="Z60" s="299">
        <f>Y60/1.13</f>
        <v>5.2628419911504425</v>
      </c>
      <c r="AA60" s="155"/>
      <c r="AB60" s="148">
        <v>100000</v>
      </c>
      <c r="AC60" s="138">
        <f>Z60+AA52/2/AB60</f>
        <v>5.3803419911504422</v>
      </c>
    </row>
    <row r="61" spans="1:30" s="100" customFormat="1" ht="14.4" customHeight="1" x14ac:dyDescent="0.25">
      <c r="A61" s="236"/>
      <c r="B61" s="237"/>
      <c r="C61" s="145"/>
      <c r="D61" s="239"/>
      <c r="E61" s="233"/>
      <c r="F61" s="233"/>
      <c r="G61" s="233"/>
      <c r="H61" s="143"/>
      <c r="I61" s="142"/>
      <c r="J61" s="142"/>
      <c r="K61" s="142"/>
      <c r="L61" s="142"/>
      <c r="M61" s="280"/>
      <c r="N61" s="142"/>
      <c r="O61" s="281"/>
      <c r="P61" s="142"/>
      <c r="Q61" s="281"/>
      <c r="R61" s="162"/>
      <c r="S61" s="265" t="s">
        <v>18</v>
      </c>
      <c r="T61" s="83" t="s">
        <v>17</v>
      </c>
      <c r="U61" s="266">
        <v>0.15</v>
      </c>
      <c r="V61" s="132">
        <v>1</v>
      </c>
      <c r="W61" s="260">
        <f t="shared" ref="W61:W63" si="9">U61/V61</f>
        <v>0.15</v>
      </c>
      <c r="X61" s="146"/>
      <c r="Y61" s="147"/>
      <c r="Z61" s="299"/>
      <c r="AA61" s="155"/>
      <c r="AB61" s="148"/>
      <c r="AC61" s="138"/>
    </row>
    <row r="62" spans="1:30" s="100" customFormat="1" ht="14.4" customHeight="1" x14ac:dyDescent="0.25">
      <c r="A62" s="236"/>
      <c r="B62" s="237"/>
      <c r="C62" s="145"/>
      <c r="D62" s="239"/>
      <c r="E62" s="233"/>
      <c r="F62" s="233"/>
      <c r="G62" s="233"/>
      <c r="H62" s="143"/>
      <c r="I62" s="142"/>
      <c r="J62" s="142"/>
      <c r="K62" s="142"/>
      <c r="L62" s="142"/>
      <c r="M62" s="280"/>
      <c r="N62" s="142"/>
      <c r="O62" s="281"/>
      <c r="P62" s="142"/>
      <c r="Q62" s="281"/>
      <c r="R62" s="162"/>
      <c r="S62" s="267" t="s">
        <v>32</v>
      </c>
      <c r="T62" s="83" t="s">
        <v>20</v>
      </c>
      <c r="U62" s="266">
        <v>7.0000000000000007E-2</v>
      </c>
      <c r="V62" s="132">
        <v>1</v>
      </c>
      <c r="W62" s="260">
        <f t="shared" si="9"/>
        <v>7.0000000000000007E-2</v>
      </c>
      <c r="X62" s="146"/>
      <c r="Y62" s="147"/>
      <c r="Z62" s="299"/>
      <c r="AA62" s="155"/>
      <c r="AB62" s="148"/>
      <c r="AC62" s="138"/>
    </row>
    <row r="63" spans="1:30" s="100" customFormat="1" ht="14.4" customHeight="1" x14ac:dyDescent="0.25">
      <c r="A63" s="236"/>
      <c r="B63" s="237"/>
      <c r="C63" s="145"/>
      <c r="D63" s="239"/>
      <c r="E63" s="233"/>
      <c r="F63" s="233"/>
      <c r="G63" s="233"/>
      <c r="H63" s="143"/>
      <c r="I63" s="142"/>
      <c r="J63" s="142"/>
      <c r="K63" s="142"/>
      <c r="L63" s="142"/>
      <c r="M63" s="280"/>
      <c r="N63" s="142"/>
      <c r="O63" s="281"/>
      <c r="P63" s="142"/>
      <c r="Q63" s="281"/>
      <c r="R63" s="162"/>
      <c r="S63" s="267" t="s">
        <v>32</v>
      </c>
      <c r="T63" s="83" t="s">
        <v>20</v>
      </c>
      <c r="U63" s="266">
        <v>7.0000000000000007E-2</v>
      </c>
      <c r="V63" s="132">
        <v>1</v>
      </c>
      <c r="W63" s="260">
        <f t="shared" si="9"/>
        <v>7.0000000000000007E-2</v>
      </c>
      <c r="X63" s="146"/>
      <c r="Y63" s="147"/>
      <c r="Z63" s="299"/>
      <c r="AA63" s="155"/>
      <c r="AB63" s="148"/>
      <c r="AC63" s="138"/>
    </row>
    <row r="64" spans="1:30" s="100" customFormat="1" x14ac:dyDescent="0.25">
      <c r="A64" s="236"/>
      <c r="B64" s="237"/>
      <c r="C64" s="145"/>
      <c r="D64" s="239"/>
      <c r="E64" s="233"/>
      <c r="F64" s="233"/>
      <c r="G64" s="282" t="s">
        <v>122</v>
      </c>
      <c r="H64" s="271"/>
      <c r="I64" s="130">
        <v>2</v>
      </c>
      <c r="J64" s="127"/>
      <c r="K64" s="127"/>
      <c r="L64" s="127"/>
      <c r="M64" s="113">
        <v>0.13</v>
      </c>
      <c r="N64" s="134"/>
      <c r="O64" s="113"/>
      <c r="P64" s="108"/>
      <c r="Q64" s="113"/>
      <c r="R64" s="134">
        <f>I64*M64</f>
        <v>0.26</v>
      </c>
      <c r="S64" s="267" t="s">
        <v>34</v>
      </c>
      <c r="T64" s="132"/>
      <c r="U64" s="266">
        <v>0.13</v>
      </c>
      <c r="V64" s="132">
        <v>2</v>
      </c>
      <c r="W64" s="260">
        <f>U64*V64</f>
        <v>0.26</v>
      </c>
      <c r="X64" s="146"/>
      <c r="Y64" s="147"/>
      <c r="Z64" s="299"/>
      <c r="AA64" s="155"/>
      <c r="AB64" s="148"/>
      <c r="AC64" s="138"/>
      <c r="AD64" s="99" t="s">
        <v>135</v>
      </c>
    </row>
    <row r="65" spans="1:30" s="100" customFormat="1" x14ac:dyDescent="0.25">
      <c r="A65" s="236"/>
      <c r="B65" s="237"/>
      <c r="C65" s="145"/>
      <c r="D65" s="239"/>
      <c r="E65" s="233"/>
      <c r="F65" s="233"/>
      <c r="G65" s="282" t="s">
        <v>123</v>
      </c>
      <c r="H65" s="271"/>
      <c r="I65" s="130">
        <v>1</v>
      </c>
      <c r="J65" s="127"/>
      <c r="K65" s="127"/>
      <c r="L65" s="127"/>
      <c r="M65" s="113">
        <v>0.42</v>
      </c>
      <c r="N65" s="134"/>
      <c r="O65" s="113"/>
      <c r="P65" s="108"/>
      <c r="Q65" s="113"/>
      <c r="R65" s="134">
        <f>I65*M65</f>
        <v>0.42</v>
      </c>
      <c r="S65" s="267" t="s">
        <v>87</v>
      </c>
      <c r="T65" s="132"/>
      <c r="U65" s="266">
        <v>0.13</v>
      </c>
      <c r="V65" s="132">
        <v>1</v>
      </c>
      <c r="W65" s="260">
        <f>U65*V65</f>
        <v>0.13</v>
      </c>
      <c r="X65" s="146"/>
      <c r="Y65" s="147"/>
      <c r="Z65" s="299"/>
      <c r="AA65" s="155"/>
      <c r="AB65" s="148"/>
      <c r="AC65" s="138"/>
      <c r="AD65" s="99" t="s">
        <v>135</v>
      </c>
    </row>
    <row r="66" spans="1:30" s="100" customFormat="1" x14ac:dyDescent="0.25">
      <c r="A66" s="236"/>
      <c r="B66" s="237"/>
      <c r="C66" s="232"/>
      <c r="D66" s="226"/>
      <c r="E66" s="234"/>
      <c r="F66" s="234"/>
      <c r="G66" s="283"/>
      <c r="H66" s="272"/>
      <c r="I66" s="131"/>
      <c r="J66" s="273"/>
      <c r="K66" s="273"/>
      <c r="L66" s="273"/>
      <c r="M66" s="274"/>
      <c r="N66" s="275"/>
      <c r="O66" s="274"/>
      <c r="P66" s="276"/>
      <c r="Q66" s="274"/>
      <c r="R66" s="275"/>
      <c r="S66" s="277" t="s">
        <v>137</v>
      </c>
      <c r="T66" s="278" t="s">
        <v>138</v>
      </c>
      <c r="U66" s="279">
        <v>0.18</v>
      </c>
      <c r="V66" s="133">
        <v>1</v>
      </c>
      <c r="W66" s="260">
        <f>U66*V66</f>
        <v>0.18</v>
      </c>
      <c r="X66" s="213"/>
      <c r="Y66" s="194"/>
      <c r="Z66" s="296"/>
      <c r="AA66" s="155"/>
      <c r="AB66" s="218"/>
      <c r="AC66" s="209"/>
      <c r="AD66" s="99"/>
    </row>
    <row r="67" spans="1:30" ht="15" thickBot="1" x14ac:dyDescent="0.3">
      <c r="A67" s="236"/>
      <c r="B67" s="237"/>
      <c r="C67" s="232"/>
      <c r="D67" s="226"/>
      <c r="E67" s="234"/>
      <c r="F67" s="234"/>
      <c r="G67" s="211" t="s">
        <v>50</v>
      </c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41">
        <f>SUM(R60:R65)</f>
        <v>4.0208428749999996</v>
      </c>
      <c r="S67" s="165" t="s">
        <v>51</v>
      </c>
      <c r="T67" s="165"/>
      <c r="U67" s="165"/>
      <c r="V67" s="165"/>
      <c r="W67" s="42">
        <f>SUM(W60:W66)</f>
        <v>0.93500000000000005</v>
      </c>
      <c r="X67" s="213"/>
      <c r="Y67" s="194"/>
      <c r="Z67" s="296"/>
      <c r="AA67" s="156"/>
      <c r="AB67" s="218"/>
      <c r="AC67" s="209"/>
    </row>
    <row r="68" spans="1:30" ht="14.4" customHeight="1" x14ac:dyDescent="0.25">
      <c r="A68" s="233"/>
      <c r="B68" s="143" t="s">
        <v>60</v>
      </c>
      <c r="C68" s="145">
        <v>44448</v>
      </c>
      <c r="D68" s="157" t="s">
        <v>225</v>
      </c>
      <c r="E68" s="145" t="s">
        <v>90</v>
      </c>
      <c r="F68" s="145" t="s">
        <v>89</v>
      </c>
      <c r="G68" s="153" t="s">
        <v>89</v>
      </c>
      <c r="H68" s="153" t="s">
        <v>91</v>
      </c>
      <c r="I68" s="159">
        <v>1</v>
      </c>
      <c r="J68" s="159">
        <v>147</v>
      </c>
      <c r="K68" s="159">
        <v>30</v>
      </c>
      <c r="L68" s="159">
        <v>4</v>
      </c>
      <c r="M68" s="147">
        <v>6.7</v>
      </c>
      <c r="N68" s="244">
        <v>3.4</v>
      </c>
      <c r="O68" s="161">
        <f>J68*K68*L68*7.85/1000000</f>
        <v>0.13847400000000001</v>
      </c>
      <c r="P68" s="220">
        <v>4.1000000000000002E-2</v>
      </c>
      <c r="Q68" s="161">
        <f>O68-P68</f>
        <v>9.7474000000000005E-2</v>
      </c>
      <c r="R68" s="161">
        <f>(M68*O68-N68*Q68)*I68</f>
        <v>0.59636420000000012</v>
      </c>
      <c r="S68" s="93" t="s">
        <v>31</v>
      </c>
      <c r="T68" s="15" t="s">
        <v>17</v>
      </c>
      <c r="U68" s="9">
        <v>0.15</v>
      </c>
      <c r="V68" s="27">
        <v>1</v>
      </c>
      <c r="W68" s="11">
        <f>U68/V68</f>
        <v>0.15</v>
      </c>
      <c r="X68" s="146">
        <v>1.2</v>
      </c>
      <c r="Y68" s="147">
        <f>(R74+W74)*X68</f>
        <v>1.3156370399999999</v>
      </c>
      <c r="Z68" s="299">
        <f>Y68/1.13</f>
        <v>1.1642805663716815</v>
      </c>
      <c r="AA68" s="159">
        <v>29000</v>
      </c>
      <c r="AB68" s="148">
        <v>100000</v>
      </c>
      <c r="AC68" s="138">
        <f>Z68+AA68/AB68</f>
        <v>1.4542805663716816</v>
      </c>
    </row>
    <row r="69" spans="1:30" x14ac:dyDescent="0.25">
      <c r="A69" s="233"/>
      <c r="B69" s="143"/>
      <c r="C69" s="145"/>
      <c r="D69" s="158"/>
      <c r="E69" s="145"/>
      <c r="F69" s="145"/>
      <c r="G69" s="153"/>
      <c r="H69" s="153"/>
      <c r="I69" s="159"/>
      <c r="J69" s="159"/>
      <c r="K69" s="159"/>
      <c r="L69" s="159"/>
      <c r="M69" s="147"/>
      <c r="N69" s="244"/>
      <c r="O69" s="161"/>
      <c r="P69" s="220"/>
      <c r="Q69" s="161"/>
      <c r="R69" s="161"/>
      <c r="S69" s="94" t="s">
        <v>93</v>
      </c>
      <c r="T69" s="26" t="s">
        <v>17</v>
      </c>
      <c r="U69" s="7">
        <v>0.15</v>
      </c>
      <c r="V69" s="27">
        <v>1</v>
      </c>
      <c r="W69" s="11">
        <f t="shared" ref="W69:W71" si="10">U69/V69</f>
        <v>0.15</v>
      </c>
      <c r="X69" s="146"/>
      <c r="Y69" s="147"/>
      <c r="Z69" s="299"/>
      <c r="AA69" s="159"/>
      <c r="AB69" s="148"/>
      <c r="AC69" s="138"/>
    </row>
    <row r="70" spans="1:30" x14ac:dyDescent="0.25">
      <c r="A70" s="233"/>
      <c r="B70" s="143"/>
      <c r="C70" s="145"/>
      <c r="D70" s="158"/>
      <c r="E70" s="145"/>
      <c r="F70" s="145"/>
      <c r="G70" s="153"/>
      <c r="H70" s="153"/>
      <c r="I70" s="159"/>
      <c r="J70" s="159"/>
      <c r="K70" s="159"/>
      <c r="L70" s="159"/>
      <c r="M70" s="147"/>
      <c r="N70" s="244"/>
      <c r="O70" s="161"/>
      <c r="P70" s="220"/>
      <c r="Q70" s="161"/>
      <c r="R70" s="161"/>
      <c r="S70" s="95" t="s">
        <v>94</v>
      </c>
      <c r="T70" s="27" t="s">
        <v>17</v>
      </c>
      <c r="U70" s="12">
        <v>0.15</v>
      </c>
      <c r="V70" s="27">
        <v>1</v>
      </c>
      <c r="W70" s="11">
        <f t="shared" si="10"/>
        <v>0.15</v>
      </c>
      <c r="X70" s="146"/>
      <c r="Y70" s="147"/>
      <c r="Z70" s="299"/>
      <c r="AA70" s="159"/>
      <c r="AB70" s="148"/>
      <c r="AC70" s="138"/>
    </row>
    <row r="71" spans="1:30" x14ac:dyDescent="0.25">
      <c r="A71" s="233"/>
      <c r="B71" s="143"/>
      <c r="C71" s="145"/>
      <c r="D71" s="158"/>
      <c r="E71" s="145"/>
      <c r="F71" s="145"/>
      <c r="G71" s="153"/>
      <c r="H71" s="153"/>
      <c r="I71" s="159"/>
      <c r="J71" s="159"/>
      <c r="K71" s="159"/>
      <c r="L71" s="159"/>
      <c r="M71" s="147"/>
      <c r="N71" s="244"/>
      <c r="O71" s="161"/>
      <c r="P71" s="220"/>
      <c r="Q71" s="161"/>
      <c r="R71" s="161"/>
      <c r="S71" s="95" t="s">
        <v>92</v>
      </c>
      <c r="T71" s="58"/>
      <c r="U71" s="12">
        <v>0.05</v>
      </c>
      <c r="V71" s="27">
        <v>1</v>
      </c>
      <c r="W71" s="11">
        <f t="shared" si="10"/>
        <v>0.05</v>
      </c>
      <c r="X71" s="146"/>
      <c r="Y71" s="147"/>
      <c r="Z71" s="299"/>
      <c r="AA71" s="159"/>
      <c r="AB71" s="148"/>
      <c r="AC71" s="138"/>
    </row>
    <row r="72" spans="1:30" x14ac:dyDescent="0.25">
      <c r="A72" s="233"/>
      <c r="B72" s="143"/>
      <c r="C72" s="145"/>
      <c r="D72" s="158"/>
      <c r="E72" s="145"/>
      <c r="F72" s="145"/>
      <c r="G72" s="153"/>
      <c r="H72" s="153"/>
      <c r="I72" s="159"/>
      <c r="J72" s="159"/>
      <c r="K72" s="159"/>
      <c r="L72" s="159"/>
      <c r="M72" s="147"/>
      <c r="N72" s="244"/>
      <c r="O72" s="161"/>
      <c r="P72" s="220"/>
      <c r="Q72" s="161"/>
      <c r="R72" s="161"/>
      <c r="S72" s="91"/>
      <c r="T72" s="57"/>
      <c r="U72" s="7"/>
      <c r="V72" s="27"/>
      <c r="W72" s="7"/>
      <c r="X72" s="146"/>
      <c r="Y72" s="147"/>
      <c r="Z72" s="299"/>
      <c r="AA72" s="159"/>
      <c r="AB72" s="148"/>
      <c r="AC72" s="138"/>
    </row>
    <row r="73" spans="1:30" x14ac:dyDescent="0.25">
      <c r="A73" s="233"/>
      <c r="B73" s="143"/>
      <c r="C73" s="145"/>
      <c r="D73" s="158"/>
      <c r="E73" s="145"/>
      <c r="F73" s="145"/>
      <c r="G73" s="153"/>
      <c r="H73" s="153"/>
      <c r="I73" s="159"/>
      <c r="J73" s="159"/>
      <c r="K73" s="159"/>
      <c r="L73" s="159"/>
      <c r="M73" s="147"/>
      <c r="N73" s="244"/>
      <c r="O73" s="161"/>
      <c r="P73" s="220"/>
      <c r="Q73" s="161"/>
      <c r="R73" s="161"/>
      <c r="S73" s="91"/>
      <c r="T73" s="57"/>
      <c r="U73" s="7"/>
      <c r="V73" s="27"/>
      <c r="W73" s="7"/>
      <c r="X73" s="146"/>
      <c r="Y73" s="147"/>
      <c r="Z73" s="299"/>
      <c r="AA73" s="159"/>
      <c r="AB73" s="148"/>
      <c r="AC73" s="138"/>
    </row>
    <row r="74" spans="1:30" ht="15" thickBot="1" x14ac:dyDescent="0.3">
      <c r="A74" s="234"/>
      <c r="B74" s="231"/>
      <c r="C74" s="232"/>
      <c r="D74" s="235"/>
      <c r="E74" s="232"/>
      <c r="F74" s="232"/>
      <c r="G74" s="211" t="s">
        <v>50</v>
      </c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41">
        <f>SUM(R68:R73)</f>
        <v>0.59636420000000012</v>
      </c>
      <c r="S74" s="165" t="s">
        <v>51</v>
      </c>
      <c r="T74" s="165"/>
      <c r="U74" s="165"/>
      <c r="V74" s="165"/>
      <c r="W74" s="42">
        <f>SUM(W68:W73)</f>
        <v>0.49999999999999994</v>
      </c>
      <c r="X74" s="213"/>
      <c r="Y74" s="194"/>
      <c r="Z74" s="296"/>
      <c r="AA74" s="154"/>
      <c r="AB74" s="218"/>
      <c r="AC74" s="209"/>
    </row>
    <row r="75" spans="1:30" ht="14.4" customHeight="1" x14ac:dyDescent="0.25">
      <c r="A75" s="142"/>
      <c r="B75" s="143" t="s">
        <v>60</v>
      </c>
      <c r="C75" s="145">
        <v>44448</v>
      </c>
      <c r="D75" s="238" t="s">
        <v>108</v>
      </c>
      <c r="E75" s="233" t="s">
        <v>97</v>
      </c>
      <c r="F75" s="233" t="s">
        <v>96</v>
      </c>
      <c r="G75" s="153" t="s">
        <v>96</v>
      </c>
      <c r="H75" s="153" t="s">
        <v>66</v>
      </c>
      <c r="I75" s="159">
        <v>1</v>
      </c>
      <c r="J75" s="159">
        <v>358</v>
      </c>
      <c r="K75" s="159">
        <v>70</v>
      </c>
      <c r="L75" s="159">
        <v>2</v>
      </c>
      <c r="M75" s="181">
        <v>6.85</v>
      </c>
      <c r="N75" s="244">
        <v>3.4</v>
      </c>
      <c r="O75" s="161">
        <f>J75*K75*L75*7.85/1000000</f>
        <v>0.39344200000000001</v>
      </c>
      <c r="P75" s="220">
        <v>0.21099999999999999</v>
      </c>
      <c r="Q75" s="161">
        <f>O75-P75</f>
        <v>0.18244200000000002</v>
      </c>
      <c r="R75" s="161">
        <f>(M75*O75-N75*Q75)*I75</f>
        <v>2.0747749</v>
      </c>
      <c r="S75" s="96" t="s">
        <v>36</v>
      </c>
      <c r="T75" s="15" t="s">
        <v>17</v>
      </c>
      <c r="U75" s="9">
        <v>0.15</v>
      </c>
      <c r="V75" s="27">
        <v>1</v>
      </c>
      <c r="W75" s="11">
        <f>U75/V75</f>
        <v>0.15</v>
      </c>
      <c r="X75" s="213">
        <v>1.2</v>
      </c>
      <c r="Y75" s="147">
        <f>(R81+W81)*X75</f>
        <v>3.1977298800000002</v>
      </c>
      <c r="Z75" s="299">
        <f>Y75/1.13</f>
        <v>2.8298494513274339</v>
      </c>
      <c r="AA75" s="159"/>
      <c r="AB75" s="148">
        <v>100000</v>
      </c>
      <c r="AC75" s="138">
        <f>Z75+AA75/AB75</f>
        <v>2.8298494513274339</v>
      </c>
    </row>
    <row r="76" spans="1:30" x14ac:dyDescent="0.25">
      <c r="A76" s="142"/>
      <c r="B76" s="143"/>
      <c r="C76" s="145"/>
      <c r="D76" s="239"/>
      <c r="E76" s="233"/>
      <c r="F76" s="233"/>
      <c r="G76" s="153"/>
      <c r="H76" s="153"/>
      <c r="I76" s="159"/>
      <c r="J76" s="159"/>
      <c r="K76" s="159"/>
      <c r="L76" s="159"/>
      <c r="M76" s="181"/>
      <c r="N76" s="244"/>
      <c r="O76" s="161"/>
      <c r="P76" s="220"/>
      <c r="Q76" s="161"/>
      <c r="R76" s="161"/>
      <c r="S76" s="91" t="s">
        <v>18</v>
      </c>
      <c r="T76" s="26" t="s">
        <v>17</v>
      </c>
      <c r="U76" s="7">
        <v>0.15</v>
      </c>
      <c r="V76" s="27">
        <v>1</v>
      </c>
      <c r="W76" s="11">
        <f t="shared" ref="W76:W79" si="11">U76/V76</f>
        <v>0.15</v>
      </c>
      <c r="X76" s="216"/>
      <c r="Y76" s="147"/>
      <c r="Z76" s="299"/>
      <c r="AA76" s="159"/>
      <c r="AB76" s="148"/>
      <c r="AC76" s="138"/>
    </row>
    <row r="77" spans="1:30" x14ac:dyDescent="0.25">
      <c r="A77" s="142"/>
      <c r="B77" s="143"/>
      <c r="C77" s="145"/>
      <c r="D77" s="239"/>
      <c r="E77" s="233"/>
      <c r="F77" s="233"/>
      <c r="G77" s="153"/>
      <c r="H77" s="153"/>
      <c r="I77" s="159"/>
      <c r="J77" s="159"/>
      <c r="K77" s="159"/>
      <c r="L77" s="159"/>
      <c r="M77" s="181"/>
      <c r="N77" s="244"/>
      <c r="O77" s="161"/>
      <c r="P77" s="220"/>
      <c r="Q77" s="161"/>
      <c r="R77" s="161"/>
      <c r="S77" s="91" t="s">
        <v>37</v>
      </c>
      <c r="T77" s="26" t="s">
        <v>20</v>
      </c>
      <c r="U77" s="7">
        <v>7.0000000000000007E-2</v>
      </c>
      <c r="V77" s="27">
        <v>1</v>
      </c>
      <c r="W77" s="11">
        <f t="shared" si="11"/>
        <v>7.0000000000000007E-2</v>
      </c>
      <c r="X77" s="216"/>
      <c r="Y77" s="147"/>
      <c r="Z77" s="299"/>
      <c r="AA77" s="159"/>
      <c r="AB77" s="148"/>
      <c r="AC77" s="138"/>
    </row>
    <row r="78" spans="1:30" x14ac:dyDescent="0.25">
      <c r="A78" s="142"/>
      <c r="B78" s="143"/>
      <c r="C78" s="145"/>
      <c r="D78" s="239"/>
      <c r="E78" s="233"/>
      <c r="F78" s="233"/>
      <c r="G78" s="153"/>
      <c r="H78" s="153"/>
      <c r="I78" s="159"/>
      <c r="J78" s="159"/>
      <c r="K78" s="159"/>
      <c r="L78" s="159"/>
      <c r="M78" s="181"/>
      <c r="N78" s="244"/>
      <c r="O78" s="161"/>
      <c r="P78" s="220"/>
      <c r="Q78" s="161"/>
      <c r="R78" s="161"/>
      <c r="S78" s="91" t="s">
        <v>38</v>
      </c>
      <c r="T78" s="26" t="s">
        <v>17</v>
      </c>
      <c r="U78" s="7">
        <v>0.15</v>
      </c>
      <c r="V78" s="27">
        <v>1</v>
      </c>
      <c r="W78" s="11">
        <f t="shared" si="11"/>
        <v>0.15</v>
      </c>
      <c r="X78" s="216"/>
      <c r="Y78" s="147"/>
      <c r="Z78" s="299"/>
      <c r="AA78" s="159"/>
      <c r="AB78" s="148"/>
      <c r="AC78" s="138"/>
    </row>
    <row r="79" spans="1:30" x14ac:dyDescent="0.25">
      <c r="A79" s="142"/>
      <c r="B79" s="143"/>
      <c r="C79" s="145"/>
      <c r="D79" s="239"/>
      <c r="E79" s="233"/>
      <c r="F79" s="233"/>
      <c r="G79" s="153"/>
      <c r="H79" s="153"/>
      <c r="I79" s="159"/>
      <c r="J79" s="159"/>
      <c r="K79" s="159"/>
      <c r="L79" s="159"/>
      <c r="M79" s="181"/>
      <c r="N79" s="244"/>
      <c r="O79" s="161"/>
      <c r="P79" s="220"/>
      <c r="Q79" s="161"/>
      <c r="R79" s="161"/>
      <c r="S79" s="91" t="s">
        <v>19</v>
      </c>
      <c r="T79" s="26" t="s">
        <v>20</v>
      </c>
      <c r="U79" s="7">
        <v>7.0000000000000007E-2</v>
      </c>
      <c r="V79" s="27">
        <v>1</v>
      </c>
      <c r="W79" s="11">
        <f t="shared" si="11"/>
        <v>7.0000000000000007E-2</v>
      </c>
      <c r="X79" s="216"/>
      <c r="Y79" s="147"/>
      <c r="Z79" s="299"/>
      <c r="AA79" s="159"/>
      <c r="AB79" s="148"/>
      <c r="AC79" s="138"/>
    </row>
    <row r="80" spans="1:30" x14ac:dyDescent="0.25">
      <c r="A80" s="142"/>
      <c r="B80" s="143"/>
      <c r="C80" s="145"/>
      <c r="D80" s="239"/>
      <c r="E80" s="233"/>
      <c r="F80" s="233"/>
      <c r="G80" s="153"/>
      <c r="H80" s="153"/>
      <c r="I80" s="159"/>
      <c r="J80" s="159"/>
      <c r="K80" s="159"/>
      <c r="L80" s="159"/>
      <c r="M80" s="181"/>
      <c r="N80" s="244"/>
      <c r="O80" s="161"/>
      <c r="P80" s="220"/>
      <c r="Q80" s="161"/>
      <c r="R80" s="161"/>
      <c r="S80" s="91"/>
      <c r="T80" s="27"/>
      <c r="U80" s="7"/>
      <c r="V80" s="27"/>
      <c r="W80" s="7"/>
      <c r="X80" s="216"/>
      <c r="Y80" s="147"/>
      <c r="Z80" s="299"/>
      <c r="AA80" s="159"/>
      <c r="AB80" s="148"/>
      <c r="AC80" s="138"/>
    </row>
    <row r="81" spans="1:30" ht="15" thickBot="1" x14ac:dyDescent="0.3">
      <c r="A81" s="243"/>
      <c r="B81" s="143"/>
      <c r="C81" s="232"/>
      <c r="D81" s="226"/>
      <c r="E81" s="234"/>
      <c r="F81" s="234"/>
      <c r="G81" s="139" t="s">
        <v>50</v>
      </c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21">
        <f>SUM(R75:R80)</f>
        <v>2.0747749</v>
      </c>
      <c r="S81" s="165" t="s">
        <v>51</v>
      </c>
      <c r="T81" s="165"/>
      <c r="U81" s="165"/>
      <c r="V81" s="165"/>
      <c r="W81" s="18">
        <f>SUM(W75:W80)</f>
        <v>0.59000000000000008</v>
      </c>
      <c r="X81" s="217"/>
      <c r="Y81" s="194"/>
      <c r="Z81" s="296"/>
      <c r="AA81" s="154"/>
      <c r="AB81" s="218"/>
      <c r="AC81" s="209"/>
    </row>
    <row r="82" spans="1:30" ht="14.4" customHeight="1" x14ac:dyDescent="0.25">
      <c r="A82" s="142"/>
      <c r="B82" s="143" t="s">
        <v>60</v>
      </c>
      <c r="C82" s="145">
        <v>44448</v>
      </c>
      <c r="D82" s="238" t="s">
        <v>226</v>
      </c>
      <c r="E82" s="143" t="s">
        <v>139</v>
      </c>
      <c r="F82" s="143" t="s">
        <v>140</v>
      </c>
      <c r="G82" s="149" t="s">
        <v>140</v>
      </c>
      <c r="H82" s="149" t="s">
        <v>99</v>
      </c>
      <c r="I82" s="149">
        <v>1</v>
      </c>
      <c r="J82" s="149">
        <v>358</v>
      </c>
      <c r="K82" s="149">
        <v>70</v>
      </c>
      <c r="L82" s="149">
        <v>2</v>
      </c>
      <c r="M82" s="149">
        <v>6.85</v>
      </c>
      <c r="N82" s="149">
        <v>3.4</v>
      </c>
      <c r="O82" s="149">
        <f>J82*K82*L82*7.85/1000000</f>
        <v>0.39344200000000001</v>
      </c>
      <c r="P82" s="149">
        <v>0.21099999999999999</v>
      </c>
      <c r="Q82" s="149">
        <f>O82-P82</f>
        <v>0.18244200000000002</v>
      </c>
      <c r="R82" s="248">
        <f>(M82*O82-N82*Q82)*I82</f>
        <v>2.0747749</v>
      </c>
      <c r="S82" s="96" t="s">
        <v>36</v>
      </c>
      <c r="T82" s="15" t="s">
        <v>17</v>
      </c>
      <c r="U82" s="9">
        <v>0.15</v>
      </c>
      <c r="V82" s="57">
        <v>1</v>
      </c>
      <c r="W82" s="11">
        <f>U82/V82</f>
        <v>0.15</v>
      </c>
      <c r="X82" s="213">
        <v>1.2</v>
      </c>
      <c r="Y82" s="147">
        <f>(R89+W89)*X82</f>
        <v>3.6657298799999998</v>
      </c>
      <c r="Z82" s="299">
        <f>Y82/1.13</f>
        <v>3.2440087433628322</v>
      </c>
      <c r="AA82" s="159">
        <v>60000</v>
      </c>
      <c r="AB82" s="148">
        <v>100000</v>
      </c>
      <c r="AC82" s="138">
        <f>Z82+AA82/AB82</f>
        <v>3.8440087433628323</v>
      </c>
    </row>
    <row r="83" spans="1:30" x14ac:dyDescent="0.25">
      <c r="A83" s="142"/>
      <c r="B83" s="143"/>
      <c r="C83" s="145"/>
      <c r="D83" s="239"/>
      <c r="E83" s="233"/>
      <c r="F83" s="233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249"/>
      <c r="S83" s="91" t="s">
        <v>18</v>
      </c>
      <c r="T83" s="59" t="s">
        <v>17</v>
      </c>
      <c r="U83" s="7">
        <v>0.15</v>
      </c>
      <c r="V83" s="57">
        <v>1</v>
      </c>
      <c r="W83" s="11">
        <f t="shared" ref="W83:W88" si="12">U83/V83</f>
        <v>0.15</v>
      </c>
      <c r="X83" s="216"/>
      <c r="Y83" s="147"/>
      <c r="Z83" s="299"/>
      <c r="AA83" s="159"/>
      <c r="AB83" s="148"/>
      <c r="AC83" s="138"/>
    </row>
    <row r="84" spans="1:30" x14ac:dyDescent="0.25">
      <c r="A84" s="142"/>
      <c r="B84" s="143"/>
      <c r="C84" s="145"/>
      <c r="D84" s="239"/>
      <c r="E84" s="233"/>
      <c r="F84" s="233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249"/>
      <c r="S84" s="91" t="s">
        <v>37</v>
      </c>
      <c r="T84" s="59" t="s">
        <v>20</v>
      </c>
      <c r="U84" s="7">
        <v>7.0000000000000007E-2</v>
      </c>
      <c r="V84" s="57">
        <v>1</v>
      </c>
      <c r="W84" s="11">
        <f t="shared" si="12"/>
        <v>7.0000000000000007E-2</v>
      </c>
      <c r="X84" s="216"/>
      <c r="Y84" s="147"/>
      <c r="Z84" s="299"/>
      <c r="AA84" s="159"/>
      <c r="AB84" s="148"/>
      <c r="AC84" s="138"/>
    </row>
    <row r="85" spans="1:30" x14ac:dyDescent="0.25">
      <c r="A85" s="142"/>
      <c r="B85" s="143"/>
      <c r="C85" s="145"/>
      <c r="D85" s="239"/>
      <c r="E85" s="233"/>
      <c r="F85" s="233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249"/>
      <c r="S85" s="91" t="s">
        <v>38</v>
      </c>
      <c r="T85" s="59" t="s">
        <v>17</v>
      </c>
      <c r="U85" s="7">
        <v>0.15</v>
      </c>
      <c r="V85" s="57">
        <v>1</v>
      </c>
      <c r="W85" s="11">
        <f t="shared" si="12"/>
        <v>0.15</v>
      </c>
      <c r="X85" s="216"/>
      <c r="Y85" s="147"/>
      <c r="Z85" s="299"/>
      <c r="AA85" s="159"/>
      <c r="AB85" s="148"/>
      <c r="AC85" s="138"/>
    </row>
    <row r="86" spans="1:30" x14ac:dyDescent="0.25">
      <c r="A86" s="142"/>
      <c r="B86" s="143"/>
      <c r="C86" s="145"/>
      <c r="D86" s="239"/>
      <c r="E86" s="233"/>
      <c r="F86" s="233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249"/>
      <c r="S86" s="91" t="s">
        <v>19</v>
      </c>
      <c r="T86" s="59" t="s">
        <v>20</v>
      </c>
      <c r="U86" s="7">
        <v>7.0000000000000007E-2</v>
      </c>
      <c r="V86" s="57">
        <v>1</v>
      </c>
      <c r="W86" s="11">
        <f t="shared" si="12"/>
        <v>7.0000000000000007E-2</v>
      </c>
      <c r="X86" s="216"/>
      <c r="Y86" s="147"/>
      <c r="Z86" s="299"/>
      <c r="AA86" s="159"/>
      <c r="AB86" s="148"/>
      <c r="AC86" s="138"/>
    </row>
    <row r="87" spans="1:30" x14ac:dyDescent="0.25">
      <c r="A87" s="142"/>
      <c r="B87" s="143"/>
      <c r="C87" s="145"/>
      <c r="D87" s="239"/>
      <c r="E87" s="233"/>
      <c r="F87" s="233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250"/>
      <c r="S87" s="97" t="s">
        <v>142</v>
      </c>
      <c r="T87" s="57"/>
      <c r="U87" s="7">
        <v>0.24</v>
      </c>
      <c r="V87" s="57">
        <v>1</v>
      </c>
      <c r="W87" s="7">
        <f t="shared" ref="W87" si="13">U87/V87</f>
        <v>0.24</v>
      </c>
      <c r="X87" s="216"/>
      <c r="Y87" s="147"/>
      <c r="Z87" s="299"/>
      <c r="AA87" s="159"/>
      <c r="AB87" s="148"/>
      <c r="AC87" s="138"/>
    </row>
    <row r="88" spans="1:30" x14ac:dyDescent="0.25">
      <c r="A88" s="142"/>
      <c r="B88" s="143"/>
      <c r="C88" s="145"/>
      <c r="D88" s="239"/>
      <c r="E88" s="233"/>
      <c r="F88" s="233"/>
      <c r="G88" s="77" t="s">
        <v>141</v>
      </c>
      <c r="H88" s="44"/>
      <c r="I88" s="76">
        <v>2</v>
      </c>
      <c r="J88" s="76"/>
      <c r="K88" s="76"/>
      <c r="L88" s="76"/>
      <c r="M88" s="37">
        <v>0.05</v>
      </c>
      <c r="N88" s="78"/>
      <c r="O88" s="43"/>
      <c r="P88" s="108"/>
      <c r="Q88" s="43"/>
      <c r="R88" s="104">
        <f>I88*M88</f>
        <v>0.1</v>
      </c>
      <c r="S88" s="97" t="s">
        <v>121</v>
      </c>
      <c r="T88" s="54" t="s">
        <v>143</v>
      </c>
      <c r="U88" s="7">
        <v>0.05</v>
      </c>
      <c r="V88" s="57">
        <v>1</v>
      </c>
      <c r="W88" s="7">
        <f t="shared" si="12"/>
        <v>0.05</v>
      </c>
      <c r="X88" s="216"/>
      <c r="Y88" s="147"/>
      <c r="Z88" s="299"/>
      <c r="AA88" s="159"/>
      <c r="AB88" s="148"/>
      <c r="AC88" s="138"/>
    </row>
    <row r="89" spans="1:30" x14ac:dyDescent="0.25">
      <c r="A89" s="243"/>
      <c r="B89" s="143"/>
      <c r="C89" s="232"/>
      <c r="D89" s="226"/>
      <c r="E89" s="234"/>
      <c r="F89" s="234"/>
      <c r="G89" s="139" t="s">
        <v>50</v>
      </c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21">
        <f>SUM(R82:R88)</f>
        <v>2.1747749000000001</v>
      </c>
      <c r="S89" s="165" t="s">
        <v>51</v>
      </c>
      <c r="T89" s="165"/>
      <c r="U89" s="165"/>
      <c r="V89" s="165"/>
      <c r="W89" s="18">
        <f>SUM(W82:W88)</f>
        <v>0.88000000000000012</v>
      </c>
      <c r="X89" s="217"/>
      <c r="Y89" s="194"/>
      <c r="Z89" s="296"/>
      <c r="AA89" s="154"/>
      <c r="AB89" s="218"/>
      <c r="AC89" s="209"/>
    </row>
    <row r="90" spans="1:30" s="100" customFormat="1" ht="14.4" customHeight="1" x14ac:dyDescent="0.25">
      <c r="A90" s="233"/>
      <c r="B90" s="143" t="s">
        <v>60</v>
      </c>
      <c r="C90" s="145">
        <v>44448</v>
      </c>
      <c r="D90" s="238" t="s">
        <v>111</v>
      </c>
      <c r="E90" s="143" t="s">
        <v>112</v>
      </c>
      <c r="F90" s="143" t="s">
        <v>98</v>
      </c>
      <c r="G90" s="284" t="s">
        <v>98</v>
      </c>
      <c r="H90" s="285" t="s">
        <v>99</v>
      </c>
      <c r="I90" s="284">
        <v>1</v>
      </c>
      <c r="J90" s="284">
        <v>232</v>
      </c>
      <c r="K90" s="284">
        <v>274</v>
      </c>
      <c r="L90" s="284">
        <v>2.5</v>
      </c>
      <c r="M90" s="286">
        <v>6.85</v>
      </c>
      <c r="N90" s="284">
        <v>3.4</v>
      </c>
      <c r="O90" s="162">
        <f>J90*K90*L90*7.85/1000000</f>
        <v>1.247522</v>
      </c>
      <c r="P90" s="220">
        <v>0.998</v>
      </c>
      <c r="Q90" s="162">
        <f>O90-P90</f>
        <v>0.24952200000000002</v>
      </c>
      <c r="R90" s="162">
        <f>(M90*O90-N90*Q90)*I90</f>
        <v>7.6971508999999987</v>
      </c>
      <c r="S90" s="287" t="s">
        <v>31</v>
      </c>
      <c r="T90" s="70" t="s">
        <v>146</v>
      </c>
      <c r="U90" s="266">
        <v>0.35</v>
      </c>
      <c r="V90" s="132">
        <v>2</v>
      </c>
      <c r="W90" s="260">
        <f>U90/V90</f>
        <v>0.17499999999999999</v>
      </c>
      <c r="X90" s="146">
        <v>1.2</v>
      </c>
      <c r="Y90" s="147">
        <f>(R96+W96)*X90</f>
        <v>9.938581079999997</v>
      </c>
      <c r="Z90" s="299">
        <f>Y90/1.13</f>
        <v>8.79520449557522</v>
      </c>
      <c r="AA90" s="154">
        <v>42200</v>
      </c>
      <c r="AB90" s="148">
        <v>100000</v>
      </c>
      <c r="AC90" s="138">
        <f>Z90+AA90/AB90/2</f>
        <v>9.0062044955752203</v>
      </c>
      <c r="AD90" s="99" t="s">
        <v>133</v>
      </c>
    </row>
    <row r="91" spans="1:30" s="100" customFormat="1" x14ac:dyDescent="0.25">
      <c r="A91" s="233"/>
      <c r="B91" s="143"/>
      <c r="C91" s="145"/>
      <c r="D91" s="239"/>
      <c r="E91" s="233"/>
      <c r="F91" s="233"/>
      <c r="G91" s="288"/>
      <c r="H91" s="289"/>
      <c r="I91" s="288"/>
      <c r="J91" s="288"/>
      <c r="K91" s="288"/>
      <c r="L91" s="288"/>
      <c r="M91" s="286"/>
      <c r="N91" s="288"/>
      <c r="O91" s="162"/>
      <c r="P91" s="220"/>
      <c r="Q91" s="162"/>
      <c r="R91" s="162"/>
      <c r="S91" s="287" t="s">
        <v>18</v>
      </c>
      <c r="T91" s="70" t="s">
        <v>147</v>
      </c>
      <c r="U91" s="266">
        <v>0.4</v>
      </c>
      <c r="V91" s="132">
        <v>2</v>
      </c>
      <c r="W91" s="260">
        <f t="shared" ref="W91:W94" si="14">U91/V91</f>
        <v>0.2</v>
      </c>
      <c r="X91" s="146"/>
      <c r="Y91" s="147"/>
      <c r="Z91" s="299"/>
      <c r="AA91" s="155"/>
      <c r="AB91" s="148"/>
      <c r="AC91" s="138"/>
      <c r="AD91" s="99" t="s">
        <v>134</v>
      </c>
    </row>
    <row r="92" spans="1:30" s="100" customFormat="1" x14ac:dyDescent="0.25">
      <c r="A92" s="233"/>
      <c r="B92" s="143"/>
      <c r="C92" s="145"/>
      <c r="D92" s="239"/>
      <c r="E92" s="233"/>
      <c r="F92" s="233"/>
      <c r="G92" s="288"/>
      <c r="H92" s="289"/>
      <c r="I92" s="288"/>
      <c r="J92" s="288"/>
      <c r="K92" s="288"/>
      <c r="L92" s="288"/>
      <c r="M92" s="286"/>
      <c r="N92" s="288"/>
      <c r="O92" s="162"/>
      <c r="P92" s="220"/>
      <c r="Q92" s="162"/>
      <c r="R92" s="162"/>
      <c r="S92" s="287" t="s">
        <v>64</v>
      </c>
      <c r="T92" s="132" t="s">
        <v>20</v>
      </c>
      <c r="U92" s="266">
        <v>7.0000000000000007E-2</v>
      </c>
      <c r="V92" s="132">
        <v>1</v>
      </c>
      <c r="W92" s="260">
        <f t="shared" si="14"/>
        <v>7.0000000000000007E-2</v>
      </c>
      <c r="X92" s="146"/>
      <c r="Y92" s="147"/>
      <c r="Z92" s="299"/>
      <c r="AA92" s="155"/>
      <c r="AB92" s="148"/>
      <c r="AC92" s="138"/>
    </row>
    <row r="93" spans="1:30" s="100" customFormat="1" x14ac:dyDescent="0.25">
      <c r="A93" s="233"/>
      <c r="B93" s="143"/>
      <c r="C93" s="145"/>
      <c r="D93" s="239"/>
      <c r="E93" s="233"/>
      <c r="F93" s="233"/>
      <c r="G93" s="288"/>
      <c r="H93" s="289"/>
      <c r="I93" s="288"/>
      <c r="J93" s="288"/>
      <c r="K93" s="288"/>
      <c r="L93" s="288"/>
      <c r="M93" s="286"/>
      <c r="N93" s="288"/>
      <c r="O93" s="162"/>
      <c r="P93" s="220"/>
      <c r="Q93" s="162"/>
      <c r="R93" s="162"/>
      <c r="S93" s="287" t="s">
        <v>61</v>
      </c>
      <c r="T93" s="132" t="s">
        <v>20</v>
      </c>
      <c r="U93" s="266">
        <v>7.0000000000000007E-2</v>
      </c>
      <c r="V93" s="132">
        <v>1</v>
      </c>
      <c r="W93" s="260">
        <f t="shared" si="14"/>
        <v>7.0000000000000007E-2</v>
      </c>
      <c r="X93" s="146"/>
      <c r="Y93" s="147"/>
      <c r="Z93" s="299"/>
      <c r="AA93" s="155"/>
      <c r="AB93" s="148"/>
      <c r="AC93" s="138"/>
    </row>
    <row r="94" spans="1:30" s="100" customFormat="1" x14ac:dyDescent="0.25">
      <c r="A94" s="233"/>
      <c r="B94" s="143"/>
      <c r="C94" s="145"/>
      <c r="D94" s="239"/>
      <c r="E94" s="233"/>
      <c r="F94" s="233"/>
      <c r="G94" s="288"/>
      <c r="H94" s="289"/>
      <c r="I94" s="288"/>
      <c r="J94" s="288"/>
      <c r="K94" s="288"/>
      <c r="L94" s="288"/>
      <c r="M94" s="286"/>
      <c r="N94" s="288"/>
      <c r="O94" s="162"/>
      <c r="P94" s="220"/>
      <c r="Q94" s="162"/>
      <c r="R94" s="162"/>
      <c r="S94" s="287" t="s">
        <v>65</v>
      </c>
      <c r="T94" s="132" t="s">
        <v>20</v>
      </c>
      <c r="U94" s="266">
        <v>7.0000000000000007E-2</v>
      </c>
      <c r="V94" s="132">
        <v>1</v>
      </c>
      <c r="W94" s="260">
        <f t="shared" si="14"/>
        <v>7.0000000000000007E-2</v>
      </c>
      <c r="X94" s="146"/>
      <c r="Y94" s="147"/>
      <c r="Z94" s="299"/>
      <c r="AA94" s="155"/>
      <c r="AB94" s="148"/>
      <c r="AC94" s="138"/>
    </row>
    <row r="95" spans="1:30" s="100" customFormat="1" x14ac:dyDescent="0.25">
      <c r="A95" s="233"/>
      <c r="B95" s="143"/>
      <c r="C95" s="145"/>
      <c r="D95" s="239"/>
      <c r="E95" s="233"/>
      <c r="F95" s="233"/>
      <c r="G95" s="290"/>
      <c r="H95" s="291"/>
      <c r="I95" s="290"/>
      <c r="J95" s="290"/>
      <c r="K95" s="290"/>
      <c r="L95" s="290"/>
      <c r="M95" s="286"/>
      <c r="N95" s="290"/>
      <c r="O95" s="162"/>
      <c r="P95" s="220"/>
      <c r="Q95" s="162"/>
      <c r="R95" s="162"/>
      <c r="S95" s="287"/>
      <c r="T95" s="132"/>
      <c r="U95" s="266"/>
      <c r="V95" s="132"/>
      <c r="W95" s="266"/>
      <c r="X95" s="146"/>
      <c r="Y95" s="147"/>
      <c r="Z95" s="299"/>
      <c r="AA95" s="155"/>
      <c r="AB95" s="148"/>
      <c r="AC95" s="138"/>
    </row>
    <row r="96" spans="1:30" x14ac:dyDescent="0.25">
      <c r="A96" s="234"/>
      <c r="B96" s="231"/>
      <c r="C96" s="232"/>
      <c r="D96" s="226"/>
      <c r="E96" s="234"/>
      <c r="F96" s="234"/>
      <c r="G96" s="163" t="s">
        <v>50</v>
      </c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21">
        <f>SUM(R90:R95)</f>
        <v>7.6971508999999987</v>
      </c>
      <c r="S96" s="165" t="s">
        <v>51</v>
      </c>
      <c r="T96" s="165"/>
      <c r="U96" s="165"/>
      <c r="V96" s="165"/>
      <c r="W96" s="18">
        <f>SUM(W90:W95)</f>
        <v>0.58499999999999996</v>
      </c>
      <c r="X96" s="146"/>
      <c r="Y96" s="147"/>
      <c r="Z96" s="299"/>
      <c r="AA96" s="155"/>
      <c r="AB96" s="148"/>
      <c r="AC96" s="138"/>
    </row>
    <row r="97" spans="1:30" s="100" customFormat="1" ht="14.4" customHeight="1" x14ac:dyDescent="0.25">
      <c r="A97" s="233"/>
      <c r="B97" s="143" t="s">
        <v>60</v>
      </c>
      <c r="C97" s="145">
        <v>44448</v>
      </c>
      <c r="D97" s="238" t="s">
        <v>104</v>
      </c>
      <c r="E97" s="143" t="s">
        <v>105</v>
      </c>
      <c r="F97" s="143" t="s">
        <v>106</v>
      </c>
      <c r="G97" s="284" t="s">
        <v>106</v>
      </c>
      <c r="H97" s="285" t="s">
        <v>99</v>
      </c>
      <c r="I97" s="284">
        <v>1</v>
      </c>
      <c r="J97" s="284">
        <v>232</v>
      </c>
      <c r="K97" s="284">
        <v>274</v>
      </c>
      <c r="L97" s="284">
        <v>2.5</v>
      </c>
      <c r="M97" s="286">
        <v>6.85</v>
      </c>
      <c r="N97" s="284">
        <v>3.4</v>
      </c>
      <c r="O97" s="162">
        <f>J97*K97*L97*7.85/1000000</f>
        <v>1.247522</v>
      </c>
      <c r="P97" s="220">
        <v>0.998</v>
      </c>
      <c r="Q97" s="162">
        <f>O97-P97</f>
        <v>0.24952200000000002</v>
      </c>
      <c r="R97" s="162">
        <f>(M97*O97-N97*Q97)*I97</f>
        <v>7.6971508999999987</v>
      </c>
      <c r="S97" s="287" t="s">
        <v>31</v>
      </c>
      <c r="T97" s="70" t="s">
        <v>146</v>
      </c>
      <c r="U97" s="266">
        <v>0.35</v>
      </c>
      <c r="V97" s="132">
        <v>2</v>
      </c>
      <c r="W97" s="260">
        <f>U97/V97</f>
        <v>0.17499999999999999</v>
      </c>
      <c r="X97" s="146">
        <v>1.2</v>
      </c>
      <c r="Y97" s="147">
        <f>(R103+W103)*X97</f>
        <v>9.938581079999997</v>
      </c>
      <c r="Z97" s="299">
        <f>Y97/1.13</f>
        <v>8.79520449557522</v>
      </c>
      <c r="AA97" s="155"/>
      <c r="AB97" s="148">
        <v>100000</v>
      </c>
      <c r="AC97" s="138">
        <f>Z97+AA90/AB97/2</f>
        <v>9.0062044955752203</v>
      </c>
      <c r="AD97" s="99" t="s">
        <v>133</v>
      </c>
    </row>
    <row r="98" spans="1:30" s="100" customFormat="1" x14ac:dyDescent="0.25">
      <c r="A98" s="233"/>
      <c r="B98" s="143"/>
      <c r="C98" s="145"/>
      <c r="D98" s="239"/>
      <c r="E98" s="233"/>
      <c r="F98" s="233"/>
      <c r="G98" s="288"/>
      <c r="H98" s="289"/>
      <c r="I98" s="288"/>
      <c r="J98" s="288"/>
      <c r="K98" s="288"/>
      <c r="L98" s="288"/>
      <c r="M98" s="286"/>
      <c r="N98" s="288"/>
      <c r="O98" s="162"/>
      <c r="P98" s="220"/>
      <c r="Q98" s="162"/>
      <c r="R98" s="162"/>
      <c r="S98" s="287" t="s">
        <v>18</v>
      </c>
      <c r="T98" s="70" t="s">
        <v>147</v>
      </c>
      <c r="U98" s="266">
        <v>0.4</v>
      </c>
      <c r="V98" s="132">
        <v>2</v>
      </c>
      <c r="W98" s="260">
        <f t="shared" ref="W98:W101" si="15">U98/V98</f>
        <v>0.2</v>
      </c>
      <c r="X98" s="146"/>
      <c r="Y98" s="147"/>
      <c r="Z98" s="299"/>
      <c r="AA98" s="155"/>
      <c r="AB98" s="148"/>
      <c r="AC98" s="138"/>
      <c r="AD98" s="99" t="s">
        <v>134</v>
      </c>
    </row>
    <row r="99" spans="1:30" s="100" customFormat="1" x14ac:dyDescent="0.25">
      <c r="A99" s="233"/>
      <c r="B99" s="143"/>
      <c r="C99" s="145"/>
      <c r="D99" s="239"/>
      <c r="E99" s="233"/>
      <c r="F99" s="233"/>
      <c r="G99" s="288"/>
      <c r="H99" s="289"/>
      <c r="I99" s="288"/>
      <c r="J99" s="288"/>
      <c r="K99" s="288"/>
      <c r="L99" s="288"/>
      <c r="M99" s="286"/>
      <c r="N99" s="288"/>
      <c r="O99" s="162"/>
      <c r="P99" s="220"/>
      <c r="Q99" s="162"/>
      <c r="R99" s="162"/>
      <c r="S99" s="287" t="s">
        <v>64</v>
      </c>
      <c r="T99" s="132" t="s">
        <v>20</v>
      </c>
      <c r="U99" s="266">
        <v>7.0000000000000007E-2</v>
      </c>
      <c r="V99" s="132">
        <v>1</v>
      </c>
      <c r="W99" s="260">
        <f t="shared" si="15"/>
        <v>7.0000000000000007E-2</v>
      </c>
      <c r="X99" s="146"/>
      <c r="Y99" s="147"/>
      <c r="Z99" s="299"/>
      <c r="AA99" s="155"/>
      <c r="AB99" s="148"/>
      <c r="AC99" s="138"/>
    </row>
    <row r="100" spans="1:30" s="100" customFormat="1" x14ac:dyDescent="0.25">
      <c r="A100" s="233"/>
      <c r="B100" s="143"/>
      <c r="C100" s="145"/>
      <c r="D100" s="239"/>
      <c r="E100" s="233"/>
      <c r="F100" s="233"/>
      <c r="G100" s="288"/>
      <c r="H100" s="289"/>
      <c r="I100" s="288"/>
      <c r="J100" s="288"/>
      <c r="K100" s="288"/>
      <c r="L100" s="288"/>
      <c r="M100" s="286"/>
      <c r="N100" s="288"/>
      <c r="O100" s="162"/>
      <c r="P100" s="220"/>
      <c r="Q100" s="162"/>
      <c r="R100" s="162"/>
      <c r="S100" s="287" t="s">
        <v>61</v>
      </c>
      <c r="T100" s="132" t="s">
        <v>20</v>
      </c>
      <c r="U100" s="266">
        <v>7.0000000000000007E-2</v>
      </c>
      <c r="V100" s="132">
        <v>1</v>
      </c>
      <c r="W100" s="260">
        <f t="shared" si="15"/>
        <v>7.0000000000000007E-2</v>
      </c>
      <c r="X100" s="146"/>
      <c r="Y100" s="147"/>
      <c r="Z100" s="299"/>
      <c r="AA100" s="155"/>
      <c r="AB100" s="148"/>
      <c r="AC100" s="138"/>
    </row>
    <row r="101" spans="1:30" s="100" customFormat="1" x14ac:dyDescent="0.25">
      <c r="A101" s="233"/>
      <c r="B101" s="143"/>
      <c r="C101" s="145"/>
      <c r="D101" s="239"/>
      <c r="E101" s="233"/>
      <c r="F101" s="233"/>
      <c r="G101" s="288"/>
      <c r="H101" s="289"/>
      <c r="I101" s="288"/>
      <c r="J101" s="288"/>
      <c r="K101" s="288"/>
      <c r="L101" s="288"/>
      <c r="M101" s="286"/>
      <c r="N101" s="288"/>
      <c r="O101" s="162"/>
      <c r="P101" s="220"/>
      <c r="Q101" s="162"/>
      <c r="R101" s="162"/>
      <c r="S101" s="287" t="s">
        <v>65</v>
      </c>
      <c r="T101" s="132" t="s">
        <v>20</v>
      </c>
      <c r="U101" s="266">
        <v>7.0000000000000007E-2</v>
      </c>
      <c r="V101" s="132">
        <v>1</v>
      </c>
      <c r="W101" s="260">
        <f t="shared" si="15"/>
        <v>7.0000000000000007E-2</v>
      </c>
      <c r="X101" s="146"/>
      <c r="Y101" s="147"/>
      <c r="Z101" s="299"/>
      <c r="AA101" s="155"/>
      <c r="AB101" s="148"/>
      <c r="AC101" s="138"/>
    </row>
    <row r="102" spans="1:30" s="100" customFormat="1" x14ac:dyDescent="0.25">
      <c r="A102" s="233"/>
      <c r="B102" s="143"/>
      <c r="C102" s="145"/>
      <c r="D102" s="239"/>
      <c r="E102" s="233"/>
      <c r="F102" s="233"/>
      <c r="G102" s="290"/>
      <c r="H102" s="291"/>
      <c r="I102" s="290"/>
      <c r="J102" s="290"/>
      <c r="K102" s="290"/>
      <c r="L102" s="290"/>
      <c r="M102" s="286"/>
      <c r="N102" s="290"/>
      <c r="O102" s="162"/>
      <c r="P102" s="220"/>
      <c r="Q102" s="162"/>
      <c r="R102" s="162"/>
      <c r="S102" s="287"/>
      <c r="T102" s="132"/>
      <c r="U102" s="266"/>
      <c r="V102" s="132"/>
      <c r="W102" s="266"/>
      <c r="X102" s="146"/>
      <c r="Y102" s="147"/>
      <c r="Z102" s="299"/>
      <c r="AA102" s="155"/>
      <c r="AB102" s="148"/>
      <c r="AC102" s="138"/>
    </row>
    <row r="103" spans="1:30" x14ac:dyDescent="0.25">
      <c r="A103" s="234"/>
      <c r="B103" s="231"/>
      <c r="C103" s="232"/>
      <c r="D103" s="226"/>
      <c r="E103" s="234"/>
      <c r="F103" s="234"/>
      <c r="G103" s="163" t="s">
        <v>50</v>
      </c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21">
        <f>SUM(R97:R102)</f>
        <v>7.6971508999999987</v>
      </c>
      <c r="S103" s="165" t="s">
        <v>51</v>
      </c>
      <c r="T103" s="165"/>
      <c r="U103" s="165"/>
      <c r="V103" s="165"/>
      <c r="W103" s="18">
        <f>SUM(W97:W102)</f>
        <v>0.58499999999999996</v>
      </c>
      <c r="X103" s="146"/>
      <c r="Y103" s="147"/>
      <c r="Z103" s="299"/>
      <c r="AA103" s="156"/>
      <c r="AB103" s="148"/>
      <c r="AC103" s="138"/>
    </row>
    <row r="104" spans="1:30" ht="14.4" customHeight="1" x14ac:dyDescent="0.25">
      <c r="A104" s="142"/>
      <c r="B104" s="143" t="s">
        <v>60</v>
      </c>
      <c r="C104" s="145">
        <v>44448</v>
      </c>
      <c r="D104" s="157" t="s">
        <v>102</v>
      </c>
      <c r="E104" s="144" t="s">
        <v>227</v>
      </c>
      <c r="F104" s="144" t="s">
        <v>113</v>
      </c>
      <c r="G104" s="152" t="s">
        <v>103</v>
      </c>
      <c r="H104" s="153" t="s">
        <v>66</v>
      </c>
      <c r="I104" s="159">
        <v>1</v>
      </c>
      <c r="J104" s="153">
        <v>144</v>
      </c>
      <c r="K104" s="153">
        <v>63</v>
      </c>
      <c r="L104" s="153">
        <v>3</v>
      </c>
      <c r="M104" s="160">
        <v>6.85</v>
      </c>
      <c r="N104" s="160">
        <v>3.4</v>
      </c>
      <c r="O104" s="161">
        <f>J104*K104*L104*7.85/1000000</f>
        <v>0.21364559999999996</v>
      </c>
      <c r="P104" s="162">
        <v>0.114</v>
      </c>
      <c r="Q104" s="161">
        <f>O104-P104</f>
        <v>9.9645599999999959E-2</v>
      </c>
      <c r="R104" s="166">
        <f>(M104*O104-N104*Q104)*I104</f>
        <v>1.12467732</v>
      </c>
      <c r="S104" s="91" t="s">
        <v>31</v>
      </c>
      <c r="T104" s="27" t="s">
        <v>20</v>
      </c>
      <c r="U104" s="7">
        <v>7.0000000000000007E-2</v>
      </c>
      <c r="V104" s="27">
        <v>1</v>
      </c>
      <c r="W104" s="11">
        <f>U104/V104</f>
        <v>7.0000000000000007E-2</v>
      </c>
      <c r="X104" s="146">
        <v>1.2</v>
      </c>
      <c r="Y104" s="147">
        <f>(R110+W110)*X104</f>
        <v>1.7576127839999998</v>
      </c>
      <c r="Z104" s="299">
        <f>Y104/1.13</f>
        <v>1.5554095433628319</v>
      </c>
      <c r="AA104" s="154">
        <v>4500</v>
      </c>
      <c r="AB104" s="148">
        <v>100000</v>
      </c>
      <c r="AC104" s="138">
        <f>Z104+AA104/AB104/2</f>
        <v>1.5779095433628318</v>
      </c>
    </row>
    <row r="105" spans="1:30" ht="14.4" customHeight="1" x14ac:dyDescent="0.25">
      <c r="A105" s="142"/>
      <c r="B105" s="143"/>
      <c r="C105" s="145"/>
      <c r="D105" s="158"/>
      <c r="E105" s="145"/>
      <c r="F105" s="145"/>
      <c r="G105" s="153"/>
      <c r="H105" s="153"/>
      <c r="I105" s="159"/>
      <c r="J105" s="153"/>
      <c r="K105" s="153"/>
      <c r="L105" s="153"/>
      <c r="M105" s="160"/>
      <c r="N105" s="160"/>
      <c r="O105" s="161"/>
      <c r="P105" s="162"/>
      <c r="Q105" s="161"/>
      <c r="R105" s="167"/>
      <c r="S105" s="91" t="s">
        <v>18</v>
      </c>
      <c r="T105" s="27" t="s">
        <v>20</v>
      </c>
      <c r="U105" s="7">
        <v>7.0000000000000007E-2</v>
      </c>
      <c r="V105" s="27">
        <v>1</v>
      </c>
      <c r="W105" s="11">
        <f t="shared" ref="W105:W106" si="16">U105/V105</f>
        <v>7.0000000000000007E-2</v>
      </c>
      <c r="X105" s="146"/>
      <c r="Y105" s="147"/>
      <c r="Z105" s="299"/>
      <c r="AA105" s="155"/>
      <c r="AB105" s="148"/>
      <c r="AC105" s="138"/>
    </row>
    <row r="106" spans="1:30" ht="14.4" customHeight="1" x14ac:dyDescent="0.25">
      <c r="A106" s="142"/>
      <c r="B106" s="143"/>
      <c r="C106" s="145"/>
      <c r="D106" s="158"/>
      <c r="E106" s="145"/>
      <c r="F106" s="145"/>
      <c r="G106" s="153"/>
      <c r="H106" s="153"/>
      <c r="I106" s="159"/>
      <c r="J106" s="153"/>
      <c r="K106" s="153"/>
      <c r="L106" s="153"/>
      <c r="M106" s="160"/>
      <c r="N106" s="160"/>
      <c r="O106" s="161"/>
      <c r="P106" s="162"/>
      <c r="Q106" s="161"/>
      <c r="R106" s="167"/>
      <c r="S106" s="91" t="s">
        <v>101</v>
      </c>
      <c r="T106" s="27"/>
      <c r="U106" s="7">
        <v>7.0000000000000007E-2</v>
      </c>
      <c r="V106" s="27">
        <v>1</v>
      </c>
      <c r="W106" s="11">
        <f t="shared" si="16"/>
        <v>7.0000000000000007E-2</v>
      </c>
      <c r="X106" s="146"/>
      <c r="Y106" s="147"/>
      <c r="Z106" s="299"/>
      <c r="AA106" s="155"/>
      <c r="AB106" s="148"/>
      <c r="AC106" s="138"/>
    </row>
    <row r="107" spans="1:30" ht="14.4" customHeight="1" x14ac:dyDescent="0.25">
      <c r="A107" s="142"/>
      <c r="B107" s="143"/>
      <c r="C107" s="145"/>
      <c r="D107" s="158"/>
      <c r="E107" s="145"/>
      <c r="F107" s="145"/>
      <c r="G107" s="153"/>
      <c r="H107" s="153"/>
      <c r="I107" s="159"/>
      <c r="J107" s="153"/>
      <c r="K107" s="153"/>
      <c r="L107" s="153"/>
      <c r="M107" s="160"/>
      <c r="N107" s="160"/>
      <c r="O107" s="161"/>
      <c r="P107" s="162"/>
      <c r="Q107" s="161"/>
      <c r="R107" s="167"/>
      <c r="S107" s="91"/>
      <c r="T107" s="27"/>
      <c r="U107" s="7"/>
      <c r="V107" s="27"/>
      <c r="W107" s="7"/>
      <c r="X107" s="146"/>
      <c r="Y107" s="147"/>
      <c r="Z107" s="299"/>
      <c r="AA107" s="155"/>
      <c r="AB107" s="148"/>
      <c r="AC107" s="138"/>
    </row>
    <row r="108" spans="1:30" x14ac:dyDescent="0.25">
      <c r="A108" s="142"/>
      <c r="B108" s="143"/>
      <c r="C108" s="145"/>
      <c r="D108" s="158"/>
      <c r="E108" s="145"/>
      <c r="F108" s="145"/>
      <c r="G108" s="153"/>
      <c r="H108" s="153"/>
      <c r="I108" s="159"/>
      <c r="J108" s="153"/>
      <c r="K108" s="153"/>
      <c r="L108" s="153"/>
      <c r="M108" s="160"/>
      <c r="N108" s="160"/>
      <c r="O108" s="161"/>
      <c r="P108" s="162"/>
      <c r="Q108" s="161"/>
      <c r="R108" s="168"/>
      <c r="S108" s="91"/>
      <c r="T108" s="27"/>
      <c r="U108" s="7"/>
      <c r="V108" s="27"/>
      <c r="W108" s="7"/>
      <c r="X108" s="146"/>
      <c r="Y108" s="147"/>
      <c r="Z108" s="299"/>
      <c r="AA108" s="155"/>
      <c r="AB108" s="148"/>
      <c r="AC108" s="138"/>
    </row>
    <row r="109" spans="1:30" x14ac:dyDescent="0.25">
      <c r="A109" s="142"/>
      <c r="B109" s="143"/>
      <c r="C109" s="145"/>
      <c r="D109" s="158"/>
      <c r="E109" s="145"/>
      <c r="F109" s="145"/>
      <c r="G109" s="153"/>
      <c r="H109" s="6" t="s">
        <v>100</v>
      </c>
      <c r="I109" s="6">
        <v>1</v>
      </c>
      <c r="J109" s="14"/>
      <c r="K109" s="14"/>
      <c r="L109" s="14"/>
      <c r="M109" s="43">
        <v>0.13</v>
      </c>
      <c r="N109" s="29"/>
      <c r="O109" s="43"/>
      <c r="P109" s="108"/>
      <c r="Q109" s="43"/>
      <c r="R109" s="104">
        <f>I109*M109</f>
        <v>0.13</v>
      </c>
      <c r="S109" s="91"/>
      <c r="T109" s="27"/>
      <c r="U109" s="7"/>
      <c r="V109" s="27"/>
      <c r="W109" s="7"/>
      <c r="X109" s="146"/>
      <c r="Y109" s="147"/>
      <c r="Z109" s="299"/>
      <c r="AA109" s="155"/>
      <c r="AB109" s="148"/>
      <c r="AC109" s="138"/>
    </row>
    <row r="110" spans="1:30" x14ac:dyDescent="0.25">
      <c r="A110" s="142"/>
      <c r="B110" s="143"/>
      <c r="C110" s="145"/>
      <c r="D110" s="158"/>
      <c r="E110" s="145"/>
      <c r="F110" s="145"/>
      <c r="G110" s="139" t="s">
        <v>50</v>
      </c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21">
        <f>SUM(R104:R109)</f>
        <v>1.2546773199999999</v>
      </c>
      <c r="S110" s="141" t="s">
        <v>51</v>
      </c>
      <c r="T110" s="141"/>
      <c r="U110" s="141"/>
      <c r="V110" s="141"/>
      <c r="W110" s="18">
        <f>SUM(W104:W109)</f>
        <v>0.21000000000000002</v>
      </c>
      <c r="X110" s="146"/>
      <c r="Y110" s="147"/>
      <c r="Z110" s="299"/>
      <c r="AA110" s="155"/>
      <c r="AB110" s="148"/>
      <c r="AC110" s="138"/>
    </row>
    <row r="111" spans="1:30" ht="14.4" customHeight="1" x14ac:dyDescent="0.25">
      <c r="A111" s="142"/>
      <c r="B111" s="143" t="s">
        <v>60</v>
      </c>
      <c r="C111" s="145">
        <v>44448</v>
      </c>
      <c r="D111" s="157" t="s">
        <v>107</v>
      </c>
      <c r="E111" s="145"/>
      <c r="F111" s="144" t="s">
        <v>114</v>
      </c>
      <c r="G111" s="152" t="s">
        <v>103</v>
      </c>
      <c r="H111" s="153" t="s">
        <v>66</v>
      </c>
      <c r="I111" s="159">
        <v>1</v>
      </c>
      <c r="J111" s="153">
        <v>144</v>
      </c>
      <c r="K111" s="153">
        <v>63</v>
      </c>
      <c r="L111" s="153">
        <v>3</v>
      </c>
      <c r="M111" s="160">
        <v>6.85</v>
      </c>
      <c r="N111" s="160">
        <v>3.4</v>
      </c>
      <c r="O111" s="161">
        <f>J111*K111*L111*7.85/1000000</f>
        <v>0.21364559999999996</v>
      </c>
      <c r="P111" s="162">
        <v>0.114</v>
      </c>
      <c r="Q111" s="161">
        <f>O111-P111</f>
        <v>9.9645599999999959E-2</v>
      </c>
      <c r="R111" s="166">
        <f>(M111*O111-N111*Q111)*I111</f>
        <v>1.12467732</v>
      </c>
      <c r="S111" s="91" t="s">
        <v>31</v>
      </c>
      <c r="T111" s="28" t="s">
        <v>20</v>
      </c>
      <c r="U111" s="7">
        <v>7.0000000000000007E-2</v>
      </c>
      <c r="V111" s="28">
        <v>1</v>
      </c>
      <c r="W111" s="11">
        <f>U111/V111</f>
        <v>7.0000000000000007E-2</v>
      </c>
      <c r="X111" s="146">
        <v>1.2</v>
      </c>
      <c r="Y111" s="147">
        <f>(R117+W117)*X111</f>
        <v>1.7576127839999998</v>
      </c>
      <c r="Z111" s="299">
        <f>Y111/1.13</f>
        <v>1.5554095433628319</v>
      </c>
      <c r="AA111" s="155"/>
      <c r="AB111" s="148">
        <v>100000</v>
      </c>
      <c r="AC111" s="138">
        <f>Z111+AA104/AB111/2</f>
        <v>1.5779095433628318</v>
      </c>
    </row>
    <row r="112" spans="1:30" ht="14.4" customHeight="1" x14ac:dyDescent="0.25">
      <c r="A112" s="142"/>
      <c r="B112" s="143"/>
      <c r="C112" s="145"/>
      <c r="D112" s="158"/>
      <c r="E112" s="145"/>
      <c r="F112" s="145"/>
      <c r="G112" s="153"/>
      <c r="H112" s="153"/>
      <c r="I112" s="159"/>
      <c r="J112" s="153"/>
      <c r="K112" s="153"/>
      <c r="L112" s="153"/>
      <c r="M112" s="160"/>
      <c r="N112" s="160"/>
      <c r="O112" s="161"/>
      <c r="P112" s="162"/>
      <c r="Q112" s="161"/>
      <c r="R112" s="167"/>
      <c r="S112" s="91" t="s">
        <v>18</v>
      </c>
      <c r="T112" s="28" t="s">
        <v>20</v>
      </c>
      <c r="U112" s="7">
        <v>7.0000000000000007E-2</v>
      </c>
      <c r="V112" s="28">
        <v>1</v>
      </c>
      <c r="W112" s="11">
        <f t="shared" ref="W112:W113" si="17">U112/V112</f>
        <v>7.0000000000000007E-2</v>
      </c>
      <c r="X112" s="146"/>
      <c r="Y112" s="147"/>
      <c r="Z112" s="299"/>
      <c r="AA112" s="155"/>
      <c r="AB112" s="148"/>
      <c r="AC112" s="138"/>
    </row>
    <row r="113" spans="1:29" ht="14.4" customHeight="1" x14ac:dyDescent="0.25">
      <c r="A113" s="142"/>
      <c r="B113" s="143"/>
      <c r="C113" s="145"/>
      <c r="D113" s="158"/>
      <c r="E113" s="145"/>
      <c r="F113" s="145"/>
      <c r="G113" s="153"/>
      <c r="H113" s="153"/>
      <c r="I113" s="159"/>
      <c r="J113" s="153"/>
      <c r="K113" s="153"/>
      <c r="L113" s="153"/>
      <c r="M113" s="160"/>
      <c r="N113" s="160"/>
      <c r="O113" s="161"/>
      <c r="P113" s="162"/>
      <c r="Q113" s="161"/>
      <c r="R113" s="167"/>
      <c r="S113" s="91" t="s">
        <v>101</v>
      </c>
      <c r="T113" s="28"/>
      <c r="U113" s="7">
        <v>7.0000000000000007E-2</v>
      </c>
      <c r="V113" s="28">
        <v>1</v>
      </c>
      <c r="W113" s="11">
        <f t="shared" si="17"/>
        <v>7.0000000000000007E-2</v>
      </c>
      <c r="X113" s="146"/>
      <c r="Y113" s="147"/>
      <c r="Z113" s="299"/>
      <c r="AA113" s="155"/>
      <c r="AB113" s="148"/>
      <c r="AC113" s="138"/>
    </row>
    <row r="114" spans="1:29" ht="14.4" customHeight="1" x14ac:dyDescent="0.25">
      <c r="A114" s="142"/>
      <c r="B114" s="143"/>
      <c r="C114" s="145"/>
      <c r="D114" s="158"/>
      <c r="E114" s="145"/>
      <c r="F114" s="145"/>
      <c r="G114" s="153"/>
      <c r="H114" s="153"/>
      <c r="I114" s="159"/>
      <c r="J114" s="153"/>
      <c r="K114" s="153"/>
      <c r="L114" s="153"/>
      <c r="M114" s="160"/>
      <c r="N114" s="160"/>
      <c r="O114" s="161"/>
      <c r="P114" s="162"/>
      <c r="Q114" s="161"/>
      <c r="R114" s="167"/>
      <c r="S114" s="91"/>
      <c r="T114" s="28"/>
      <c r="U114" s="7"/>
      <c r="V114" s="28"/>
      <c r="W114" s="7"/>
      <c r="X114" s="146"/>
      <c r="Y114" s="147"/>
      <c r="Z114" s="299"/>
      <c r="AA114" s="155"/>
      <c r="AB114" s="148"/>
      <c r="AC114" s="138"/>
    </row>
    <row r="115" spans="1:29" x14ac:dyDescent="0.25">
      <c r="A115" s="142"/>
      <c r="B115" s="143"/>
      <c r="C115" s="145"/>
      <c r="D115" s="158"/>
      <c r="E115" s="145"/>
      <c r="F115" s="145"/>
      <c r="G115" s="153"/>
      <c r="H115" s="153"/>
      <c r="I115" s="159"/>
      <c r="J115" s="153"/>
      <c r="K115" s="153"/>
      <c r="L115" s="153"/>
      <c r="M115" s="160"/>
      <c r="N115" s="160"/>
      <c r="O115" s="161"/>
      <c r="P115" s="162"/>
      <c r="Q115" s="161"/>
      <c r="R115" s="168"/>
      <c r="S115" s="91"/>
      <c r="T115" s="28"/>
      <c r="U115" s="7"/>
      <c r="V115" s="28"/>
      <c r="W115" s="7"/>
      <c r="X115" s="146"/>
      <c r="Y115" s="147"/>
      <c r="Z115" s="299"/>
      <c r="AA115" s="155"/>
      <c r="AB115" s="148"/>
      <c r="AC115" s="138"/>
    </row>
    <row r="116" spans="1:29" x14ac:dyDescent="0.25">
      <c r="A116" s="142"/>
      <c r="B116" s="143"/>
      <c r="C116" s="145"/>
      <c r="D116" s="158"/>
      <c r="E116" s="145"/>
      <c r="F116" s="145"/>
      <c r="G116" s="153"/>
      <c r="H116" s="6" t="s">
        <v>100</v>
      </c>
      <c r="I116" s="6">
        <v>1</v>
      </c>
      <c r="J116" s="39"/>
      <c r="K116" s="39"/>
      <c r="L116" s="39"/>
      <c r="M116" s="43">
        <v>0.13</v>
      </c>
      <c r="N116" s="29"/>
      <c r="O116" s="43"/>
      <c r="P116" s="108"/>
      <c r="Q116" s="43"/>
      <c r="R116" s="104">
        <f>I116*M116</f>
        <v>0.13</v>
      </c>
      <c r="S116" s="91"/>
      <c r="T116" s="28"/>
      <c r="U116" s="7"/>
      <c r="V116" s="28"/>
      <c r="W116" s="7"/>
      <c r="X116" s="146"/>
      <c r="Y116" s="147"/>
      <c r="Z116" s="299"/>
      <c r="AA116" s="155"/>
      <c r="AB116" s="148"/>
      <c r="AC116" s="138"/>
    </row>
    <row r="117" spans="1:29" x14ac:dyDescent="0.25">
      <c r="A117" s="142"/>
      <c r="B117" s="143"/>
      <c r="C117" s="145"/>
      <c r="D117" s="158"/>
      <c r="E117" s="145"/>
      <c r="F117" s="145"/>
      <c r="G117" s="139" t="s">
        <v>50</v>
      </c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21">
        <f>SUM(R111:R116)</f>
        <v>1.2546773199999999</v>
      </c>
      <c r="S117" s="141" t="s">
        <v>51</v>
      </c>
      <c r="T117" s="141"/>
      <c r="U117" s="141"/>
      <c r="V117" s="141"/>
      <c r="W117" s="18">
        <f>SUM(W111:W116)</f>
        <v>0.21000000000000002</v>
      </c>
      <c r="X117" s="146"/>
      <c r="Y117" s="147"/>
      <c r="Z117" s="299"/>
      <c r="AA117" s="156"/>
      <c r="AB117" s="148"/>
      <c r="AC117" s="138"/>
    </row>
    <row r="118" spans="1:29" ht="14.4" customHeight="1" x14ac:dyDescent="0.25">
      <c r="A118" s="142"/>
      <c r="B118" s="143" t="s">
        <v>60</v>
      </c>
      <c r="C118" s="145">
        <v>44448</v>
      </c>
      <c r="D118" s="157" t="s">
        <v>228</v>
      </c>
      <c r="E118" s="144" t="s">
        <v>148</v>
      </c>
      <c r="F118" s="144" t="s">
        <v>150</v>
      </c>
      <c r="G118" s="77" t="s">
        <v>149</v>
      </c>
      <c r="H118" s="77" t="s">
        <v>99</v>
      </c>
      <c r="I118" s="76">
        <v>1</v>
      </c>
      <c r="J118" s="44">
        <f>484+15+6</f>
        <v>505</v>
      </c>
      <c r="K118" s="44">
        <f>90+6</f>
        <v>96</v>
      </c>
      <c r="L118" s="44">
        <v>2</v>
      </c>
      <c r="M118" s="111">
        <v>6.85</v>
      </c>
      <c r="N118" s="112">
        <v>3.4</v>
      </c>
      <c r="O118" s="43">
        <f>J118*K118*L118*7.85/1000000</f>
        <v>0.76113600000000003</v>
      </c>
      <c r="P118" s="113">
        <v>0.437</v>
      </c>
      <c r="Q118" s="43">
        <f>O118-P118</f>
        <v>0.32413600000000004</v>
      </c>
      <c r="R118" s="43">
        <f>(M118*O118-N118*Q118)*I118</f>
        <v>4.1117191999999996</v>
      </c>
      <c r="S118" s="97" t="s">
        <v>152</v>
      </c>
      <c r="T118" s="103" t="s">
        <v>146</v>
      </c>
      <c r="U118" s="7">
        <v>0.35</v>
      </c>
      <c r="V118" s="102">
        <v>2</v>
      </c>
      <c r="W118" s="11">
        <f>U118/V118</f>
        <v>0.17499999999999999</v>
      </c>
      <c r="X118" s="146">
        <v>1.2</v>
      </c>
      <c r="Y118" s="147">
        <f>(R127+W127)*X118</f>
        <v>7.0841205539999992</v>
      </c>
      <c r="Z118" s="299">
        <f>Y118/1.13</f>
        <v>6.2691332336283185</v>
      </c>
      <c r="AA118" s="154">
        <f>120000+9000</f>
        <v>129000</v>
      </c>
      <c r="AB118" s="148">
        <v>100000</v>
      </c>
      <c r="AC118" s="138">
        <f>Z118+AA118/AB118/2</f>
        <v>6.9141332336283181</v>
      </c>
    </row>
    <row r="119" spans="1:29" ht="14.4" customHeight="1" x14ac:dyDescent="0.25">
      <c r="A119" s="142"/>
      <c r="B119" s="143"/>
      <c r="C119" s="145"/>
      <c r="D119" s="158"/>
      <c r="E119" s="145"/>
      <c r="F119" s="145"/>
      <c r="G119" s="101"/>
      <c r="H119" s="77"/>
      <c r="I119" s="76"/>
      <c r="J119" s="44"/>
      <c r="K119" s="44"/>
      <c r="L119" s="44"/>
      <c r="M119" s="111"/>
      <c r="N119" s="112"/>
      <c r="O119" s="43"/>
      <c r="P119" s="113"/>
      <c r="Q119" s="43"/>
      <c r="R119" s="43"/>
      <c r="S119" s="97" t="s">
        <v>117</v>
      </c>
      <c r="T119" s="103" t="s">
        <v>147</v>
      </c>
      <c r="U119" s="7">
        <v>0.4</v>
      </c>
      <c r="V119" s="102">
        <v>2</v>
      </c>
      <c r="W119" s="11">
        <f t="shared" ref="W119:W126" si="18">U119/V119</f>
        <v>0.2</v>
      </c>
      <c r="X119" s="146"/>
      <c r="Y119" s="147"/>
      <c r="Z119" s="299"/>
      <c r="AA119" s="155"/>
      <c r="AB119" s="148"/>
      <c r="AC119" s="138"/>
    </row>
    <row r="120" spans="1:29" ht="14.4" customHeight="1" x14ac:dyDescent="0.25">
      <c r="A120" s="142"/>
      <c r="B120" s="143"/>
      <c r="C120" s="145"/>
      <c r="D120" s="158"/>
      <c r="E120" s="145"/>
      <c r="F120" s="145"/>
      <c r="G120" s="44"/>
      <c r="H120" s="44"/>
      <c r="I120" s="76"/>
      <c r="J120" s="44"/>
      <c r="K120" s="44"/>
      <c r="L120" s="44"/>
      <c r="M120" s="111"/>
      <c r="N120" s="112"/>
      <c r="O120" s="43"/>
      <c r="P120" s="113"/>
      <c r="Q120" s="43"/>
      <c r="R120" s="43"/>
      <c r="S120" s="97" t="s">
        <v>181</v>
      </c>
      <c r="T120" s="103" t="s">
        <v>147</v>
      </c>
      <c r="U120" s="7">
        <v>0.4</v>
      </c>
      <c r="V120" s="102">
        <v>2</v>
      </c>
      <c r="W120" s="11">
        <f t="shared" ref="W120" si="19">U120/V120</f>
        <v>0.2</v>
      </c>
      <c r="X120" s="146"/>
      <c r="Y120" s="147"/>
      <c r="Z120" s="299"/>
      <c r="AA120" s="155"/>
      <c r="AB120" s="148"/>
      <c r="AC120" s="138"/>
    </row>
    <row r="121" spans="1:29" ht="14.4" customHeight="1" x14ac:dyDescent="0.25">
      <c r="A121" s="142"/>
      <c r="B121" s="143"/>
      <c r="C121" s="145"/>
      <c r="D121" s="158"/>
      <c r="E121" s="145"/>
      <c r="F121" s="145"/>
      <c r="G121" s="44"/>
      <c r="H121" s="44"/>
      <c r="I121" s="76"/>
      <c r="J121" s="44"/>
      <c r="K121" s="44"/>
      <c r="L121" s="44"/>
      <c r="M121" s="111"/>
      <c r="N121" s="112"/>
      <c r="O121" s="43"/>
      <c r="P121" s="113"/>
      <c r="Q121" s="43"/>
      <c r="R121" s="43"/>
      <c r="S121" s="97" t="s">
        <v>182</v>
      </c>
      <c r="T121" s="103" t="s">
        <v>144</v>
      </c>
      <c r="U121" s="7">
        <v>0.15</v>
      </c>
      <c r="V121" s="102">
        <v>2</v>
      </c>
      <c r="W121" s="11">
        <f t="shared" si="18"/>
        <v>7.4999999999999997E-2</v>
      </c>
      <c r="X121" s="146"/>
      <c r="Y121" s="147"/>
      <c r="Z121" s="299"/>
      <c r="AA121" s="155"/>
      <c r="AB121" s="148"/>
      <c r="AC121" s="138"/>
    </row>
    <row r="122" spans="1:29" ht="14.4" customHeight="1" x14ac:dyDescent="0.25">
      <c r="A122" s="142"/>
      <c r="B122" s="143"/>
      <c r="C122" s="145"/>
      <c r="D122" s="158"/>
      <c r="E122" s="145"/>
      <c r="F122" s="145"/>
      <c r="G122" s="44"/>
      <c r="H122" s="44"/>
      <c r="I122" s="76"/>
      <c r="J122" s="44"/>
      <c r="K122" s="44"/>
      <c r="L122" s="44"/>
      <c r="M122" s="111"/>
      <c r="N122" s="112"/>
      <c r="O122" s="43"/>
      <c r="P122" s="113"/>
      <c r="Q122" s="43"/>
      <c r="R122" s="43"/>
      <c r="S122" s="97" t="s">
        <v>183</v>
      </c>
      <c r="T122" s="103" t="s">
        <v>144</v>
      </c>
      <c r="U122" s="7">
        <v>0.15</v>
      </c>
      <c r="V122" s="102">
        <v>1</v>
      </c>
      <c r="W122" s="11">
        <f t="shared" si="18"/>
        <v>0.15</v>
      </c>
      <c r="X122" s="146"/>
      <c r="Y122" s="147"/>
      <c r="Z122" s="299"/>
      <c r="AA122" s="155"/>
      <c r="AB122" s="148"/>
      <c r="AC122" s="138"/>
    </row>
    <row r="123" spans="1:29" ht="14.4" customHeight="1" x14ac:dyDescent="0.25">
      <c r="A123" s="142"/>
      <c r="B123" s="143"/>
      <c r="C123" s="145"/>
      <c r="D123" s="158"/>
      <c r="E123" s="145"/>
      <c r="F123" s="145"/>
      <c r="G123" s="44"/>
      <c r="H123" s="44"/>
      <c r="I123" s="76"/>
      <c r="J123" s="44"/>
      <c r="K123" s="44"/>
      <c r="L123" s="44"/>
      <c r="M123" s="111"/>
      <c r="N123" s="112"/>
      <c r="O123" s="43"/>
      <c r="P123" s="113"/>
      <c r="Q123" s="43"/>
      <c r="R123" s="43"/>
      <c r="S123" s="97" t="s">
        <v>121</v>
      </c>
      <c r="T123" s="103" t="s">
        <v>144</v>
      </c>
      <c r="U123" s="7">
        <v>0.15</v>
      </c>
      <c r="V123" s="102">
        <v>1</v>
      </c>
      <c r="W123" s="11">
        <f t="shared" si="18"/>
        <v>0.15</v>
      </c>
      <c r="X123" s="146"/>
      <c r="Y123" s="147"/>
      <c r="Z123" s="299"/>
      <c r="AA123" s="155"/>
      <c r="AB123" s="148"/>
      <c r="AC123" s="138"/>
    </row>
    <row r="124" spans="1:29" ht="14.4" customHeight="1" x14ac:dyDescent="0.25">
      <c r="A124" s="142"/>
      <c r="B124" s="143"/>
      <c r="C124" s="145"/>
      <c r="D124" s="158"/>
      <c r="E124" s="145"/>
      <c r="F124" s="145"/>
      <c r="G124" s="101" t="s">
        <v>211</v>
      </c>
      <c r="H124" s="77" t="s">
        <v>99</v>
      </c>
      <c r="I124" s="76">
        <v>1</v>
      </c>
      <c r="J124" s="44">
        <f>47+6</f>
        <v>53</v>
      </c>
      <c r="K124" s="44">
        <f>25+6</f>
        <v>31</v>
      </c>
      <c r="L124" s="44">
        <v>2</v>
      </c>
      <c r="M124" s="111">
        <v>6.85</v>
      </c>
      <c r="N124" s="112">
        <v>3.4</v>
      </c>
      <c r="O124" s="43">
        <f>J124*K124*L124*7.85/1000000</f>
        <v>2.5795099999999998E-2</v>
      </c>
      <c r="P124" s="113">
        <f>47*25*2*7.85/1000000</f>
        <v>1.8447499999999999E-2</v>
      </c>
      <c r="Q124" s="43">
        <f>O124-P124</f>
        <v>7.3475999999999993E-3</v>
      </c>
      <c r="R124" s="43">
        <f>(M124*O124-N124*Q124)*I124</f>
        <v>0.15171459499999998</v>
      </c>
      <c r="S124" s="97" t="s">
        <v>152</v>
      </c>
      <c r="T124" s="103" t="s">
        <v>143</v>
      </c>
      <c r="U124" s="7">
        <v>0.05</v>
      </c>
      <c r="V124" s="102">
        <v>1</v>
      </c>
      <c r="W124" s="11">
        <f t="shared" si="18"/>
        <v>0.05</v>
      </c>
      <c r="X124" s="146"/>
      <c r="Y124" s="147"/>
      <c r="Z124" s="299"/>
      <c r="AA124" s="155"/>
      <c r="AB124" s="148"/>
      <c r="AC124" s="138"/>
    </row>
    <row r="125" spans="1:29" ht="14.4" customHeight="1" x14ac:dyDescent="0.25">
      <c r="A125" s="142"/>
      <c r="B125" s="143"/>
      <c r="C125" s="145"/>
      <c r="D125" s="158"/>
      <c r="E125" s="145"/>
      <c r="F125" s="145"/>
      <c r="G125" s="44"/>
      <c r="H125" s="44"/>
      <c r="I125" s="76"/>
      <c r="J125" s="44"/>
      <c r="K125" s="44"/>
      <c r="L125" s="44"/>
      <c r="M125" s="111"/>
      <c r="N125" s="112"/>
      <c r="O125" s="43"/>
      <c r="P125" s="113"/>
      <c r="Q125" s="43"/>
      <c r="R125" s="43"/>
      <c r="S125" s="97" t="s">
        <v>117</v>
      </c>
      <c r="T125" s="103" t="s">
        <v>177</v>
      </c>
      <c r="U125" s="7">
        <v>0.04</v>
      </c>
      <c r="V125" s="102">
        <v>1</v>
      </c>
      <c r="W125" s="11">
        <f t="shared" si="18"/>
        <v>0.04</v>
      </c>
      <c r="X125" s="146"/>
      <c r="Y125" s="147"/>
      <c r="Z125" s="299"/>
      <c r="AA125" s="155"/>
      <c r="AB125" s="148"/>
      <c r="AC125" s="138"/>
    </row>
    <row r="126" spans="1:29" ht="14.4" customHeight="1" x14ac:dyDescent="0.25">
      <c r="A126" s="142"/>
      <c r="B126" s="143"/>
      <c r="C126" s="145"/>
      <c r="D126" s="158"/>
      <c r="E126" s="145"/>
      <c r="F126" s="145"/>
      <c r="G126" s="44"/>
      <c r="H126" s="44"/>
      <c r="I126" s="76"/>
      <c r="J126" s="44"/>
      <c r="K126" s="44"/>
      <c r="L126" s="44"/>
      <c r="M126" s="111"/>
      <c r="N126" s="112"/>
      <c r="O126" s="43"/>
      <c r="P126" s="113"/>
      <c r="Q126" s="43"/>
      <c r="R126" s="43"/>
      <c r="S126" s="97" t="s">
        <v>231</v>
      </c>
      <c r="T126" s="103" t="s">
        <v>184</v>
      </c>
      <c r="U126" s="7">
        <v>0.6</v>
      </c>
      <c r="V126" s="102">
        <v>1</v>
      </c>
      <c r="W126" s="11">
        <f t="shared" si="18"/>
        <v>0.6</v>
      </c>
      <c r="X126" s="146"/>
      <c r="Y126" s="147"/>
      <c r="Z126" s="299"/>
      <c r="AA126" s="155"/>
      <c r="AB126" s="148"/>
      <c r="AC126" s="138"/>
    </row>
    <row r="127" spans="1:29" x14ac:dyDescent="0.25">
      <c r="A127" s="142"/>
      <c r="B127" s="143"/>
      <c r="C127" s="145"/>
      <c r="D127" s="158"/>
      <c r="E127" s="145"/>
      <c r="F127" s="145"/>
      <c r="G127" s="139" t="s">
        <v>50</v>
      </c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21">
        <f>SUM(R118:R126)</f>
        <v>4.2634337949999992</v>
      </c>
      <c r="S127" s="141" t="s">
        <v>51</v>
      </c>
      <c r="T127" s="141"/>
      <c r="U127" s="141"/>
      <c r="V127" s="141"/>
      <c r="W127" s="18">
        <f>SUM(W118:W126)</f>
        <v>1.6400000000000001</v>
      </c>
      <c r="X127" s="146"/>
      <c r="Y127" s="147"/>
      <c r="Z127" s="299"/>
      <c r="AA127" s="155"/>
      <c r="AB127" s="148"/>
      <c r="AC127" s="138"/>
    </row>
    <row r="128" spans="1:29" ht="14.4" customHeight="1" x14ac:dyDescent="0.25">
      <c r="A128" s="142"/>
      <c r="B128" s="143" t="s">
        <v>60</v>
      </c>
      <c r="C128" s="145">
        <v>44448</v>
      </c>
      <c r="D128" s="157" t="s">
        <v>229</v>
      </c>
      <c r="E128" s="144" t="s">
        <v>179</v>
      </c>
      <c r="F128" s="144" t="s">
        <v>178</v>
      </c>
      <c r="G128" s="77" t="s">
        <v>180</v>
      </c>
      <c r="H128" s="77" t="s">
        <v>99</v>
      </c>
      <c r="I128" s="76">
        <v>1</v>
      </c>
      <c r="J128" s="44">
        <f>484+15+6</f>
        <v>505</v>
      </c>
      <c r="K128" s="44">
        <f>90+6</f>
        <v>96</v>
      </c>
      <c r="L128" s="44">
        <v>2</v>
      </c>
      <c r="M128" s="111">
        <v>6.85</v>
      </c>
      <c r="N128" s="112">
        <v>3.4</v>
      </c>
      <c r="O128" s="43">
        <f>J128*K128*L128*7.85/1000000</f>
        <v>0.76113600000000003</v>
      </c>
      <c r="P128" s="113">
        <v>0.437</v>
      </c>
      <c r="Q128" s="43">
        <f>O128-P128</f>
        <v>0.32413600000000004</v>
      </c>
      <c r="R128" s="43">
        <f>(M128*O128-N128*Q128)*I128</f>
        <v>4.1117191999999996</v>
      </c>
      <c r="S128" s="97" t="s">
        <v>152</v>
      </c>
      <c r="T128" s="103" t="s">
        <v>146</v>
      </c>
      <c r="U128" s="7">
        <v>0.35</v>
      </c>
      <c r="V128" s="102">
        <v>2</v>
      </c>
      <c r="W128" s="11">
        <f>U128/V128</f>
        <v>0.17499999999999999</v>
      </c>
      <c r="X128" s="146">
        <v>1.2</v>
      </c>
      <c r="Y128" s="147">
        <f>(R137+W137)*X128</f>
        <v>7.0841205539999992</v>
      </c>
      <c r="Z128" s="299">
        <f>Y128/1.13</f>
        <v>6.2691332336283185</v>
      </c>
      <c r="AA128" s="155"/>
      <c r="AB128" s="148">
        <v>100000</v>
      </c>
      <c r="AC128" s="138">
        <f>Z128+AA118/AB128/2</f>
        <v>6.9141332336283181</v>
      </c>
    </row>
    <row r="129" spans="1:29" ht="14.4" customHeight="1" x14ac:dyDescent="0.25">
      <c r="A129" s="142"/>
      <c r="B129" s="143"/>
      <c r="C129" s="145"/>
      <c r="D129" s="158"/>
      <c r="E129" s="145"/>
      <c r="F129" s="145"/>
      <c r="G129" s="101"/>
      <c r="H129" s="77"/>
      <c r="I129" s="76"/>
      <c r="J129" s="44"/>
      <c r="K129" s="44"/>
      <c r="L129" s="44"/>
      <c r="M129" s="111"/>
      <c r="N129" s="112"/>
      <c r="O129" s="43"/>
      <c r="P129" s="113"/>
      <c r="Q129" s="43"/>
      <c r="R129" s="43"/>
      <c r="S129" s="97" t="s">
        <v>117</v>
      </c>
      <c r="T129" s="103" t="s">
        <v>147</v>
      </c>
      <c r="U129" s="7">
        <v>0.4</v>
      </c>
      <c r="V129" s="102">
        <v>2</v>
      </c>
      <c r="W129" s="11">
        <f t="shared" ref="W129:W136" si="20">U129/V129</f>
        <v>0.2</v>
      </c>
      <c r="X129" s="146"/>
      <c r="Y129" s="147"/>
      <c r="Z129" s="299"/>
      <c r="AA129" s="155"/>
      <c r="AB129" s="148"/>
      <c r="AC129" s="138"/>
    </row>
    <row r="130" spans="1:29" ht="14.4" customHeight="1" x14ac:dyDescent="0.25">
      <c r="A130" s="142"/>
      <c r="B130" s="143"/>
      <c r="C130" s="145"/>
      <c r="D130" s="158"/>
      <c r="E130" s="145"/>
      <c r="F130" s="145"/>
      <c r="G130" s="44"/>
      <c r="H130" s="44"/>
      <c r="I130" s="76"/>
      <c r="J130" s="44"/>
      <c r="K130" s="44"/>
      <c r="L130" s="44"/>
      <c r="M130" s="111"/>
      <c r="N130" s="112"/>
      <c r="O130" s="43"/>
      <c r="P130" s="113"/>
      <c r="Q130" s="43"/>
      <c r="R130" s="43"/>
      <c r="S130" s="97" t="s">
        <v>181</v>
      </c>
      <c r="T130" s="103" t="s">
        <v>147</v>
      </c>
      <c r="U130" s="7">
        <v>0.4</v>
      </c>
      <c r="V130" s="102">
        <v>2</v>
      </c>
      <c r="W130" s="11">
        <f t="shared" si="20"/>
        <v>0.2</v>
      </c>
      <c r="X130" s="146"/>
      <c r="Y130" s="147"/>
      <c r="Z130" s="299"/>
      <c r="AA130" s="155"/>
      <c r="AB130" s="148"/>
      <c r="AC130" s="138"/>
    </row>
    <row r="131" spans="1:29" ht="14.4" customHeight="1" x14ac:dyDescent="0.25">
      <c r="A131" s="142"/>
      <c r="B131" s="143"/>
      <c r="C131" s="145"/>
      <c r="D131" s="158"/>
      <c r="E131" s="145"/>
      <c r="F131" s="145"/>
      <c r="G131" s="44"/>
      <c r="H131" s="44"/>
      <c r="I131" s="76"/>
      <c r="J131" s="44"/>
      <c r="K131" s="44"/>
      <c r="L131" s="44"/>
      <c r="M131" s="111"/>
      <c r="N131" s="112"/>
      <c r="O131" s="43"/>
      <c r="P131" s="113"/>
      <c r="Q131" s="43"/>
      <c r="R131" s="43"/>
      <c r="S131" s="97" t="s">
        <v>182</v>
      </c>
      <c r="T131" s="103" t="s">
        <v>144</v>
      </c>
      <c r="U131" s="7">
        <v>0.15</v>
      </c>
      <c r="V131" s="102">
        <v>2</v>
      </c>
      <c r="W131" s="11">
        <f t="shared" si="20"/>
        <v>7.4999999999999997E-2</v>
      </c>
      <c r="X131" s="146"/>
      <c r="Y131" s="147"/>
      <c r="Z131" s="299"/>
      <c r="AA131" s="155"/>
      <c r="AB131" s="148"/>
      <c r="AC131" s="138"/>
    </row>
    <row r="132" spans="1:29" ht="14.4" customHeight="1" x14ac:dyDescent="0.25">
      <c r="A132" s="142"/>
      <c r="B132" s="143"/>
      <c r="C132" s="145"/>
      <c r="D132" s="158"/>
      <c r="E132" s="145"/>
      <c r="F132" s="145"/>
      <c r="G132" s="44"/>
      <c r="H132" s="44"/>
      <c r="I132" s="76"/>
      <c r="J132" s="44"/>
      <c r="K132" s="44"/>
      <c r="L132" s="44"/>
      <c r="M132" s="111"/>
      <c r="N132" s="112"/>
      <c r="O132" s="43"/>
      <c r="P132" s="113"/>
      <c r="Q132" s="43"/>
      <c r="R132" s="43"/>
      <c r="S132" s="97" t="s">
        <v>183</v>
      </c>
      <c r="T132" s="103" t="s">
        <v>144</v>
      </c>
      <c r="U132" s="7">
        <v>0.15</v>
      </c>
      <c r="V132" s="102">
        <v>1</v>
      </c>
      <c r="W132" s="11">
        <f t="shared" si="20"/>
        <v>0.15</v>
      </c>
      <c r="X132" s="146"/>
      <c r="Y132" s="147"/>
      <c r="Z132" s="299"/>
      <c r="AA132" s="155"/>
      <c r="AB132" s="148"/>
      <c r="AC132" s="138"/>
    </row>
    <row r="133" spans="1:29" ht="14.4" customHeight="1" x14ac:dyDescent="0.25">
      <c r="A133" s="142"/>
      <c r="B133" s="143"/>
      <c r="C133" s="145"/>
      <c r="D133" s="158"/>
      <c r="E133" s="145"/>
      <c r="F133" s="145"/>
      <c r="G133" s="44"/>
      <c r="H133" s="44"/>
      <c r="I133" s="76"/>
      <c r="J133" s="44"/>
      <c r="K133" s="44"/>
      <c r="L133" s="44"/>
      <c r="M133" s="111"/>
      <c r="N133" s="112"/>
      <c r="O133" s="43"/>
      <c r="P133" s="113"/>
      <c r="Q133" s="43"/>
      <c r="R133" s="43"/>
      <c r="S133" s="97" t="s">
        <v>121</v>
      </c>
      <c r="T133" s="103" t="s">
        <v>144</v>
      </c>
      <c r="U133" s="7">
        <v>0.15</v>
      </c>
      <c r="V133" s="102">
        <v>1</v>
      </c>
      <c r="W133" s="11">
        <f t="shared" si="20"/>
        <v>0.15</v>
      </c>
      <c r="X133" s="146"/>
      <c r="Y133" s="147"/>
      <c r="Z133" s="299"/>
      <c r="AA133" s="155"/>
      <c r="AB133" s="148"/>
      <c r="AC133" s="138"/>
    </row>
    <row r="134" spans="1:29" ht="14.4" customHeight="1" x14ac:dyDescent="0.25">
      <c r="A134" s="142"/>
      <c r="B134" s="143"/>
      <c r="C134" s="145"/>
      <c r="D134" s="158"/>
      <c r="E134" s="145"/>
      <c r="F134" s="145"/>
      <c r="G134" s="101" t="s">
        <v>211</v>
      </c>
      <c r="H134" s="77" t="s">
        <v>99</v>
      </c>
      <c r="I134" s="76">
        <v>1</v>
      </c>
      <c r="J134" s="44">
        <f>47+6</f>
        <v>53</v>
      </c>
      <c r="K134" s="44">
        <f>25+6</f>
        <v>31</v>
      </c>
      <c r="L134" s="44">
        <v>2</v>
      </c>
      <c r="M134" s="111">
        <v>6.85</v>
      </c>
      <c r="N134" s="112">
        <v>3.4</v>
      </c>
      <c r="O134" s="43">
        <f>J134*K134*L134*7.85/1000000</f>
        <v>2.5795099999999998E-2</v>
      </c>
      <c r="P134" s="113">
        <f>47*25*2*7.85/1000000</f>
        <v>1.8447499999999999E-2</v>
      </c>
      <c r="Q134" s="43">
        <f>O134-P134</f>
        <v>7.3475999999999993E-3</v>
      </c>
      <c r="R134" s="43">
        <f>(M134*O134-N134*Q134)*I134</f>
        <v>0.15171459499999998</v>
      </c>
      <c r="S134" s="97" t="s">
        <v>152</v>
      </c>
      <c r="T134" s="103" t="s">
        <v>143</v>
      </c>
      <c r="U134" s="7">
        <v>0.05</v>
      </c>
      <c r="V134" s="102">
        <v>1</v>
      </c>
      <c r="W134" s="11">
        <f t="shared" si="20"/>
        <v>0.05</v>
      </c>
      <c r="X134" s="146"/>
      <c r="Y134" s="147"/>
      <c r="Z134" s="299"/>
      <c r="AA134" s="155"/>
      <c r="AB134" s="148"/>
      <c r="AC134" s="138"/>
    </row>
    <row r="135" spans="1:29" ht="14.4" customHeight="1" x14ac:dyDescent="0.25">
      <c r="A135" s="142"/>
      <c r="B135" s="143"/>
      <c r="C135" s="145"/>
      <c r="D135" s="158"/>
      <c r="E135" s="145"/>
      <c r="F135" s="145"/>
      <c r="G135" s="44"/>
      <c r="H135" s="44"/>
      <c r="I135" s="76"/>
      <c r="J135" s="44"/>
      <c r="K135" s="44"/>
      <c r="L135" s="44"/>
      <c r="M135" s="111"/>
      <c r="N135" s="112"/>
      <c r="O135" s="43"/>
      <c r="P135" s="113"/>
      <c r="Q135" s="43"/>
      <c r="R135" s="43"/>
      <c r="S135" s="97" t="s">
        <v>117</v>
      </c>
      <c r="T135" s="103" t="s">
        <v>177</v>
      </c>
      <c r="U135" s="7">
        <v>0.04</v>
      </c>
      <c r="V135" s="102">
        <v>1</v>
      </c>
      <c r="W135" s="11">
        <f t="shared" si="20"/>
        <v>0.04</v>
      </c>
      <c r="X135" s="146"/>
      <c r="Y135" s="147"/>
      <c r="Z135" s="299"/>
      <c r="AA135" s="155"/>
      <c r="AB135" s="148"/>
      <c r="AC135" s="138"/>
    </row>
    <row r="136" spans="1:29" ht="14.4" customHeight="1" x14ac:dyDescent="0.25">
      <c r="A136" s="142"/>
      <c r="B136" s="143"/>
      <c r="C136" s="145"/>
      <c r="D136" s="158"/>
      <c r="E136" s="145"/>
      <c r="F136" s="145"/>
      <c r="G136" s="44"/>
      <c r="H136" s="44"/>
      <c r="I136" s="76"/>
      <c r="J136" s="44"/>
      <c r="K136" s="44"/>
      <c r="L136" s="44"/>
      <c r="M136" s="111"/>
      <c r="N136" s="112"/>
      <c r="O136" s="43"/>
      <c r="P136" s="113"/>
      <c r="Q136" s="43"/>
      <c r="R136" s="43"/>
      <c r="S136" s="97" t="s">
        <v>231</v>
      </c>
      <c r="T136" s="103" t="s">
        <v>184</v>
      </c>
      <c r="U136" s="7">
        <v>0.6</v>
      </c>
      <c r="V136" s="102">
        <v>1</v>
      </c>
      <c r="W136" s="11">
        <f t="shared" si="20"/>
        <v>0.6</v>
      </c>
      <c r="X136" s="146"/>
      <c r="Y136" s="147"/>
      <c r="Z136" s="299"/>
      <c r="AA136" s="155"/>
      <c r="AB136" s="148"/>
      <c r="AC136" s="138"/>
    </row>
    <row r="137" spans="1:29" x14ac:dyDescent="0.25">
      <c r="A137" s="142"/>
      <c r="B137" s="143"/>
      <c r="C137" s="145"/>
      <c r="D137" s="158"/>
      <c r="E137" s="145"/>
      <c r="F137" s="145"/>
      <c r="G137" s="139" t="s">
        <v>50</v>
      </c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21">
        <f>SUM(R128:R136)</f>
        <v>4.2634337949999992</v>
      </c>
      <c r="S137" s="141" t="s">
        <v>51</v>
      </c>
      <c r="T137" s="141"/>
      <c r="U137" s="141"/>
      <c r="V137" s="141"/>
      <c r="W137" s="18">
        <f>SUM(W128:W136)</f>
        <v>1.6400000000000001</v>
      </c>
      <c r="X137" s="146"/>
      <c r="Y137" s="147"/>
      <c r="Z137" s="299"/>
      <c r="AA137" s="156"/>
      <c r="AB137" s="148"/>
      <c r="AC137" s="138"/>
    </row>
    <row r="138" spans="1:29" ht="14.4" customHeight="1" x14ac:dyDescent="0.25">
      <c r="A138" s="142"/>
      <c r="B138" s="143" t="s">
        <v>60</v>
      </c>
      <c r="C138" s="145">
        <v>44448</v>
      </c>
      <c r="D138" s="157" t="s">
        <v>116</v>
      </c>
      <c r="E138" s="144" t="s">
        <v>187</v>
      </c>
      <c r="F138" s="144" t="s">
        <v>188</v>
      </c>
      <c r="G138" s="77" t="s">
        <v>188</v>
      </c>
      <c r="H138" s="77" t="s">
        <v>99</v>
      </c>
      <c r="I138" s="76">
        <v>1</v>
      </c>
      <c r="J138" s="44">
        <f>150+10</f>
        <v>160</v>
      </c>
      <c r="K138" s="44">
        <f>60+10</f>
        <v>70</v>
      </c>
      <c r="L138" s="44">
        <v>3</v>
      </c>
      <c r="M138" s="111">
        <v>6.85</v>
      </c>
      <c r="N138" s="112">
        <v>3.4</v>
      </c>
      <c r="O138" s="43">
        <f>J138*K138*L138*7.85/1000000</f>
        <v>0.26375999999999999</v>
      </c>
      <c r="P138" s="113">
        <v>0.10299999999999999</v>
      </c>
      <c r="Q138" s="43">
        <f>O138-P138</f>
        <v>0.16076000000000001</v>
      </c>
      <c r="R138" s="43">
        <f>(M138*O138-N138*Q138)*I138</f>
        <v>1.2601719999999998</v>
      </c>
      <c r="S138" s="97" t="s">
        <v>152</v>
      </c>
      <c r="T138" s="103" t="s">
        <v>144</v>
      </c>
      <c r="U138" s="7">
        <v>0.15</v>
      </c>
      <c r="V138" s="102">
        <v>1</v>
      </c>
      <c r="W138" s="11">
        <f>U138/V138</f>
        <v>0.15</v>
      </c>
      <c r="X138" s="146">
        <v>1.2</v>
      </c>
      <c r="Y138" s="147">
        <f>(R141+W141)*X138</f>
        <v>1.8242063999999998</v>
      </c>
      <c r="Z138" s="299">
        <f>Y138/1.13</f>
        <v>1.6143419469026548</v>
      </c>
      <c r="AA138" s="149" t="s">
        <v>230</v>
      </c>
      <c r="AB138" s="148">
        <v>100000</v>
      </c>
      <c r="AC138" s="138">
        <f>Z138</f>
        <v>1.6143419469026548</v>
      </c>
    </row>
    <row r="139" spans="1:29" ht="14.4" customHeight="1" x14ac:dyDescent="0.25">
      <c r="A139" s="142"/>
      <c r="B139" s="143"/>
      <c r="C139" s="145"/>
      <c r="D139" s="158"/>
      <c r="E139" s="145"/>
      <c r="F139" s="145"/>
      <c r="G139" s="101"/>
      <c r="H139" s="77"/>
      <c r="I139" s="76"/>
      <c r="J139" s="44"/>
      <c r="K139" s="44"/>
      <c r="L139" s="44"/>
      <c r="M139" s="111"/>
      <c r="N139" s="112"/>
      <c r="O139" s="43"/>
      <c r="P139" s="113"/>
      <c r="Q139" s="43"/>
      <c r="R139" s="43"/>
      <c r="S139" s="97" t="s">
        <v>117</v>
      </c>
      <c r="T139" s="103" t="s">
        <v>186</v>
      </c>
      <c r="U139" s="7">
        <v>0.08</v>
      </c>
      <c r="V139" s="102">
        <v>2</v>
      </c>
      <c r="W139" s="11">
        <f t="shared" ref="W139:W140" si="21">U139/V139</f>
        <v>0.04</v>
      </c>
      <c r="X139" s="146"/>
      <c r="Y139" s="147"/>
      <c r="Z139" s="299"/>
      <c r="AA139" s="150"/>
      <c r="AB139" s="148"/>
      <c r="AC139" s="138"/>
    </row>
    <row r="140" spans="1:29" ht="14.4" customHeight="1" x14ac:dyDescent="0.25">
      <c r="A140" s="142"/>
      <c r="B140" s="143"/>
      <c r="C140" s="145"/>
      <c r="D140" s="158"/>
      <c r="E140" s="145"/>
      <c r="F140" s="145"/>
      <c r="G140" s="44"/>
      <c r="H140" s="44"/>
      <c r="I140" s="76"/>
      <c r="J140" s="44"/>
      <c r="K140" s="44"/>
      <c r="L140" s="44"/>
      <c r="M140" s="111"/>
      <c r="N140" s="112"/>
      <c r="O140" s="43"/>
      <c r="P140" s="113"/>
      <c r="Q140" s="43"/>
      <c r="R140" s="43"/>
      <c r="S140" s="97" t="s">
        <v>121</v>
      </c>
      <c r="T140" s="103" t="s">
        <v>119</v>
      </c>
      <c r="U140" s="7">
        <v>7.0000000000000007E-2</v>
      </c>
      <c r="V140" s="102">
        <v>1</v>
      </c>
      <c r="W140" s="11">
        <f t="shared" si="21"/>
        <v>7.0000000000000007E-2</v>
      </c>
      <c r="X140" s="146"/>
      <c r="Y140" s="147"/>
      <c r="Z140" s="299"/>
      <c r="AA140" s="150"/>
      <c r="AB140" s="148"/>
      <c r="AC140" s="138"/>
    </row>
    <row r="141" spans="1:29" x14ac:dyDescent="0.25">
      <c r="A141" s="142"/>
      <c r="B141" s="143"/>
      <c r="C141" s="145"/>
      <c r="D141" s="158"/>
      <c r="E141" s="145"/>
      <c r="F141" s="145"/>
      <c r="G141" s="139" t="s">
        <v>50</v>
      </c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21">
        <f>SUM(R138:R140)</f>
        <v>1.2601719999999998</v>
      </c>
      <c r="S141" s="141" t="s">
        <v>51</v>
      </c>
      <c r="T141" s="141"/>
      <c r="U141" s="141"/>
      <c r="V141" s="141"/>
      <c r="W141" s="18">
        <f>SUM(W138:W140)</f>
        <v>0.26</v>
      </c>
      <c r="X141" s="146"/>
      <c r="Y141" s="147"/>
      <c r="Z141" s="299"/>
      <c r="AA141" s="150"/>
      <c r="AB141" s="148"/>
      <c r="AC141" s="138"/>
    </row>
    <row r="142" spans="1:29" ht="14.4" customHeight="1" x14ac:dyDescent="0.25">
      <c r="A142" s="142"/>
      <c r="B142" s="143" t="s">
        <v>60</v>
      </c>
      <c r="C142" s="145">
        <v>44448</v>
      </c>
      <c r="D142" s="157" t="s">
        <v>118</v>
      </c>
      <c r="E142" s="144" t="s">
        <v>185</v>
      </c>
      <c r="F142" s="144" t="s">
        <v>189</v>
      </c>
      <c r="G142" s="77" t="s">
        <v>189</v>
      </c>
      <c r="H142" s="77" t="s">
        <v>99</v>
      </c>
      <c r="I142" s="76">
        <v>1</v>
      </c>
      <c r="J142" s="44">
        <f>158+10</f>
        <v>168</v>
      </c>
      <c r="K142" s="44">
        <f>79+10</f>
        <v>89</v>
      </c>
      <c r="L142" s="44">
        <v>3</v>
      </c>
      <c r="M142" s="111">
        <v>6.85</v>
      </c>
      <c r="N142" s="112">
        <v>3.4</v>
      </c>
      <c r="O142" s="43">
        <f>J142*K142*L142*7.85/1000000</f>
        <v>0.35211959999999998</v>
      </c>
      <c r="P142" s="113">
        <v>0.115</v>
      </c>
      <c r="Q142" s="43">
        <f>O142-P142</f>
        <v>0.23711959999999999</v>
      </c>
      <c r="R142" s="43">
        <f>(M142*O142-N142*Q142)*I142</f>
        <v>1.6058126199999996</v>
      </c>
      <c r="S142" s="97" t="s">
        <v>152</v>
      </c>
      <c r="T142" s="103" t="s">
        <v>144</v>
      </c>
      <c r="U142" s="7">
        <v>0.15</v>
      </c>
      <c r="V142" s="102">
        <v>1</v>
      </c>
      <c r="W142" s="11">
        <f>U142/V142</f>
        <v>0.15</v>
      </c>
      <c r="X142" s="146">
        <v>1.2</v>
      </c>
      <c r="Y142" s="147">
        <f>(R146+W146)*X142</f>
        <v>2.3349751439999995</v>
      </c>
      <c r="Z142" s="299">
        <f>Y142/1.13</f>
        <v>2.0663496849557519</v>
      </c>
      <c r="AA142" s="150"/>
      <c r="AB142" s="148">
        <v>100000</v>
      </c>
      <c r="AC142" s="138">
        <f>Z142</f>
        <v>2.0663496849557519</v>
      </c>
    </row>
    <row r="143" spans="1:29" ht="14.4" customHeight="1" x14ac:dyDescent="0.25">
      <c r="A143" s="142"/>
      <c r="B143" s="143"/>
      <c r="C143" s="145"/>
      <c r="D143" s="158"/>
      <c r="E143" s="145"/>
      <c r="F143" s="145"/>
      <c r="G143" s="101"/>
      <c r="H143" s="77"/>
      <c r="I143" s="76"/>
      <c r="J143" s="44"/>
      <c r="K143" s="44"/>
      <c r="L143" s="44"/>
      <c r="M143" s="111"/>
      <c r="N143" s="112"/>
      <c r="O143" s="43"/>
      <c r="P143" s="113"/>
      <c r="Q143" s="43"/>
      <c r="R143" s="43"/>
      <c r="S143" s="97" t="s">
        <v>117</v>
      </c>
      <c r="T143" s="103" t="s">
        <v>120</v>
      </c>
      <c r="U143" s="7">
        <v>0.1</v>
      </c>
      <c r="V143" s="102">
        <v>2</v>
      </c>
      <c r="W143" s="11">
        <f t="shared" ref="W143:W145" si="22">U143/V143</f>
        <v>0.05</v>
      </c>
      <c r="X143" s="146"/>
      <c r="Y143" s="147"/>
      <c r="Z143" s="299"/>
      <c r="AA143" s="150"/>
      <c r="AB143" s="148"/>
      <c r="AC143" s="138"/>
    </row>
    <row r="144" spans="1:29" ht="14.4" customHeight="1" x14ac:dyDescent="0.25">
      <c r="A144" s="142"/>
      <c r="B144" s="143"/>
      <c r="C144" s="145"/>
      <c r="D144" s="158"/>
      <c r="E144" s="145"/>
      <c r="F144" s="145"/>
      <c r="G144" s="101"/>
      <c r="H144" s="77"/>
      <c r="I144" s="76"/>
      <c r="J144" s="44"/>
      <c r="K144" s="44"/>
      <c r="L144" s="44"/>
      <c r="M144" s="111"/>
      <c r="N144" s="112"/>
      <c r="O144" s="43"/>
      <c r="P144" s="113"/>
      <c r="Q144" s="43"/>
      <c r="R144" s="43"/>
      <c r="S144" s="97" t="s">
        <v>190</v>
      </c>
      <c r="T144" s="103" t="s">
        <v>119</v>
      </c>
      <c r="U144" s="7">
        <v>7.0000000000000007E-2</v>
      </c>
      <c r="V144" s="102">
        <v>1</v>
      </c>
      <c r="W144" s="11">
        <f t="shared" si="22"/>
        <v>7.0000000000000007E-2</v>
      </c>
      <c r="X144" s="146"/>
      <c r="Y144" s="147"/>
      <c r="Z144" s="299"/>
      <c r="AA144" s="150"/>
      <c r="AB144" s="148"/>
      <c r="AC144" s="138"/>
    </row>
    <row r="145" spans="1:29" ht="14.4" customHeight="1" x14ac:dyDescent="0.25">
      <c r="A145" s="142"/>
      <c r="B145" s="143"/>
      <c r="C145" s="145"/>
      <c r="D145" s="158"/>
      <c r="E145" s="145"/>
      <c r="F145" s="145"/>
      <c r="G145" s="101"/>
      <c r="H145" s="77"/>
      <c r="I145" s="76"/>
      <c r="J145" s="44"/>
      <c r="K145" s="44"/>
      <c r="L145" s="44"/>
      <c r="M145" s="111"/>
      <c r="N145" s="112"/>
      <c r="O145" s="43"/>
      <c r="P145" s="113"/>
      <c r="Q145" s="43"/>
      <c r="R145" s="43"/>
      <c r="S145" s="97" t="s">
        <v>121</v>
      </c>
      <c r="T145" s="103" t="s">
        <v>119</v>
      </c>
      <c r="U145" s="7">
        <v>7.0000000000000007E-2</v>
      </c>
      <c r="V145" s="102">
        <v>1</v>
      </c>
      <c r="W145" s="11">
        <f t="shared" si="22"/>
        <v>7.0000000000000007E-2</v>
      </c>
      <c r="X145" s="146"/>
      <c r="Y145" s="147"/>
      <c r="Z145" s="299"/>
      <c r="AA145" s="150"/>
      <c r="AB145" s="148"/>
      <c r="AC145" s="138"/>
    </row>
    <row r="146" spans="1:29" x14ac:dyDescent="0.25">
      <c r="A146" s="142"/>
      <c r="B146" s="143"/>
      <c r="C146" s="145"/>
      <c r="D146" s="158"/>
      <c r="E146" s="145"/>
      <c r="F146" s="145"/>
      <c r="G146" s="139" t="s">
        <v>50</v>
      </c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21">
        <f>SUM(R142:R145)</f>
        <v>1.6058126199999996</v>
      </c>
      <c r="S146" s="141" t="s">
        <v>51</v>
      </c>
      <c r="T146" s="141"/>
      <c r="U146" s="141"/>
      <c r="V146" s="141"/>
      <c r="W146" s="18">
        <f>SUM(W142:W145)</f>
        <v>0.34</v>
      </c>
      <c r="X146" s="146"/>
      <c r="Y146" s="147"/>
      <c r="Z146" s="299"/>
      <c r="AA146" s="151"/>
      <c r="AB146" s="148"/>
      <c r="AC146" s="138"/>
    </row>
    <row r="147" spans="1:29" ht="14.4" customHeight="1" x14ac:dyDescent="0.25">
      <c r="A147" s="142"/>
      <c r="B147" s="143" t="s">
        <v>60</v>
      </c>
      <c r="C147" s="145">
        <v>44448</v>
      </c>
      <c r="D147" s="157" t="s">
        <v>200</v>
      </c>
      <c r="E147" s="144" t="s">
        <v>191</v>
      </c>
      <c r="F147" s="144" t="s">
        <v>192</v>
      </c>
      <c r="G147" s="77" t="s">
        <v>192</v>
      </c>
      <c r="H147" s="77" t="s">
        <v>99</v>
      </c>
      <c r="I147" s="76">
        <v>1</v>
      </c>
      <c r="J147" s="44">
        <v>240</v>
      </c>
      <c r="K147" s="44">
        <f>90+10</f>
        <v>100</v>
      </c>
      <c r="L147" s="44">
        <v>4</v>
      </c>
      <c r="M147" s="111">
        <v>6.85</v>
      </c>
      <c r="N147" s="112">
        <v>3.4</v>
      </c>
      <c r="O147" s="43">
        <f>J147*K147*L147*7.85/1000000</f>
        <v>0.75360000000000005</v>
      </c>
      <c r="P147" s="113">
        <v>0.54500000000000004</v>
      </c>
      <c r="Q147" s="43">
        <f>O147-P147</f>
        <v>0.20860000000000001</v>
      </c>
      <c r="R147" s="43">
        <f>(M147*O147-N147*Q147)*I147</f>
        <v>4.4529199999999998</v>
      </c>
      <c r="S147" s="97" t="s">
        <v>152</v>
      </c>
      <c r="T147" s="103" t="s">
        <v>144</v>
      </c>
      <c r="U147" s="7">
        <v>0.15</v>
      </c>
      <c r="V147" s="102">
        <v>1</v>
      </c>
      <c r="W147" s="11">
        <f>U147/V147</f>
        <v>0.15</v>
      </c>
      <c r="X147" s="146">
        <v>1.2</v>
      </c>
      <c r="Y147" s="147">
        <f>(R151+W151)*X147</f>
        <v>5.9435039999999999</v>
      </c>
      <c r="Z147" s="299">
        <f>Y147/1.13</f>
        <v>5.2597380530973457</v>
      </c>
      <c r="AA147" s="152">
        <v>19200</v>
      </c>
      <c r="AB147" s="148">
        <v>100000</v>
      </c>
      <c r="AC147" s="138">
        <f>Z147+AA147/AB147</f>
        <v>5.4517380530973458</v>
      </c>
    </row>
    <row r="148" spans="1:29" ht="14.4" customHeight="1" x14ac:dyDescent="0.25">
      <c r="A148" s="142"/>
      <c r="B148" s="143"/>
      <c r="C148" s="145"/>
      <c r="D148" s="158"/>
      <c r="E148" s="145"/>
      <c r="F148" s="145"/>
      <c r="G148" s="101"/>
      <c r="H148" s="77"/>
      <c r="I148" s="76"/>
      <c r="J148" s="44"/>
      <c r="K148" s="44"/>
      <c r="L148" s="44"/>
      <c r="M148" s="111"/>
      <c r="N148" s="112"/>
      <c r="O148" s="43"/>
      <c r="P148" s="113"/>
      <c r="Q148" s="43"/>
      <c r="R148" s="43"/>
      <c r="S148" s="97" t="s">
        <v>153</v>
      </c>
      <c r="T148" s="103" t="s">
        <v>144</v>
      </c>
      <c r="U148" s="7">
        <v>0.15</v>
      </c>
      <c r="V148" s="102">
        <v>1</v>
      </c>
      <c r="W148" s="11">
        <f t="shared" ref="W148:W150" si="23">U148/V148</f>
        <v>0.15</v>
      </c>
      <c r="X148" s="146"/>
      <c r="Y148" s="147"/>
      <c r="Z148" s="299"/>
      <c r="AA148" s="153"/>
      <c r="AB148" s="148"/>
      <c r="AC148" s="138"/>
    </row>
    <row r="149" spans="1:29" ht="14.4" customHeight="1" x14ac:dyDescent="0.25">
      <c r="A149" s="142"/>
      <c r="B149" s="143"/>
      <c r="C149" s="145"/>
      <c r="D149" s="158"/>
      <c r="E149" s="145"/>
      <c r="F149" s="145"/>
      <c r="G149" s="101"/>
      <c r="H149" s="77"/>
      <c r="I149" s="76"/>
      <c r="J149" s="44"/>
      <c r="K149" s="44"/>
      <c r="L149" s="44"/>
      <c r="M149" s="111"/>
      <c r="N149" s="112"/>
      <c r="O149" s="43"/>
      <c r="P149" s="113"/>
      <c r="Q149" s="43"/>
      <c r="R149" s="43"/>
      <c r="S149" s="97" t="s">
        <v>154</v>
      </c>
      <c r="T149" s="103" t="s">
        <v>144</v>
      </c>
      <c r="U149" s="7">
        <v>0.15</v>
      </c>
      <c r="V149" s="102">
        <v>1</v>
      </c>
      <c r="W149" s="11">
        <f t="shared" si="23"/>
        <v>0.15</v>
      </c>
      <c r="X149" s="146"/>
      <c r="Y149" s="147"/>
      <c r="Z149" s="299"/>
      <c r="AA149" s="153"/>
      <c r="AB149" s="148"/>
      <c r="AC149" s="138"/>
    </row>
    <row r="150" spans="1:29" ht="14.4" customHeight="1" x14ac:dyDescent="0.25">
      <c r="A150" s="142"/>
      <c r="B150" s="143"/>
      <c r="C150" s="145"/>
      <c r="D150" s="158"/>
      <c r="E150" s="145"/>
      <c r="F150" s="145"/>
      <c r="G150" s="101"/>
      <c r="H150" s="77"/>
      <c r="I150" s="76"/>
      <c r="J150" s="44"/>
      <c r="K150" s="44"/>
      <c r="L150" s="44"/>
      <c r="M150" s="111"/>
      <c r="N150" s="112"/>
      <c r="O150" s="43"/>
      <c r="P150" s="113"/>
      <c r="Q150" s="43"/>
      <c r="R150" s="43"/>
      <c r="S150" s="97" t="s">
        <v>193</v>
      </c>
      <c r="T150" s="103" t="s">
        <v>143</v>
      </c>
      <c r="U150" s="7">
        <v>0.05</v>
      </c>
      <c r="V150" s="102">
        <v>1</v>
      </c>
      <c r="W150" s="11">
        <f t="shared" si="23"/>
        <v>0.05</v>
      </c>
      <c r="X150" s="146"/>
      <c r="Y150" s="147"/>
      <c r="Z150" s="299"/>
      <c r="AA150" s="153"/>
      <c r="AB150" s="148"/>
      <c r="AC150" s="138"/>
    </row>
    <row r="151" spans="1:29" x14ac:dyDescent="0.25">
      <c r="A151" s="142"/>
      <c r="B151" s="143"/>
      <c r="C151" s="145"/>
      <c r="D151" s="158"/>
      <c r="E151" s="145"/>
      <c r="F151" s="145"/>
      <c r="G151" s="139" t="s">
        <v>50</v>
      </c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21">
        <f>SUM(R147:R150)</f>
        <v>4.4529199999999998</v>
      </c>
      <c r="S151" s="141" t="s">
        <v>51</v>
      </c>
      <c r="T151" s="141"/>
      <c r="U151" s="141"/>
      <c r="V151" s="141"/>
      <c r="W151" s="18">
        <f>SUM(W147:W150)</f>
        <v>0.49999999999999994</v>
      </c>
      <c r="X151" s="146"/>
      <c r="Y151" s="147"/>
      <c r="Z151" s="299"/>
      <c r="AA151" s="153"/>
      <c r="AB151" s="148"/>
      <c r="AC151" s="138"/>
    </row>
    <row r="152" spans="1:29" ht="14.4" customHeight="1" x14ac:dyDescent="0.25">
      <c r="A152" s="142"/>
      <c r="B152" s="143" t="s">
        <v>60</v>
      </c>
      <c r="C152" s="145">
        <v>44448</v>
      </c>
      <c r="D152" s="157" t="s">
        <v>199</v>
      </c>
      <c r="E152" s="144" t="s">
        <v>194</v>
      </c>
      <c r="F152" s="144" t="s">
        <v>195</v>
      </c>
      <c r="G152" s="77" t="s">
        <v>195</v>
      </c>
      <c r="H152" s="77" t="s">
        <v>99</v>
      </c>
      <c r="I152" s="76">
        <v>1</v>
      </c>
      <c r="J152" s="44">
        <f>182+6</f>
        <v>188</v>
      </c>
      <c r="K152" s="44">
        <f>34+6</f>
        <v>40</v>
      </c>
      <c r="L152" s="44">
        <v>2</v>
      </c>
      <c r="M152" s="111">
        <v>6.85</v>
      </c>
      <c r="N152" s="112">
        <v>3.4</v>
      </c>
      <c r="O152" s="43">
        <f>J152*K152*L152*7.85/1000000</f>
        <v>0.118064</v>
      </c>
      <c r="P152" s="113">
        <v>0.08</v>
      </c>
      <c r="Q152" s="43">
        <f>O152-P152</f>
        <v>3.8064000000000001E-2</v>
      </c>
      <c r="R152" s="43">
        <f>(M152*O152-N152*Q152)*I152</f>
        <v>0.67932079999999995</v>
      </c>
      <c r="S152" s="97" t="s">
        <v>152</v>
      </c>
      <c r="T152" s="103" t="s">
        <v>119</v>
      </c>
      <c r="U152" s="7">
        <v>7.0000000000000007E-2</v>
      </c>
      <c r="V152" s="102">
        <v>1</v>
      </c>
      <c r="W152" s="11">
        <f>U152/V152</f>
        <v>7.0000000000000007E-2</v>
      </c>
      <c r="X152" s="146">
        <v>1.2</v>
      </c>
      <c r="Y152" s="147">
        <f>(R155+W155)*X152</f>
        <v>1.01918496</v>
      </c>
      <c r="Z152" s="299">
        <f>Y152/1.13</f>
        <v>0.90193359292035413</v>
      </c>
      <c r="AA152" s="152">
        <v>16500</v>
      </c>
      <c r="AB152" s="148">
        <v>100000</v>
      </c>
      <c r="AC152" s="138">
        <f>Z152+AA152/AB152</f>
        <v>1.0669335929203541</v>
      </c>
    </row>
    <row r="153" spans="1:29" ht="14.4" customHeight="1" x14ac:dyDescent="0.25">
      <c r="A153" s="142"/>
      <c r="B153" s="143"/>
      <c r="C153" s="145"/>
      <c r="D153" s="158"/>
      <c r="E153" s="145"/>
      <c r="F153" s="145"/>
      <c r="G153" s="101"/>
      <c r="H153" s="77"/>
      <c r="I153" s="76"/>
      <c r="J153" s="44"/>
      <c r="K153" s="44"/>
      <c r="L153" s="44"/>
      <c r="M153" s="111"/>
      <c r="N153" s="112"/>
      <c r="O153" s="43"/>
      <c r="P153" s="113"/>
      <c r="Q153" s="43"/>
      <c r="R153" s="43"/>
      <c r="S153" s="97" t="s">
        <v>117</v>
      </c>
      <c r="T153" s="103" t="s">
        <v>143</v>
      </c>
      <c r="U153" s="7">
        <v>0.05</v>
      </c>
      <c r="V153" s="102">
        <v>1</v>
      </c>
      <c r="W153" s="11">
        <f t="shared" ref="W153:W154" si="24">U153/V153</f>
        <v>0.05</v>
      </c>
      <c r="X153" s="146"/>
      <c r="Y153" s="147"/>
      <c r="Z153" s="299"/>
      <c r="AA153" s="153"/>
      <c r="AB153" s="148"/>
      <c r="AC153" s="138"/>
    </row>
    <row r="154" spans="1:29" ht="14.4" customHeight="1" x14ac:dyDescent="0.25">
      <c r="A154" s="142"/>
      <c r="B154" s="143"/>
      <c r="C154" s="145"/>
      <c r="D154" s="158"/>
      <c r="E154" s="145"/>
      <c r="F154" s="145"/>
      <c r="G154" s="101"/>
      <c r="H154" s="77"/>
      <c r="I154" s="76"/>
      <c r="J154" s="44"/>
      <c r="K154" s="44"/>
      <c r="L154" s="44"/>
      <c r="M154" s="111"/>
      <c r="N154" s="112"/>
      <c r="O154" s="43"/>
      <c r="P154" s="113"/>
      <c r="Q154" s="43"/>
      <c r="R154" s="43"/>
      <c r="S154" s="97" t="s">
        <v>193</v>
      </c>
      <c r="T154" s="103" t="s">
        <v>143</v>
      </c>
      <c r="U154" s="7">
        <v>0.05</v>
      </c>
      <c r="V154" s="102">
        <v>1</v>
      </c>
      <c r="W154" s="11">
        <f t="shared" si="24"/>
        <v>0.05</v>
      </c>
      <c r="X154" s="146"/>
      <c r="Y154" s="147"/>
      <c r="Z154" s="299"/>
      <c r="AA154" s="153"/>
      <c r="AB154" s="148"/>
      <c r="AC154" s="138"/>
    </row>
    <row r="155" spans="1:29" x14ac:dyDescent="0.25">
      <c r="A155" s="142"/>
      <c r="B155" s="143"/>
      <c r="C155" s="145"/>
      <c r="D155" s="158"/>
      <c r="E155" s="145"/>
      <c r="F155" s="145"/>
      <c r="G155" s="139" t="s">
        <v>50</v>
      </c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21">
        <f>SUM(R152:R154)</f>
        <v>0.67932079999999995</v>
      </c>
      <c r="S155" s="141" t="s">
        <v>51</v>
      </c>
      <c r="T155" s="141"/>
      <c r="U155" s="141"/>
      <c r="V155" s="141"/>
      <c r="W155" s="18">
        <f>SUM(W152:W154)</f>
        <v>0.17</v>
      </c>
      <c r="X155" s="146"/>
      <c r="Y155" s="147"/>
      <c r="Z155" s="299"/>
      <c r="AA155" s="153"/>
      <c r="AB155" s="148"/>
      <c r="AC155" s="138"/>
    </row>
    <row r="156" spans="1:29" ht="14.4" customHeight="1" x14ac:dyDescent="0.25">
      <c r="A156" s="142"/>
      <c r="B156" s="143" t="s">
        <v>60</v>
      </c>
      <c r="C156" s="145">
        <v>44448</v>
      </c>
      <c r="D156" s="157" t="s">
        <v>198</v>
      </c>
      <c r="E156" s="144" t="s">
        <v>196</v>
      </c>
      <c r="F156" s="144" t="s">
        <v>197</v>
      </c>
      <c r="G156" s="77" t="s">
        <v>197</v>
      </c>
      <c r="H156" s="77" t="s">
        <v>99</v>
      </c>
      <c r="I156" s="76">
        <v>1</v>
      </c>
      <c r="J156" s="44">
        <f>248+10</f>
        <v>258</v>
      </c>
      <c r="K156" s="44">
        <f>85+10</f>
        <v>95</v>
      </c>
      <c r="L156" s="44">
        <v>3</v>
      </c>
      <c r="M156" s="111">
        <v>6.85</v>
      </c>
      <c r="N156" s="112">
        <v>3.4</v>
      </c>
      <c r="O156" s="43">
        <f>J156*K156*L156*7.85/1000000</f>
        <v>0.57721049999999996</v>
      </c>
      <c r="P156" s="113">
        <v>0.4</v>
      </c>
      <c r="Q156" s="43">
        <f>O156-P156</f>
        <v>0.17721049999999994</v>
      </c>
      <c r="R156" s="43">
        <f>(M156*O156-N156*Q156)*I156</f>
        <v>3.3513762249999997</v>
      </c>
      <c r="S156" s="97" t="s">
        <v>152</v>
      </c>
      <c r="T156" s="103" t="s">
        <v>144</v>
      </c>
      <c r="U156" s="7">
        <v>0.15</v>
      </c>
      <c r="V156" s="102">
        <v>1</v>
      </c>
      <c r="W156" s="11">
        <f>U156/V156</f>
        <v>0.15</v>
      </c>
      <c r="X156" s="146">
        <v>1.2</v>
      </c>
      <c r="Y156" s="147">
        <f>(R159+W159)*X156</f>
        <v>4.4056514699999996</v>
      </c>
      <c r="Z156" s="299">
        <f>Y156/1.13</f>
        <v>3.8988066106194692</v>
      </c>
      <c r="AA156" s="152">
        <v>18000</v>
      </c>
      <c r="AB156" s="148">
        <v>100000</v>
      </c>
      <c r="AC156" s="138">
        <f>Z156+AA156/AB156</f>
        <v>4.0788066106194689</v>
      </c>
    </row>
    <row r="157" spans="1:29" ht="14.4" customHeight="1" x14ac:dyDescent="0.25">
      <c r="A157" s="142"/>
      <c r="B157" s="143"/>
      <c r="C157" s="145"/>
      <c r="D157" s="158"/>
      <c r="E157" s="145"/>
      <c r="F157" s="145"/>
      <c r="G157" s="101"/>
      <c r="H157" s="77"/>
      <c r="I157" s="76"/>
      <c r="J157" s="44"/>
      <c r="K157" s="44"/>
      <c r="L157" s="44"/>
      <c r="M157" s="111"/>
      <c r="N157" s="112"/>
      <c r="O157" s="43"/>
      <c r="P157" s="113"/>
      <c r="Q157" s="43"/>
      <c r="R157" s="43"/>
      <c r="S157" s="97" t="s">
        <v>117</v>
      </c>
      <c r="T157" s="103" t="s">
        <v>120</v>
      </c>
      <c r="U157" s="7">
        <v>0.1</v>
      </c>
      <c r="V157" s="102">
        <v>1</v>
      </c>
      <c r="W157" s="11">
        <f t="shared" ref="W157:W158" si="25">U157/V157</f>
        <v>0.1</v>
      </c>
      <c r="X157" s="146"/>
      <c r="Y157" s="147"/>
      <c r="Z157" s="299"/>
      <c r="AA157" s="153"/>
      <c r="AB157" s="148"/>
      <c r="AC157" s="138"/>
    </row>
    <row r="158" spans="1:29" ht="14.4" customHeight="1" x14ac:dyDescent="0.25">
      <c r="A158" s="142"/>
      <c r="B158" s="143"/>
      <c r="C158" s="145"/>
      <c r="D158" s="158"/>
      <c r="E158" s="145"/>
      <c r="F158" s="145"/>
      <c r="G158" s="101"/>
      <c r="H158" s="77"/>
      <c r="I158" s="76"/>
      <c r="J158" s="44"/>
      <c r="K158" s="44"/>
      <c r="L158" s="44"/>
      <c r="M158" s="111"/>
      <c r="N158" s="112"/>
      <c r="O158" s="43"/>
      <c r="P158" s="113"/>
      <c r="Q158" s="43"/>
      <c r="R158" s="43"/>
      <c r="S158" s="97" t="s">
        <v>193</v>
      </c>
      <c r="T158" s="103" t="s">
        <v>119</v>
      </c>
      <c r="U158" s="7">
        <v>7.0000000000000007E-2</v>
      </c>
      <c r="V158" s="102">
        <v>1</v>
      </c>
      <c r="W158" s="11">
        <f t="shared" si="25"/>
        <v>7.0000000000000007E-2</v>
      </c>
      <c r="X158" s="146"/>
      <c r="Y158" s="147"/>
      <c r="Z158" s="299"/>
      <c r="AA158" s="153"/>
      <c r="AB158" s="148"/>
      <c r="AC158" s="138"/>
    </row>
    <row r="159" spans="1:29" x14ac:dyDescent="0.25">
      <c r="A159" s="142"/>
      <c r="B159" s="143"/>
      <c r="C159" s="145"/>
      <c r="D159" s="158"/>
      <c r="E159" s="145"/>
      <c r="F159" s="145"/>
      <c r="G159" s="139" t="s">
        <v>50</v>
      </c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21">
        <f>SUM(R156:R158)</f>
        <v>3.3513762249999997</v>
      </c>
      <c r="S159" s="141" t="s">
        <v>51</v>
      </c>
      <c r="T159" s="141"/>
      <c r="U159" s="141"/>
      <c r="V159" s="141"/>
      <c r="W159" s="18">
        <f>SUM(W156:W158)</f>
        <v>0.32</v>
      </c>
      <c r="X159" s="146"/>
      <c r="Y159" s="147"/>
      <c r="Z159" s="299"/>
      <c r="AA159" s="153"/>
      <c r="AB159" s="148"/>
      <c r="AC159" s="138"/>
    </row>
    <row r="160" spans="1:29" ht="14.4" customHeight="1" x14ac:dyDescent="0.25">
      <c r="A160" s="142"/>
      <c r="B160" s="143" t="s">
        <v>60</v>
      </c>
      <c r="C160" s="145">
        <v>44448</v>
      </c>
      <c r="D160" s="157" t="s">
        <v>208</v>
      </c>
      <c r="E160" s="144" t="s">
        <v>201</v>
      </c>
      <c r="F160" s="144" t="s">
        <v>202</v>
      </c>
      <c r="G160" s="77" t="s">
        <v>203</v>
      </c>
      <c r="H160" s="77" t="s">
        <v>99</v>
      </c>
      <c r="I160" s="76">
        <v>1</v>
      </c>
      <c r="J160" s="44">
        <f>248+10</f>
        <v>258</v>
      </c>
      <c r="K160" s="44">
        <f>85+10</f>
        <v>95</v>
      </c>
      <c r="L160" s="44">
        <v>3</v>
      </c>
      <c r="M160" s="111">
        <v>6.85</v>
      </c>
      <c r="N160" s="112">
        <v>3.4</v>
      </c>
      <c r="O160" s="43">
        <f>J160*K160*L160*7.85/1000000</f>
        <v>0.57721049999999996</v>
      </c>
      <c r="P160" s="113">
        <f>0.47-P163-P164</f>
        <v>0.40230166999999994</v>
      </c>
      <c r="Q160" s="43">
        <f>O160-P160</f>
        <v>0.17490883000000002</v>
      </c>
      <c r="R160" s="43">
        <f>(M160*O160-N160*Q160)*I160</f>
        <v>3.3592019029999993</v>
      </c>
      <c r="S160" s="97" t="s">
        <v>152</v>
      </c>
      <c r="T160" s="103" t="s">
        <v>144</v>
      </c>
      <c r="U160" s="7">
        <v>0.15</v>
      </c>
      <c r="V160" s="102">
        <v>1</v>
      </c>
      <c r="W160" s="11">
        <f>U160/V160</f>
        <v>0.15</v>
      </c>
      <c r="X160" s="146">
        <v>1.2</v>
      </c>
      <c r="Y160" s="147">
        <f>(R166+W166)*X160</f>
        <v>6.4690612835999994</v>
      </c>
      <c r="Z160" s="299">
        <f>Y160/1.13</f>
        <v>5.7248329943362828</v>
      </c>
      <c r="AA160" s="152">
        <f>18000+3100</f>
        <v>21100</v>
      </c>
      <c r="AB160" s="148">
        <v>100000</v>
      </c>
      <c r="AC160" s="138">
        <f>Z160+AA160/AB160</f>
        <v>5.9358329943362831</v>
      </c>
    </row>
    <row r="161" spans="1:29" ht="14.4" customHeight="1" x14ac:dyDescent="0.25">
      <c r="A161" s="142"/>
      <c r="B161" s="143"/>
      <c r="C161" s="145"/>
      <c r="D161" s="157"/>
      <c r="E161" s="144"/>
      <c r="F161" s="144"/>
      <c r="H161" s="77"/>
      <c r="I161" s="76"/>
      <c r="J161" s="44"/>
      <c r="K161" s="44"/>
      <c r="L161" s="44"/>
      <c r="M161" s="111"/>
      <c r="N161" s="112"/>
      <c r="O161" s="43"/>
      <c r="P161" s="113"/>
      <c r="Q161" s="43"/>
      <c r="R161" s="43"/>
      <c r="S161" s="97" t="s">
        <v>117</v>
      </c>
      <c r="T161" s="103" t="s">
        <v>120</v>
      </c>
      <c r="U161" s="7">
        <v>0.1</v>
      </c>
      <c r="V161" s="102">
        <v>1</v>
      </c>
      <c r="W161" s="11">
        <f t="shared" ref="W161:W165" si="26">U161/V161</f>
        <v>0.1</v>
      </c>
      <c r="X161" s="146"/>
      <c r="Y161" s="147"/>
      <c r="Z161" s="299"/>
      <c r="AA161" s="152"/>
      <c r="AB161" s="148"/>
      <c r="AC161" s="138"/>
    </row>
    <row r="162" spans="1:29" ht="14.4" customHeight="1" x14ac:dyDescent="0.25">
      <c r="A162" s="142"/>
      <c r="B162" s="143"/>
      <c r="C162" s="145"/>
      <c r="D162" s="157"/>
      <c r="E162" s="144"/>
      <c r="F162" s="144"/>
      <c r="G162" s="77"/>
      <c r="H162" s="77"/>
      <c r="I162" s="76"/>
      <c r="J162" s="44"/>
      <c r="K162" s="44"/>
      <c r="L162" s="44"/>
      <c r="M162" s="111"/>
      <c r="N162" s="112"/>
      <c r="O162" s="43"/>
      <c r="P162" s="113"/>
      <c r="Q162" s="43"/>
      <c r="R162" s="43"/>
      <c r="S162" s="97" t="s">
        <v>193</v>
      </c>
      <c r="T162" s="103" t="s">
        <v>119</v>
      </c>
      <c r="U162" s="7">
        <v>7.0000000000000007E-2</v>
      </c>
      <c r="V162" s="102">
        <v>1</v>
      </c>
      <c r="W162" s="11">
        <f t="shared" si="26"/>
        <v>7.0000000000000007E-2</v>
      </c>
      <c r="X162" s="146"/>
      <c r="Y162" s="147"/>
      <c r="Z162" s="299"/>
      <c r="AA162" s="152"/>
      <c r="AB162" s="148"/>
      <c r="AC162" s="138"/>
    </row>
    <row r="163" spans="1:29" ht="14.4" customHeight="1" x14ac:dyDescent="0.25">
      <c r="A163" s="142"/>
      <c r="B163" s="143"/>
      <c r="C163" s="145"/>
      <c r="D163" s="157"/>
      <c r="E163" s="144"/>
      <c r="F163" s="144"/>
      <c r="G163" s="77" t="s">
        <v>204</v>
      </c>
      <c r="H163" s="77" t="s">
        <v>99</v>
      </c>
      <c r="I163" s="76">
        <v>1</v>
      </c>
      <c r="J163" s="44">
        <v>65</v>
      </c>
      <c r="K163" s="44">
        <v>40</v>
      </c>
      <c r="L163" s="44">
        <v>2.5</v>
      </c>
      <c r="M163" s="111">
        <v>6.85</v>
      </c>
      <c r="N163" s="112">
        <v>3.4</v>
      </c>
      <c r="O163" s="43">
        <f>J163*K163*L163*7.85/1000000</f>
        <v>5.1025000000000001E-2</v>
      </c>
      <c r="P163" s="113">
        <f>(J163-10)*(K163-10)*2.5*7.85/1000000</f>
        <v>3.238125E-2</v>
      </c>
      <c r="Q163" s="43">
        <f>O163-P163</f>
        <v>1.8643750000000001E-2</v>
      </c>
      <c r="R163" s="43">
        <f>(M163*O163-N163*Q163)*I163</f>
        <v>0.28613250000000001</v>
      </c>
      <c r="S163" s="97" t="s">
        <v>152</v>
      </c>
      <c r="T163" s="103" t="s">
        <v>119</v>
      </c>
      <c r="U163" s="7">
        <v>7.0000000000000007E-2</v>
      </c>
      <c r="V163" s="102">
        <v>1</v>
      </c>
      <c r="W163" s="11">
        <f t="shared" si="26"/>
        <v>7.0000000000000007E-2</v>
      </c>
      <c r="X163" s="146"/>
      <c r="Y163" s="147"/>
      <c r="Z163" s="299"/>
      <c r="AA163" s="152"/>
      <c r="AB163" s="148"/>
      <c r="AC163" s="138"/>
    </row>
    <row r="164" spans="1:29" ht="14.4" customHeight="1" x14ac:dyDescent="0.25">
      <c r="A164" s="142"/>
      <c r="B164" s="143"/>
      <c r="C164" s="145"/>
      <c r="D164" s="158"/>
      <c r="E164" s="145"/>
      <c r="F164" s="145"/>
      <c r="G164" s="120" t="s">
        <v>205</v>
      </c>
      <c r="H164" s="77"/>
      <c r="I164" s="76">
        <v>1</v>
      </c>
      <c r="J164" s="44"/>
      <c r="K164" s="44"/>
      <c r="L164" s="44"/>
      <c r="M164" s="111">
        <v>0.7</v>
      </c>
      <c r="N164" s="112"/>
      <c r="O164" s="43"/>
      <c r="P164" s="113">
        <f>12*12*0.00617*0.033+18*18*0.00617*0.003</f>
        <v>3.5317080000000001E-2</v>
      </c>
      <c r="Q164" s="43"/>
      <c r="R164" s="43">
        <f>I164*M164</f>
        <v>0.7</v>
      </c>
      <c r="S164" s="97" t="s">
        <v>117</v>
      </c>
      <c r="T164" s="103" t="s">
        <v>143</v>
      </c>
      <c r="U164" s="7">
        <v>0.05</v>
      </c>
      <c r="V164" s="102">
        <v>1</v>
      </c>
      <c r="W164" s="11">
        <f t="shared" si="26"/>
        <v>0.05</v>
      </c>
      <c r="X164" s="146"/>
      <c r="Y164" s="147"/>
      <c r="Z164" s="299"/>
      <c r="AA164" s="153"/>
      <c r="AB164" s="148"/>
      <c r="AC164" s="138"/>
    </row>
    <row r="165" spans="1:29" ht="14.4" customHeight="1" x14ac:dyDescent="0.25">
      <c r="A165" s="142"/>
      <c r="B165" s="143"/>
      <c r="C165" s="145"/>
      <c r="D165" s="158"/>
      <c r="E165" s="145"/>
      <c r="F165" s="145"/>
      <c r="G165" s="101"/>
      <c r="H165" s="77"/>
      <c r="I165" s="76"/>
      <c r="J165" s="44"/>
      <c r="K165" s="44"/>
      <c r="L165" s="44"/>
      <c r="M165" s="111"/>
      <c r="N165" s="112"/>
      <c r="O165" s="43"/>
      <c r="P165" s="113"/>
      <c r="Q165" s="43"/>
      <c r="R165" s="43"/>
      <c r="S165" s="97" t="s">
        <v>173</v>
      </c>
      <c r="T165" s="51">
        <f>3+3.5+2+1.15*3.14</f>
        <v>12.111000000000001</v>
      </c>
      <c r="U165" s="7">
        <f>0.05*T165</f>
        <v>0.60555000000000003</v>
      </c>
      <c r="V165" s="102">
        <v>1</v>
      </c>
      <c r="W165" s="11">
        <f t="shared" si="26"/>
        <v>0.60555000000000003</v>
      </c>
      <c r="X165" s="146"/>
      <c r="Y165" s="147"/>
      <c r="Z165" s="299"/>
      <c r="AA165" s="153"/>
      <c r="AB165" s="148"/>
      <c r="AC165" s="138"/>
    </row>
    <row r="166" spans="1:29" x14ac:dyDescent="0.25">
      <c r="A166" s="142"/>
      <c r="B166" s="143"/>
      <c r="C166" s="145"/>
      <c r="D166" s="158"/>
      <c r="E166" s="145"/>
      <c r="F166" s="145"/>
      <c r="G166" s="139" t="s">
        <v>50</v>
      </c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21">
        <f>SUM(R160:R165)</f>
        <v>4.345334402999999</v>
      </c>
      <c r="S166" s="141" t="s">
        <v>51</v>
      </c>
      <c r="T166" s="141"/>
      <c r="U166" s="141"/>
      <c r="V166" s="141"/>
      <c r="W166" s="18">
        <f>SUM(W160:W165)</f>
        <v>1.04555</v>
      </c>
      <c r="X166" s="146"/>
      <c r="Y166" s="147"/>
      <c r="Z166" s="299"/>
      <c r="AA166" s="153"/>
      <c r="AB166" s="148"/>
      <c r="AC166" s="138"/>
    </row>
    <row r="167" spans="1:29" ht="14.4" customHeight="1" x14ac:dyDescent="0.25">
      <c r="A167" s="142"/>
      <c r="B167" s="143" t="s">
        <v>60</v>
      </c>
      <c r="C167" s="145">
        <v>44448</v>
      </c>
      <c r="D167" s="157" t="s">
        <v>209</v>
      </c>
      <c r="E167" s="144" t="s">
        <v>206</v>
      </c>
      <c r="F167" s="144" t="s">
        <v>207</v>
      </c>
      <c r="G167" s="77" t="s">
        <v>210</v>
      </c>
      <c r="H167" s="77" t="s">
        <v>99</v>
      </c>
      <c r="I167" s="76">
        <v>1</v>
      </c>
      <c r="J167" s="44">
        <f>240+10</f>
        <v>250</v>
      </c>
      <c r="K167" s="44">
        <f>85+10</f>
        <v>95</v>
      </c>
      <c r="L167" s="44">
        <v>3</v>
      </c>
      <c r="M167" s="111">
        <v>6.85</v>
      </c>
      <c r="N167" s="112">
        <v>3.4</v>
      </c>
      <c r="O167" s="43">
        <f>J167*K167*L167*7.85/1000000</f>
        <v>0.55931249999999999</v>
      </c>
      <c r="P167" s="113">
        <f>0.47-P170-P171-P172</f>
        <v>0.41612559999999998</v>
      </c>
      <c r="Q167" s="43">
        <f>O167-P167</f>
        <v>0.14318690000000001</v>
      </c>
      <c r="R167" s="43">
        <f>(M167*O167-N167*Q167)*I167</f>
        <v>3.3444551649999998</v>
      </c>
      <c r="S167" s="97" t="s">
        <v>152</v>
      </c>
      <c r="T167" s="103" t="s">
        <v>144</v>
      </c>
      <c r="U167" s="7">
        <v>0.15</v>
      </c>
      <c r="V167" s="102">
        <v>1</v>
      </c>
      <c r="W167" s="11">
        <f>U167/V167</f>
        <v>0.15</v>
      </c>
      <c r="X167" s="146">
        <v>1.2</v>
      </c>
      <c r="Y167" s="147">
        <f>(R175+W175)*X167</f>
        <v>6.6329806379999985</v>
      </c>
      <c r="Z167" s="299">
        <f>Y167/1.13</f>
        <v>5.8698943699115036</v>
      </c>
      <c r="AA167" s="149">
        <f>22000+3100</f>
        <v>25100</v>
      </c>
      <c r="AB167" s="148">
        <v>100000</v>
      </c>
      <c r="AC167" s="138">
        <f>Z167+AA167/AB167/2</f>
        <v>5.9953943699115033</v>
      </c>
    </row>
    <row r="168" spans="1:29" ht="14.4" customHeight="1" x14ac:dyDescent="0.25">
      <c r="A168" s="142"/>
      <c r="B168" s="143"/>
      <c r="C168" s="145"/>
      <c r="D168" s="157"/>
      <c r="E168" s="144"/>
      <c r="F168" s="144"/>
      <c r="G168" s="77"/>
      <c r="H168" s="77"/>
      <c r="I168" s="76"/>
      <c r="J168" s="44"/>
      <c r="K168" s="44"/>
      <c r="L168" s="44"/>
      <c r="M168" s="111"/>
      <c r="N168" s="112"/>
      <c r="O168" s="43"/>
      <c r="P168" s="113"/>
      <c r="Q168" s="43"/>
      <c r="R168" s="43"/>
      <c r="S168" s="97" t="s">
        <v>117</v>
      </c>
      <c r="T168" s="103" t="s">
        <v>120</v>
      </c>
      <c r="U168" s="7">
        <v>0.1</v>
      </c>
      <c r="V168" s="102">
        <v>1</v>
      </c>
      <c r="W168" s="11">
        <f t="shared" ref="W168:W172" si="27">U168/V168</f>
        <v>0.1</v>
      </c>
      <c r="X168" s="146"/>
      <c r="Y168" s="147"/>
      <c r="Z168" s="299"/>
      <c r="AA168" s="150"/>
      <c r="AB168" s="148"/>
      <c r="AC168" s="138"/>
    </row>
    <row r="169" spans="1:29" ht="14.4" customHeight="1" x14ac:dyDescent="0.25">
      <c r="A169" s="142"/>
      <c r="B169" s="143"/>
      <c r="C169" s="145"/>
      <c r="D169" s="157"/>
      <c r="E169" s="144"/>
      <c r="F169" s="144"/>
      <c r="G169" s="77"/>
      <c r="H169" s="77"/>
      <c r="I169" s="76"/>
      <c r="J169" s="44"/>
      <c r="K169" s="44"/>
      <c r="L169" s="44"/>
      <c r="M169" s="111"/>
      <c r="N169" s="112"/>
      <c r="O169" s="43"/>
      <c r="P169" s="113"/>
      <c r="Q169" s="43"/>
      <c r="R169" s="43"/>
      <c r="S169" s="97" t="s">
        <v>193</v>
      </c>
      <c r="T169" s="103" t="s">
        <v>119</v>
      </c>
      <c r="U169" s="7">
        <v>7.0000000000000007E-2</v>
      </c>
      <c r="V169" s="102">
        <v>1</v>
      </c>
      <c r="W169" s="11">
        <f t="shared" si="27"/>
        <v>7.0000000000000007E-2</v>
      </c>
      <c r="X169" s="146"/>
      <c r="Y169" s="147"/>
      <c r="Z169" s="299"/>
      <c r="AA169" s="150"/>
      <c r="AB169" s="148"/>
      <c r="AC169" s="138"/>
    </row>
    <row r="170" spans="1:29" ht="14.4" customHeight="1" x14ac:dyDescent="0.25">
      <c r="A170" s="142"/>
      <c r="B170" s="143"/>
      <c r="C170" s="145"/>
      <c r="D170" s="157"/>
      <c r="E170" s="144"/>
      <c r="F170" s="144"/>
      <c r="G170" s="72" t="s">
        <v>151</v>
      </c>
      <c r="H170" s="121" t="s">
        <v>99</v>
      </c>
      <c r="I170" s="75">
        <v>2</v>
      </c>
      <c r="J170" s="122">
        <v>78</v>
      </c>
      <c r="K170" s="122">
        <f>20+10</f>
        <v>30</v>
      </c>
      <c r="L170" s="122">
        <v>3</v>
      </c>
      <c r="M170" s="111">
        <v>6.85</v>
      </c>
      <c r="N170" s="112">
        <v>3.4</v>
      </c>
      <c r="O170" s="43">
        <f>J170*K170*L170*7.85/1000000</f>
        <v>5.5107000000000003E-2</v>
      </c>
      <c r="P170" s="113">
        <f>(J170-10)*(K170-10)*L170*7.85/1000000</f>
        <v>3.2028000000000001E-2</v>
      </c>
      <c r="Q170" s="43">
        <f>O170-P170</f>
        <v>2.3079000000000002E-2</v>
      </c>
      <c r="R170" s="43">
        <f>(M170*O170-N170*Q170)*I170</f>
        <v>0.59802869999999997</v>
      </c>
      <c r="S170" s="97" t="s">
        <v>152</v>
      </c>
      <c r="T170" s="103" t="s">
        <v>119</v>
      </c>
      <c r="U170" s="7">
        <v>7.0000000000000007E-2</v>
      </c>
      <c r="V170" s="102">
        <v>1</v>
      </c>
      <c r="W170" s="11">
        <f t="shared" si="27"/>
        <v>7.0000000000000007E-2</v>
      </c>
      <c r="X170" s="146"/>
      <c r="Y170" s="147"/>
      <c r="Z170" s="299"/>
      <c r="AA170" s="150"/>
      <c r="AB170" s="148"/>
      <c r="AC170" s="138"/>
    </row>
    <row r="171" spans="1:29" ht="14.4" customHeight="1" x14ac:dyDescent="0.25">
      <c r="A171" s="142"/>
      <c r="B171" s="143"/>
      <c r="C171" s="145"/>
      <c r="D171" s="157"/>
      <c r="E171" s="144"/>
      <c r="F171" s="144"/>
      <c r="G171" s="77" t="s">
        <v>212</v>
      </c>
      <c r="H171" s="77"/>
      <c r="I171" s="76">
        <v>1</v>
      </c>
      <c r="J171" s="44"/>
      <c r="K171" s="44"/>
      <c r="L171" s="44"/>
      <c r="M171" s="111"/>
      <c r="N171" s="112"/>
      <c r="O171" s="43"/>
      <c r="P171" s="113">
        <f>8*8*0.00617*0.03</f>
        <v>1.18464E-2</v>
      </c>
      <c r="Q171" s="43"/>
      <c r="R171" s="43">
        <v>0.6</v>
      </c>
      <c r="S171" s="97" t="s">
        <v>117</v>
      </c>
      <c r="T171" s="103" t="s">
        <v>177</v>
      </c>
      <c r="U171" s="7">
        <v>0.04</v>
      </c>
      <c r="V171" s="102">
        <v>1</v>
      </c>
      <c r="W171" s="11">
        <f t="shared" si="27"/>
        <v>0.04</v>
      </c>
      <c r="X171" s="146"/>
      <c r="Y171" s="147"/>
      <c r="Z171" s="299"/>
      <c r="AA171" s="150"/>
      <c r="AB171" s="148"/>
      <c r="AC171" s="138"/>
    </row>
    <row r="172" spans="1:29" ht="14.4" customHeight="1" x14ac:dyDescent="0.25">
      <c r="A172" s="142"/>
      <c r="B172" s="143"/>
      <c r="C172" s="145"/>
      <c r="D172" s="157"/>
      <c r="E172" s="144"/>
      <c r="F172" s="144"/>
      <c r="G172" s="125" t="s">
        <v>213</v>
      </c>
      <c r="H172" s="125"/>
      <c r="I172" s="126">
        <v>1</v>
      </c>
      <c r="J172" s="127"/>
      <c r="K172" s="127"/>
      <c r="L172" s="127"/>
      <c r="M172" s="128"/>
      <c r="N172" s="129"/>
      <c r="O172" s="113"/>
      <c r="P172" s="113">
        <v>0.01</v>
      </c>
      <c r="Q172" s="113"/>
      <c r="R172" s="113">
        <v>5.5E-2</v>
      </c>
      <c r="S172" s="97" t="s">
        <v>173</v>
      </c>
      <c r="T172" s="51">
        <v>10</v>
      </c>
      <c r="U172" s="7">
        <f>0.05*T172</f>
        <v>0.5</v>
      </c>
      <c r="V172" s="102">
        <v>1</v>
      </c>
      <c r="W172" s="11">
        <f t="shared" si="27"/>
        <v>0.5</v>
      </c>
      <c r="X172" s="146"/>
      <c r="Y172" s="147"/>
      <c r="Z172" s="299"/>
      <c r="AA172" s="150"/>
      <c r="AB172" s="148"/>
      <c r="AC172" s="138"/>
    </row>
    <row r="173" spans="1:29" ht="14.4" customHeight="1" x14ac:dyDescent="0.25">
      <c r="A173" s="142"/>
      <c r="B173" s="143"/>
      <c r="C173" s="145"/>
      <c r="D173" s="158"/>
      <c r="E173" s="145"/>
      <c r="F173" s="145"/>
      <c r="G173" s="120"/>
      <c r="H173" s="77"/>
      <c r="I173" s="76"/>
      <c r="J173" s="44"/>
      <c r="K173" s="44"/>
      <c r="L173" s="44"/>
      <c r="M173" s="111"/>
      <c r="N173" s="112"/>
      <c r="O173" s="43"/>
      <c r="P173" s="113"/>
      <c r="Q173" s="43"/>
      <c r="R173" s="43"/>
      <c r="S173" s="91"/>
      <c r="T173" s="102"/>
      <c r="U173" s="7"/>
      <c r="V173" s="102"/>
      <c r="W173" s="7"/>
      <c r="X173" s="146"/>
      <c r="Y173" s="147"/>
      <c r="Z173" s="299"/>
      <c r="AA173" s="150"/>
      <c r="AB173" s="148"/>
      <c r="AC173" s="138"/>
    </row>
    <row r="174" spans="1:29" ht="14.4" customHeight="1" x14ac:dyDescent="0.25">
      <c r="A174" s="142"/>
      <c r="B174" s="143"/>
      <c r="C174" s="145"/>
      <c r="D174" s="158"/>
      <c r="E174" s="145"/>
      <c r="F174" s="145"/>
      <c r="G174" s="101"/>
      <c r="H174" s="77"/>
      <c r="I174" s="76"/>
      <c r="J174" s="44"/>
      <c r="K174" s="44"/>
      <c r="L174" s="44"/>
      <c r="M174" s="111"/>
      <c r="N174" s="112"/>
      <c r="O174" s="43"/>
      <c r="P174" s="113"/>
      <c r="Q174" s="43"/>
      <c r="R174" s="43"/>
      <c r="S174" s="91"/>
      <c r="T174" s="102"/>
      <c r="U174" s="7"/>
      <c r="V174" s="102"/>
      <c r="W174" s="7"/>
      <c r="X174" s="146"/>
      <c r="Y174" s="147"/>
      <c r="Z174" s="299"/>
      <c r="AA174" s="150"/>
      <c r="AB174" s="148"/>
      <c r="AC174" s="138"/>
    </row>
    <row r="175" spans="1:29" x14ac:dyDescent="0.25">
      <c r="A175" s="142"/>
      <c r="B175" s="143"/>
      <c r="C175" s="145"/>
      <c r="D175" s="158"/>
      <c r="E175" s="145"/>
      <c r="F175" s="145"/>
      <c r="G175" s="139" t="s">
        <v>50</v>
      </c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21">
        <f>SUM(R167:R174)</f>
        <v>4.5974838649999992</v>
      </c>
      <c r="S175" s="141" t="s">
        <v>51</v>
      </c>
      <c r="T175" s="141"/>
      <c r="U175" s="141"/>
      <c r="V175" s="141"/>
      <c r="W175" s="18">
        <f>SUM(W167:W174)</f>
        <v>0.92999999999999994</v>
      </c>
      <c r="X175" s="146"/>
      <c r="Y175" s="147"/>
      <c r="Z175" s="299"/>
      <c r="AA175" s="150"/>
      <c r="AB175" s="148"/>
      <c r="AC175" s="138"/>
    </row>
    <row r="176" spans="1:29" ht="14.4" customHeight="1" x14ac:dyDescent="0.25">
      <c r="A176" s="142"/>
      <c r="B176" s="143" t="s">
        <v>60</v>
      </c>
      <c r="C176" s="145">
        <v>44448</v>
      </c>
      <c r="D176" s="157" t="s">
        <v>209</v>
      </c>
      <c r="E176" s="144" t="s">
        <v>214</v>
      </c>
      <c r="F176" s="144" t="s">
        <v>215</v>
      </c>
      <c r="G176" s="77" t="s">
        <v>210</v>
      </c>
      <c r="H176" s="77" t="s">
        <v>99</v>
      </c>
      <c r="I176" s="76">
        <v>1</v>
      </c>
      <c r="J176" s="44">
        <f>240+10</f>
        <v>250</v>
      </c>
      <c r="K176" s="44">
        <f>85+10</f>
        <v>95</v>
      </c>
      <c r="L176" s="44">
        <v>3</v>
      </c>
      <c r="M176" s="111">
        <v>6.85</v>
      </c>
      <c r="N176" s="112">
        <v>3.4</v>
      </c>
      <c r="O176" s="43">
        <f>J176*K176*L176*7.85/1000000</f>
        <v>0.55931249999999999</v>
      </c>
      <c r="P176" s="113">
        <f>0.47-P179-P180-P181</f>
        <v>0.42797199999999996</v>
      </c>
      <c r="Q176" s="43">
        <f>O176-P176</f>
        <v>0.13134050000000003</v>
      </c>
      <c r="R176" s="43">
        <f>(M176*O176-N176*Q176)*I176</f>
        <v>3.3847329249999998</v>
      </c>
      <c r="S176" s="97" t="s">
        <v>152</v>
      </c>
      <c r="T176" s="103" t="s">
        <v>144</v>
      </c>
      <c r="U176" s="7">
        <v>0.15</v>
      </c>
      <c r="V176" s="102">
        <v>1</v>
      </c>
      <c r="W176" s="11">
        <f>U176/V176</f>
        <v>0.15</v>
      </c>
      <c r="X176" s="146">
        <v>1.2</v>
      </c>
      <c r="Y176" s="147">
        <f>(R184+W184)*X176</f>
        <v>5.84131395</v>
      </c>
      <c r="Z176" s="299">
        <f>Y176/1.13</f>
        <v>5.1693043805309742</v>
      </c>
      <c r="AA176" s="150"/>
      <c r="AB176" s="148">
        <v>100000</v>
      </c>
      <c r="AC176" s="138">
        <f>Z176+AA167/AB176/2</f>
        <v>5.2948043805309739</v>
      </c>
    </row>
    <row r="177" spans="1:29" ht="14.4" customHeight="1" x14ac:dyDescent="0.25">
      <c r="A177" s="142"/>
      <c r="B177" s="143"/>
      <c r="C177" s="145"/>
      <c r="D177" s="157"/>
      <c r="E177" s="144"/>
      <c r="F177" s="144"/>
      <c r="G177" s="77"/>
      <c r="H177" s="77"/>
      <c r="I177" s="76"/>
      <c r="J177" s="44"/>
      <c r="K177" s="44"/>
      <c r="L177" s="44"/>
      <c r="M177" s="111"/>
      <c r="N177" s="112"/>
      <c r="O177" s="43"/>
      <c r="P177" s="113"/>
      <c r="Q177" s="43"/>
      <c r="R177" s="43"/>
      <c r="S177" s="97" t="s">
        <v>117</v>
      </c>
      <c r="T177" s="103" t="s">
        <v>120</v>
      </c>
      <c r="U177" s="7">
        <v>0.1</v>
      </c>
      <c r="V177" s="102">
        <v>1</v>
      </c>
      <c r="W177" s="11">
        <f t="shared" ref="W177:W181" si="28">U177/V177</f>
        <v>0.1</v>
      </c>
      <c r="X177" s="146"/>
      <c r="Y177" s="147"/>
      <c r="Z177" s="299"/>
      <c r="AA177" s="150"/>
      <c r="AB177" s="148"/>
      <c r="AC177" s="138"/>
    </row>
    <row r="178" spans="1:29" ht="14.4" customHeight="1" x14ac:dyDescent="0.25">
      <c r="A178" s="142"/>
      <c r="B178" s="143"/>
      <c r="C178" s="145"/>
      <c r="D178" s="157"/>
      <c r="E178" s="144"/>
      <c r="F178" s="144"/>
      <c r="G178" s="77"/>
      <c r="H178" s="77"/>
      <c r="I178" s="76"/>
      <c r="J178" s="44"/>
      <c r="K178" s="44"/>
      <c r="L178" s="44"/>
      <c r="M178" s="111"/>
      <c r="N178" s="112"/>
      <c r="O178" s="43"/>
      <c r="P178" s="113"/>
      <c r="Q178" s="43"/>
      <c r="R178" s="43"/>
      <c r="S178" s="97" t="s">
        <v>193</v>
      </c>
      <c r="T178" s="103" t="s">
        <v>119</v>
      </c>
      <c r="U178" s="7">
        <v>7.0000000000000007E-2</v>
      </c>
      <c r="V178" s="102">
        <v>1</v>
      </c>
      <c r="W178" s="11">
        <f t="shared" si="28"/>
        <v>7.0000000000000007E-2</v>
      </c>
      <c r="X178" s="146"/>
      <c r="Y178" s="147"/>
      <c r="Z178" s="299"/>
      <c r="AA178" s="150"/>
      <c r="AB178" s="148"/>
      <c r="AC178" s="138"/>
    </row>
    <row r="179" spans="1:29" ht="14.4" customHeight="1" x14ac:dyDescent="0.25">
      <c r="A179" s="142"/>
      <c r="B179" s="143"/>
      <c r="C179" s="145"/>
      <c r="D179" s="157"/>
      <c r="E179" s="144"/>
      <c r="F179" s="144"/>
      <c r="G179" s="72" t="s">
        <v>151</v>
      </c>
      <c r="H179" s="121" t="s">
        <v>99</v>
      </c>
      <c r="I179" s="75">
        <v>2</v>
      </c>
      <c r="J179" s="122">
        <v>78</v>
      </c>
      <c r="K179" s="122">
        <f>20+10</f>
        <v>30</v>
      </c>
      <c r="L179" s="122">
        <v>3</v>
      </c>
      <c r="M179" s="111">
        <v>6.85</v>
      </c>
      <c r="N179" s="112">
        <v>3.4</v>
      </c>
      <c r="O179" s="43">
        <f>J179*K179*L179*7.85/1000000</f>
        <v>5.5107000000000003E-2</v>
      </c>
      <c r="P179" s="113">
        <f>(J179-10)*(K179-10)*L179*7.85/1000000</f>
        <v>3.2028000000000001E-2</v>
      </c>
      <c r="Q179" s="43">
        <f>O179-P179</f>
        <v>2.3079000000000002E-2</v>
      </c>
      <c r="R179" s="43">
        <f>(M179*O179-N179*Q179)*I179</f>
        <v>0.59802869999999997</v>
      </c>
      <c r="S179" s="97" t="s">
        <v>152</v>
      </c>
      <c r="T179" s="103" t="s">
        <v>119</v>
      </c>
      <c r="U179" s="7">
        <v>7.0000000000000007E-2</v>
      </c>
      <c r="V179" s="102">
        <v>1</v>
      </c>
      <c r="W179" s="11">
        <f t="shared" si="28"/>
        <v>7.0000000000000007E-2</v>
      </c>
      <c r="X179" s="146"/>
      <c r="Y179" s="147"/>
      <c r="Z179" s="299"/>
      <c r="AA179" s="150"/>
      <c r="AB179" s="148"/>
      <c r="AC179" s="138"/>
    </row>
    <row r="180" spans="1:29" ht="14.4" customHeight="1" x14ac:dyDescent="0.25">
      <c r="A180" s="142"/>
      <c r="B180" s="143"/>
      <c r="C180" s="145"/>
      <c r="D180" s="157"/>
      <c r="E180" s="144"/>
      <c r="F180" s="144"/>
      <c r="G180" s="125" t="s">
        <v>213</v>
      </c>
      <c r="H180" s="125"/>
      <c r="I180" s="126">
        <v>1</v>
      </c>
      <c r="J180" s="127"/>
      <c r="K180" s="127"/>
      <c r="L180" s="127"/>
      <c r="M180" s="128"/>
      <c r="N180" s="129"/>
      <c r="O180" s="113"/>
      <c r="P180" s="113">
        <v>0.01</v>
      </c>
      <c r="Q180" s="113"/>
      <c r="R180" s="113">
        <v>5.5E-2</v>
      </c>
      <c r="S180" s="97" t="s">
        <v>117</v>
      </c>
      <c r="T180" s="103" t="s">
        <v>177</v>
      </c>
      <c r="U180" s="7">
        <v>0.04</v>
      </c>
      <c r="V180" s="102">
        <v>1</v>
      </c>
      <c r="W180" s="11">
        <f t="shared" si="28"/>
        <v>0.04</v>
      </c>
      <c r="X180" s="146"/>
      <c r="Y180" s="147"/>
      <c r="Z180" s="299"/>
      <c r="AA180" s="150"/>
      <c r="AB180" s="148"/>
      <c r="AC180" s="138"/>
    </row>
    <row r="181" spans="1:29" ht="14.4" customHeight="1" x14ac:dyDescent="0.25">
      <c r="A181" s="142"/>
      <c r="B181" s="143"/>
      <c r="C181" s="145"/>
      <c r="D181" s="157"/>
      <c r="E181" s="144"/>
      <c r="F181" s="144"/>
      <c r="G181" s="77"/>
      <c r="H181" s="77"/>
      <c r="I181" s="76"/>
      <c r="J181" s="44"/>
      <c r="K181" s="44"/>
      <c r="L181" s="44"/>
      <c r="M181" s="111"/>
      <c r="N181" s="112"/>
      <c r="O181" s="43"/>
      <c r="P181" s="113"/>
      <c r="Q181" s="43"/>
      <c r="R181" s="43"/>
      <c r="S181" s="97" t="s">
        <v>173</v>
      </c>
      <c r="T181" s="51">
        <v>8</v>
      </c>
      <c r="U181" s="7">
        <f>0.05*T181</f>
        <v>0.4</v>
      </c>
      <c r="V181" s="102">
        <v>1</v>
      </c>
      <c r="W181" s="11">
        <f t="shared" si="28"/>
        <v>0.4</v>
      </c>
      <c r="X181" s="146"/>
      <c r="Y181" s="147"/>
      <c r="Z181" s="299"/>
      <c r="AA181" s="150"/>
      <c r="AB181" s="148"/>
      <c r="AC181" s="138"/>
    </row>
    <row r="182" spans="1:29" ht="14.4" customHeight="1" x14ac:dyDescent="0.25">
      <c r="A182" s="142"/>
      <c r="B182" s="143"/>
      <c r="C182" s="145"/>
      <c r="D182" s="158"/>
      <c r="E182" s="145"/>
      <c r="F182" s="145"/>
      <c r="G182" s="120"/>
      <c r="H182" s="77"/>
      <c r="I182" s="76"/>
      <c r="J182" s="44"/>
      <c r="K182" s="44"/>
      <c r="L182" s="44"/>
      <c r="M182" s="111"/>
      <c r="N182" s="112"/>
      <c r="O182" s="43"/>
      <c r="P182" s="113"/>
      <c r="Q182" s="43"/>
      <c r="R182" s="43"/>
      <c r="S182" s="91"/>
      <c r="T182" s="102"/>
      <c r="U182" s="7"/>
      <c r="V182" s="102"/>
      <c r="W182" s="7"/>
      <c r="X182" s="146"/>
      <c r="Y182" s="147"/>
      <c r="Z182" s="299"/>
      <c r="AA182" s="150"/>
      <c r="AB182" s="148"/>
      <c r="AC182" s="138"/>
    </row>
    <row r="183" spans="1:29" ht="14.4" customHeight="1" x14ac:dyDescent="0.25">
      <c r="A183" s="142"/>
      <c r="B183" s="143"/>
      <c r="C183" s="145"/>
      <c r="D183" s="158"/>
      <c r="E183" s="145"/>
      <c r="F183" s="145"/>
      <c r="G183" s="101"/>
      <c r="H183" s="77"/>
      <c r="I183" s="76"/>
      <c r="J183" s="44"/>
      <c r="K183" s="44"/>
      <c r="L183" s="44"/>
      <c r="M183" s="111"/>
      <c r="N183" s="112"/>
      <c r="O183" s="43"/>
      <c r="P183" s="113"/>
      <c r="Q183" s="43"/>
      <c r="R183" s="43"/>
      <c r="S183" s="91"/>
      <c r="T183" s="102"/>
      <c r="U183" s="7"/>
      <c r="V183" s="102"/>
      <c r="W183" s="7"/>
      <c r="X183" s="146"/>
      <c r="Y183" s="147"/>
      <c r="Z183" s="299"/>
      <c r="AA183" s="150"/>
      <c r="AB183" s="148"/>
      <c r="AC183" s="138"/>
    </row>
    <row r="184" spans="1:29" x14ac:dyDescent="0.25">
      <c r="A184" s="142"/>
      <c r="B184" s="143"/>
      <c r="C184" s="145"/>
      <c r="D184" s="158"/>
      <c r="E184" s="145"/>
      <c r="F184" s="145"/>
      <c r="G184" s="139" t="s">
        <v>50</v>
      </c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21">
        <f>SUM(R176:R183)</f>
        <v>4.0377616249999999</v>
      </c>
      <c r="S184" s="141" t="s">
        <v>51</v>
      </c>
      <c r="T184" s="141"/>
      <c r="U184" s="141"/>
      <c r="V184" s="141"/>
      <c r="W184" s="18">
        <f>SUM(W176:W183)</f>
        <v>0.83000000000000007</v>
      </c>
      <c r="X184" s="146"/>
      <c r="Y184" s="147"/>
      <c r="Z184" s="299"/>
      <c r="AA184" s="151"/>
      <c r="AB184" s="148"/>
      <c r="AC184" s="138"/>
    </row>
    <row r="185" spans="1:29" ht="14.4" customHeight="1" x14ac:dyDescent="0.25">
      <c r="A185" s="142"/>
      <c r="B185" s="143" t="s">
        <v>60</v>
      </c>
      <c r="C185" s="145">
        <v>44448</v>
      </c>
      <c r="D185" s="157" t="s">
        <v>216</v>
      </c>
      <c r="E185" s="144" t="s">
        <v>217</v>
      </c>
      <c r="F185" s="144" t="s">
        <v>219</v>
      </c>
      <c r="G185" s="77" t="s">
        <v>218</v>
      </c>
      <c r="H185" s="77" t="s">
        <v>99</v>
      </c>
      <c r="I185" s="76">
        <v>1</v>
      </c>
      <c r="J185" s="44">
        <f>173+10</f>
        <v>183</v>
      </c>
      <c r="K185" s="44">
        <v>103</v>
      </c>
      <c r="L185" s="44">
        <v>3</v>
      </c>
      <c r="M185" s="111">
        <v>6.85</v>
      </c>
      <c r="N185" s="112">
        <v>3.4</v>
      </c>
      <c r="O185" s="43">
        <f>J185*K185*L185*7.85/1000000</f>
        <v>0.44389394999999993</v>
      </c>
      <c r="P185" s="113">
        <v>0.25800000000000001</v>
      </c>
      <c r="Q185" s="43">
        <f>O185-P185</f>
        <v>0.18589394999999992</v>
      </c>
      <c r="R185" s="104">
        <f>(M185*O185-N185*Q185)*I185</f>
        <v>2.4086341274999996</v>
      </c>
      <c r="S185" s="97" t="s">
        <v>152</v>
      </c>
      <c r="T185" s="103" t="s">
        <v>144</v>
      </c>
      <c r="U185" s="7">
        <v>0.15</v>
      </c>
      <c r="V185" s="102">
        <v>2</v>
      </c>
      <c r="W185" s="11">
        <f>U185/V185</f>
        <v>7.4999999999999997E-2</v>
      </c>
      <c r="X185" s="146">
        <v>1.2</v>
      </c>
      <c r="Y185" s="147">
        <f>(R190+W190)*X185</f>
        <v>3.3523609529999998</v>
      </c>
      <c r="Z185" s="299">
        <f>Y185/1.13</f>
        <v>2.9666911088495578</v>
      </c>
      <c r="AA185" s="149">
        <v>38000</v>
      </c>
      <c r="AB185" s="148">
        <v>100000</v>
      </c>
      <c r="AC185" s="138">
        <f>Z185+AA185/AB185/2</f>
        <v>3.1566911088495577</v>
      </c>
    </row>
    <row r="186" spans="1:29" ht="14.4" customHeight="1" x14ac:dyDescent="0.25">
      <c r="A186" s="142"/>
      <c r="B186" s="143"/>
      <c r="C186" s="145"/>
      <c r="D186" s="157"/>
      <c r="E186" s="144"/>
      <c r="F186" s="144"/>
      <c r="G186" s="77"/>
      <c r="H186" s="77"/>
      <c r="I186" s="76"/>
      <c r="J186" s="44"/>
      <c r="K186" s="44"/>
      <c r="L186" s="44"/>
      <c r="M186" s="111"/>
      <c r="N186" s="112"/>
      <c r="O186" s="43"/>
      <c r="P186" s="113"/>
      <c r="Q186" s="43"/>
      <c r="R186" s="43"/>
      <c r="S186" s="97" t="s">
        <v>117</v>
      </c>
      <c r="T186" s="103" t="s">
        <v>144</v>
      </c>
      <c r="U186" s="7">
        <v>0.1</v>
      </c>
      <c r="V186" s="102">
        <v>1</v>
      </c>
      <c r="W186" s="11">
        <f t="shared" ref="W186:W189" si="29">U186/V186</f>
        <v>0.1</v>
      </c>
      <c r="X186" s="146"/>
      <c r="Y186" s="147"/>
      <c r="Z186" s="299"/>
      <c r="AA186" s="150"/>
      <c r="AB186" s="148"/>
      <c r="AC186" s="138"/>
    </row>
    <row r="187" spans="1:29" ht="14.4" customHeight="1" x14ac:dyDescent="0.25">
      <c r="A187" s="142"/>
      <c r="B187" s="143"/>
      <c r="C187" s="145"/>
      <c r="D187" s="157"/>
      <c r="E187" s="144"/>
      <c r="F187" s="144"/>
      <c r="G187" s="77"/>
      <c r="H187" s="77"/>
      <c r="I187" s="76"/>
      <c r="J187" s="44"/>
      <c r="K187" s="44"/>
      <c r="L187" s="44"/>
      <c r="M187" s="111"/>
      <c r="N187" s="112"/>
      <c r="O187" s="43"/>
      <c r="P187" s="113"/>
      <c r="Q187" s="43"/>
      <c r="R187" s="43"/>
      <c r="S187" s="97" t="s">
        <v>117</v>
      </c>
      <c r="T187" s="103" t="s">
        <v>144</v>
      </c>
      <c r="U187" s="7">
        <v>7.0000000000000007E-2</v>
      </c>
      <c r="V187" s="102">
        <v>1</v>
      </c>
      <c r="W187" s="11">
        <f t="shared" si="29"/>
        <v>7.0000000000000007E-2</v>
      </c>
      <c r="X187" s="146"/>
      <c r="Y187" s="147"/>
      <c r="Z187" s="299"/>
      <c r="AA187" s="150"/>
      <c r="AB187" s="148"/>
      <c r="AC187" s="138"/>
    </row>
    <row r="188" spans="1:29" ht="14.4" customHeight="1" x14ac:dyDescent="0.25">
      <c r="A188" s="142"/>
      <c r="B188" s="143"/>
      <c r="C188" s="145"/>
      <c r="D188" s="157"/>
      <c r="E188" s="144"/>
      <c r="F188" s="144"/>
      <c r="G188" s="72"/>
      <c r="H188" s="121"/>
      <c r="I188" s="75"/>
      <c r="J188" s="122"/>
      <c r="K188" s="122"/>
      <c r="L188" s="122"/>
      <c r="M188" s="111"/>
      <c r="N188" s="112"/>
      <c r="O188" s="43"/>
      <c r="P188" s="43"/>
      <c r="Q188" s="43"/>
      <c r="R188" s="43"/>
      <c r="S188" s="97" t="s">
        <v>193</v>
      </c>
      <c r="T188" s="103" t="s">
        <v>119</v>
      </c>
      <c r="U188" s="7">
        <v>7.0000000000000007E-2</v>
      </c>
      <c r="V188" s="102">
        <v>1</v>
      </c>
      <c r="W188" s="11">
        <f t="shared" si="29"/>
        <v>7.0000000000000007E-2</v>
      </c>
      <c r="X188" s="146"/>
      <c r="Y188" s="147"/>
      <c r="Z188" s="299"/>
      <c r="AA188" s="150"/>
      <c r="AB188" s="148"/>
      <c r="AC188" s="138"/>
    </row>
    <row r="189" spans="1:29" ht="14.4" customHeight="1" x14ac:dyDescent="0.25">
      <c r="A189" s="142"/>
      <c r="B189" s="143"/>
      <c r="C189" s="145"/>
      <c r="D189" s="157"/>
      <c r="E189" s="144"/>
      <c r="F189" s="144"/>
      <c r="G189" s="77"/>
      <c r="H189" s="77"/>
      <c r="I189" s="76"/>
      <c r="J189" s="44"/>
      <c r="K189" s="44"/>
      <c r="L189" s="44"/>
      <c r="M189" s="111"/>
      <c r="N189" s="112"/>
      <c r="O189" s="43"/>
      <c r="P189" s="113"/>
      <c r="Q189" s="43"/>
      <c r="R189" s="43"/>
      <c r="S189" s="97" t="s">
        <v>193</v>
      </c>
      <c r="T189" s="103" t="s">
        <v>119</v>
      </c>
      <c r="U189" s="7">
        <v>7.0000000000000007E-2</v>
      </c>
      <c r="V189" s="102">
        <v>1</v>
      </c>
      <c r="W189" s="11">
        <f t="shared" si="29"/>
        <v>7.0000000000000007E-2</v>
      </c>
      <c r="X189" s="146"/>
      <c r="Y189" s="147"/>
      <c r="Z189" s="299"/>
      <c r="AA189" s="150"/>
      <c r="AB189" s="148"/>
      <c r="AC189" s="138"/>
    </row>
    <row r="190" spans="1:29" x14ac:dyDescent="0.25">
      <c r="A190" s="142"/>
      <c r="B190" s="143"/>
      <c r="C190" s="145"/>
      <c r="D190" s="158"/>
      <c r="E190" s="145"/>
      <c r="F190" s="145"/>
      <c r="G190" s="139" t="s">
        <v>50</v>
      </c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21">
        <f>SUM(R185:R189)</f>
        <v>2.4086341274999996</v>
      </c>
      <c r="S190" s="141" t="s">
        <v>51</v>
      </c>
      <c r="T190" s="141"/>
      <c r="U190" s="141"/>
      <c r="V190" s="141"/>
      <c r="W190" s="18">
        <f>SUM(W185:W189)</f>
        <v>0.38500000000000001</v>
      </c>
      <c r="X190" s="146"/>
      <c r="Y190" s="147"/>
      <c r="Z190" s="299"/>
      <c r="AA190" s="150"/>
      <c r="AB190" s="148"/>
      <c r="AC190" s="138"/>
    </row>
    <row r="191" spans="1:29" ht="14.4" customHeight="1" x14ac:dyDescent="0.25">
      <c r="A191" s="142"/>
      <c r="B191" s="143" t="s">
        <v>60</v>
      </c>
      <c r="C191" s="145">
        <v>44448</v>
      </c>
      <c r="D191" s="144"/>
      <c r="E191" s="144" t="s">
        <v>221</v>
      </c>
      <c r="F191" s="144" t="s">
        <v>220</v>
      </c>
      <c r="G191" s="77" t="s">
        <v>218</v>
      </c>
      <c r="H191" s="77" t="s">
        <v>99</v>
      </c>
      <c r="I191" s="76">
        <v>1</v>
      </c>
      <c r="J191" s="44">
        <f>173+10</f>
        <v>183</v>
      </c>
      <c r="K191" s="44">
        <v>103</v>
      </c>
      <c r="L191" s="44">
        <v>3</v>
      </c>
      <c r="M191" s="111">
        <v>6.85</v>
      </c>
      <c r="N191" s="112">
        <v>3.4</v>
      </c>
      <c r="O191" s="43">
        <f>J191*K191*L191*7.85/1000000</f>
        <v>0.44389394999999993</v>
      </c>
      <c r="P191" s="113">
        <v>0.25800000000000001</v>
      </c>
      <c r="Q191" s="43">
        <f>O191-P191</f>
        <v>0.18589394999999992</v>
      </c>
      <c r="R191" s="104">
        <f>(M191*O191-N191*Q191)*I191</f>
        <v>2.4086341274999996</v>
      </c>
      <c r="S191" s="97" t="s">
        <v>152</v>
      </c>
      <c r="T191" s="103" t="s">
        <v>144</v>
      </c>
      <c r="U191" s="7">
        <v>0.15</v>
      </c>
      <c r="V191" s="102">
        <v>2</v>
      </c>
      <c r="W191" s="11">
        <f>U191/V191</f>
        <v>7.4999999999999997E-2</v>
      </c>
      <c r="X191" s="146">
        <v>1.2</v>
      </c>
      <c r="Y191" s="147">
        <f>(R196+W196)*X191</f>
        <v>3.3523609529999998</v>
      </c>
      <c r="Z191" s="299">
        <f>Y191/1.13</f>
        <v>2.9666911088495578</v>
      </c>
      <c r="AA191" s="150"/>
      <c r="AB191" s="148">
        <v>100000</v>
      </c>
      <c r="AC191" s="138">
        <f>Z191+AA185/AB191/2</f>
        <v>3.1566911088495577</v>
      </c>
    </row>
    <row r="192" spans="1:29" ht="14.4" customHeight="1" x14ac:dyDescent="0.25">
      <c r="A192" s="142"/>
      <c r="B192" s="143"/>
      <c r="C192" s="145"/>
      <c r="D192" s="144"/>
      <c r="E192" s="144"/>
      <c r="F192" s="144"/>
      <c r="G192" s="77"/>
      <c r="H192" s="77"/>
      <c r="I192" s="76"/>
      <c r="J192" s="44"/>
      <c r="K192" s="44"/>
      <c r="L192" s="44"/>
      <c r="M192" s="111"/>
      <c r="N192" s="112"/>
      <c r="O192" s="43"/>
      <c r="P192" s="113"/>
      <c r="Q192" s="43"/>
      <c r="R192" s="43"/>
      <c r="S192" s="97" t="s">
        <v>117</v>
      </c>
      <c r="T192" s="103" t="s">
        <v>144</v>
      </c>
      <c r="U192" s="7">
        <v>0.1</v>
      </c>
      <c r="V192" s="102">
        <v>1</v>
      </c>
      <c r="W192" s="11">
        <f t="shared" ref="W192:W195" si="30">U192/V192</f>
        <v>0.1</v>
      </c>
      <c r="X192" s="146"/>
      <c r="Y192" s="147"/>
      <c r="Z192" s="299"/>
      <c r="AA192" s="150"/>
      <c r="AB192" s="148"/>
      <c r="AC192" s="138"/>
    </row>
    <row r="193" spans="1:29" ht="14.4" customHeight="1" x14ac:dyDescent="0.25">
      <c r="A193" s="142"/>
      <c r="B193" s="143"/>
      <c r="C193" s="145"/>
      <c r="D193" s="144"/>
      <c r="E193" s="144"/>
      <c r="F193" s="144"/>
      <c r="G193" s="77"/>
      <c r="H193" s="77"/>
      <c r="I193" s="76"/>
      <c r="J193" s="44"/>
      <c r="K193" s="44"/>
      <c r="L193" s="44"/>
      <c r="M193" s="111"/>
      <c r="N193" s="112"/>
      <c r="O193" s="43"/>
      <c r="P193" s="113"/>
      <c r="Q193" s="43"/>
      <c r="R193" s="43"/>
      <c r="S193" s="97" t="s">
        <v>117</v>
      </c>
      <c r="T193" s="103" t="s">
        <v>144</v>
      </c>
      <c r="U193" s="7">
        <v>7.0000000000000007E-2</v>
      </c>
      <c r="V193" s="102">
        <v>1</v>
      </c>
      <c r="W193" s="11">
        <f t="shared" si="30"/>
        <v>7.0000000000000007E-2</v>
      </c>
      <c r="X193" s="146"/>
      <c r="Y193" s="147"/>
      <c r="Z193" s="299"/>
      <c r="AA193" s="150"/>
      <c r="AB193" s="148"/>
      <c r="AC193" s="138"/>
    </row>
    <row r="194" spans="1:29" ht="14.4" customHeight="1" x14ac:dyDescent="0.25">
      <c r="A194" s="142"/>
      <c r="B194" s="143"/>
      <c r="C194" s="145"/>
      <c r="D194" s="144"/>
      <c r="E194" s="144"/>
      <c r="F194" s="144"/>
      <c r="G194" s="72"/>
      <c r="H194" s="121"/>
      <c r="I194" s="75"/>
      <c r="J194" s="122"/>
      <c r="K194" s="122"/>
      <c r="L194" s="122"/>
      <c r="M194" s="111"/>
      <c r="N194" s="112"/>
      <c r="O194" s="43"/>
      <c r="P194" s="43"/>
      <c r="Q194" s="43"/>
      <c r="R194" s="43"/>
      <c r="S194" s="97" t="s">
        <v>193</v>
      </c>
      <c r="T194" s="103" t="s">
        <v>119</v>
      </c>
      <c r="U194" s="7">
        <v>7.0000000000000007E-2</v>
      </c>
      <c r="V194" s="102">
        <v>1</v>
      </c>
      <c r="W194" s="11">
        <f t="shared" si="30"/>
        <v>7.0000000000000007E-2</v>
      </c>
      <c r="X194" s="146"/>
      <c r="Y194" s="147"/>
      <c r="Z194" s="299"/>
      <c r="AA194" s="150"/>
      <c r="AB194" s="148"/>
      <c r="AC194" s="138"/>
    </row>
    <row r="195" spans="1:29" ht="14.4" customHeight="1" x14ac:dyDescent="0.25">
      <c r="A195" s="142"/>
      <c r="B195" s="143"/>
      <c r="C195" s="145"/>
      <c r="D195" s="144"/>
      <c r="E195" s="144"/>
      <c r="F195" s="144"/>
      <c r="G195" s="77"/>
      <c r="H195" s="77"/>
      <c r="I195" s="76"/>
      <c r="J195" s="44"/>
      <c r="K195" s="44"/>
      <c r="L195" s="44"/>
      <c r="M195" s="111"/>
      <c r="N195" s="112"/>
      <c r="O195" s="43"/>
      <c r="P195" s="113"/>
      <c r="Q195" s="43"/>
      <c r="R195" s="43"/>
      <c r="S195" s="97" t="s">
        <v>193</v>
      </c>
      <c r="T195" s="103" t="s">
        <v>119</v>
      </c>
      <c r="U195" s="7">
        <v>7.0000000000000007E-2</v>
      </c>
      <c r="V195" s="102">
        <v>1</v>
      </c>
      <c r="W195" s="11">
        <f t="shared" si="30"/>
        <v>7.0000000000000007E-2</v>
      </c>
      <c r="X195" s="146"/>
      <c r="Y195" s="147"/>
      <c r="Z195" s="299"/>
      <c r="AA195" s="150"/>
      <c r="AB195" s="148"/>
      <c r="AC195" s="138"/>
    </row>
    <row r="196" spans="1:29" x14ac:dyDescent="0.25">
      <c r="A196" s="142"/>
      <c r="B196" s="143"/>
      <c r="C196" s="145"/>
      <c r="D196" s="145"/>
      <c r="E196" s="145"/>
      <c r="F196" s="145"/>
      <c r="G196" s="139" t="s">
        <v>50</v>
      </c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21">
        <f>SUM(R191:R195)</f>
        <v>2.4086341274999996</v>
      </c>
      <c r="S196" s="141" t="s">
        <v>51</v>
      </c>
      <c r="T196" s="141"/>
      <c r="U196" s="141"/>
      <c r="V196" s="141"/>
      <c r="W196" s="18">
        <f>SUM(W191:W195)</f>
        <v>0.38500000000000001</v>
      </c>
      <c r="X196" s="146"/>
      <c r="Y196" s="147"/>
      <c r="Z196" s="299"/>
      <c r="AA196" s="151"/>
      <c r="AB196" s="148"/>
      <c r="AC196" s="138"/>
    </row>
  </sheetData>
  <autoFilter ref="A3:AE117" xr:uid="{00000000-0009-0000-0000-000001000000}"/>
  <mergeCells count="568">
    <mergeCell ref="Y82:Y89"/>
    <mergeCell ref="Z82:Z89"/>
    <mergeCell ref="AA82:AA89"/>
    <mergeCell ref="AB82:AB89"/>
    <mergeCell ref="AC82:AC89"/>
    <mergeCell ref="G89:Q89"/>
    <mergeCell ref="S89:V89"/>
    <mergeCell ref="AA138:AA146"/>
    <mergeCell ref="AA167:AA184"/>
    <mergeCell ref="N82:N87"/>
    <mergeCell ref="O82:O87"/>
    <mergeCell ref="P82:P87"/>
    <mergeCell ref="Q82:Q87"/>
    <mergeCell ref="R82:R87"/>
    <mergeCell ref="AB90:AB96"/>
    <mergeCell ref="AC90:AC96"/>
    <mergeCell ref="Q104:Q108"/>
    <mergeCell ref="R104:R108"/>
    <mergeCell ref="J97:J102"/>
    <mergeCell ref="K97:K102"/>
    <mergeCell ref="L97:L102"/>
    <mergeCell ref="M97:M102"/>
    <mergeCell ref="AB111:AB117"/>
    <mergeCell ref="AC111:AC117"/>
    <mergeCell ref="G44:G48"/>
    <mergeCell ref="H44:H48"/>
    <mergeCell ref="I44:I48"/>
    <mergeCell ref="X82:X89"/>
    <mergeCell ref="E82:E89"/>
    <mergeCell ref="F82:F89"/>
    <mergeCell ref="G82:G87"/>
    <mergeCell ref="H82:H87"/>
    <mergeCell ref="I82:I87"/>
    <mergeCell ref="J82:J87"/>
    <mergeCell ref="K82:K87"/>
    <mergeCell ref="L82:L87"/>
    <mergeCell ref="M82:M87"/>
    <mergeCell ref="G74:Q74"/>
    <mergeCell ref="X60:X67"/>
    <mergeCell ref="S67:V67"/>
    <mergeCell ref="S59:V59"/>
    <mergeCell ref="X52:X59"/>
    <mergeCell ref="X68:X74"/>
    <mergeCell ref="R44:R48"/>
    <mergeCell ref="G67:Q67"/>
    <mergeCell ref="G60:G63"/>
    <mergeCell ref="H60:H63"/>
    <mergeCell ref="I60:I63"/>
    <mergeCell ref="A97:A103"/>
    <mergeCell ref="A90:A96"/>
    <mergeCell ref="D97:D103"/>
    <mergeCell ref="Q90:Q95"/>
    <mergeCell ref="R90:R95"/>
    <mergeCell ref="J90:J95"/>
    <mergeCell ref="K90:K95"/>
    <mergeCell ref="B104:B110"/>
    <mergeCell ref="G36:G42"/>
    <mergeCell ref="H36:H42"/>
    <mergeCell ref="I36:I42"/>
    <mergeCell ref="J36:J42"/>
    <mergeCell ref="K36:K42"/>
    <mergeCell ref="L36:L42"/>
    <mergeCell ref="M36:M42"/>
    <mergeCell ref="N36:N42"/>
    <mergeCell ref="O36:O42"/>
    <mergeCell ref="P36:P42"/>
    <mergeCell ref="Q36:Q42"/>
    <mergeCell ref="R36:R42"/>
    <mergeCell ref="A82:A89"/>
    <mergeCell ref="B82:B89"/>
    <mergeCell ref="C82:C89"/>
    <mergeCell ref="D82:D89"/>
    <mergeCell ref="A104:A110"/>
    <mergeCell ref="D104:D110"/>
    <mergeCell ref="E104:E110"/>
    <mergeCell ref="F104:F110"/>
    <mergeCell ref="X104:X110"/>
    <mergeCell ref="Y104:Y110"/>
    <mergeCell ref="Z104:Z110"/>
    <mergeCell ref="Y90:Y96"/>
    <mergeCell ref="Z90:Z96"/>
    <mergeCell ref="E97:E103"/>
    <mergeCell ref="F97:F103"/>
    <mergeCell ref="B90:B96"/>
    <mergeCell ref="C90:C96"/>
    <mergeCell ref="O90:O95"/>
    <mergeCell ref="P90:P95"/>
    <mergeCell ref="X90:X96"/>
    <mergeCell ref="B97:B103"/>
    <mergeCell ref="D90:D96"/>
    <mergeCell ref="E90:E96"/>
    <mergeCell ref="F90:F96"/>
    <mergeCell ref="G90:G95"/>
    <mergeCell ref="H90:H95"/>
    <mergeCell ref="I90:I95"/>
    <mergeCell ref="C97:C103"/>
    <mergeCell ref="C104:C110"/>
    <mergeCell ref="AB104:AB110"/>
    <mergeCell ref="AC104:AC110"/>
    <mergeCell ref="G110:Q110"/>
    <mergeCell ref="S110:V110"/>
    <mergeCell ref="AC97:AC103"/>
    <mergeCell ref="G97:G102"/>
    <mergeCell ref="H97:H102"/>
    <mergeCell ref="I97:I102"/>
    <mergeCell ref="H104:H108"/>
    <mergeCell ref="I104:I108"/>
    <mergeCell ref="J104:J108"/>
    <mergeCell ref="K104:K108"/>
    <mergeCell ref="L104:L108"/>
    <mergeCell ref="M104:M108"/>
    <mergeCell ref="N104:N108"/>
    <mergeCell ref="O104:O108"/>
    <mergeCell ref="P104:P108"/>
    <mergeCell ref="AA75:AA81"/>
    <mergeCell ref="AB75:AB81"/>
    <mergeCell ref="AC75:AC81"/>
    <mergeCell ref="O75:O80"/>
    <mergeCell ref="P75:P80"/>
    <mergeCell ref="Q75:Q80"/>
    <mergeCell ref="R75:R80"/>
    <mergeCell ref="G81:Q81"/>
    <mergeCell ref="S81:V81"/>
    <mergeCell ref="Y75:Y81"/>
    <mergeCell ref="Z75:Z81"/>
    <mergeCell ref="L75:L80"/>
    <mergeCell ref="M75:M80"/>
    <mergeCell ref="N75:N80"/>
    <mergeCell ref="A75:A81"/>
    <mergeCell ref="B75:B81"/>
    <mergeCell ref="C75:C81"/>
    <mergeCell ref="D75:D81"/>
    <mergeCell ref="E75:E81"/>
    <mergeCell ref="F75:F81"/>
    <mergeCell ref="X75:X81"/>
    <mergeCell ref="K68:K73"/>
    <mergeCell ref="L68:L73"/>
    <mergeCell ref="O68:O73"/>
    <mergeCell ref="P68:P73"/>
    <mergeCell ref="Q68:Q73"/>
    <mergeCell ref="R68:R73"/>
    <mergeCell ref="H68:H73"/>
    <mergeCell ref="G68:G73"/>
    <mergeCell ref="I68:I73"/>
    <mergeCell ref="M68:M73"/>
    <mergeCell ref="N68:N73"/>
    <mergeCell ref="J68:J73"/>
    <mergeCell ref="G75:G80"/>
    <mergeCell ref="H75:H80"/>
    <mergeCell ref="I75:I80"/>
    <mergeCell ref="J75:J80"/>
    <mergeCell ref="K75:K80"/>
    <mergeCell ref="AB68:AB74"/>
    <mergeCell ref="AC68:AC74"/>
    <mergeCell ref="Z60:Z67"/>
    <mergeCell ref="AB60:AB67"/>
    <mergeCell ref="AC60:AC67"/>
    <mergeCell ref="Y52:Y59"/>
    <mergeCell ref="Z52:Z59"/>
    <mergeCell ref="AB52:AB59"/>
    <mergeCell ref="AC52:AC59"/>
    <mergeCell ref="AA52:AA67"/>
    <mergeCell ref="AA68:AA74"/>
    <mergeCell ref="Y60:Y67"/>
    <mergeCell ref="Y68:Y74"/>
    <mergeCell ref="Z68:Z74"/>
    <mergeCell ref="B68:B74"/>
    <mergeCell ref="C68:C74"/>
    <mergeCell ref="D52:D59"/>
    <mergeCell ref="Q52:Q55"/>
    <mergeCell ref="A68:A74"/>
    <mergeCell ref="D68:D74"/>
    <mergeCell ref="E68:E74"/>
    <mergeCell ref="F68:F74"/>
    <mergeCell ref="S74:V74"/>
    <mergeCell ref="E52:E59"/>
    <mergeCell ref="A60:A67"/>
    <mergeCell ref="B60:B67"/>
    <mergeCell ref="C60:C67"/>
    <mergeCell ref="D60:D67"/>
    <mergeCell ref="E60:E67"/>
    <mergeCell ref="F60:F67"/>
    <mergeCell ref="G59:Q59"/>
    <mergeCell ref="B52:B59"/>
    <mergeCell ref="C52:C59"/>
    <mergeCell ref="A52:A59"/>
    <mergeCell ref="F52:F59"/>
    <mergeCell ref="K52:K55"/>
    <mergeCell ref="L52:L55"/>
    <mergeCell ref="M52:M55"/>
    <mergeCell ref="Q60:Q63"/>
    <mergeCell ref="N52:N55"/>
    <mergeCell ref="O52:O55"/>
    <mergeCell ref="P52:P55"/>
    <mergeCell ref="Z36:Z43"/>
    <mergeCell ref="Z44:Z51"/>
    <mergeCell ref="R52:R55"/>
    <mergeCell ref="G43:Q43"/>
    <mergeCell ref="G52:G55"/>
    <mergeCell ref="H52:H55"/>
    <mergeCell ref="I52:I55"/>
    <mergeCell ref="J52:J55"/>
    <mergeCell ref="J60:J63"/>
    <mergeCell ref="K60:K63"/>
    <mergeCell ref="L60:L63"/>
    <mergeCell ref="M60:M63"/>
    <mergeCell ref="N60:N63"/>
    <mergeCell ref="O60:O63"/>
    <mergeCell ref="P60:P63"/>
    <mergeCell ref="R60:R63"/>
    <mergeCell ref="J44:J48"/>
    <mergeCell ref="K44:K48"/>
    <mergeCell ref="L44:L48"/>
    <mergeCell ref="M44:M48"/>
    <mergeCell ref="N44:N48"/>
    <mergeCell ref="O44:O48"/>
    <mergeCell ref="P44:P48"/>
    <mergeCell ref="Q44:Q48"/>
    <mergeCell ref="AB44:AB51"/>
    <mergeCell ref="AC44:AC51"/>
    <mergeCell ref="D20:D27"/>
    <mergeCell ref="D28:D35"/>
    <mergeCell ref="O28:O33"/>
    <mergeCell ref="P28:P33"/>
    <mergeCell ref="G20:G25"/>
    <mergeCell ref="Z20:Z27"/>
    <mergeCell ref="AB20:AB27"/>
    <mergeCell ref="R20:R25"/>
    <mergeCell ref="S43:V43"/>
    <mergeCell ref="S51:V51"/>
    <mergeCell ref="AB28:AB35"/>
    <mergeCell ref="AC28:AC35"/>
    <mergeCell ref="M28:M33"/>
    <mergeCell ref="N28:N33"/>
    <mergeCell ref="AC20:AC27"/>
    <mergeCell ref="AB36:AB43"/>
    <mergeCell ref="AC36:AC43"/>
    <mergeCell ref="AA36:AA51"/>
    <mergeCell ref="X44:X51"/>
    <mergeCell ref="X36:X43"/>
    <mergeCell ref="Y36:Y43"/>
    <mergeCell ref="Y44:Y51"/>
    <mergeCell ref="A36:A43"/>
    <mergeCell ref="A44:A51"/>
    <mergeCell ref="C28:C35"/>
    <mergeCell ref="B28:B35"/>
    <mergeCell ref="E28:E35"/>
    <mergeCell ref="F28:F35"/>
    <mergeCell ref="G28:G33"/>
    <mergeCell ref="B36:B43"/>
    <mergeCell ref="C36:C43"/>
    <mergeCell ref="D36:D43"/>
    <mergeCell ref="E36:E43"/>
    <mergeCell ref="F36:F43"/>
    <mergeCell ref="B44:B51"/>
    <mergeCell ref="C44:C51"/>
    <mergeCell ref="D44:D51"/>
    <mergeCell ref="E44:E51"/>
    <mergeCell ref="F44:F51"/>
    <mergeCell ref="A28:A35"/>
    <mergeCell ref="G51:Q51"/>
    <mergeCell ref="H28:H33"/>
    <mergeCell ref="I28:I33"/>
    <mergeCell ref="J28:J33"/>
    <mergeCell ref="K28:K33"/>
    <mergeCell ref="L28:L33"/>
    <mergeCell ref="X20:X27"/>
    <mergeCell ref="Y20:Y27"/>
    <mergeCell ref="AA20:AA35"/>
    <mergeCell ref="G35:Q35"/>
    <mergeCell ref="S35:V35"/>
    <mergeCell ref="Q28:Q33"/>
    <mergeCell ref="R28:R33"/>
    <mergeCell ref="X28:X35"/>
    <mergeCell ref="Y28:Y35"/>
    <mergeCell ref="Z28:Z35"/>
    <mergeCell ref="H20:H25"/>
    <mergeCell ref="O20:O25"/>
    <mergeCell ref="P20:P25"/>
    <mergeCell ref="Q20:Q25"/>
    <mergeCell ref="M20:M25"/>
    <mergeCell ref="N20:N25"/>
    <mergeCell ref="I20:I25"/>
    <mergeCell ref="J20:J25"/>
    <mergeCell ref="K20:K25"/>
    <mergeCell ref="L20:L25"/>
    <mergeCell ref="B20:B27"/>
    <mergeCell ref="C20:C27"/>
    <mergeCell ref="E20:E27"/>
    <mergeCell ref="F20:F27"/>
    <mergeCell ref="A20:A27"/>
    <mergeCell ref="G27:Q27"/>
    <mergeCell ref="S27:V27"/>
    <mergeCell ref="A12:A19"/>
    <mergeCell ref="B12:B19"/>
    <mergeCell ref="C12:C19"/>
    <mergeCell ref="E12:E19"/>
    <mergeCell ref="F12:F19"/>
    <mergeCell ref="G12:G17"/>
    <mergeCell ref="H12:H17"/>
    <mergeCell ref="I12:I17"/>
    <mergeCell ref="J12:J17"/>
    <mergeCell ref="D12:D19"/>
    <mergeCell ref="AB12:AB19"/>
    <mergeCell ref="AC12:AC19"/>
    <mergeCell ref="G19:Q19"/>
    <mergeCell ref="S19:V19"/>
    <mergeCell ref="S11:V11"/>
    <mergeCell ref="X4:X11"/>
    <mergeCell ref="AB4:AB11"/>
    <mergeCell ref="AC4:AC11"/>
    <mergeCell ref="K12:K17"/>
    <mergeCell ref="L12:L17"/>
    <mergeCell ref="M12:M17"/>
    <mergeCell ref="N12:N17"/>
    <mergeCell ref="O12:O17"/>
    <mergeCell ref="P12:P17"/>
    <mergeCell ref="Q12:Q17"/>
    <mergeCell ref="R12:R17"/>
    <mergeCell ref="X12:X19"/>
    <mergeCell ref="Y12:Y19"/>
    <mergeCell ref="I4:I9"/>
    <mergeCell ref="Z12:Z19"/>
    <mergeCell ref="Y4:Y11"/>
    <mergeCell ref="Z4:Z11"/>
    <mergeCell ref="J4:J9"/>
    <mergeCell ref="K4:K9"/>
    <mergeCell ref="L4:L9"/>
    <mergeCell ref="A4:A11"/>
    <mergeCell ref="P4:P9"/>
    <mergeCell ref="Q4:Q9"/>
    <mergeCell ref="R4:R9"/>
    <mergeCell ref="G4:G9"/>
    <mergeCell ref="G11:Q11"/>
    <mergeCell ref="B4:B11"/>
    <mergeCell ref="C4:C11"/>
    <mergeCell ref="E4:E11"/>
    <mergeCell ref="F4:F11"/>
    <mergeCell ref="D4:D11"/>
    <mergeCell ref="H4:H9"/>
    <mergeCell ref="A1:Z1"/>
    <mergeCell ref="J2:L2"/>
    <mergeCell ref="Y2:Y3"/>
    <mergeCell ref="AA2:AA3"/>
    <mergeCell ref="I2:I3"/>
    <mergeCell ref="E2:E3"/>
    <mergeCell ref="D2:D3"/>
    <mergeCell ref="Z2:Z3"/>
    <mergeCell ref="B2:B3"/>
    <mergeCell ref="C2:C3"/>
    <mergeCell ref="R2:R3"/>
    <mergeCell ref="H2:H3"/>
    <mergeCell ref="AC2:AC3"/>
    <mergeCell ref="X2:X3"/>
    <mergeCell ref="M2:N2"/>
    <mergeCell ref="O2:Q2"/>
    <mergeCell ref="S2:W2"/>
    <mergeCell ref="F2:F3"/>
    <mergeCell ref="G2:G3"/>
    <mergeCell ref="O97:O102"/>
    <mergeCell ref="P97:P102"/>
    <mergeCell ref="Q97:Q102"/>
    <mergeCell ref="R97:R102"/>
    <mergeCell ref="X97:X103"/>
    <mergeCell ref="Y97:Y103"/>
    <mergeCell ref="Z97:Z103"/>
    <mergeCell ref="AA90:AA103"/>
    <mergeCell ref="G96:Q96"/>
    <mergeCell ref="S96:V96"/>
    <mergeCell ref="L90:L95"/>
    <mergeCell ref="M90:M95"/>
    <mergeCell ref="N90:N95"/>
    <mergeCell ref="AB2:AB3"/>
    <mergeCell ref="M4:M9"/>
    <mergeCell ref="N4:N9"/>
    <mergeCell ref="O4:O9"/>
    <mergeCell ref="X111:X117"/>
    <mergeCell ref="Y111:Y117"/>
    <mergeCell ref="Z111:Z117"/>
    <mergeCell ref="G103:Q103"/>
    <mergeCell ref="S103:V103"/>
    <mergeCell ref="S117:V117"/>
    <mergeCell ref="AA104:AA117"/>
    <mergeCell ref="AB97:AB103"/>
    <mergeCell ref="G104:G109"/>
    <mergeCell ref="R111:R115"/>
    <mergeCell ref="N97:N102"/>
    <mergeCell ref="A111:A117"/>
    <mergeCell ref="B111:B117"/>
    <mergeCell ref="C111:C117"/>
    <mergeCell ref="D111:D117"/>
    <mergeCell ref="E111:E117"/>
    <mergeCell ref="F111:F117"/>
    <mergeCell ref="G111:G116"/>
    <mergeCell ref="H111:H115"/>
    <mergeCell ref="I111:I115"/>
    <mergeCell ref="G117:Q117"/>
    <mergeCell ref="J111:J115"/>
    <mergeCell ref="K111:K115"/>
    <mergeCell ref="L111:L115"/>
    <mergeCell ref="M111:M115"/>
    <mergeCell ref="N111:N115"/>
    <mergeCell ref="O111:O115"/>
    <mergeCell ref="P111:P115"/>
    <mergeCell ref="Q111:Q115"/>
    <mergeCell ref="X118:X127"/>
    <mergeCell ref="Y118:Y127"/>
    <mergeCell ref="Z118:Z127"/>
    <mergeCell ref="AB118:AB127"/>
    <mergeCell ref="AC118:AC127"/>
    <mergeCell ref="G127:Q127"/>
    <mergeCell ref="S127:V127"/>
    <mergeCell ref="A118:A127"/>
    <mergeCell ref="B118:B127"/>
    <mergeCell ref="C118:C127"/>
    <mergeCell ref="D118:D127"/>
    <mergeCell ref="E118:E127"/>
    <mergeCell ref="F118:F127"/>
    <mergeCell ref="D138:D141"/>
    <mergeCell ref="E138:E141"/>
    <mergeCell ref="F138:F141"/>
    <mergeCell ref="X138:X141"/>
    <mergeCell ref="Y138:Y141"/>
    <mergeCell ref="Z138:Z141"/>
    <mergeCell ref="X147:X151"/>
    <mergeCell ref="Y147:Y151"/>
    <mergeCell ref="Z147:Z151"/>
    <mergeCell ref="AB138:AB141"/>
    <mergeCell ref="AC138:AC141"/>
    <mergeCell ref="G141:Q141"/>
    <mergeCell ref="S141:V141"/>
    <mergeCell ref="G146:Q146"/>
    <mergeCell ref="S146:V146"/>
    <mergeCell ref="A128:A137"/>
    <mergeCell ref="B128:B137"/>
    <mergeCell ref="C128:C137"/>
    <mergeCell ref="D128:D137"/>
    <mergeCell ref="E128:E137"/>
    <mergeCell ref="F128:F137"/>
    <mergeCell ref="X128:X137"/>
    <mergeCell ref="Y128:Y137"/>
    <mergeCell ref="Z128:Z137"/>
    <mergeCell ref="AB128:AB137"/>
    <mergeCell ref="AC128:AC137"/>
    <mergeCell ref="G137:Q137"/>
    <mergeCell ref="S137:V137"/>
    <mergeCell ref="AA118:AA137"/>
    <mergeCell ref="A138:A141"/>
    <mergeCell ref="B138:B141"/>
    <mergeCell ref="C138:C141"/>
    <mergeCell ref="AB142:AB146"/>
    <mergeCell ref="AC142:AC146"/>
    <mergeCell ref="A147:A151"/>
    <mergeCell ref="B147:B151"/>
    <mergeCell ref="C147:C151"/>
    <mergeCell ref="D147:D151"/>
    <mergeCell ref="E147:E151"/>
    <mergeCell ref="F147:F151"/>
    <mergeCell ref="A142:A146"/>
    <mergeCell ref="B142:B146"/>
    <mergeCell ref="C142:C146"/>
    <mergeCell ref="D142:D146"/>
    <mergeCell ref="E142:E146"/>
    <mergeCell ref="F142:F146"/>
    <mergeCell ref="X142:X146"/>
    <mergeCell ref="Y142:Y146"/>
    <mergeCell ref="Z142:Z146"/>
    <mergeCell ref="AA147:AA151"/>
    <mergeCell ref="AB147:AB151"/>
    <mergeCell ref="AC147:AC151"/>
    <mergeCell ref="G151:Q151"/>
    <mergeCell ref="S151:V151"/>
    <mergeCell ref="A152:A155"/>
    <mergeCell ref="B152:B155"/>
    <mergeCell ref="C152:C155"/>
    <mergeCell ref="D152:D155"/>
    <mergeCell ref="E152:E155"/>
    <mergeCell ref="F152:F155"/>
    <mergeCell ref="X152:X155"/>
    <mergeCell ref="Y152:Y155"/>
    <mergeCell ref="Z152:Z155"/>
    <mergeCell ref="AA152:AA155"/>
    <mergeCell ref="AB152:AB155"/>
    <mergeCell ref="AC152:AC155"/>
    <mergeCell ref="G155:Q155"/>
    <mergeCell ref="S155:V155"/>
    <mergeCell ref="AC156:AC159"/>
    <mergeCell ref="G159:Q159"/>
    <mergeCell ref="S159:V159"/>
    <mergeCell ref="A160:A166"/>
    <mergeCell ref="B160:B166"/>
    <mergeCell ref="C160:C166"/>
    <mergeCell ref="D160:D166"/>
    <mergeCell ref="E160:E166"/>
    <mergeCell ref="F160:F166"/>
    <mergeCell ref="X160:X166"/>
    <mergeCell ref="Y160:Y166"/>
    <mergeCell ref="Z160:Z166"/>
    <mergeCell ref="AA160:AA166"/>
    <mergeCell ref="AB160:AB166"/>
    <mergeCell ref="AC160:AC166"/>
    <mergeCell ref="G166:Q166"/>
    <mergeCell ref="S166:V166"/>
    <mergeCell ref="A156:A159"/>
    <mergeCell ref="B156:B159"/>
    <mergeCell ref="C156:C159"/>
    <mergeCell ref="D156:D159"/>
    <mergeCell ref="E156:E159"/>
    <mergeCell ref="F156:F159"/>
    <mergeCell ref="X156:X159"/>
    <mergeCell ref="C167:C175"/>
    <mergeCell ref="D167:D175"/>
    <mergeCell ref="E167:E175"/>
    <mergeCell ref="F167:F175"/>
    <mergeCell ref="X167:X175"/>
    <mergeCell ref="AA156:AA159"/>
    <mergeCell ref="AB156:AB159"/>
    <mergeCell ref="Y156:Y159"/>
    <mergeCell ref="Z156:Z159"/>
    <mergeCell ref="X185:X190"/>
    <mergeCell ref="Y185:Y190"/>
    <mergeCell ref="Z185:Z190"/>
    <mergeCell ref="AB167:AB175"/>
    <mergeCell ref="AB185:AB190"/>
    <mergeCell ref="AC167:AC175"/>
    <mergeCell ref="G175:Q175"/>
    <mergeCell ref="S175:V175"/>
    <mergeCell ref="A176:A184"/>
    <mergeCell ref="B176:B184"/>
    <mergeCell ref="C176:C184"/>
    <mergeCell ref="D176:D184"/>
    <mergeCell ref="E176:E184"/>
    <mergeCell ref="F176:F184"/>
    <mergeCell ref="X176:X184"/>
    <mergeCell ref="Y176:Y184"/>
    <mergeCell ref="Z176:Z184"/>
    <mergeCell ref="AB176:AB184"/>
    <mergeCell ref="AC176:AC184"/>
    <mergeCell ref="G184:Q184"/>
    <mergeCell ref="S184:V184"/>
    <mergeCell ref="A167:A175"/>
    <mergeCell ref="B167:B175"/>
    <mergeCell ref="Y167:Y175"/>
    <mergeCell ref="Z167:Z175"/>
    <mergeCell ref="AA4:AA19"/>
    <mergeCell ref="AC185:AC190"/>
    <mergeCell ref="G190:Q190"/>
    <mergeCell ref="S190:V190"/>
    <mergeCell ref="A191:A196"/>
    <mergeCell ref="B191:B196"/>
    <mergeCell ref="C191:C196"/>
    <mergeCell ref="D191:D196"/>
    <mergeCell ref="E191:E196"/>
    <mergeCell ref="F191:F196"/>
    <mergeCell ref="X191:X196"/>
    <mergeCell ref="Y191:Y196"/>
    <mergeCell ref="Z191:Z196"/>
    <mergeCell ref="AB191:AB196"/>
    <mergeCell ref="AC191:AC196"/>
    <mergeCell ref="G196:Q196"/>
    <mergeCell ref="S196:V196"/>
    <mergeCell ref="AA185:AA196"/>
    <mergeCell ref="A185:A190"/>
    <mergeCell ref="B185:B190"/>
    <mergeCell ref="C185:C190"/>
    <mergeCell ref="D185:D190"/>
    <mergeCell ref="E185:E190"/>
    <mergeCell ref="F185:F190"/>
  </mergeCells>
  <phoneticPr fontId="7" type="noConversion"/>
  <conditionalFormatting sqref="E1:E1048576">
    <cfRule type="duplicateValues" dxfId="0" priority="1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7" orientation="landscape" r:id="rId1"/>
  <rowBreaks count="4" manualBreakCount="4">
    <brk id="51" max="28" man="1"/>
    <brk id="103" max="28" man="1"/>
    <brk id="196" max="28" man="1"/>
    <brk id="202" max="2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24A4-119B-4AEA-BFD7-4AE180892F1C}">
  <sheetPr filterMode="1"/>
  <dimension ref="A1:G12"/>
  <sheetViews>
    <sheetView workbookViewId="0">
      <selection activeCell="B8" sqref="A8:XFD8"/>
    </sheetView>
  </sheetViews>
  <sheetFormatPr defaultRowHeight="14.4" x14ac:dyDescent="0.25"/>
  <cols>
    <col min="2" max="2" width="11.6640625" customWidth="1"/>
    <col min="4" max="4" width="12" customWidth="1"/>
    <col min="5" max="5" width="12.77734375" customWidth="1"/>
    <col min="7" max="7" width="10.44140625" customWidth="1"/>
  </cols>
  <sheetData>
    <row r="1" spans="1:7" x14ac:dyDescent="0.25">
      <c r="A1" s="50" t="s">
        <v>124</v>
      </c>
      <c r="B1" s="50" t="s">
        <v>125</v>
      </c>
      <c r="C1" s="50" t="s">
        <v>126</v>
      </c>
      <c r="D1" s="50" t="s">
        <v>127</v>
      </c>
      <c r="E1" s="50" t="s">
        <v>128</v>
      </c>
      <c r="F1" s="70" t="s">
        <v>131</v>
      </c>
      <c r="G1" s="70" t="s">
        <v>132</v>
      </c>
    </row>
    <row r="2" spans="1:7" hidden="1" x14ac:dyDescent="0.25">
      <c r="A2" s="251">
        <v>44346</v>
      </c>
      <c r="B2" s="49">
        <v>590</v>
      </c>
      <c r="C2" s="49">
        <v>4</v>
      </c>
      <c r="D2" s="49">
        <v>5752.21</v>
      </c>
      <c r="E2" s="51">
        <f>D2*1.13</f>
        <v>6499.9972999999991</v>
      </c>
      <c r="F2" s="66">
        <v>50</v>
      </c>
      <c r="G2" s="71">
        <f>E2+F2</f>
        <v>6549.9972999999991</v>
      </c>
    </row>
    <row r="3" spans="1:7" hidden="1" x14ac:dyDescent="0.25">
      <c r="A3" s="252"/>
      <c r="B3" s="50" t="s">
        <v>129</v>
      </c>
      <c r="C3" s="49">
        <v>3.5</v>
      </c>
      <c r="D3" s="49">
        <v>5132.74</v>
      </c>
      <c r="E3" s="51">
        <f t="shared" ref="E3:E9" si="0">D3*1.13</f>
        <v>5799.9961999999996</v>
      </c>
      <c r="F3" s="66">
        <v>50</v>
      </c>
      <c r="G3" s="71">
        <f t="shared" ref="G3:G9" si="1">E3+F3</f>
        <v>5849.9961999999996</v>
      </c>
    </row>
    <row r="4" spans="1:7" x14ac:dyDescent="0.25">
      <c r="A4" s="252"/>
      <c r="B4" s="49">
        <v>440</v>
      </c>
      <c r="C4" s="49">
        <v>2</v>
      </c>
      <c r="D4" s="49">
        <v>5575.22</v>
      </c>
      <c r="E4" s="51">
        <f t="shared" si="0"/>
        <v>6299.9985999999999</v>
      </c>
      <c r="F4" s="66">
        <v>50</v>
      </c>
      <c r="G4" s="71">
        <f>E4+F4</f>
        <v>6349.9985999999999</v>
      </c>
    </row>
    <row r="5" spans="1:7" hidden="1" x14ac:dyDescent="0.25">
      <c r="A5" s="253"/>
      <c r="B5" s="50" t="s">
        <v>130</v>
      </c>
      <c r="C5" s="49">
        <v>3</v>
      </c>
      <c r="D5" s="49">
        <v>5398.23</v>
      </c>
      <c r="E5" s="51">
        <f t="shared" si="0"/>
        <v>6099.9998999999989</v>
      </c>
      <c r="F5" s="66">
        <v>50</v>
      </c>
      <c r="G5" s="71">
        <f t="shared" si="1"/>
        <v>6149.9998999999989</v>
      </c>
    </row>
    <row r="6" spans="1:7" x14ac:dyDescent="0.25">
      <c r="A6" s="65">
        <v>44333</v>
      </c>
      <c r="B6" s="49">
        <v>440</v>
      </c>
      <c r="C6" s="49">
        <v>2.5</v>
      </c>
      <c r="D6" s="49">
        <v>5705.94</v>
      </c>
      <c r="E6" s="51">
        <f t="shared" si="0"/>
        <v>6447.712199999999</v>
      </c>
      <c r="F6" s="66">
        <v>50</v>
      </c>
      <c r="G6" s="71">
        <f t="shared" si="1"/>
        <v>6497.712199999999</v>
      </c>
    </row>
    <row r="7" spans="1:7" x14ac:dyDescent="0.25">
      <c r="A7" s="65">
        <v>44212</v>
      </c>
      <c r="B7" s="49">
        <v>440</v>
      </c>
      <c r="C7" s="49">
        <v>5</v>
      </c>
      <c r="D7" s="49"/>
      <c r="E7" s="49">
        <v>5850</v>
      </c>
      <c r="F7" s="66">
        <v>50</v>
      </c>
      <c r="G7" s="71">
        <f t="shared" si="1"/>
        <v>5900</v>
      </c>
    </row>
    <row r="8" spans="1:7" x14ac:dyDescent="0.25">
      <c r="A8" s="251">
        <v>44369</v>
      </c>
      <c r="B8" s="82">
        <v>440</v>
      </c>
      <c r="C8" s="49">
        <v>3</v>
      </c>
      <c r="D8" s="49">
        <v>5619.47</v>
      </c>
      <c r="E8" s="51">
        <f t="shared" si="0"/>
        <v>6350.0010999999995</v>
      </c>
      <c r="F8" s="66">
        <v>50</v>
      </c>
      <c r="G8" s="71">
        <f t="shared" si="1"/>
        <v>6400.0010999999995</v>
      </c>
    </row>
    <row r="9" spans="1:7" hidden="1" x14ac:dyDescent="0.25">
      <c r="A9" s="253"/>
      <c r="B9" s="82">
        <v>590</v>
      </c>
      <c r="C9" s="66">
        <v>2</v>
      </c>
      <c r="D9" s="66">
        <v>6061.95</v>
      </c>
      <c r="E9" s="51">
        <f t="shared" si="0"/>
        <v>6850.0034999999989</v>
      </c>
      <c r="F9" s="66">
        <v>50</v>
      </c>
      <c r="G9" s="71">
        <f t="shared" si="1"/>
        <v>6900.0034999999989</v>
      </c>
    </row>
    <row r="10" spans="1:7" x14ac:dyDescent="0.25">
      <c r="A10" s="67"/>
      <c r="B10" s="68"/>
      <c r="C10" s="69"/>
      <c r="D10" s="68"/>
      <c r="E10" s="69"/>
    </row>
    <row r="11" spans="1:7" x14ac:dyDescent="0.25">
      <c r="A11" s="68"/>
      <c r="B11" s="68"/>
      <c r="C11" s="69"/>
      <c r="D11" s="68"/>
      <c r="E11" s="68"/>
    </row>
    <row r="12" spans="1:7" x14ac:dyDescent="0.25">
      <c r="A12" s="68"/>
      <c r="B12" s="68"/>
      <c r="C12" s="68"/>
      <c r="D12" s="68"/>
      <c r="E12" s="68"/>
    </row>
  </sheetData>
  <autoFilter ref="A1:G9" xr:uid="{B72D24A4-119B-4AEA-BFD7-4AE180892F1C}">
    <filterColumn colId="1">
      <filters>
        <filter val="440"/>
      </filters>
    </filterColumn>
  </autoFilter>
  <mergeCells count="2">
    <mergeCell ref="A2:A5"/>
    <mergeCell ref="A8:A9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冲压工序费</vt:lpstr>
      <vt:lpstr>冲压件核价</vt:lpstr>
      <vt:lpstr>Sheet1</vt:lpstr>
      <vt:lpstr>冲压件核价!Print_Area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2021-07-20T09:47:51Z</cp:lastPrinted>
  <dcterms:created xsi:type="dcterms:W3CDTF">2020-10-23T02:57:00Z</dcterms:created>
  <dcterms:modified xsi:type="dcterms:W3CDTF">2021-09-24T12:41:29Z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