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 tabRatio="942" activeTab="1"/>
  </bookViews>
  <sheets>
    <sheet name="北京网站价格统计" sheetId="32" r:id="rId1"/>
    <sheet name="最终协商结果" sheetId="33" r:id="rId2"/>
    <sheet name="汇总" sheetId="26" r:id="rId3"/>
    <sheet name="M4司机背" sheetId="24" r:id="rId4"/>
    <sheet name="K1宽车司机背" sheetId="23" r:id="rId5"/>
    <sheet name="J6F副司机背" sheetId="27" r:id="rId6"/>
    <sheet name="铰链 (2)" sheetId="16" r:id="rId7"/>
    <sheet name="连接支架 g7一、二排(4)" sheetId="21" r:id="rId8"/>
    <sheet name="G7翻滚 (4)" sheetId="6" r:id="rId9"/>
    <sheet name="G9翻滚 (5)" sheetId="22" r:id="rId10"/>
    <sheet name="G7G9二排双人 (3)" sheetId="18" r:id="rId11"/>
    <sheet name="G7G9一排双人 (2)" sheetId="15" r:id="rId12"/>
    <sheet name="G7G9三排三人 (5)" sheetId="20" r:id="rId13"/>
    <sheet name="G7G9一排三人 (2)" sheetId="28" r:id="rId14"/>
    <sheet name="连接支架 g7三排(3)" sheetId="5" r:id="rId15"/>
    <sheet name="分体1800" sheetId="29" r:id="rId16"/>
    <sheet name="右舵1800付垫" sheetId="19" r:id="rId17"/>
    <sheet name="整体1800" sheetId="30" r:id="rId18"/>
    <sheet name="连体背" sheetId="31" r:id="rId19"/>
    <sheet name="1995右舵副司机" sheetId="17" r:id="rId20"/>
    <sheet name="1695副司机坐垫" sheetId="25" r:id="rId21"/>
  </sheets>
  <calcPr calcId="144525"/>
</workbook>
</file>

<file path=xl/comments1.xml><?xml version="1.0" encoding="utf-8"?>
<comments xmlns="http://schemas.openxmlformats.org/spreadsheetml/2006/main">
  <authors>
    <author>zzf</author>
  </authors>
  <commentList>
    <comment ref="E1" authorId="0">
      <text>
        <r>
          <rPr>
            <b/>
            <sz val="9"/>
            <rFont val="宋体"/>
            <charset val="134"/>
          </rPr>
          <t>zzf:</t>
        </r>
        <r>
          <rPr>
            <sz val="9"/>
            <rFont val="宋体"/>
            <charset val="134"/>
          </rPr>
          <t xml:space="preserve">
采用每月天津第一次价格</t>
        </r>
      </text>
    </comment>
  </commentList>
</comments>
</file>

<file path=xl/sharedStrings.xml><?xml version="1.0" encoding="utf-8"?>
<sst xmlns="http://schemas.openxmlformats.org/spreadsheetml/2006/main" count="2866" uniqueCount="527">
  <si>
    <t>材料类别</t>
  </si>
  <si>
    <t>规格型号</t>
  </si>
  <si>
    <t>单位</t>
  </si>
  <si>
    <t>年度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</si>
  <si>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</si>
  <si>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</si>
  <si>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</si>
  <si>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</si>
  <si>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</si>
  <si>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</si>
  <si>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</si>
  <si>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</si>
  <si>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</si>
  <si>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</si>
  <si>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</si>
  <si>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</si>
  <si>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均价</t>
  </si>
  <si>
    <t>同比涨幅</t>
  </si>
  <si>
    <t>钢板 热</t>
  </si>
  <si>
    <t>Q235  5.0</t>
  </si>
  <si>
    <t>吨</t>
  </si>
  <si>
    <t>2.0的含税高300元/吨，+265.49元；3.0的含税高200元/吨，+176.99元</t>
  </si>
  <si>
    <t>焊管</t>
  </si>
  <si>
    <t>Q195-225  1寸*3.25mm</t>
  </si>
  <si>
    <t>天津友发</t>
  </si>
  <si>
    <t>钢板 冷</t>
  </si>
  <si>
    <t>ST12  1.0*1250*C</t>
  </si>
  <si>
    <t>鞍钢</t>
  </si>
  <si>
    <t>SPCC  1.0*1250*C</t>
  </si>
  <si>
    <t>序号</t>
  </si>
  <si>
    <t>产品名称</t>
  </si>
  <si>
    <t>QAD代码</t>
  </si>
  <si>
    <t>含税销售价</t>
  </si>
  <si>
    <t>广亿核算价</t>
  </si>
  <si>
    <t>潍坊核算价</t>
  </si>
  <si>
    <t>广亿最终接受价格</t>
  </si>
  <si>
    <t>M4副司机背</t>
  </si>
  <si>
    <t>SLT0000802</t>
  </si>
  <si>
    <t>件</t>
  </si>
  <si>
    <t>M4正司机背</t>
  </si>
  <si>
    <t>SLT0000782</t>
  </si>
  <si>
    <t>K1窄车正司机背</t>
  </si>
  <si>
    <t>SLT0000349</t>
  </si>
  <si>
    <t>前座副背骨架焊接总成</t>
  </si>
  <si>
    <t>SLT0002142</t>
  </si>
  <si>
    <t>K1宽车正司机背</t>
  </si>
  <si>
    <t>SLT0000324</t>
  </si>
  <si>
    <t>同意</t>
  </si>
  <si>
    <t>G7铰链左（小）</t>
  </si>
  <si>
    <t>SLT0000614</t>
  </si>
  <si>
    <t>不同意</t>
  </si>
  <si>
    <t>K1窄车铰链左</t>
  </si>
  <si>
    <t>SLT0000433</t>
  </si>
  <si>
    <t>6486十人铰链K1长轴</t>
  </si>
  <si>
    <t>SLT0001070</t>
  </si>
  <si>
    <t>K1-G7一排支腿</t>
  </si>
  <si>
    <t>SLT0000619</t>
  </si>
  <si>
    <t>G7铰链右（大）</t>
  </si>
  <si>
    <t>SLT0000615</t>
  </si>
  <si>
    <t>K1窄车铰链右</t>
  </si>
  <si>
    <t>SLT0000434</t>
  </si>
  <si>
    <t>K1-G7翻滚</t>
  </si>
  <si>
    <t>SLT0000623</t>
  </si>
  <si>
    <t>K1-G7二排支腿</t>
  </si>
  <si>
    <t>SLT0000622</t>
  </si>
  <si>
    <t>K1-G7二排双人垫</t>
  </si>
  <si>
    <t>SLT0000621</t>
  </si>
  <si>
    <t>K1-G7一排双人垫</t>
  </si>
  <si>
    <t>SLT0000618</t>
  </si>
  <si>
    <t>K1-G9-6座一排支腿</t>
  </si>
  <si>
    <t>SLT0000430</t>
  </si>
  <si>
    <t>G9铰链右</t>
  </si>
  <si>
    <t>SLT0000420</t>
  </si>
  <si>
    <t>G9-6座二排双人垫</t>
  </si>
  <si>
    <t>SLT0000437</t>
  </si>
  <si>
    <t>K1-G9-6座二排支腿</t>
  </si>
  <si>
    <t>SLT0000438</t>
  </si>
  <si>
    <t>K1-G9-6座翻滚</t>
  </si>
  <si>
    <t>SLT0000439</t>
  </si>
  <si>
    <t>G7-10人一排三人座</t>
  </si>
  <si>
    <t>SLT0000634</t>
  </si>
  <si>
    <t>G9-10人一排三人座</t>
  </si>
  <si>
    <t>SLT0000492</t>
  </si>
  <si>
    <t>G9-10人三排三人座</t>
  </si>
  <si>
    <t>SLT0001817</t>
  </si>
  <si>
    <t>G9-10人三排座支腿</t>
  </si>
  <si>
    <t>SLT0001947</t>
  </si>
  <si>
    <t>G7-10人三排三人座</t>
  </si>
  <si>
    <t>SLT0001067</t>
  </si>
  <si>
    <t>G7-10人三排座支腿</t>
  </si>
  <si>
    <t>SLT0001068</t>
  </si>
  <si>
    <t>K1-6486十人铰链（大）</t>
  </si>
  <si>
    <t>SLT0002701</t>
  </si>
  <si>
    <t>G9-6座一排双人垫</t>
  </si>
  <si>
    <t>SLT0000429</t>
  </si>
  <si>
    <t>M3右舵1800副座</t>
  </si>
  <si>
    <t>SLT0000098</t>
  </si>
  <si>
    <t>M3右舵1995副座</t>
  </si>
  <si>
    <t>SLT0000144</t>
  </si>
  <si>
    <t>M3右舵1695副司机背</t>
  </si>
  <si>
    <t>SLT0000012</t>
  </si>
  <si>
    <t>黄色为潍坊未核算，蓝色为近期转黄骅M3</t>
  </si>
  <si>
    <t>上表为9月5号前广亿核算最终价格，9.5号上午与苏东及吴英阁商议，最终定M3M4上涨7%，K1G7G9的均衡上涨14%，</t>
  </si>
  <si>
    <t>物料编码</t>
  </si>
  <si>
    <t>核算价格</t>
  </si>
  <si>
    <t>销售价格</t>
  </si>
  <si>
    <t>利润</t>
  </si>
  <si>
    <t>备注</t>
  </si>
  <si>
    <t>含税销售价格</t>
  </si>
  <si>
    <t>广亿核算价格</t>
  </si>
  <si>
    <t>潍坊核算价格</t>
  </si>
  <si>
    <t>SLI0000634</t>
  </si>
  <si>
    <t>G7/g9一排三人座骨架</t>
  </si>
  <si>
    <t>此成本价格不包括贴息扣点</t>
  </si>
  <si>
    <t>SLI0001067</t>
  </si>
  <si>
    <t>G7/g9三人三排座骨架</t>
  </si>
  <si>
    <t>SLI0000619</t>
  </si>
  <si>
    <t>G7/g9一二排链接支架</t>
  </si>
  <si>
    <t>SLI0000439</t>
  </si>
  <si>
    <t>G9翻滚</t>
  </si>
  <si>
    <t>SLI0000614</t>
  </si>
  <si>
    <t>G7铰链左</t>
  </si>
  <si>
    <t>SLI0000420</t>
  </si>
  <si>
    <t>SLI0001070</t>
  </si>
  <si>
    <t>前翻10人翻滚支架铰链</t>
  </si>
  <si>
    <t>SLI0000623</t>
  </si>
  <si>
    <t>G7翻滚成本</t>
  </si>
  <si>
    <t>SLI0001068</t>
  </si>
  <si>
    <t>G7/g9三排连接支架</t>
  </si>
  <si>
    <t>SLI0000144</t>
  </si>
  <si>
    <t>1995副垫右舵</t>
  </si>
  <si>
    <t>SLI0000618</t>
  </si>
  <si>
    <t>G7/g9一排双人座骨架</t>
  </si>
  <si>
    <t>SLI0000012</t>
  </si>
  <si>
    <t>1695副背</t>
  </si>
  <si>
    <t>SLI0000324</t>
  </si>
  <si>
    <t>K1宽车司机靠背</t>
  </si>
  <si>
    <t>SLI0000802</t>
  </si>
  <si>
    <t>SLI0000782</t>
  </si>
  <si>
    <t>M4司机背</t>
  </si>
  <si>
    <t>SLI0002142</t>
  </si>
  <si>
    <t>J6F-BA95前座副背骨架</t>
  </si>
  <si>
    <t>SLI0000098</t>
  </si>
  <si>
    <t>右舵1800付垫</t>
  </si>
  <si>
    <t>SLI0000080</t>
  </si>
  <si>
    <t>1800分体座</t>
  </si>
  <si>
    <t>SLI0000104</t>
  </si>
  <si>
    <t>1800整体座</t>
  </si>
  <si>
    <t>SLI0002344</t>
  </si>
  <si>
    <t>连体背</t>
  </si>
  <si>
    <t>m4副背报潍坊</t>
  </si>
  <si>
    <t>零件名称</t>
  </si>
  <si>
    <t>图号编号</t>
  </si>
  <si>
    <t>材料名称</t>
  </si>
  <si>
    <t>材料价格（元/kg)</t>
  </si>
  <si>
    <t>毛重（Kg）</t>
  </si>
  <si>
    <t>毛重金额</t>
  </si>
  <si>
    <t>材料净重（Kg）</t>
  </si>
  <si>
    <t>废料重（Kg）</t>
  </si>
  <si>
    <t>废料价格（元/kg)</t>
  </si>
  <si>
    <t>材料成本（元）</t>
  </si>
  <si>
    <t>焊管25*1.5*1400</t>
  </si>
  <si>
    <t>q235</t>
  </si>
  <si>
    <t>头枕管12*1.5*600</t>
  </si>
  <si>
    <t>支撑管25*1.5*355</t>
  </si>
  <si>
    <t>q335</t>
  </si>
  <si>
    <t>工序名称</t>
  </si>
  <si>
    <t>加工设备</t>
  </si>
  <si>
    <t>规格/型号</t>
  </si>
  <si>
    <t>工序次数</t>
  </si>
  <si>
    <t>工序每道单价/元</t>
  </si>
  <si>
    <t>合计金额</t>
  </si>
  <si>
    <t>下料</t>
  </si>
  <si>
    <t>截管机</t>
  </si>
  <si>
    <t>弯管</t>
  </si>
  <si>
    <t>弯管机</t>
  </si>
  <si>
    <t>实物称重</t>
  </si>
  <si>
    <t>挂簧</t>
  </si>
  <si>
    <t>2.43KG</t>
  </si>
  <si>
    <t>调磨</t>
  </si>
  <si>
    <t>砸头枕窝</t>
  </si>
  <si>
    <t>40压力机</t>
  </si>
  <si>
    <t>合计</t>
  </si>
  <si>
    <t>外协件</t>
  </si>
  <si>
    <t>焊接</t>
  </si>
  <si>
    <t>焊接长度（CM)</t>
  </si>
  <si>
    <t>价格元/CM</t>
  </si>
  <si>
    <t>合计金额（元）</t>
  </si>
  <si>
    <t>问题：1</t>
  </si>
  <si>
    <t>问题：2</t>
  </si>
  <si>
    <t>名称</t>
  </si>
  <si>
    <t>使用量</t>
  </si>
  <si>
    <t>单价</t>
  </si>
  <si>
    <t>焊螺母</t>
  </si>
  <si>
    <t>实际</t>
  </si>
  <si>
    <t>标红处公式计算错误</t>
  </si>
  <si>
    <t>头枕钢丝</t>
  </si>
  <si>
    <t>整体焊接</t>
  </si>
  <si>
    <t>焊接长度</t>
  </si>
  <si>
    <t>侧翼支撑钢丝</t>
  </si>
  <si>
    <t>背上支撑钢丝</t>
  </si>
  <si>
    <t>左旁接板</t>
  </si>
  <si>
    <t>右旋转轴固定座</t>
  </si>
  <si>
    <t>挂簧钩</t>
  </si>
  <si>
    <t>蛇簧1</t>
  </si>
  <si>
    <t>蛇簧2</t>
  </si>
  <si>
    <t>螺母φ8</t>
  </si>
  <si>
    <t>模具名称</t>
  </si>
  <si>
    <t>金额</t>
  </si>
  <si>
    <t>分摊件数</t>
  </si>
  <si>
    <t>分摊金额</t>
  </si>
  <si>
    <t>2020年</t>
  </si>
  <si>
    <t>2021年</t>
  </si>
  <si>
    <t>差值</t>
  </si>
  <si>
    <t>总成焊胎</t>
  </si>
  <si>
    <t>4700元/吨</t>
  </si>
  <si>
    <t>6100元/吨</t>
  </si>
  <si>
    <t>1400元</t>
  </si>
  <si>
    <t>总成检胎</t>
  </si>
  <si>
    <t>表面处理</t>
  </si>
  <si>
    <r>
      <rPr>
        <sz val="11"/>
        <color theme="1"/>
        <rFont val="宋体"/>
        <charset val="134"/>
        <scheme val="minor"/>
      </rPr>
      <t>元</t>
    </r>
    <r>
      <rPr>
        <sz val="11"/>
        <color indexed="8"/>
        <rFont val="宋体"/>
        <charset val="134"/>
      </rPr>
      <t>/</t>
    </r>
    <r>
      <rPr>
        <sz val="11"/>
        <color theme="1"/>
        <rFont val="宋体"/>
        <charset val="134"/>
        <scheme val="minor"/>
      </rPr>
      <t>（M</t>
    </r>
    <r>
      <rPr>
        <vertAlign val="superscript"/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）</t>
    </r>
  </si>
  <si>
    <r>
      <rPr>
        <sz val="11"/>
        <color theme="1"/>
        <rFont val="宋体"/>
        <charset val="134"/>
        <scheme val="minor"/>
      </rPr>
      <t>面积（M</t>
    </r>
    <r>
      <rPr>
        <vertAlign val="superscript"/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）</t>
    </r>
  </si>
  <si>
    <t>实物称重/KG</t>
  </si>
  <si>
    <t>差值/元</t>
  </si>
  <si>
    <t>电泳</t>
  </si>
  <si>
    <t>弯管检具两套</t>
  </si>
  <si>
    <t>喷涂</t>
  </si>
  <si>
    <t>费用名称</t>
  </si>
  <si>
    <t>合计总金额</t>
  </si>
  <si>
    <t>原价</t>
  </si>
  <si>
    <t>涨幅价</t>
  </si>
  <si>
    <t>材料费</t>
  </si>
  <si>
    <t>管理费</t>
  </si>
  <si>
    <t>制造费</t>
  </si>
  <si>
    <t>财务费</t>
  </si>
  <si>
    <t>外协费用</t>
  </si>
  <si>
    <t>包装运输</t>
  </si>
  <si>
    <t>模具分摊</t>
  </si>
  <si>
    <t>焊接费用</t>
  </si>
  <si>
    <t>价格</t>
  </si>
  <si>
    <t>销价26.22</t>
  </si>
  <si>
    <t>m4正背</t>
  </si>
  <si>
    <t>焊管25*1.5*1500</t>
  </si>
  <si>
    <t>夹心管22*1.5*200</t>
  </si>
  <si>
    <t>支撑管22*1.5*402</t>
  </si>
  <si>
    <t>拍扁</t>
  </si>
  <si>
    <t>80T压力机</t>
  </si>
  <si>
    <t>冲孔清边</t>
  </si>
  <si>
    <t>2.59KG</t>
  </si>
  <si>
    <t>焊阶梯螺栓</t>
  </si>
  <si>
    <t>右旁接板</t>
  </si>
  <si>
    <t>右旋转阶梯螺栓</t>
  </si>
  <si>
    <t>含税</t>
  </si>
  <si>
    <t>销价29.4</t>
  </si>
  <si>
    <t>k1宽车司机靠背报潍坊</t>
  </si>
  <si>
    <t>焊管25*2.0*640</t>
  </si>
  <si>
    <t>Q235</t>
  </si>
  <si>
    <t>侧板钢板</t>
  </si>
  <si>
    <t>连接板钢板</t>
  </si>
  <si>
    <t>灭火器钢板</t>
  </si>
  <si>
    <t>剪板机</t>
  </si>
  <si>
    <t>6*2000</t>
  </si>
  <si>
    <t>100元/吨</t>
  </si>
  <si>
    <t>2、3、4</t>
  </si>
  <si>
    <t>4*2000</t>
  </si>
  <si>
    <t>300元/吨</t>
  </si>
  <si>
    <t>液压机</t>
  </si>
  <si>
    <t>315T</t>
  </si>
  <si>
    <t>200T</t>
  </si>
  <si>
    <t>落片</t>
  </si>
  <si>
    <t>压力机</t>
  </si>
  <si>
    <t>160T</t>
  </si>
  <si>
    <t>折弯</t>
  </si>
  <si>
    <t>125T</t>
  </si>
  <si>
    <t>2、3、4、</t>
  </si>
  <si>
    <t>冲孔</t>
  </si>
  <si>
    <t>100T</t>
  </si>
  <si>
    <t>80T</t>
  </si>
  <si>
    <t>40T</t>
  </si>
  <si>
    <t>切管</t>
  </si>
  <si>
    <t>500以下0.05 ；1米0.065； 1米上0.08</t>
  </si>
  <si>
    <t>砸头枕</t>
  </si>
  <si>
    <t>钻孔</t>
  </si>
  <si>
    <t>攻丝</t>
  </si>
  <si>
    <t>扩孔</t>
  </si>
  <si>
    <t>压扁</t>
  </si>
  <si>
    <t>切边</t>
  </si>
  <si>
    <t>调平/整形</t>
  </si>
  <si>
    <t>镜杆0.2元  座椅0.4元</t>
  </si>
  <si>
    <t>挂簧套扣</t>
  </si>
  <si>
    <t>问题：3</t>
  </si>
  <si>
    <t>焊接总成</t>
  </si>
  <si>
    <t>公式计算错误</t>
  </si>
  <si>
    <t>蛇簧</t>
  </si>
  <si>
    <t>焊接灭火器螺母</t>
  </si>
  <si>
    <t>焊管管壁</t>
  </si>
  <si>
    <t>挂簧勾</t>
  </si>
  <si>
    <t>靠背框线</t>
  </si>
  <si>
    <t>底连接板钢丝</t>
  </si>
  <si>
    <t>头枕导管</t>
  </si>
  <si>
    <t>宽车</t>
  </si>
  <si>
    <r>
      <rPr>
        <sz val="11"/>
        <color theme="1"/>
        <rFont val="宋体"/>
        <charset val="134"/>
        <scheme val="minor"/>
      </rPr>
      <t>元</t>
    </r>
    <r>
      <rPr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（M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</si>
  <si>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面积（M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）</t>
    </r>
  </si>
  <si>
    <t>2.92KG</t>
  </si>
  <si>
    <t>销价38.53</t>
  </si>
  <si>
    <t>窄车</t>
  </si>
  <si>
    <t>窄车价格36.24</t>
  </si>
  <si>
    <t>2.77KG</t>
  </si>
  <si>
    <t>J6F-BA95前座副背骨架焊接总成</t>
  </si>
  <si>
    <t>物料号</t>
  </si>
  <si>
    <t>图号</t>
  </si>
  <si>
    <t>6901820X2001A</t>
  </si>
  <si>
    <t>靠背弯管25*2.0*1340</t>
  </si>
  <si>
    <t>Q195焊管</t>
  </si>
  <si>
    <t>背下支撑管25*1.5*355</t>
  </si>
  <si>
    <t>落片、折弯、冲孔</t>
  </si>
  <si>
    <t>截料、折弯2</t>
  </si>
  <si>
    <t>2.2KG</t>
  </si>
  <si>
    <t>靠背弯管/背下支撑管</t>
  </si>
  <si>
    <t>靠背弯管</t>
  </si>
  <si>
    <t>背下支撑管</t>
  </si>
  <si>
    <t>切弧</t>
  </si>
  <si>
    <t>打包装带</t>
  </si>
  <si>
    <t>焊螺母2</t>
  </si>
  <si>
    <t>45cm</t>
  </si>
  <si>
    <t>旋转轴固定座</t>
  </si>
  <si>
    <t>靠背侧翼钢丝</t>
  </si>
  <si>
    <t>靠背支撑钢丝</t>
  </si>
  <si>
    <t>支撑钢丝总成</t>
  </si>
  <si>
    <t>m10螺母</t>
  </si>
  <si>
    <r>
      <rPr>
        <sz val="11"/>
        <color theme="1"/>
        <rFont val="宋体"/>
        <charset val="134"/>
        <scheme val="minor"/>
      </rPr>
      <t>元/M</t>
    </r>
    <r>
      <rPr>
        <vertAlign val="superscript"/>
        <sz val="11"/>
        <color indexed="8"/>
        <rFont val="宋体"/>
        <charset val="134"/>
      </rPr>
      <t>2</t>
    </r>
  </si>
  <si>
    <t>G7铰链成本核算表报潍坊</t>
  </si>
  <si>
    <t>317*150*4钢板</t>
  </si>
  <si>
    <t>Q235钢板</t>
  </si>
  <si>
    <t>缠气垫膜</t>
  </si>
  <si>
    <t>M10六方螺母</t>
  </si>
  <si>
    <t>销价7.55</t>
  </si>
  <si>
    <t>G9铰链成本核算表报潍坊</t>
  </si>
  <si>
    <t>305*144*4钢板</t>
  </si>
  <si>
    <t>销价7.53</t>
  </si>
  <si>
    <t>K1窄车右铰链成本核算表报潍坊</t>
  </si>
  <si>
    <t>240*106*4钢板</t>
  </si>
  <si>
    <t>小</t>
  </si>
  <si>
    <t>大</t>
  </si>
  <si>
    <t>销价4.31</t>
  </si>
  <si>
    <t>前翻10人翻滚支架铰链成本核算表报潍坊</t>
  </si>
  <si>
    <t>70*78*4钢板</t>
  </si>
  <si>
    <t>销价1.5</t>
  </si>
  <si>
    <t>G7/G9一二排连接支架成本核算表报潍坊</t>
  </si>
  <si>
    <t>连接支架圆管22*1.5*1000</t>
  </si>
  <si>
    <t>内衬管19*1.5*1000</t>
  </si>
  <si>
    <t>1、2</t>
  </si>
  <si>
    <t>1米上1</t>
  </si>
  <si>
    <t>锁紧件连接板、底块</t>
  </si>
  <si>
    <t>铰链连接件焊销轴</t>
  </si>
  <si>
    <t>锁紧件连接板焊螺母2</t>
  </si>
  <si>
    <t>安装锁片</t>
  </si>
  <si>
    <t>底块焊螺母2</t>
  </si>
  <si>
    <t>铰链连接件</t>
  </si>
  <si>
    <t>U型焊接件</t>
  </si>
  <si>
    <t>销轴</t>
  </si>
  <si>
    <t>M8螺母</t>
  </si>
  <si>
    <t>销价18.76</t>
  </si>
  <si>
    <t>G7翻滚成本核算表报潍坊</t>
  </si>
  <si>
    <t>左侧边管</t>
  </si>
  <si>
    <r>
      <rPr>
        <sz val="11"/>
        <color theme="1"/>
        <rFont val="宋体"/>
        <charset val="134"/>
        <scheme val="minor"/>
      </rPr>
      <t>22*1.5</t>
    </r>
    <r>
      <rPr>
        <sz val="11"/>
        <color theme="1"/>
        <rFont val="宋体"/>
        <charset val="134"/>
        <scheme val="minor"/>
      </rPr>
      <t>*1130</t>
    </r>
  </si>
  <si>
    <t>前横管</t>
  </si>
  <si>
    <r>
      <rPr>
        <sz val="11"/>
        <color theme="1"/>
        <rFont val="宋体"/>
        <charset val="134"/>
        <scheme val="minor"/>
      </rPr>
      <t>22*1.5</t>
    </r>
    <r>
      <rPr>
        <sz val="11"/>
        <color theme="1"/>
        <rFont val="宋体"/>
        <charset val="134"/>
        <scheme val="minor"/>
      </rPr>
      <t>*430</t>
    </r>
  </si>
  <si>
    <t>后横管</t>
  </si>
  <si>
    <r>
      <rPr>
        <sz val="11"/>
        <color theme="1"/>
        <rFont val="宋体"/>
        <charset val="134"/>
        <scheme val="minor"/>
      </rPr>
      <t>22*1.5</t>
    </r>
    <r>
      <rPr>
        <sz val="11"/>
        <color theme="1"/>
        <rFont val="宋体"/>
        <charset val="134"/>
        <scheme val="minor"/>
      </rPr>
      <t>*660</t>
    </r>
  </si>
  <si>
    <t>右侧边管</t>
  </si>
  <si>
    <r>
      <rPr>
        <sz val="11"/>
        <color theme="1"/>
        <rFont val="宋体"/>
        <charset val="134"/>
        <scheme val="minor"/>
      </rPr>
      <t>22*1.5</t>
    </r>
    <r>
      <rPr>
        <sz val="11"/>
        <color theme="1"/>
        <rFont val="宋体"/>
        <charset val="134"/>
        <scheme val="minor"/>
      </rPr>
      <t>*970</t>
    </r>
  </si>
  <si>
    <t>夹心</t>
  </si>
  <si>
    <t>18*1.5*100*4</t>
  </si>
  <si>
    <t>压型</t>
  </si>
  <si>
    <t>落片、冲孔</t>
  </si>
  <si>
    <t>落片 、冲孔</t>
  </si>
  <si>
    <t>1、2、3、4、5</t>
  </si>
  <si>
    <t>左/右侧边管</t>
  </si>
  <si>
    <t>平垫</t>
  </si>
  <si>
    <t>边管焊平光垫2个</t>
  </si>
  <si>
    <t>销价24.19</t>
  </si>
  <si>
    <t>G9翻滚成本核算表报潍坊</t>
  </si>
  <si>
    <t>22*1.5*900</t>
  </si>
  <si>
    <t>22*1.5*700</t>
  </si>
  <si>
    <t>左/右边管</t>
  </si>
  <si>
    <t>22*1.5*290*2</t>
  </si>
  <si>
    <t>横管</t>
  </si>
  <si>
    <t>22*1.5*670</t>
  </si>
  <si>
    <t>22*1.5*450</t>
  </si>
  <si>
    <t>18*1.5*100*8</t>
  </si>
  <si>
    <t>1、2、3、4、5、6、7</t>
  </si>
  <si>
    <t>焊滑槽</t>
  </si>
  <si>
    <t>焊限位片6</t>
  </si>
  <si>
    <t>焊总成</t>
  </si>
  <si>
    <t>限位挡片</t>
  </si>
  <si>
    <t>滑槽</t>
  </si>
  <si>
    <t>滑槽手柄</t>
  </si>
  <si>
    <t>销价51.01</t>
  </si>
  <si>
    <t>G7/G9二排双人座骨架报潍坊</t>
  </si>
  <si>
    <t>后横管25*1.5*971</t>
  </si>
  <si>
    <t>中间管25*1.5*390*2</t>
  </si>
  <si>
    <t>边管25*1.5*1770</t>
  </si>
  <si>
    <t>拉杆铁丝4*1004*2根</t>
  </si>
  <si>
    <t>65Mn</t>
  </si>
  <si>
    <t>前椅腿25*1.5*110*2</t>
  </si>
  <si>
    <t>夹心管22*1.5*100*2</t>
  </si>
  <si>
    <t>后横管25*1.5*400</t>
  </si>
  <si>
    <t>后横管25*1.5*230</t>
  </si>
  <si>
    <t>背垫连接板117*87*4*2</t>
  </si>
  <si>
    <t>椅腿加强支架70*80*2.5*4</t>
  </si>
  <si>
    <t>9、10</t>
  </si>
  <si>
    <t>落片4、冲孔4、压型4</t>
  </si>
  <si>
    <t>1、2、3、5、6、7、8</t>
  </si>
  <si>
    <t>500下6根、1米上2</t>
  </si>
  <si>
    <t>边管</t>
  </si>
  <si>
    <t>1、2、7、8</t>
  </si>
  <si>
    <t>前椅腿</t>
  </si>
  <si>
    <t>背垫连接板、安全带螺母</t>
  </si>
  <si>
    <t>冲孔切边</t>
  </si>
  <si>
    <t>挂簧、打卡子</t>
  </si>
  <si>
    <t>连接板焊螺母</t>
  </si>
  <si>
    <t>安全带螺母支架</t>
  </si>
  <si>
    <t>安全带支架焊螺母</t>
  </si>
  <si>
    <t>安全带螺母</t>
  </si>
  <si>
    <t>前椅腿焊平垫</t>
  </si>
  <si>
    <t>挂簧卡子</t>
  </si>
  <si>
    <t>安全带下支架</t>
  </si>
  <si>
    <t>六角螺母10Mm</t>
  </si>
  <si>
    <t>夹码钉连接卡子</t>
  </si>
  <si>
    <r>
      <rPr>
        <sz val="11"/>
        <color theme="1"/>
        <rFont val="宋体"/>
        <charset val="134"/>
        <scheme val="minor"/>
      </rPr>
      <t>面积M</t>
    </r>
    <r>
      <rPr>
        <vertAlign val="superscript"/>
        <sz val="11"/>
        <color theme="1"/>
        <rFont val="宋体"/>
        <charset val="134"/>
        <scheme val="minor"/>
      </rPr>
      <t>2</t>
    </r>
  </si>
  <si>
    <t>前椅腿平垫</t>
  </si>
  <si>
    <t>后椅腿固定支架</t>
  </si>
  <si>
    <t>销价68</t>
  </si>
  <si>
    <t>G7/G9一排双人座骨架报潍坊</t>
  </si>
  <si>
    <t>7、8</t>
  </si>
  <si>
    <t>1、2、3、5、6</t>
  </si>
  <si>
    <t>1、2、</t>
  </si>
  <si>
    <t>前椅腿25*1.5*315*2</t>
  </si>
  <si>
    <t>G7/G9三排三人座骨架报潍坊</t>
  </si>
  <si>
    <t>后横管25*1.5*1130</t>
  </si>
  <si>
    <t>边管25*1.5*1920</t>
  </si>
  <si>
    <t>拉杆铁丝4*1150*2根</t>
  </si>
  <si>
    <t>前椅腿25*1.5*300*2</t>
  </si>
  <si>
    <t>前椅腿横管25*1.5*500</t>
  </si>
  <si>
    <t>Q295焊管</t>
  </si>
  <si>
    <t>后横管（短）25*1.5*280*2</t>
  </si>
  <si>
    <t>Q395焊管</t>
  </si>
  <si>
    <t>1、2、8</t>
  </si>
  <si>
    <t>焊接U型件螺母</t>
  </si>
  <si>
    <t>焊接安装锁螺母</t>
  </si>
  <si>
    <t>销价92.24</t>
  </si>
  <si>
    <t>G7/G9一排三人座骨架报潍坊</t>
  </si>
  <si>
    <t>1、2、3、5、6、</t>
  </si>
  <si>
    <t>销价79.09</t>
  </si>
  <si>
    <t>G7/G9三排连接支架成本核算表报潍坊</t>
  </si>
  <si>
    <t>连接支架圆管22*1.5*1100</t>
  </si>
  <si>
    <t>内衬管19*1.5*1100</t>
  </si>
  <si>
    <t>销价19.92</t>
  </si>
  <si>
    <t>分体1800坐垫</t>
  </si>
  <si>
    <t>焊管22*1.5*1600</t>
  </si>
  <si>
    <t>焊管22*1.5*730</t>
  </si>
  <si>
    <t>压管</t>
  </si>
  <si>
    <t>挂黄</t>
  </si>
  <si>
    <t>套管打捆</t>
  </si>
  <si>
    <t>右脚架</t>
  </si>
  <si>
    <t>左前固定板</t>
  </si>
  <si>
    <t>左后固定板</t>
  </si>
  <si>
    <t>横梁</t>
  </si>
  <si>
    <t>焊接螺栓</t>
  </si>
  <si>
    <t>右前螺栓</t>
  </si>
  <si>
    <t>销价</t>
  </si>
  <si>
    <t>焊管19*1.5*1600</t>
  </si>
  <si>
    <t>焊管19*1.5*750</t>
  </si>
  <si>
    <t>钢丝</t>
  </si>
  <si>
    <t>螺栓</t>
  </si>
  <si>
    <t>钣金焊接件</t>
  </si>
  <si>
    <t>销价22.6</t>
  </si>
  <si>
    <t>整体1800坐垫</t>
  </si>
  <si>
    <t>右前固定板</t>
  </si>
  <si>
    <t>右后固定板</t>
  </si>
  <si>
    <t>焊管25*1.5*780*2</t>
  </si>
  <si>
    <t>焊管12*1.5*590</t>
  </si>
  <si>
    <t>Q196焊管</t>
  </si>
  <si>
    <t>1.2.3.4</t>
  </si>
  <si>
    <t>左旋转轴固定座</t>
  </si>
  <si>
    <t>螺母</t>
  </si>
  <si>
    <t>产品价格分析表</t>
  </si>
  <si>
    <t>产品名称：</t>
  </si>
  <si>
    <t>1995付垫右舵</t>
  </si>
  <si>
    <t>04.02.149</t>
  </si>
  <si>
    <t>制造成本</t>
  </si>
  <si>
    <t>规格及工序描述</t>
  </si>
  <si>
    <t>耗用量</t>
  </si>
  <si>
    <t>焊管20*1.2*1800、20*1.2*998、20*1.2*390</t>
  </si>
  <si>
    <t>千克</t>
  </si>
  <si>
    <t>方管20*20*380*2、20*20*290*2、20*20*40*2</t>
  </si>
  <si>
    <t>钢丝5*380*2、5*300*1、5*830*1、5*325*1</t>
  </si>
  <si>
    <t>5*355*1、5*50*2</t>
  </si>
  <si>
    <t>工序费</t>
  </si>
  <si>
    <t>项目工种</t>
  </si>
  <si>
    <t>分配率</t>
  </si>
  <si>
    <t>工部</t>
  </si>
  <si>
    <t>小时</t>
  </si>
  <si>
    <t>调试</t>
  </si>
  <si>
    <t>采购零部件费</t>
  </si>
  <si>
    <t>螺丝</t>
  </si>
  <si>
    <t>冲压件</t>
  </si>
  <si>
    <t>包装费</t>
  </si>
  <si>
    <t>喷涂费</t>
  </si>
  <si>
    <t>运费</t>
  </si>
  <si>
    <t>制作费用</t>
  </si>
  <si>
    <t>小计</t>
  </si>
  <si>
    <t>营业成本</t>
  </si>
  <si>
    <t>管理费用</t>
  </si>
  <si>
    <t>财务费用</t>
  </si>
  <si>
    <t>其他费用</t>
  </si>
  <si>
    <t>毛坯件合计</t>
  </si>
  <si>
    <t>成品价格</t>
  </si>
  <si>
    <t>含表面处理费</t>
  </si>
  <si>
    <t>1695付背</t>
  </si>
  <si>
    <t>04.02.165</t>
  </si>
  <si>
    <t>25*2.0*1590</t>
  </si>
  <si>
    <t>25*2.0*620</t>
  </si>
  <si>
    <t>12*2.0*426</t>
  </si>
  <si>
    <t>6*860</t>
  </si>
  <si>
    <t>调试挂簧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</si>
</sst>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;_耀"/>
    <numFmt numFmtId="177" formatCode="0.0%"/>
    <numFmt numFmtId="178" formatCode="0.00_ "/>
    <numFmt numFmtId="179" formatCode="0_);\(0\)"/>
    <numFmt numFmtId="180" formatCode="0.0_ "/>
    <numFmt numFmtId="181" formatCode="0.00_);\(0.00\)"/>
  </numFmts>
  <fonts count="50">
    <font>
      <sz val="11"/>
      <color theme="1"/>
      <name val="宋体"/>
      <charset val="134"/>
      <scheme val="minor"/>
    </font>
    <font>
      <sz val="25"/>
      <color indexed="8"/>
      <name val="宋体"/>
      <charset val="134"/>
    </font>
    <font>
      <sz val="12"/>
      <name val="宋体"/>
      <charset val="134"/>
    </font>
    <font>
      <sz val="18"/>
      <color indexed="8"/>
      <name val="宋体"/>
      <charset val="134"/>
    </font>
    <font>
      <sz val="17"/>
      <color indexed="8"/>
      <name val="宋体"/>
      <charset val="134"/>
    </font>
    <font>
      <sz val="15"/>
      <color indexed="8"/>
      <name val="宋体"/>
      <charset val="134"/>
    </font>
    <font>
      <sz val="12"/>
      <color indexed="8"/>
      <name val="宋体"/>
      <charset val="134"/>
    </font>
    <font>
      <sz val="13"/>
      <color indexed="8"/>
      <name val="宋体"/>
      <charset val="134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20"/>
      <color indexed="8"/>
      <name val="宋体"/>
      <charset val="134"/>
    </font>
    <font>
      <sz val="11"/>
      <name val="宋体"/>
      <charset val="134"/>
    </font>
    <font>
      <sz val="16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微软雅黑"/>
      <charset val="134"/>
    </font>
    <font>
      <sz val="11"/>
      <color rgb="FFFF0000"/>
      <name val="微软雅黑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vertAlign val="superscript"/>
      <sz val="11"/>
      <color theme="1"/>
      <name val="宋体"/>
      <charset val="134"/>
      <scheme val="minor"/>
    </font>
    <font>
      <vertAlign val="superscript"/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5" fillId="2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0" fontId="0" fillId="39" borderId="23" applyNumberFormat="0" applyFont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30" fillId="20" borderId="19" applyNumberFormat="0" applyAlignment="0" applyProtection="0">
      <alignment vertical="center"/>
    </xf>
    <xf numFmtId="0" fontId="37" fillId="31" borderId="22" applyNumberFormat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1" fillId="0" borderId="0" xfId="60" applyFont="1" applyAlignment="1">
      <alignment horizontal="center" vertical="center" shrinkToFit="1"/>
    </xf>
    <xf numFmtId="0" fontId="2" fillId="0" borderId="0" xfId="60"/>
    <xf numFmtId="0" fontId="3" fillId="0" borderId="1" xfId="60" applyFont="1" applyBorder="1" applyAlignment="1">
      <alignment vertical="center" shrinkToFit="1"/>
    </xf>
    <xf numFmtId="0" fontId="3" fillId="0" borderId="1" xfId="60" applyFont="1" applyBorder="1" applyAlignment="1">
      <alignment horizontal="left" vertical="center" shrinkToFit="1"/>
    </xf>
    <xf numFmtId="0" fontId="3" fillId="0" borderId="1" xfId="60" applyFont="1" applyBorder="1" applyAlignment="1">
      <alignment horizontal="center" vertical="center" shrinkToFit="1"/>
    </xf>
    <xf numFmtId="0" fontId="4" fillId="0" borderId="2" xfId="60" applyFont="1" applyBorder="1" applyAlignment="1">
      <alignment horizontal="center" vertical="center" shrinkToFit="1"/>
    </xf>
    <xf numFmtId="0" fontId="5" fillId="0" borderId="2" xfId="60" applyFont="1" applyBorder="1" applyAlignment="1">
      <alignment horizontal="center" vertical="center" shrinkToFit="1"/>
    </xf>
    <xf numFmtId="0" fontId="6" fillId="0" borderId="2" xfId="60" applyFont="1" applyBorder="1" applyAlignment="1">
      <alignment horizontal="center" vertical="center" shrinkToFit="1"/>
    </xf>
    <xf numFmtId="0" fontId="7" fillId="0" borderId="3" xfId="60" applyFont="1" applyBorder="1" applyAlignment="1">
      <alignment horizontal="center" vertical="center" shrinkToFit="1"/>
    </xf>
    <xf numFmtId="0" fontId="7" fillId="0" borderId="2" xfId="60" applyFont="1" applyBorder="1" applyAlignment="1">
      <alignment horizontal="center" vertical="center" shrinkToFit="1"/>
    </xf>
    <xf numFmtId="180" fontId="6" fillId="0" borderId="2" xfId="60" applyNumberFormat="1" applyFont="1" applyBorder="1" applyAlignment="1">
      <alignment horizontal="center" vertical="center" shrinkToFit="1"/>
    </xf>
    <xf numFmtId="0" fontId="7" fillId="0" borderId="4" xfId="60" applyFont="1" applyBorder="1" applyAlignment="1">
      <alignment horizontal="center" vertical="center" shrinkToFit="1"/>
    </xf>
    <xf numFmtId="0" fontId="7" fillId="0" borderId="5" xfId="60" applyFont="1" applyBorder="1" applyAlignment="1">
      <alignment horizontal="center" vertical="center" shrinkToFit="1"/>
    </xf>
    <xf numFmtId="0" fontId="6" fillId="2" borderId="2" xfId="61" applyFont="1" applyFill="1" applyBorder="1" applyAlignment="1">
      <alignment horizontal="center" vertical="center"/>
    </xf>
    <xf numFmtId="0" fontId="6" fillId="2" borderId="3" xfId="61" applyFont="1" applyFill="1" applyBorder="1" applyAlignment="1">
      <alignment horizontal="center" vertical="center"/>
    </xf>
    <xf numFmtId="0" fontId="7" fillId="0" borderId="6" xfId="60" applyFont="1" applyBorder="1" applyAlignment="1">
      <alignment horizontal="center" vertical="center" shrinkToFit="1"/>
    </xf>
    <xf numFmtId="0" fontId="7" fillId="0" borderId="7" xfId="60" applyFont="1" applyBorder="1" applyAlignment="1">
      <alignment horizontal="center" vertical="center" shrinkToFit="1"/>
    </xf>
    <xf numFmtId="0" fontId="7" fillId="0" borderId="8" xfId="60" applyFont="1" applyBorder="1" applyAlignment="1">
      <alignment horizontal="center" vertical="center" shrinkToFit="1"/>
    </xf>
    <xf numFmtId="178" fontId="7" fillId="0" borderId="6" xfId="60" applyNumberFormat="1" applyFont="1" applyBorder="1" applyAlignment="1">
      <alignment horizontal="center" vertical="center" shrinkToFit="1"/>
    </xf>
    <xf numFmtId="178" fontId="7" fillId="0" borderId="7" xfId="60" applyNumberFormat="1" applyFont="1" applyBorder="1" applyAlignment="1">
      <alignment horizontal="center" vertical="center" shrinkToFit="1"/>
    </xf>
    <xf numFmtId="178" fontId="7" fillId="0" borderId="8" xfId="60" applyNumberFormat="1" applyFont="1" applyBorder="1" applyAlignment="1">
      <alignment horizontal="center" vertical="center" shrinkToFit="1"/>
    </xf>
    <xf numFmtId="0" fontId="7" fillId="0" borderId="9" xfId="60" applyFont="1" applyBorder="1" applyAlignment="1">
      <alignment horizontal="center" vertical="center" shrinkToFit="1"/>
    </xf>
    <xf numFmtId="178" fontId="7" fillId="0" borderId="10" xfId="60" applyNumberFormat="1" applyFont="1" applyBorder="1" applyAlignment="1">
      <alignment horizontal="center" vertical="center" shrinkToFit="1"/>
    </xf>
    <xf numFmtId="178" fontId="7" fillId="0" borderId="11" xfId="60" applyNumberFormat="1" applyFont="1" applyBorder="1" applyAlignment="1">
      <alignment horizontal="center" vertical="center" shrinkToFit="1"/>
    </xf>
    <xf numFmtId="178" fontId="7" fillId="0" borderId="12" xfId="60" applyNumberFormat="1" applyFont="1" applyBorder="1" applyAlignment="1">
      <alignment horizontal="center" vertical="center" shrinkToFit="1"/>
    </xf>
    <xf numFmtId="0" fontId="7" fillId="0" borderId="13" xfId="60" applyFont="1" applyBorder="1" applyAlignment="1">
      <alignment horizontal="center" vertical="center" shrinkToFit="1"/>
    </xf>
    <xf numFmtId="0" fontId="7" fillId="0" borderId="14" xfId="60" applyFont="1" applyBorder="1" applyAlignment="1">
      <alignment horizontal="center" vertical="center" shrinkToFit="1"/>
    </xf>
    <xf numFmtId="0" fontId="7" fillId="0" borderId="15" xfId="60" applyFont="1" applyBorder="1" applyAlignment="1">
      <alignment horizontal="center" vertical="center" shrinkToFit="1"/>
    </xf>
    <xf numFmtId="0" fontId="0" fillId="3" borderId="0" xfId="0" applyFill="1">
      <alignment vertical="center"/>
    </xf>
    <xf numFmtId="0" fontId="1" fillId="0" borderId="0" xfId="59" applyFont="1" applyAlignment="1">
      <alignment horizontal="center" vertical="center" shrinkToFit="1"/>
    </xf>
    <xf numFmtId="0" fontId="2" fillId="0" borderId="0" xfId="59"/>
    <xf numFmtId="0" fontId="3" fillId="0" borderId="1" xfId="59" applyFont="1" applyBorder="1" applyAlignment="1">
      <alignment vertical="center" shrinkToFit="1"/>
    </xf>
    <xf numFmtId="0" fontId="3" fillId="0" borderId="1" xfId="59" applyFont="1" applyBorder="1" applyAlignment="1">
      <alignment horizontal="left" vertical="center" shrinkToFit="1"/>
    </xf>
    <xf numFmtId="0" fontId="3" fillId="0" borderId="1" xfId="59" applyFont="1" applyBorder="1" applyAlignment="1">
      <alignment horizontal="center" vertical="center" shrinkToFit="1"/>
    </xf>
    <xf numFmtId="0" fontId="4" fillId="0" borderId="2" xfId="59" applyFont="1" applyBorder="1" applyAlignment="1">
      <alignment horizontal="center" vertical="center" shrinkToFit="1"/>
    </xf>
    <xf numFmtId="0" fontId="5" fillId="0" borderId="2" xfId="59" applyFont="1" applyBorder="1" applyAlignment="1">
      <alignment horizontal="center" vertical="center" shrinkToFit="1"/>
    </xf>
    <xf numFmtId="0" fontId="6" fillId="0" borderId="2" xfId="59" applyFont="1" applyBorder="1" applyAlignment="1">
      <alignment horizontal="center" vertical="center" shrinkToFit="1"/>
    </xf>
    <xf numFmtId="0" fontId="7" fillId="0" borderId="3" xfId="59" applyFont="1" applyBorder="1" applyAlignment="1">
      <alignment horizontal="center" vertical="center" shrinkToFit="1"/>
    </xf>
    <xf numFmtId="0" fontId="7" fillId="0" borderId="2" xfId="59" applyFont="1" applyBorder="1" applyAlignment="1">
      <alignment horizontal="center" vertical="center" shrinkToFit="1"/>
    </xf>
    <xf numFmtId="180" fontId="6" fillId="0" borderId="2" xfId="59" applyNumberFormat="1" applyFont="1" applyBorder="1" applyAlignment="1">
      <alignment horizontal="center" vertical="center" shrinkToFit="1"/>
    </xf>
    <xf numFmtId="0" fontId="7" fillId="0" borderId="4" xfId="59" applyFont="1" applyBorder="1" applyAlignment="1">
      <alignment horizontal="center" vertical="center" shrinkToFit="1"/>
    </xf>
    <xf numFmtId="0" fontId="7" fillId="0" borderId="5" xfId="59" applyFont="1" applyBorder="1" applyAlignment="1">
      <alignment horizontal="center" vertical="center" shrinkToFit="1"/>
    </xf>
    <xf numFmtId="0" fontId="6" fillId="2" borderId="2" xfId="13" applyFont="1" applyFill="1" applyBorder="1" applyAlignment="1">
      <alignment horizontal="center" vertical="center"/>
    </xf>
    <xf numFmtId="0" fontId="6" fillId="2" borderId="3" xfId="13" applyFont="1" applyFill="1" applyBorder="1" applyAlignment="1">
      <alignment horizontal="center" vertical="center"/>
    </xf>
    <xf numFmtId="0" fontId="7" fillId="0" borderId="6" xfId="59" applyFont="1" applyBorder="1" applyAlignment="1">
      <alignment horizontal="center" vertical="center" shrinkToFit="1"/>
    </xf>
    <xf numFmtId="0" fontId="7" fillId="0" borderId="7" xfId="59" applyFont="1" applyBorder="1" applyAlignment="1">
      <alignment horizontal="center" vertical="center" shrinkToFit="1"/>
    </xf>
    <xf numFmtId="0" fontId="7" fillId="0" borderId="8" xfId="59" applyFont="1" applyBorder="1" applyAlignment="1">
      <alignment horizontal="center" vertical="center" shrinkToFit="1"/>
    </xf>
    <xf numFmtId="178" fontId="7" fillId="0" borderId="6" xfId="59" applyNumberFormat="1" applyFont="1" applyBorder="1" applyAlignment="1">
      <alignment horizontal="center" vertical="center" shrinkToFit="1"/>
    </xf>
    <xf numFmtId="178" fontId="7" fillId="0" borderId="7" xfId="59" applyNumberFormat="1" applyFont="1" applyBorder="1" applyAlignment="1">
      <alignment horizontal="center" vertical="center" shrinkToFit="1"/>
    </xf>
    <xf numFmtId="178" fontId="7" fillId="0" borderId="8" xfId="59" applyNumberFormat="1" applyFont="1" applyBorder="1" applyAlignment="1">
      <alignment horizontal="center" vertical="center" shrinkToFit="1"/>
    </xf>
    <xf numFmtId="0" fontId="7" fillId="0" borderId="9" xfId="59" applyFont="1" applyBorder="1" applyAlignment="1">
      <alignment horizontal="center" vertical="center" shrinkToFit="1"/>
    </xf>
    <xf numFmtId="178" fontId="7" fillId="0" borderId="10" xfId="59" applyNumberFormat="1" applyFont="1" applyBorder="1" applyAlignment="1">
      <alignment horizontal="center" vertical="center" shrinkToFit="1"/>
    </xf>
    <xf numFmtId="178" fontId="7" fillId="0" borderId="11" xfId="59" applyNumberFormat="1" applyFont="1" applyBorder="1" applyAlignment="1">
      <alignment horizontal="center" vertical="center" shrinkToFit="1"/>
    </xf>
    <xf numFmtId="178" fontId="7" fillId="0" borderId="12" xfId="59" applyNumberFormat="1" applyFont="1" applyBorder="1" applyAlignment="1">
      <alignment horizontal="center" vertical="center" shrinkToFit="1"/>
    </xf>
    <xf numFmtId="0" fontId="7" fillId="0" borderId="13" xfId="59" applyFont="1" applyBorder="1" applyAlignment="1">
      <alignment horizontal="center" vertical="center" shrinkToFit="1"/>
    </xf>
    <xf numFmtId="0" fontId="7" fillId="0" borderId="14" xfId="59" applyFont="1" applyBorder="1" applyAlignment="1">
      <alignment horizontal="center" vertical="center" shrinkToFit="1"/>
    </xf>
    <xf numFmtId="0" fontId="7" fillId="0" borderId="15" xfId="59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2" xfId="0" applyNumberFormat="1" applyBorder="1" applyAlignment="1">
      <alignment vertical="top" shrinkToFit="1"/>
    </xf>
    <xf numFmtId="0" fontId="0" fillId="0" borderId="8" xfId="0" applyBorder="1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 applyAlignment="1">
      <alignment horizontal="center" vertical="center"/>
    </xf>
    <xf numFmtId="176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178" fontId="0" fillId="0" borderId="2" xfId="0" applyNumberForma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176" fontId="0" fillId="4" borderId="2" xfId="0" applyNumberFormat="1" applyFill="1" applyBorder="1">
      <alignment vertical="center"/>
    </xf>
    <xf numFmtId="178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178" fontId="0" fillId="4" borderId="2" xfId="0" applyNumberFormat="1" applyFill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shrinkToFit="1"/>
    </xf>
    <xf numFmtId="178" fontId="9" fillId="4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9" fillId="0" borderId="2" xfId="0" applyFont="1" applyBorder="1" applyAlignment="1">
      <alignment horizontal="center" vertical="center" shrinkToFit="1"/>
    </xf>
    <xf numFmtId="0" fontId="9" fillId="4" borderId="2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178" fontId="0" fillId="0" borderId="0" xfId="0" applyNumberFormat="1" applyBorder="1" applyAlignment="1">
      <alignment horizontal="center" vertical="center"/>
    </xf>
    <xf numFmtId="0" fontId="12" fillId="0" borderId="1" xfId="56" applyFont="1" applyBorder="1" applyAlignment="1">
      <alignment horizontal="center" vertical="center"/>
    </xf>
    <xf numFmtId="0" fontId="0" fillId="0" borderId="1" xfId="56" applyBorder="1">
      <alignment vertical="center"/>
    </xf>
    <xf numFmtId="0" fontId="12" fillId="0" borderId="7" xfId="56" applyFont="1" applyBorder="1" applyAlignment="1">
      <alignment horizontal="center" vertical="center"/>
    </xf>
    <xf numFmtId="0" fontId="0" fillId="0" borderId="2" xfId="56" applyBorder="1" applyAlignment="1">
      <alignment horizontal="center" vertical="center" shrinkToFit="1"/>
    </xf>
    <xf numFmtId="176" fontId="0" fillId="0" borderId="2" xfId="56" applyNumberFormat="1" applyBorder="1" applyAlignment="1">
      <alignment horizontal="center" vertical="center" shrinkToFit="1"/>
    </xf>
    <xf numFmtId="0" fontId="0" fillId="0" borderId="6" xfId="56" applyBorder="1" applyAlignment="1">
      <alignment horizontal="center" vertical="center" shrinkToFit="1"/>
    </xf>
    <xf numFmtId="0" fontId="0" fillId="0" borderId="7" xfId="56" applyBorder="1">
      <alignment vertical="center"/>
    </xf>
    <xf numFmtId="0" fontId="13" fillId="0" borderId="2" xfId="56" applyFont="1" applyBorder="1" applyAlignment="1">
      <alignment horizontal="center" vertical="center" shrinkToFit="1"/>
    </xf>
    <xf numFmtId="0" fontId="0" fillId="0" borderId="8" xfId="56" applyBorder="1">
      <alignment vertical="center"/>
    </xf>
    <xf numFmtId="0" fontId="0" fillId="0" borderId="8" xfId="56" applyBorder="1" applyAlignment="1">
      <alignment horizontal="center" vertical="center" shrinkToFit="1"/>
    </xf>
    <xf numFmtId="0" fontId="0" fillId="0" borderId="2" xfId="56" applyBorder="1" applyAlignment="1">
      <alignment horizontal="center" vertical="center"/>
    </xf>
    <xf numFmtId="0" fontId="0" fillId="0" borderId="2" xfId="56" applyNumberFormat="1" applyBorder="1" applyAlignment="1">
      <alignment vertical="top" shrinkToFit="1"/>
    </xf>
    <xf numFmtId="0" fontId="2" fillId="0" borderId="2" xfId="0" applyFont="1" applyFill="1" applyBorder="1" applyAlignment="1"/>
    <xf numFmtId="0" fontId="0" fillId="0" borderId="6" xfId="56" applyBorder="1" applyAlignment="1">
      <alignment horizontal="center" vertical="center"/>
    </xf>
    <xf numFmtId="0" fontId="0" fillId="0" borderId="4" xfId="56" applyFill="1" applyBorder="1" applyAlignment="1">
      <alignment horizontal="center" vertical="center" shrinkToFit="1"/>
    </xf>
    <xf numFmtId="0" fontId="0" fillId="0" borderId="0" xfId="56">
      <alignment vertical="center"/>
    </xf>
    <xf numFmtId="0" fontId="0" fillId="0" borderId="8" xfId="56" applyBorder="1" applyAlignment="1">
      <alignment horizontal="center" vertical="center"/>
    </xf>
    <xf numFmtId="0" fontId="0" fillId="0" borderId="5" xfId="56" applyBorder="1" applyAlignment="1">
      <alignment horizontal="center" vertical="center"/>
    </xf>
    <xf numFmtId="0" fontId="0" fillId="0" borderId="2" xfId="56" applyBorder="1" applyAlignment="1">
      <alignment vertical="center" shrinkToFit="1"/>
    </xf>
    <xf numFmtId="178" fontId="0" fillId="0" borderId="6" xfId="56" applyNumberFormat="1" applyBorder="1" applyAlignment="1">
      <alignment horizontal="center" vertical="center"/>
    </xf>
    <xf numFmtId="178" fontId="0" fillId="0" borderId="7" xfId="56" applyNumberFormat="1" applyBorder="1" applyAlignment="1">
      <alignment horizontal="center" vertical="center"/>
    </xf>
    <xf numFmtId="176" fontId="0" fillId="0" borderId="2" xfId="56" applyNumberFormat="1" applyBorder="1">
      <alignment vertical="center"/>
    </xf>
    <xf numFmtId="0" fontId="0" fillId="0" borderId="2" xfId="56" applyBorder="1">
      <alignment vertical="center"/>
    </xf>
    <xf numFmtId="178" fontId="0" fillId="4" borderId="6" xfId="56" applyNumberFormat="1" applyFill="1" applyBorder="1" applyAlignment="1">
      <alignment horizontal="center" vertical="center"/>
    </xf>
    <xf numFmtId="178" fontId="0" fillId="4" borderId="7" xfId="56" applyNumberFormat="1" applyFill="1" applyBorder="1" applyAlignment="1">
      <alignment horizontal="center" vertical="center"/>
    </xf>
    <xf numFmtId="0" fontId="12" fillId="0" borderId="7" xfId="56" applyFont="1" applyBorder="1" applyAlignment="1">
      <alignment horizontal="center" vertical="center" shrinkToFit="1"/>
    </xf>
    <xf numFmtId="178" fontId="0" fillId="0" borderId="2" xfId="56" applyNumberFormat="1" applyBorder="1" applyAlignment="1">
      <alignment horizontal="center" vertical="center" shrinkToFit="1"/>
    </xf>
    <xf numFmtId="0" fontId="0" fillId="4" borderId="2" xfId="56" applyFill="1" applyBorder="1" applyAlignment="1">
      <alignment horizontal="center" vertical="center" shrinkToFit="1"/>
    </xf>
    <xf numFmtId="178" fontId="0" fillId="0" borderId="8" xfId="56" applyNumberFormat="1" applyBorder="1" applyAlignment="1">
      <alignment horizontal="center" vertical="center"/>
    </xf>
    <xf numFmtId="178" fontId="0" fillId="4" borderId="8" xfId="56" applyNumberForma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7" borderId="2" xfId="0" applyFill="1" applyBorder="1" applyAlignment="1">
      <alignment horizontal="center" vertical="center" shrinkToFit="1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178" fontId="0" fillId="7" borderId="2" xfId="0" applyNumberFormat="1" applyFill="1" applyBorder="1" applyAlignment="1">
      <alignment horizontal="center" vertical="center" shrinkToFit="1"/>
    </xf>
    <xf numFmtId="0" fontId="0" fillId="7" borderId="0" xfId="0" applyFill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14" fillId="0" borderId="1" xfId="0" applyFont="1" applyBorder="1" applyAlignment="1">
      <alignment horizontal="center" vertical="center"/>
    </xf>
    <xf numFmtId="176" fontId="9" fillId="4" borderId="2" xfId="0" applyNumberFormat="1" applyFont="1" applyFill="1" applyBorder="1">
      <alignment vertical="center"/>
    </xf>
    <xf numFmtId="178" fontId="0" fillId="7" borderId="0" xfId="0" applyNumberFormat="1" applyFill="1">
      <alignment vertical="center"/>
    </xf>
    <xf numFmtId="0" fontId="0" fillId="6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9" fontId="0" fillId="0" borderId="0" xfId="12">
      <alignment vertical="center"/>
    </xf>
    <xf numFmtId="9" fontId="15" fillId="0" borderId="0" xfId="12" applyFont="1">
      <alignment vertical="center"/>
    </xf>
    <xf numFmtId="0" fontId="16" fillId="6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178" fontId="16" fillId="6" borderId="2" xfId="0" applyNumberFormat="1" applyFont="1" applyFill="1" applyBorder="1" applyAlignment="1">
      <alignment horizontal="center" vertical="center" wrapText="1"/>
    </xf>
    <xf numFmtId="181" fontId="16" fillId="6" borderId="3" xfId="0" applyNumberFormat="1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/>
    </xf>
    <xf numFmtId="179" fontId="16" fillId="3" borderId="2" xfId="0" applyNumberFormat="1" applyFont="1" applyFill="1" applyBorder="1" applyAlignment="1">
      <alignment horizontal="center" vertical="center"/>
    </xf>
    <xf numFmtId="178" fontId="16" fillId="3" borderId="2" xfId="0" applyNumberFormat="1" applyFont="1" applyFill="1" applyBorder="1" applyAlignment="1">
      <alignment vertical="center"/>
    </xf>
    <xf numFmtId="181" fontId="16" fillId="3" borderId="2" xfId="0" applyNumberFormat="1" applyFont="1" applyFill="1" applyBorder="1" applyAlignment="1">
      <alignment vertical="center"/>
    </xf>
    <xf numFmtId="0" fontId="18" fillId="3" borderId="2" xfId="0" applyFont="1" applyFill="1" applyBorder="1" applyAlignment="1">
      <alignment horizontal="center" vertical="center"/>
    </xf>
    <xf numFmtId="179" fontId="16" fillId="3" borderId="8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vertical="center"/>
    </xf>
    <xf numFmtId="0" fontId="16" fillId="6" borderId="2" xfId="0" applyFont="1" applyFill="1" applyBorder="1" applyAlignment="1">
      <alignment vertical="center"/>
    </xf>
    <xf numFmtId="178" fontId="16" fillId="6" borderId="2" xfId="0" applyNumberFormat="1" applyFont="1" applyFill="1" applyBorder="1" applyAlignment="1">
      <alignment vertical="center"/>
    </xf>
    <xf numFmtId="181" fontId="16" fillId="6" borderId="2" xfId="0" applyNumberFormat="1" applyFont="1" applyFill="1" applyBorder="1" applyAlignment="1">
      <alignment vertical="center"/>
    </xf>
    <xf numFmtId="0" fontId="16" fillId="6" borderId="2" xfId="0" applyFont="1" applyFill="1" applyBorder="1" applyAlignment="1">
      <alignment horizontal="left" vertical="center"/>
    </xf>
    <xf numFmtId="0" fontId="19" fillId="6" borderId="2" xfId="0" applyFont="1" applyFill="1" applyBorder="1" applyAlignment="1">
      <alignment horizontal="center" vertical="center"/>
    </xf>
    <xf numFmtId="179" fontId="16" fillId="6" borderId="2" xfId="0" applyNumberFormat="1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2" xfId="63" applyFont="1" applyFill="1" applyBorder="1" applyAlignment="1">
      <alignment horizontal="left" vertical="center" shrinkToFit="1"/>
    </xf>
    <xf numFmtId="178" fontId="16" fillId="9" borderId="2" xfId="0" applyNumberFormat="1" applyFont="1" applyFill="1" applyBorder="1" applyAlignment="1">
      <alignment vertical="center"/>
    </xf>
    <xf numFmtId="181" fontId="16" fillId="9" borderId="2" xfId="0" applyNumberFormat="1" applyFont="1" applyFill="1" applyBorder="1" applyAlignment="1">
      <alignment vertical="center"/>
    </xf>
    <xf numFmtId="0" fontId="18" fillId="9" borderId="2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6" borderId="0" xfId="0" applyFont="1" applyFill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1" fillId="0" borderId="0" xfId="63" applyFont="1">
      <alignment vertical="center"/>
    </xf>
    <xf numFmtId="0" fontId="0" fillId="0" borderId="0" xfId="63">
      <alignment vertical="center"/>
    </xf>
    <xf numFmtId="0" fontId="0" fillId="0" borderId="0" xfId="63" applyAlignment="1">
      <alignment horizontal="center" vertical="center"/>
    </xf>
    <xf numFmtId="43" fontId="0" fillId="0" borderId="0" xfId="62" applyFont="1">
      <alignment vertical="center"/>
    </xf>
    <xf numFmtId="0" fontId="22" fillId="6" borderId="2" xfId="40" applyFont="1" applyFill="1" applyBorder="1" applyAlignment="1">
      <alignment horizontal="center" vertical="center"/>
    </xf>
    <xf numFmtId="0" fontId="21" fillId="0" borderId="2" xfId="63" applyFont="1" applyBorder="1" applyAlignment="1">
      <alignment horizontal="center" vertical="center"/>
    </xf>
    <xf numFmtId="0" fontId="0" fillId="0" borderId="2" xfId="63" applyBorder="1" applyAlignment="1">
      <alignment horizontal="center" vertical="center"/>
    </xf>
    <xf numFmtId="0" fontId="0" fillId="0" borderId="2" xfId="63" applyBorder="1">
      <alignment vertical="center"/>
    </xf>
    <xf numFmtId="0" fontId="23" fillId="0" borderId="16" xfId="40" applyFont="1" applyBorder="1" applyAlignment="1">
      <alignment horizontal="center" vertical="center"/>
    </xf>
    <xf numFmtId="43" fontId="21" fillId="0" borderId="2" xfId="62" applyFont="1" applyBorder="1" applyAlignment="1">
      <alignment horizontal="center" vertical="center"/>
    </xf>
    <xf numFmtId="0" fontId="21" fillId="0" borderId="2" xfId="63" applyFont="1" applyBorder="1">
      <alignment vertical="center"/>
    </xf>
    <xf numFmtId="43" fontId="0" fillId="0" borderId="2" xfId="62" applyFont="1" applyBorder="1">
      <alignment vertical="center"/>
    </xf>
    <xf numFmtId="177" fontId="0" fillId="0" borderId="2" xfId="23" applyNumberFormat="1" applyFont="1" applyBorder="1">
      <alignment vertical="center"/>
    </xf>
  </cellXfs>
  <cellStyles count="64">
    <cellStyle name="常规" xfId="0" builtinId="0"/>
    <cellStyle name="货币[0]" xfId="1" builtinId="7"/>
    <cellStyle name="输出 3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Sheet1 2" xfId="13"/>
    <cellStyle name="已访问的超链接" xfId="14" builtinId="9"/>
    <cellStyle name="百分比 2" xfId="15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百分比 4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输出 2" xfId="43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5" xfId="56"/>
    <cellStyle name="Normal_Blank quotation sheet" xfId="57"/>
    <cellStyle name="百分比 3" xfId="58"/>
    <cellStyle name="常规 2" xfId="59"/>
    <cellStyle name="常规 3" xfId="60"/>
    <cellStyle name="常规_Sheet1" xfId="61"/>
    <cellStyle name="千位分隔 2" xfId="62"/>
    <cellStyle name="常规 4" xfId="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selection activeCell="C20" sqref="C20"/>
    </sheetView>
  </sheetViews>
  <sheetFormatPr defaultColWidth="9" defaultRowHeight="13.5"/>
  <cols>
    <col min="1" max="1" width="9" style="183"/>
    <col min="2" max="2" width="20.125" style="183" customWidth="1"/>
    <col min="3" max="3" width="5.125" style="183" customWidth="1"/>
    <col min="4" max="4" width="6.375" style="184" customWidth="1"/>
    <col min="5" max="16" width="7.125" style="183" customWidth="1"/>
    <col min="17" max="17" width="11" style="185" customWidth="1"/>
    <col min="18" max="16384" width="9" style="183"/>
  </cols>
  <sheetData>
    <row r="1" s="182" customFormat="1" ht="29.25" customHeight="1" spans="1:18">
      <c r="A1" s="186" t="s">
        <v>0</v>
      </c>
      <c r="B1" s="186" t="s">
        <v>1</v>
      </c>
      <c r="C1" s="186" t="s">
        <v>2</v>
      </c>
      <c r="D1" s="187" t="s">
        <v>3</v>
      </c>
      <c r="E1" s="187" t="s">
        <v>4</v>
      </c>
      <c r="F1" s="187" t="s">
        <v>5</v>
      </c>
      <c r="G1" s="187" t="s">
        <v>6</v>
      </c>
      <c r="H1" s="187" t="s">
        <v>7</v>
      </c>
      <c r="I1" s="187" t="s">
        <v>8</v>
      </c>
      <c r="J1" s="187" t="s">
        <v>9</v>
      </c>
      <c r="K1" s="187" t="s">
        <v>10</v>
      </c>
      <c r="L1" s="187" t="s">
        <v>11</v>
      </c>
      <c r="M1" s="187" t="s">
        <v>12</v>
      </c>
      <c r="N1" s="187" t="s">
        <v>13</v>
      </c>
      <c r="O1" s="187" t="s">
        <v>14</v>
      </c>
      <c r="P1" s="187" t="s">
        <v>15</v>
      </c>
      <c r="Q1" s="191" t="s">
        <v>16</v>
      </c>
      <c r="R1" s="192" t="s">
        <v>17</v>
      </c>
    </row>
    <row r="2" s="183" customFormat="1" ht="14.25" customHeight="1" spans="1:18">
      <c r="A2" s="188" t="s">
        <v>18</v>
      </c>
      <c r="B2" s="188" t="s">
        <v>19</v>
      </c>
      <c r="C2" s="188" t="s">
        <v>20</v>
      </c>
      <c r="D2" s="188">
        <v>2019</v>
      </c>
      <c r="E2" s="189">
        <f>3580/1.13</f>
        <v>3168.14159292035</v>
      </c>
      <c r="F2" s="189">
        <f>3750/1.13</f>
        <v>3318.58407079646</v>
      </c>
      <c r="G2" s="189">
        <f>3770/1.13</f>
        <v>3336.28318584071</v>
      </c>
      <c r="H2" s="189">
        <f>3820/1.13</f>
        <v>3380.53097345133</v>
      </c>
      <c r="I2" s="189">
        <f>3950/1.13</f>
        <v>3495.57522123894</v>
      </c>
      <c r="J2" s="189">
        <f>3850/1.13</f>
        <v>3407.0796460177</v>
      </c>
      <c r="K2" s="189">
        <f>3950/1.13</f>
        <v>3495.57522123894</v>
      </c>
      <c r="L2" s="189">
        <f>3850/1.13</f>
        <v>3407.0796460177</v>
      </c>
      <c r="M2" s="189">
        <f>3660/1.13</f>
        <v>3238.93805309735</v>
      </c>
      <c r="N2" s="189">
        <f>3640/1.13</f>
        <v>3221.2389380531</v>
      </c>
      <c r="O2" s="189">
        <f>3550/1.13</f>
        <v>3141.59292035398</v>
      </c>
      <c r="P2" s="189">
        <f>3750/1.13</f>
        <v>3318.58407079646</v>
      </c>
      <c r="Q2" s="193">
        <f t="shared" ref="Q2:Q9" si="0">AVERAGE(E2:P2)</f>
        <v>3327.43362831858</v>
      </c>
      <c r="R2" s="189"/>
    </row>
    <row r="3" s="183" customFormat="1" ht="14.25" customHeight="1" spans="1:18">
      <c r="A3" s="188" t="s">
        <v>18</v>
      </c>
      <c r="B3" s="188" t="s">
        <v>19</v>
      </c>
      <c r="C3" s="188" t="s">
        <v>20</v>
      </c>
      <c r="D3" s="188">
        <v>2020</v>
      </c>
      <c r="E3" s="189">
        <f>3750/1.13</f>
        <v>3318.58407079646</v>
      </c>
      <c r="F3" s="189">
        <f>3750/1.13</f>
        <v>3318.58407079646</v>
      </c>
      <c r="G3" s="189">
        <f>3350/1.13</f>
        <v>2964.6017699115</v>
      </c>
      <c r="H3" s="189">
        <f>3270/1.13</f>
        <v>2893.80530973451</v>
      </c>
      <c r="I3" s="189">
        <f>3370/1.13</f>
        <v>2982.30088495575</v>
      </c>
      <c r="J3" s="189">
        <f>3700/1.13</f>
        <v>3274.33628318584</v>
      </c>
      <c r="K3" s="189">
        <f>3730/1.13</f>
        <v>3300.88495575221</v>
      </c>
      <c r="L3" s="189">
        <f>3890/1.13</f>
        <v>3442.47787610619</v>
      </c>
      <c r="M3" s="189">
        <f>3960/1.13</f>
        <v>3504.42477876106</v>
      </c>
      <c r="N3" s="189">
        <f>3880/1.13</f>
        <v>3433.62831858407</v>
      </c>
      <c r="O3" s="189">
        <f>3860/1.13</f>
        <v>3415.92920353982</v>
      </c>
      <c r="P3" s="189">
        <f>4100/1.13</f>
        <v>3628.3185840708</v>
      </c>
      <c r="Q3" s="193">
        <f t="shared" si="0"/>
        <v>3289.82300884956</v>
      </c>
      <c r="R3" s="194">
        <f t="shared" ref="R3:R9" si="1">(Q3-Q2)/Q2</f>
        <v>-0.0113031914893617</v>
      </c>
    </row>
    <row r="4" s="183" customFormat="1" ht="14.25" customHeight="1" spans="1:18">
      <c r="A4" s="188" t="s">
        <v>18</v>
      </c>
      <c r="B4" s="188" t="s">
        <v>19</v>
      </c>
      <c r="C4" s="188" t="s">
        <v>20</v>
      </c>
      <c r="D4" s="188">
        <v>2021</v>
      </c>
      <c r="E4" s="189">
        <f>4460/1.13</f>
        <v>3946.90265486726</v>
      </c>
      <c r="F4" s="189">
        <f>4410/1.13</f>
        <v>3902.65486725664</v>
      </c>
      <c r="G4" s="189">
        <f>4770/1.13</f>
        <v>4221.2389380531</v>
      </c>
      <c r="H4" s="189">
        <f>5410/1.13</f>
        <v>4787.61061946903</v>
      </c>
      <c r="I4" s="189">
        <f>5900/1.13</f>
        <v>5221.2389380531</v>
      </c>
      <c r="J4" s="189">
        <f>5450/1.13</f>
        <v>4823.00884955752</v>
      </c>
      <c r="K4" s="189">
        <f>5350/1.13</f>
        <v>4734.51327433628</v>
      </c>
      <c r="L4" s="189"/>
      <c r="M4" s="189"/>
      <c r="N4" s="189"/>
      <c r="O4" s="189"/>
      <c r="P4" s="189"/>
      <c r="Q4" s="193">
        <f t="shared" si="0"/>
        <v>4519.59544879899</v>
      </c>
      <c r="R4" s="194">
        <f t="shared" si="1"/>
        <v>0.373811124987991</v>
      </c>
    </row>
    <row r="5" s="183" customFormat="1" ht="14.25" customHeight="1" spans="1:18">
      <c r="A5" s="190" t="s">
        <v>21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</row>
    <row r="6" s="183" customFormat="1" spans="4:17">
      <c r="D6" s="184"/>
      <c r="Q6" s="185"/>
    </row>
    <row r="7" s="183" customFormat="1" spans="1:19">
      <c r="A7" s="188" t="s">
        <v>22</v>
      </c>
      <c r="B7" s="188" t="s">
        <v>23</v>
      </c>
      <c r="C7" s="188" t="s">
        <v>20</v>
      </c>
      <c r="D7" s="188">
        <v>2019</v>
      </c>
      <c r="E7" s="189">
        <f>4100/1.13</f>
        <v>3628.3185840708</v>
      </c>
      <c r="F7" s="189">
        <f>4120/1.13</f>
        <v>3646.01769911504</v>
      </c>
      <c r="G7" s="189">
        <f>4180/1.13</f>
        <v>3699.11504424779</v>
      </c>
      <c r="H7" s="189">
        <f>4170/1.13</f>
        <v>3690.26548672566</v>
      </c>
      <c r="I7" s="189">
        <f>4310/1.13</f>
        <v>3814.1592920354</v>
      </c>
      <c r="J7" s="189">
        <f>4290/1.13</f>
        <v>3796.46017699115</v>
      </c>
      <c r="K7" s="189">
        <f>4340/1.13</f>
        <v>3840.70796460177</v>
      </c>
      <c r="L7" s="189">
        <f>4370/1.13</f>
        <v>3867.25663716814</v>
      </c>
      <c r="M7" s="189">
        <f>4150/1.13</f>
        <v>3672.56637168142</v>
      </c>
      <c r="N7" s="189">
        <f>4190/1.13</f>
        <v>3707.96460176991</v>
      </c>
      <c r="O7" s="189">
        <f>4080/1.13</f>
        <v>3610.61946902655</v>
      </c>
      <c r="P7" s="189">
        <f>4160/1.13</f>
        <v>3681.41592920354</v>
      </c>
      <c r="Q7" s="193">
        <f t="shared" si="0"/>
        <v>3721.2389380531</v>
      </c>
      <c r="R7" s="189"/>
      <c r="S7" s="183" t="s">
        <v>24</v>
      </c>
    </row>
    <row r="8" s="183" customFormat="1" spans="1:19">
      <c r="A8" s="188" t="s">
        <v>22</v>
      </c>
      <c r="B8" s="188" t="s">
        <v>23</v>
      </c>
      <c r="C8" s="188" t="s">
        <v>20</v>
      </c>
      <c r="D8" s="188">
        <v>2020</v>
      </c>
      <c r="E8" s="189">
        <f>4100/1.13</f>
        <v>3628.3185840708</v>
      </c>
      <c r="F8" s="189">
        <f>4050/1.13</f>
        <v>3584.07079646018</v>
      </c>
      <c r="G8" s="189">
        <f>3820/1.13</f>
        <v>3380.53097345133</v>
      </c>
      <c r="H8" s="189">
        <f>3800/1.13</f>
        <v>3362.83185840708</v>
      </c>
      <c r="I8" s="189">
        <f>3840/1.13</f>
        <v>3398.23008849558</v>
      </c>
      <c r="J8" s="189">
        <f>4130/1.13</f>
        <v>3654.86725663717</v>
      </c>
      <c r="K8" s="189">
        <f>4130/1.13</f>
        <v>3654.86725663717</v>
      </c>
      <c r="L8" s="189">
        <f>4210/1.13</f>
        <v>3725.66371681416</v>
      </c>
      <c r="M8" s="189">
        <f>4290/1.13</f>
        <v>3796.46017699115</v>
      </c>
      <c r="N8" s="189">
        <f>4270/1.13</f>
        <v>3778.7610619469</v>
      </c>
      <c r="O8" s="189">
        <f>4290/1.13</f>
        <v>3796.46017699115</v>
      </c>
      <c r="P8" s="189">
        <f>4450/1.13</f>
        <v>3938.05309734513</v>
      </c>
      <c r="Q8" s="193">
        <f t="shared" si="0"/>
        <v>3641.59292035398</v>
      </c>
      <c r="R8" s="194">
        <f t="shared" si="1"/>
        <v>-0.0214030915576692</v>
      </c>
      <c r="S8" s="183" t="s">
        <v>24</v>
      </c>
    </row>
    <row r="9" s="183" customFormat="1" spans="1:19">
      <c r="A9" s="188" t="s">
        <v>22</v>
      </c>
      <c r="B9" s="188" t="s">
        <v>23</v>
      </c>
      <c r="C9" s="188" t="s">
        <v>20</v>
      </c>
      <c r="D9" s="188">
        <v>2021</v>
      </c>
      <c r="E9" s="189">
        <f>4690/1.13</f>
        <v>4150.44247787611</v>
      </c>
      <c r="F9" s="189">
        <f>4710/1.13</f>
        <v>4168.14159292035</v>
      </c>
      <c r="G9" s="189">
        <f>5120/1.13</f>
        <v>4530.97345132743</v>
      </c>
      <c r="H9" s="189">
        <f>5540/1.13</f>
        <v>4902.65486725664</v>
      </c>
      <c r="I9" s="189">
        <f>5870/1.13</f>
        <v>5194.69026548673</v>
      </c>
      <c r="J9" s="189">
        <f>5920/1.13</f>
        <v>5238.93805309735</v>
      </c>
      <c r="K9" s="189">
        <f>5730/1.13</f>
        <v>5070.79646017699</v>
      </c>
      <c r="L9" s="189"/>
      <c r="M9" s="189"/>
      <c r="N9" s="189"/>
      <c r="O9" s="189"/>
      <c r="P9" s="189"/>
      <c r="Q9" s="193">
        <f t="shared" si="0"/>
        <v>4750.94816687737</v>
      </c>
      <c r="R9" s="194">
        <f t="shared" si="1"/>
        <v>0.30463461204652</v>
      </c>
      <c r="S9" s="183" t="s">
        <v>24</v>
      </c>
    </row>
    <row r="10" s="183" customFormat="1" spans="2:17">
      <c r="B10" s="184"/>
      <c r="D10" s="184"/>
      <c r="Q10" s="185"/>
    </row>
    <row r="11" s="183" customFormat="1" spans="1:19">
      <c r="A11" s="188" t="s">
        <v>25</v>
      </c>
      <c r="B11" s="188" t="s">
        <v>26</v>
      </c>
      <c r="C11" s="188" t="s">
        <v>20</v>
      </c>
      <c r="D11" s="188">
        <v>2019</v>
      </c>
      <c r="E11" s="189">
        <f>4080/1.13</f>
        <v>3610.61946902655</v>
      </c>
      <c r="F11" s="189">
        <f>4170/1.13</f>
        <v>3690.26548672566</v>
      </c>
      <c r="G11" s="189">
        <f>4270/1.13</f>
        <v>3778.7610619469</v>
      </c>
      <c r="H11" s="189">
        <f>4280/1.13</f>
        <v>3787.61061946903</v>
      </c>
      <c r="I11" s="189">
        <f>4320/1.13</f>
        <v>3823.00884955752</v>
      </c>
      <c r="J11" s="189">
        <f>4070/1.13</f>
        <v>3601.76991150443</v>
      </c>
      <c r="K11" s="189">
        <f>4220/1.13</f>
        <v>3734.51327433628</v>
      </c>
      <c r="L11" s="189">
        <f>4340/1.13</f>
        <v>3840.70796460177</v>
      </c>
      <c r="M11" s="189">
        <f>4180/1.13</f>
        <v>3699.11504424779</v>
      </c>
      <c r="N11" s="189">
        <f>4190/1.13</f>
        <v>3707.96460176991</v>
      </c>
      <c r="O11" s="189">
        <f>4040/1.13</f>
        <v>3575.22123893805</v>
      </c>
      <c r="P11" s="189">
        <f>4200/1.13</f>
        <v>3716.81415929204</v>
      </c>
      <c r="Q11" s="193">
        <f t="shared" ref="Q11:Q13" si="2">AVERAGE(E11:P11)</f>
        <v>3713.86430678466</v>
      </c>
      <c r="R11" s="189"/>
      <c r="S11" s="183" t="s">
        <v>27</v>
      </c>
    </row>
    <row r="12" s="183" customFormat="1" spans="1:19">
      <c r="A12" s="188" t="s">
        <v>25</v>
      </c>
      <c r="B12" s="188" t="s">
        <v>26</v>
      </c>
      <c r="C12" s="188" t="s">
        <v>20</v>
      </c>
      <c r="D12" s="188">
        <v>2020</v>
      </c>
      <c r="E12" s="189">
        <f>4230/1.13</f>
        <v>3743.36283185841</v>
      </c>
      <c r="F12" s="189">
        <f>4250/1.13</f>
        <v>3761.06194690266</v>
      </c>
      <c r="G12" s="189">
        <f>3990/1.13</f>
        <v>3530.97345132743</v>
      </c>
      <c r="H12" s="189">
        <f>3730/1.13</f>
        <v>3300.88495575221</v>
      </c>
      <c r="I12" s="189">
        <f>3700/1.13</f>
        <v>3274.33628318584</v>
      </c>
      <c r="J12" s="189">
        <f>4030/1.13</f>
        <v>3566.37168141593</v>
      </c>
      <c r="K12" s="189">
        <f>4070/1.13</f>
        <v>3601.76991150443</v>
      </c>
      <c r="L12" s="189">
        <f>4050/1.13</f>
        <v>3584.07079646018</v>
      </c>
      <c r="M12" s="189">
        <f>4330/1.13</f>
        <v>3831.85840707965</v>
      </c>
      <c r="N12" s="189">
        <f>4500/1.13</f>
        <v>3982.30088495575</v>
      </c>
      <c r="O12" s="189">
        <f>4570/1.13</f>
        <v>4044.24778761062</v>
      </c>
      <c r="P12" s="189">
        <f>4870/1.13</f>
        <v>4309.73451327434</v>
      </c>
      <c r="Q12" s="193">
        <f t="shared" si="2"/>
        <v>3710.91445427729</v>
      </c>
      <c r="R12" s="194">
        <f t="shared" ref="R12:R17" si="3">(Q12-Q11)/Q11</f>
        <v>-0.000794281175536116</v>
      </c>
      <c r="S12" s="183" t="s">
        <v>27</v>
      </c>
    </row>
    <row r="13" s="183" customFormat="1" spans="1:19">
      <c r="A13" s="188" t="s">
        <v>25</v>
      </c>
      <c r="B13" s="188" t="s">
        <v>26</v>
      </c>
      <c r="C13" s="188" t="s">
        <v>20</v>
      </c>
      <c r="D13" s="188">
        <v>2021</v>
      </c>
      <c r="E13" s="189">
        <f>5500/1.13</f>
        <v>4867.25663716814</v>
      </c>
      <c r="F13" s="189">
        <f>5220/1.13</f>
        <v>4619.46902654867</v>
      </c>
      <c r="G13" s="189">
        <f>5400/1.13</f>
        <v>4778.7610619469</v>
      </c>
      <c r="H13" s="189">
        <f>5750/1.13</f>
        <v>5088.49557522124</v>
      </c>
      <c r="I13" s="189">
        <f>6250/1.13</f>
        <v>5530.97345132743</v>
      </c>
      <c r="J13" s="189">
        <f>6150/1.13</f>
        <v>5442.4778761062</v>
      </c>
      <c r="K13" s="189">
        <f>6020/1.13</f>
        <v>5327.43362831858</v>
      </c>
      <c r="L13" s="189"/>
      <c r="M13" s="189"/>
      <c r="N13" s="189"/>
      <c r="O13" s="189"/>
      <c r="P13" s="189"/>
      <c r="Q13" s="193">
        <f t="shared" si="2"/>
        <v>5093.55246523388</v>
      </c>
      <c r="R13" s="194">
        <f t="shared" si="3"/>
        <v>0.372586872586872</v>
      </c>
      <c r="S13" s="183" t="s">
        <v>27</v>
      </c>
    </row>
    <row r="14" s="183" customFormat="1" spans="2:17">
      <c r="B14" s="184"/>
      <c r="D14" s="184"/>
      <c r="Q14" s="185"/>
    </row>
    <row r="15" s="183" customFormat="1" spans="1:19">
      <c r="A15" s="188" t="s">
        <v>25</v>
      </c>
      <c r="B15" s="188" t="s">
        <v>28</v>
      </c>
      <c r="C15" s="188" t="s">
        <v>20</v>
      </c>
      <c r="D15" s="188">
        <v>2019</v>
      </c>
      <c r="E15" s="189">
        <f>4060/1.13</f>
        <v>3592.9203539823</v>
      </c>
      <c r="F15" s="189">
        <f>4150/1.13</f>
        <v>3672.56637168142</v>
      </c>
      <c r="G15" s="189">
        <f>4250/1.13</f>
        <v>3761.06194690266</v>
      </c>
      <c r="H15" s="189">
        <f>4260/1.13</f>
        <v>3769.91150442478</v>
      </c>
      <c r="I15" s="189">
        <f>4300/1.13</f>
        <v>3805.30973451327</v>
      </c>
      <c r="J15" s="189">
        <f>4050/1.13</f>
        <v>3584.07079646018</v>
      </c>
      <c r="K15" s="189">
        <f>4200/1.13</f>
        <v>3716.81415929204</v>
      </c>
      <c r="L15" s="189">
        <f>4330/1.13</f>
        <v>3831.85840707965</v>
      </c>
      <c r="M15" s="189">
        <f>4170/1.13</f>
        <v>3690.26548672566</v>
      </c>
      <c r="N15" s="189">
        <f>4180/1.13</f>
        <v>3699.11504424779</v>
      </c>
      <c r="O15" s="189">
        <f>4030/1.13</f>
        <v>3566.37168141593</v>
      </c>
      <c r="P15" s="189">
        <f>4190/1.13</f>
        <v>3707.96460176991</v>
      </c>
      <c r="Q15" s="193">
        <f t="shared" ref="Q15:Q17" si="4">AVERAGE(E15:P15)</f>
        <v>3699.85250737463</v>
      </c>
      <c r="R15" s="189"/>
      <c r="S15" s="183" t="s">
        <v>27</v>
      </c>
    </row>
    <row r="16" s="183" customFormat="1" spans="1:19">
      <c r="A16" s="188" t="s">
        <v>25</v>
      </c>
      <c r="B16" s="188" t="s">
        <v>28</v>
      </c>
      <c r="C16" s="188" t="s">
        <v>20</v>
      </c>
      <c r="D16" s="188">
        <v>2020</v>
      </c>
      <c r="E16" s="189">
        <f>4220/1.13</f>
        <v>3734.51327433628</v>
      </c>
      <c r="F16" s="189">
        <f>4240/1.13</f>
        <v>3752.21238938053</v>
      </c>
      <c r="G16" s="189">
        <f>3980/1.13</f>
        <v>3522.12389380531</v>
      </c>
      <c r="H16" s="189">
        <f>3720/1.13</f>
        <v>3292.03539823009</v>
      </c>
      <c r="I16" s="189">
        <f>3690/1.13</f>
        <v>3265.48672566372</v>
      </c>
      <c r="J16" s="189">
        <f>4020/1.13</f>
        <v>3557.52212389381</v>
      </c>
      <c r="K16" s="189">
        <f>4060/1.13</f>
        <v>3592.9203539823</v>
      </c>
      <c r="L16" s="189">
        <f>4040/1.13</f>
        <v>3575.22123893805</v>
      </c>
      <c r="M16" s="189">
        <f>4320/1.13</f>
        <v>3823.00884955752</v>
      </c>
      <c r="N16" s="189">
        <f>4490/1.13</f>
        <v>3973.45132743363</v>
      </c>
      <c r="O16" s="189">
        <f>4560/1.13</f>
        <v>4035.3982300885</v>
      </c>
      <c r="P16" s="189">
        <f>4860/1.13</f>
        <v>4300.88495575221</v>
      </c>
      <c r="Q16" s="193">
        <f t="shared" si="4"/>
        <v>3702.06489675516</v>
      </c>
      <c r="R16" s="194">
        <f t="shared" si="3"/>
        <v>0.000597966912497521</v>
      </c>
      <c r="S16" s="183" t="s">
        <v>27</v>
      </c>
    </row>
    <row r="17" s="183" customFormat="1" spans="1:19">
      <c r="A17" s="188" t="s">
        <v>25</v>
      </c>
      <c r="B17" s="188" t="s">
        <v>28</v>
      </c>
      <c r="C17" s="188" t="s">
        <v>20</v>
      </c>
      <c r="D17" s="188">
        <v>2021</v>
      </c>
      <c r="E17" s="189">
        <f>5490/1.13</f>
        <v>4858.40707964602</v>
      </c>
      <c r="F17" s="189">
        <f>5210/1.13</f>
        <v>4610.61946902655</v>
      </c>
      <c r="G17" s="189">
        <f>5390/1.13</f>
        <v>4769.91150442478</v>
      </c>
      <c r="H17" s="189">
        <f>5740/1.13</f>
        <v>5079.64601769912</v>
      </c>
      <c r="I17" s="189">
        <f>6240/1.13</f>
        <v>5522.12389380531</v>
      </c>
      <c r="J17" s="189">
        <f>6140/1.13</f>
        <v>5433.62831858407</v>
      </c>
      <c r="K17" s="189">
        <f>6010/1.13</f>
        <v>5318.58407079646</v>
      </c>
      <c r="L17" s="189"/>
      <c r="M17" s="189"/>
      <c r="N17" s="189"/>
      <c r="O17" s="189"/>
      <c r="P17" s="189"/>
      <c r="Q17" s="193">
        <f t="shared" si="4"/>
        <v>5084.70290771176</v>
      </c>
      <c r="R17" s="194">
        <f t="shared" si="3"/>
        <v>0.373477518497439</v>
      </c>
      <c r="S17" s="183" t="s">
        <v>27</v>
      </c>
    </row>
  </sheetData>
  <mergeCells count="1">
    <mergeCell ref="A5:R5"/>
  </mergeCells>
  <pageMargins left="0.75" right="0.75" top="1" bottom="1" header="0.5" footer="0.5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Q55"/>
  <sheetViews>
    <sheetView topLeftCell="A34" workbookViewId="0">
      <selection activeCell="Q48" sqref="Q48"/>
    </sheetView>
  </sheetViews>
  <sheetFormatPr defaultColWidth="9" defaultRowHeight="13.5"/>
  <cols>
    <col min="1" max="1" width="4.625" customWidth="1"/>
    <col min="2" max="2" width="11.375" customWidth="1"/>
    <col min="3" max="3" width="13" customWidth="1"/>
    <col min="4" max="4" width="7.625" customWidth="1"/>
    <col min="5" max="5" width="6.125" customWidth="1"/>
    <col min="6" max="6" width="6.375" customWidth="1"/>
    <col min="7" max="8" width="6.25" customWidth="1"/>
    <col min="9" max="9" width="6.5" customWidth="1"/>
    <col min="10" max="10" width="7.375" customWidth="1"/>
    <col min="11" max="11" width="11.875" customWidth="1"/>
    <col min="14" max="14" width="11.125" customWidth="1"/>
    <col min="15" max="15" width="10" customWidth="1"/>
  </cols>
  <sheetData>
    <row r="1" ht="39" customHeight="1" spans="1:11">
      <c r="A1" s="58" t="s">
        <v>382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ht="18" customHeight="1" spans="1:11">
      <c r="A2" s="59" t="s">
        <v>29</v>
      </c>
      <c r="B2" s="59" t="s">
        <v>151</v>
      </c>
      <c r="C2" s="59" t="s">
        <v>152</v>
      </c>
      <c r="D2" s="59" t="s">
        <v>153</v>
      </c>
      <c r="E2" s="59" t="s">
        <v>154</v>
      </c>
      <c r="F2" s="59" t="s">
        <v>155</v>
      </c>
      <c r="G2" s="59" t="s">
        <v>156</v>
      </c>
      <c r="H2" s="59" t="s">
        <v>157</v>
      </c>
      <c r="I2" s="59" t="s">
        <v>158</v>
      </c>
      <c r="J2" s="59" t="s">
        <v>159</v>
      </c>
      <c r="K2" s="59" t="s">
        <v>160</v>
      </c>
    </row>
    <row r="3" ht="12.75" customHeight="1" spans="1:11">
      <c r="A3" s="59">
        <v>1</v>
      </c>
      <c r="B3" s="87" t="s">
        <v>364</v>
      </c>
      <c r="C3" s="88" t="s">
        <v>383</v>
      </c>
      <c r="D3" s="59" t="s">
        <v>313</v>
      </c>
      <c r="E3" s="60">
        <v>6.1</v>
      </c>
      <c r="F3" s="60">
        <v>0.69</v>
      </c>
      <c r="G3" s="60">
        <f>E3*F3</f>
        <v>4.209</v>
      </c>
      <c r="H3" s="60">
        <v>0.69</v>
      </c>
      <c r="I3" s="60">
        <f>F3-H3</f>
        <v>0</v>
      </c>
      <c r="J3" s="60">
        <f>I3*1.1</f>
        <v>0</v>
      </c>
      <c r="K3" s="60">
        <f>G3-J3</f>
        <v>4.209</v>
      </c>
    </row>
    <row r="4" ht="12.75" customHeight="1" spans="1:11">
      <c r="A4" s="59">
        <v>2</v>
      </c>
      <c r="B4" s="87" t="s">
        <v>370</v>
      </c>
      <c r="C4" s="88" t="s">
        <v>384</v>
      </c>
      <c r="D4" s="59" t="s">
        <v>313</v>
      </c>
      <c r="E4" s="60">
        <v>6.1</v>
      </c>
      <c r="F4" s="60">
        <v>0.54</v>
      </c>
      <c r="G4" s="60">
        <f t="shared" ref="G4:G9" si="0">E4*F4</f>
        <v>3.294</v>
      </c>
      <c r="H4" s="60">
        <v>0.54</v>
      </c>
      <c r="I4" s="60">
        <f t="shared" ref="I4:I6" si="1">F4-H4</f>
        <v>0</v>
      </c>
      <c r="J4" s="60">
        <f t="shared" ref="J4:J6" si="2">I4*1.1</f>
        <v>0</v>
      </c>
      <c r="K4" s="60">
        <f t="shared" ref="K4:K8" si="3">G4-J4</f>
        <v>3.294</v>
      </c>
    </row>
    <row r="5" ht="12.75" customHeight="1" spans="1:11">
      <c r="A5" s="59">
        <v>3</v>
      </c>
      <c r="B5" s="87" t="s">
        <v>385</v>
      </c>
      <c r="C5" s="88" t="s">
        <v>386</v>
      </c>
      <c r="D5" s="59" t="s">
        <v>313</v>
      </c>
      <c r="E5" s="60">
        <v>6.1</v>
      </c>
      <c r="F5" s="60">
        <v>0.44</v>
      </c>
      <c r="G5" s="60">
        <f t="shared" si="0"/>
        <v>2.684</v>
      </c>
      <c r="H5" s="60">
        <v>0.44</v>
      </c>
      <c r="I5" s="60">
        <f t="shared" si="1"/>
        <v>0</v>
      </c>
      <c r="J5" s="60">
        <f t="shared" si="2"/>
        <v>0</v>
      </c>
      <c r="K5" s="60">
        <f t="shared" si="3"/>
        <v>2.684</v>
      </c>
    </row>
    <row r="6" ht="12.75" customHeight="1" spans="1:11">
      <c r="A6" s="59">
        <v>4</v>
      </c>
      <c r="B6" s="87" t="s">
        <v>387</v>
      </c>
      <c r="C6" s="88" t="s">
        <v>388</v>
      </c>
      <c r="D6" s="59" t="s">
        <v>313</v>
      </c>
      <c r="E6" s="60">
        <v>6.1</v>
      </c>
      <c r="F6" s="60">
        <v>0.51</v>
      </c>
      <c r="G6" s="60">
        <f t="shared" si="0"/>
        <v>3.111</v>
      </c>
      <c r="H6" s="60">
        <v>0.51</v>
      </c>
      <c r="I6" s="60">
        <f t="shared" si="1"/>
        <v>0</v>
      </c>
      <c r="J6" s="60">
        <f t="shared" si="2"/>
        <v>0</v>
      </c>
      <c r="K6" s="60">
        <f t="shared" si="3"/>
        <v>3.111</v>
      </c>
    </row>
    <row r="7" ht="12.75" customHeight="1" spans="1:11">
      <c r="A7" s="59">
        <v>5</v>
      </c>
      <c r="B7" s="87" t="s">
        <v>366</v>
      </c>
      <c r="C7" s="88" t="s">
        <v>389</v>
      </c>
      <c r="D7" s="59" t="s">
        <v>313</v>
      </c>
      <c r="E7" s="60">
        <v>6.1</v>
      </c>
      <c r="F7" s="60">
        <v>0.34</v>
      </c>
      <c r="G7" s="60">
        <f t="shared" si="0"/>
        <v>2.074</v>
      </c>
      <c r="H7" s="60">
        <v>0.34</v>
      </c>
      <c r="I7" s="60">
        <f t="shared" ref="I7:I8" si="4">F7-H7</f>
        <v>0</v>
      </c>
      <c r="J7" s="60">
        <f t="shared" ref="J7:J8" si="5">I7*1.1</f>
        <v>0</v>
      </c>
      <c r="K7" s="60">
        <f t="shared" si="3"/>
        <v>2.074</v>
      </c>
    </row>
    <row r="8" ht="12.75" customHeight="1" spans="1:11">
      <c r="A8" s="59">
        <v>6</v>
      </c>
      <c r="B8" s="87" t="s">
        <v>368</v>
      </c>
      <c r="C8" s="88" t="s">
        <v>384</v>
      </c>
      <c r="D8" s="59" t="s">
        <v>313</v>
      </c>
      <c r="E8" s="60">
        <v>6.1</v>
      </c>
      <c r="F8" s="59">
        <v>0.54</v>
      </c>
      <c r="G8" s="60">
        <f t="shared" si="0"/>
        <v>3.294</v>
      </c>
      <c r="H8" s="59">
        <v>0.54</v>
      </c>
      <c r="I8" s="60">
        <f t="shared" si="4"/>
        <v>0</v>
      </c>
      <c r="J8" s="60">
        <f t="shared" si="5"/>
        <v>0</v>
      </c>
      <c r="K8" s="60">
        <f t="shared" si="3"/>
        <v>3.294</v>
      </c>
    </row>
    <row r="9" ht="12.75" customHeight="1" spans="1:11">
      <c r="A9" s="59">
        <v>7</v>
      </c>
      <c r="B9" s="59" t="s">
        <v>372</v>
      </c>
      <c r="C9" s="59" t="s">
        <v>390</v>
      </c>
      <c r="D9" s="59" t="s">
        <v>313</v>
      </c>
      <c r="E9" s="60">
        <v>6.1</v>
      </c>
      <c r="F9" s="59">
        <v>0.5</v>
      </c>
      <c r="G9" s="60">
        <f t="shared" si="0"/>
        <v>3.05</v>
      </c>
      <c r="H9" s="59">
        <v>0.5</v>
      </c>
      <c r="I9" s="60">
        <f t="shared" ref="I9" si="6">F9-H9</f>
        <v>0</v>
      </c>
      <c r="J9" s="60">
        <f t="shared" ref="J9" si="7">I9*1.1</f>
        <v>0</v>
      </c>
      <c r="K9" s="60">
        <f t="shared" ref="K9" si="8">G9-J9</f>
        <v>3.05</v>
      </c>
    </row>
    <row r="10" ht="12.75" customHeight="1" spans="1:11">
      <c r="A10" s="59">
        <v>8</v>
      </c>
      <c r="B10" s="59"/>
      <c r="C10" s="59"/>
      <c r="D10" s="59"/>
      <c r="E10" s="59"/>
      <c r="F10" s="59"/>
      <c r="G10" s="60"/>
      <c r="H10" s="59"/>
      <c r="I10" s="60"/>
      <c r="J10" s="60"/>
      <c r="K10" s="60"/>
    </row>
    <row r="11" ht="12.75" customHeight="1" spans="1:11">
      <c r="A11" s="61" t="s">
        <v>182</v>
      </c>
      <c r="B11" s="62"/>
      <c r="C11" s="62"/>
      <c r="D11" s="62"/>
      <c r="E11" s="62"/>
      <c r="F11" s="62"/>
      <c r="G11" s="62"/>
      <c r="H11" s="62"/>
      <c r="I11" s="62"/>
      <c r="J11" s="63"/>
      <c r="K11" s="60">
        <f>SUM(K3:K10)</f>
        <v>21.716</v>
      </c>
    </row>
    <row r="12" ht="12.75" customHeight="1" spans="1:11">
      <c r="A12" s="59" t="s">
        <v>29</v>
      </c>
      <c r="B12" s="59" t="s">
        <v>151</v>
      </c>
      <c r="C12" s="59" t="s">
        <v>152</v>
      </c>
      <c r="D12" s="59" t="s">
        <v>166</v>
      </c>
      <c r="E12" s="59" t="s">
        <v>167</v>
      </c>
      <c r="F12" s="59" t="s">
        <v>168</v>
      </c>
      <c r="G12" s="59" t="s">
        <v>169</v>
      </c>
      <c r="H12" s="59" t="s">
        <v>170</v>
      </c>
      <c r="I12" s="59" t="s">
        <v>171</v>
      </c>
      <c r="J12" s="61" t="s">
        <v>107</v>
      </c>
      <c r="K12" s="63"/>
    </row>
    <row r="13" ht="12.75" customHeight="1" spans="1:11">
      <c r="A13" s="59">
        <v>1</v>
      </c>
      <c r="B13" s="59"/>
      <c r="C13" s="59"/>
      <c r="D13" s="59"/>
      <c r="E13" s="59" t="s">
        <v>260</v>
      </c>
      <c r="F13" s="59" t="s">
        <v>261</v>
      </c>
      <c r="G13" s="59"/>
      <c r="H13" s="59" t="s">
        <v>262</v>
      </c>
      <c r="I13" s="59"/>
      <c r="J13" s="61"/>
      <c r="K13" s="63"/>
    </row>
    <row r="14" ht="12.75" customHeight="1" spans="1:11">
      <c r="A14" s="59">
        <v>2</v>
      </c>
      <c r="B14" s="59"/>
      <c r="C14" s="59"/>
      <c r="D14" s="59"/>
      <c r="E14" s="59" t="s">
        <v>260</v>
      </c>
      <c r="F14" s="59" t="s">
        <v>264</v>
      </c>
      <c r="G14" s="59"/>
      <c r="H14" s="59" t="s">
        <v>265</v>
      </c>
      <c r="I14" s="59"/>
      <c r="J14" s="61"/>
      <c r="K14" s="63"/>
    </row>
    <row r="15" ht="12.75" customHeight="1" spans="1:11">
      <c r="A15" s="59">
        <v>3</v>
      </c>
      <c r="B15" s="59"/>
      <c r="C15" s="59"/>
      <c r="D15" s="59"/>
      <c r="E15" s="59" t="s">
        <v>266</v>
      </c>
      <c r="F15" s="59" t="s">
        <v>267</v>
      </c>
      <c r="G15" s="59"/>
      <c r="H15" s="59">
        <v>0.5</v>
      </c>
      <c r="I15" s="59">
        <f>G15*H15</f>
        <v>0</v>
      </c>
      <c r="J15" s="61"/>
      <c r="K15" s="63"/>
    </row>
    <row r="16" ht="12.75" customHeight="1" spans="1:11">
      <c r="A16" s="59">
        <v>4</v>
      </c>
      <c r="B16" s="59"/>
      <c r="C16" s="59"/>
      <c r="D16" s="59"/>
      <c r="E16" s="59" t="s">
        <v>266</v>
      </c>
      <c r="F16" s="59" t="s">
        <v>268</v>
      </c>
      <c r="G16" s="59"/>
      <c r="H16" s="59">
        <v>0.3</v>
      </c>
      <c r="I16" s="59">
        <f t="shared" ref="I16:I30" si="9">G16*H16</f>
        <v>0</v>
      </c>
      <c r="J16" s="61"/>
      <c r="K16" s="63"/>
    </row>
    <row r="17" ht="12.75" customHeight="1" spans="1:11">
      <c r="A17" s="59">
        <v>5</v>
      </c>
      <c r="B17" s="59"/>
      <c r="C17" s="59"/>
      <c r="D17" s="59"/>
      <c r="E17" s="59" t="s">
        <v>270</v>
      </c>
      <c r="F17" s="59" t="s">
        <v>271</v>
      </c>
      <c r="G17" s="59"/>
      <c r="H17" s="59">
        <v>0.15</v>
      </c>
      <c r="I17" s="59">
        <f t="shared" si="9"/>
        <v>0</v>
      </c>
      <c r="J17" s="61"/>
      <c r="K17" s="63"/>
    </row>
    <row r="18" ht="12.75" customHeight="1" spans="1:11">
      <c r="A18" s="59">
        <v>6</v>
      </c>
      <c r="B18" s="59"/>
      <c r="C18" s="59"/>
      <c r="D18" s="59"/>
      <c r="E18" s="59" t="s">
        <v>270</v>
      </c>
      <c r="F18" s="59" t="s">
        <v>273</v>
      </c>
      <c r="G18" s="59"/>
      <c r="H18" s="59">
        <v>0.15</v>
      </c>
      <c r="I18" s="59">
        <f t="shared" si="9"/>
        <v>0</v>
      </c>
      <c r="J18" s="61"/>
      <c r="K18" s="63"/>
    </row>
    <row r="19" ht="12.75" customHeight="1" spans="1:11">
      <c r="A19" s="59">
        <v>7</v>
      </c>
      <c r="B19" s="59"/>
      <c r="C19" s="59"/>
      <c r="D19" s="59" t="s">
        <v>374</v>
      </c>
      <c r="E19" s="59" t="s">
        <v>270</v>
      </c>
      <c r="F19" s="59" t="s">
        <v>276</v>
      </c>
      <c r="G19" s="59"/>
      <c r="H19" s="59">
        <v>0.08</v>
      </c>
      <c r="I19" s="59">
        <f t="shared" si="9"/>
        <v>0</v>
      </c>
      <c r="J19" s="61"/>
      <c r="K19" s="63"/>
    </row>
    <row r="20" ht="12.75" customHeight="1" spans="1:11">
      <c r="A20" s="59">
        <v>8</v>
      </c>
      <c r="B20" s="59"/>
      <c r="C20" s="59"/>
      <c r="D20" s="59" t="s">
        <v>375</v>
      </c>
      <c r="E20" s="59" t="s">
        <v>270</v>
      </c>
      <c r="F20" s="59" t="s">
        <v>277</v>
      </c>
      <c r="G20" s="59"/>
      <c r="H20" s="59">
        <v>0.08</v>
      </c>
      <c r="I20" s="59">
        <f t="shared" si="9"/>
        <v>0</v>
      </c>
      <c r="J20" s="61"/>
      <c r="K20" s="63"/>
    </row>
    <row r="21" ht="12.75" customHeight="1" spans="1:11">
      <c r="A21" s="59">
        <v>9</v>
      </c>
      <c r="B21" s="59"/>
      <c r="C21" s="59"/>
      <c r="D21" s="59" t="s">
        <v>376</v>
      </c>
      <c r="E21" s="59" t="s">
        <v>270</v>
      </c>
      <c r="F21" s="59" t="s">
        <v>278</v>
      </c>
      <c r="G21" s="59"/>
      <c r="H21" s="59">
        <v>0.05</v>
      </c>
      <c r="I21" s="59">
        <f t="shared" si="9"/>
        <v>0</v>
      </c>
      <c r="J21" s="61"/>
      <c r="K21" s="63"/>
    </row>
    <row r="22" ht="12.75" customHeight="1" spans="1:11">
      <c r="A22" s="59">
        <v>10</v>
      </c>
      <c r="B22" s="59" t="s">
        <v>391</v>
      </c>
      <c r="C22" s="59"/>
      <c r="D22" s="59" t="s">
        <v>279</v>
      </c>
      <c r="E22" s="59"/>
      <c r="F22" s="59"/>
      <c r="G22" s="59"/>
      <c r="H22" s="59">
        <v>0.08</v>
      </c>
      <c r="I22" s="59">
        <v>0.75</v>
      </c>
      <c r="J22" s="61" t="s">
        <v>280</v>
      </c>
      <c r="K22" s="63"/>
    </row>
    <row r="23" ht="12.75" customHeight="1" spans="1:11">
      <c r="A23" s="59">
        <v>11</v>
      </c>
      <c r="B23" s="89"/>
      <c r="C23" s="59"/>
      <c r="D23" s="59" t="s">
        <v>174</v>
      </c>
      <c r="E23" s="59"/>
      <c r="F23" s="59"/>
      <c r="G23" s="59"/>
      <c r="H23" s="59">
        <v>0.08</v>
      </c>
      <c r="I23" s="59">
        <f t="shared" si="9"/>
        <v>0</v>
      </c>
      <c r="J23" s="61"/>
      <c r="K23" s="63"/>
    </row>
    <row r="24" ht="12.75" customHeight="1" spans="1:11">
      <c r="A24" s="59">
        <v>12</v>
      </c>
      <c r="B24" s="59"/>
      <c r="C24" s="59"/>
      <c r="D24" s="59" t="s">
        <v>321</v>
      </c>
      <c r="E24" s="59"/>
      <c r="F24" s="59"/>
      <c r="G24" s="59"/>
      <c r="H24" s="59">
        <v>0.08</v>
      </c>
      <c r="I24" s="59">
        <f t="shared" si="9"/>
        <v>0</v>
      </c>
      <c r="J24" s="61"/>
      <c r="K24" s="63"/>
    </row>
    <row r="25" ht="12.75" customHeight="1" spans="1:11">
      <c r="A25" s="59">
        <v>13</v>
      </c>
      <c r="B25" s="59"/>
      <c r="C25" s="59"/>
      <c r="D25" s="59" t="s">
        <v>282</v>
      </c>
      <c r="E25" s="59"/>
      <c r="F25" s="59"/>
      <c r="G25" s="59"/>
      <c r="H25" s="59">
        <v>0.08</v>
      </c>
      <c r="I25" s="59">
        <f t="shared" si="9"/>
        <v>0</v>
      </c>
      <c r="J25" s="61"/>
      <c r="K25" s="63"/>
    </row>
    <row r="26" ht="12.75" customHeight="1" spans="1:11">
      <c r="A26" s="59">
        <v>14</v>
      </c>
      <c r="B26" s="59"/>
      <c r="C26" s="59"/>
      <c r="D26" s="59" t="s">
        <v>283</v>
      </c>
      <c r="E26" s="59"/>
      <c r="F26" s="59"/>
      <c r="G26" s="59"/>
      <c r="H26" s="59">
        <v>0.08</v>
      </c>
      <c r="I26" s="59">
        <f t="shared" si="9"/>
        <v>0</v>
      </c>
      <c r="J26" s="61"/>
      <c r="K26" s="63"/>
    </row>
    <row r="27" ht="12.75" customHeight="1" spans="1:11">
      <c r="A27" s="59">
        <v>15</v>
      </c>
      <c r="B27" s="59"/>
      <c r="C27" s="59"/>
      <c r="D27" s="59" t="s">
        <v>284</v>
      </c>
      <c r="E27" s="59"/>
      <c r="F27" s="59"/>
      <c r="G27" s="59"/>
      <c r="H27" s="59">
        <v>0.08</v>
      </c>
      <c r="I27" s="59">
        <f t="shared" si="9"/>
        <v>0</v>
      </c>
      <c r="J27" s="61"/>
      <c r="K27" s="63"/>
    </row>
    <row r="28" ht="12.75" customHeight="1" spans="1:11">
      <c r="A28" s="59">
        <v>16</v>
      </c>
      <c r="B28" s="59" t="s">
        <v>378</v>
      </c>
      <c r="C28" s="59"/>
      <c r="D28" s="59" t="s">
        <v>275</v>
      </c>
      <c r="E28" s="59"/>
      <c r="F28" s="59"/>
      <c r="G28" s="59">
        <v>8</v>
      </c>
      <c r="H28" s="59">
        <v>0.08</v>
      </c>
      <c r="I28" s="59">
        <f t="shared" si="9"/>
        <v>0.64</v>
      </c>
      <c r="J28" s="61"/>
      <c r="K28" s="63"/>
    </row>
    <row r="29" ht="12.75" customHeight="1" spans="1:11">
      <c r="A29" s="59">
        <v>17</v>
      </c>
      <c r="B29" s="59" t="s">
        <v>378</v>
      </c>
      <c r="C29" s="59"/>
      <c r="D29" s="59" t="s">
        <v>285</v>
      </c>
      <c r="E29" s="59"/>
      <c r="F29" s="59"/>
      <c r="G29" s="59">
        <v>8</v>
      </c>
      <c r="H29" s="59">
        <v>0.08</v>
      </c>
      <c r="I29" s="59">
        <f t="shared" si="9"/>
        <v>0.64</v>
      </c>
      <c r="J29" s="61"/>
      <c r="K29" s="63"/>
    </row>
    <row r="30" ht="12.75" customHeight="1" spans="1:11">
      <c r="A30" s="59">
        <v>18</v>
      </c>
      <c r="B30" s="59" t="s">
        <v>378</v>
      </c>
      <c r="C30" s="59"/>
      <c r="D30" s="59" t="s">
        <v>286</v>
      </c>
      <c r="E30" s="59"/>
      <c r="F30" s="59"/>
      <c r="G30" s="59">
        <v>8</v>
      </c>
      <c r="H30" s="59">
        <v>0.08</v>
      </c>
      <c r="I30" s="59">
        <f t="shared" si="9"/>
        <v>0.64</v>
      </c>
      <c r="J30" s="61"/>
      <c r="K30" s="63"/>
    </row>
    <row r="31" ht="12.75" customHeight="1" spans="1:11">
      <c r="A31" s="59">
        <v>19</v>
      </c>
      <c r="B31" s="59"/>
      <c r="C31" s="59"/>
      <c r="D31" s="59" t="s">
        <v>287</v>
      </c>
      <c r="E31" s="59"/>
      <c r="F31" s="59"/>
      <c r="G31" s="59"/>
      <c r="H31" s="59"/>
      <c r="I31" s="59">
        <v>0.4</v>
      </c>
      <c r="J31" s="61" t="s">
        <v>288</v>
      </c>
      <c r="K31" s="63"/>
    </row>
    <row r="32" ht="12.75" customHeight="1" spans="1:11">
      <c r="A32" s="59"/>
      <c r="B32" s="59"/>
      <c r="C32" s="59"/>
      <c r="D32" s="61" t="s">
        <v>334</v>
      </c>
      <c r="E32" s="62"/>
      <c r="F32" s="62"/>
      <c r="G32" s="62"/>
      <c r="H32" s="63"/>
      <c r="I32" s="59"/>
      <c r="J32" s="61"/>
      <c r="K32" s="63"/>
    </row>
    <row r="33" ht="12.75" customHeight="1" spans="1:11">
      <c r="A33" s="61" t="s">
        <v>182</v>
      </c>
      <c r="B33" s="62"/>
      <c r="C33" s="62"/>
      <c r="D33" s="62"/>
      <c r="E33" s="62"/>
      <c r="F33" s="62"/>
      <c r="G33" s="62"/>
      <c r="H33" s="63"/>
      <c r="I33" s="90">
        <f>SUM(I13:I32)</f>
        <v>3.07</v>
      </c>
      <c r="J33" s="59"/>
      <c r="K33" s="59"/>
    </row>
    <row r="34" ht="12.75" customHeight="1" spans="1:11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ht="12.75" customHeight="1" spans="1:11">
      <c r="A35" s="61" t="s">
        <v>183</v>
      </c>
      <c r="B35" s="62"/>
      <c r="C35" s="62"/>
      <c r="D35" s="62"/>
      <c r="E35" s="63"/>
      <c r="F35" s="59" t="s">
        <v>184</v>
      </c>
      <c r="G35" s="59"/>
      <c r="H35" s="59" t="s">
        <v>185</v>
      </c>
      <c r="I35" s="59" t="s">
        <v>186</v>
      </c>
      <c r="J35" s="59" t="s">
        <v>187</v>
      </c>
      <c r="K35" s="63" t="s">
        <v>107</v>
      </c>
    </row>
    <row r="36" ht="12.75" customHeight="1" spans="1:11">
      <c r="A36" s="59" t="s">
        <v>29</v>
      </c>
      <c r="B36" s="59" t="s">
        <v>190</v>
      </c>
      <c r="C36" s="59" t="s">
        <v>191</v>
      </c>
      <c r="D36" s="59" t="s">
        <v>192</v>
      </c>
      <c r="E36" s="59" t="s">
        <v>171</v>
      </c>
      <c r="F36" s="59" t="s">
        <v>193</v>
      </c>
      <c r="G36" s="59"/>
      <c r="H36" s="59">
        <v>15</v>
      </c>
      <c r="I36" s="59">
        <v>0.05</v>
      </c>
      <c r="J36" s="78">
        <f>I36*H36</f>
        <v>0.75</v>
      </c>
      <c r="K36" s="59"/>
    </row>
    <row r="37" ht="12.75" customHeight="1" spans="1:11">
      <c r="A37" s="64">
        <v>1</v>
      </c>
      <c r="B37" s="59" t="s">
        <v>379</v>
      </c>
      <c r="C37" s="59">
        <v>2</v>
      </c>
      <c r="D37" s="59">
        <v>0.1</v>
      </c>
      <c r="E37" s="59">
        <f>D37*C37</f>
        <v>0.2</v>
      </c>
      <c r="F37" s="61" t="s">
        <v>380</v>
      </c>
      <c r="G37" s="63"/>
      <c r="H37" s="59">
        <v>6</v>
      </c>
      <c r="I37" s="59">
        <v>0.05</v>
      </c>
      <c r="J37" s="78">
        <f t="shared" ref="J37:J40" si="10">I37*H37</f>
        <v>0.3</v>
      </c>
      <c r="K37" s="59"/>
    </row>
    <row r="38" ht="12.75" customHeight="1" spans="1:11">
      <c r="A38" s="64">
        <v>2</v>
      </c>
      <c r="B38" s="59" t="s">
        <v>361</v>
      </c>
      <c r="C38" s="59">
        <v>5</v>
      </c>
      <c r="D38" s="59">
        <v>0.04</v>
      </c>
      <c r="E38" s="59">
        <f t="shared" ref="E38:E45" si="11">D38*C38</f>
        <v>0.2</v>
      </c>
      <c r="F38" s="61" t="s">
        <v>392</v>
      </c>
      <c r="G38" s="63"/>
      <c r="H38" s="59">
        <v>12</v>
      </c>
      <c r="I38" s="59">
        <v>0.05</v>
      </c>
      <c r="J38" s="78">
        <f t="shared" si="10"/>
        <v>0.6</v>
      </c>
      <c r="K38" s="59"/>
    </row>
    <row r="39" ht="12.75" customHeight="1" spans="1:16">
      <c r="A39" s="64">
        <v>3</v>
      </c>
      <c r="B39" s="59" t="s">
        <v>356</v>
      </c>
      <c r="C39" s="59">
        <v>1</v>
      </c>
      <c r="D39" s="59">
        <v>1.3</v>
      </c>
      <c r="E39" s="59">
        <f t="shared" si="11"/>
        <v>1.3</v>
      </c>
      <c r="F39" s="61" t="s">
        <v>393</v>
      </c>
      <c r="G39" s="63"/>
      <c r="H39" s="59">
        <v>6</v>
      </c>
      <c r="I39" s="59">
        <v>0.05</v>
      </c>
      <c r="J39" s="78">
        <f t="shared" si="10"/>
        <v>0.3</v>
      </c>
      <c r="K39" s="59"/>
      <c r="N39" s="77" t="s">
        <v>211</v>
      </c>
      <c r="O39" s="77" t="s">
        <v>212</v>
      </c>
      <c r="P39" s="77" t="s">
        <v>213</v>
      </c>
    </row>
    <row r="40" ht="12.75" customHeight="1" spans="1:16">
      <c r="A40" s="64">
        <v>4</v>
      </c>
      <c r="B40" s="59" t="s">
        <v>359</v>
      </c>
      <c r="C40" s="59">
        <v>2</v>
      </c>
      <c r="D40" s="59">
        <v>0.46</v>
      </c>
      <c r="E40" s="59">
        <f t="shared" si="11"/>
        <v>0.92</v>
      </c>
      <c r="F40" s="61" t="s">
        <v>394</v>
      </c>
      <c r="G40" s="63"/>
      <c r="H40" s="59">
        <v>53</v>
      </c>
      <c r="I40" s="59">
        <v>0.05</v>
      </c>
      <c r="J40" s="78">
        <f t="shared" si="10"/>
        <v>2.65</v>
      </c>
      <c r="K40" s="59"/>
      <c r="N40" s="77" t="s">
        <v>215</v>
      </c>
      <c r="O40" s="77" t="s">
        <v>216</v>
      </c>
      <c r="P40" s="77" t="s">
        <v>217</v>
      </c>
    </row>
    <row r="41" ht="12.75" customHeight="1" spans="1:11">
      <c r="A41" s="64">
        <v>5</v>
      </c>
      <c r="B41" s="59" t="s">
        <v>395</v>
      </c>
      <c r="C41" s="59">
        <v>2</v>
      </c>
      <c r="D41" s="59">
        <v>0.65</v>
      </c>
      <c r="E41" s="59">
        <f t="shared" si="11"/>
        <v>1.3</v>
      </c>
      <c r="F41" s="61"/>
      <c r="G41" s="63"/>
      <c r="H41" s="59"/>
      <c r="I41" s="59">
        <v>0.05</v>
      </c>
      <c r="J41" s="78"/>
      <c r="K41" s="59"/>
    </row>
    <row r="42" ht="12.75" customHeight="1" spans="1:11">
      <c r="A42" s="64">
        <v>6</v>
      </c>
      <c r="B42" s="59" t="s">
        <v>396</v>
      </c>
      <c r="C42" s="59">
        <v>2</v>
      </c>
      <c r="D42" s="59">
        <v>6.5</v>
      </c>
      <c r="E42" s="59">
        <f t="shared" si="11"/>
        <v>13</v>
      </c>
      <c r="F42" s="61" t="s">
        <v>182</v>
      </c>
      <c r="G42" s="63"/>
      <c r="H42" s="59"/>
      <c r="I42" s="59"/>
      <c r="J42" s="83">
        <f>SUM(J36:J41)</f>
        <v>4.6</v>
      </c>
      <c r="K42" s="59"/>
    </row>
    <row r="43" ht="12.75" customHeight="1" spans="1:17">
      <c r="A43" s="64">
        <v>7</v>
      </c>
      <c r="B43" s="59" t="s">
        <v>397</v>
      </c>
      <c r="C43" s="59">
        <v>2</v>
      </c>
      <c r="D43" s="59">
        <v>0.8</v>
      </c>
      <c r="E43" s="59">
        <f t="shared" si="11"/>
        <v>1.6</v>
      </c>
      <c r="F43" s="61" t="s">
        <v>219</v>
      </c>
      <c r="G43" s="63"/>
      <c r="H43" s="66" t="s">
        <v>301</v>
      </c>
      <c r="I43" s="66" t="s">
        <v>302</v>
      </c>
      <c r="J43" s="73" t="s">
        <v>187</v>
      </c>
      <c r="K43" s="59" t="s">
        <v>107</v>
      </c>
      <c r="N43" s="64" t="s">
        <v>222</v>
      </c>
      <c r="O43" s="64" t="s">
        <v>223</v>
      </c>
      <c r="P43" s="64" t="s">
        <v>182</v>
      </c>
      <c r="Q43" s="77"/>
    </row>
    <row r="44" ht="12.75" customHeight="1" spans="1:17">
      <c r="A44" s="64">
        <v>8</v>
      </c>
      <c r="B44" s="59"/>
      <c r="C44" s="59"/>
      <c r="D44" s="59"/>
      <c r="E44" s="59">
        <f t="shared" si="11"/>
        <v>0</v>
      </c>
      <c r="F44" s="61" t="s">
        <v>224</v>
      </c>
      <c r="G44" s="63"/>
      <c r="H44" s="59">
        <v>10</v>
      </c>
      <c r="I44" s="59"/>
      <c r="J44" s="59">
        <f>I44*H44</f>
        <v>0</v>
      </c>
      <c r="K44" s="59"/>
      <c r="N44" s="64">
        <v>2.36</v>
      </c>
      <c r="O44" s="64">
        <v>1.4</v>
      </c>
      <c r="P44" s="64">
        <f>N44*O44</f>
        <v>3.304</v>
      </c>
      <c r="Q44" s="77"/>
    </row>
    <row r="45" ht="12.75" customHeight="1" spans="1:11">
      <c r="A45" s="64">
        <v>9</v>
      </c>
      <c r="B45" s="59"/>
      <c r="C45" s="59"/>
      <c r="D45" s="59"/>
      <c r="E45" s="59">
        <f t="shared" si="11"/>
        <v>0</v>
      </c>
      <c r="F45" s="61" t="s">
        <v>226</v>
      </c>
      <c r="G45" s="63"/>
      <c r="H45" s="59">
        <v>12</v>
      </c>
      <c r="I45" s="59">
        <v>0.34</v>
      </c>
      <c r="J45" s="59">
        <f>I45*H45</f>
        <v>4.08</v>
      </c>
      <c r="K45" s="59"/>
    </row>
    <row r="46" ht="12.75" customHeight="1" spans="1:11">
      <c r="A46" s="68" t="s">
        <v>182</v>
      </c>
      <c r="B46" s="70"/>
      <c r="C46" s="70"/>
      <c r="D46" s="69"/>
      <c r="E46" s="71">
        <f>SUM(E37:E45)</f>
        <v>18.52</v>
      </c>
      <c r="F46" s="68"/>
      <c r="G46" s="70"/>
      <c r="H46" s="70"/>
      <c r="I46" s="70"/>
      <c r="J46" s="70"/>
      <c r="K46" s="70"/>
    </row>
    <row r="47" ht="12.75" customHeight="1" spans="1:16">
      <c r="A47" s="72" t="s">
        <v>227</v>
      </c>
      <c r="B47" s="72"/>
      <c r="C47" s="72" t="s">
        <v>208</v>
      </c>
      <c r="E47" s="73" t="s">
        <v>228</v>
      </c>
      <c r="F47" s="74">
        <f>C52+C51+C50+C49+C48</f>
        <v>53.2899</v>
      </c>
      <c r="G47" s="74"/>
      <c r="H47" s="74"/>
      <c r="I47" s="74"/>
      <c r="J47" s="74"/>
      <c r="K47" s="74"/>
      <c r="N47" s="64" t="s">
        <v>229</v>
      </c>
      <c r="O47" s="64" t="s">
        <v>230</v>
      </c>
      <c r="P47" s="64" t="s">
        <v>182</v>
      </c>
    </row>
    <row r="48" ht="12.75" customHeight="1" spans="1:17">
      <c r="A48" s="64" t="s">
        <v>231</v>
      </c>
      <c r="B48" s="64"/>
      <c r="C48" s="75">
        <f>K11</f>
        <v>21.716</v>
      </c>
      <c r="E48" s="76" t="s">
        <v>232</v>
      </c>
      <c r="F48" s="74">
        <f>F47*0.03</f>
        <v>1.598697</v>
      </c>
      <c r="G48" s="74"/>
      <c r="H48" s="74"/>
      <c r="I48" s="74"/>
      <c r="J48" s="74"/>
      <c r="K48" s="74"/>
      <c r="N48" s="64">
        <v>51.01</v>
      </c>
      <c r="O48" s="64">
        <v>3.304</v>
      </c>
      <c r="P48" s="84">
        <f>N48+O48</f>
        <v>54.314</v>
      </c>
      <c r="Q48" t="s">
        <v>252</v>
      </c>
    </row>
    <row r="49" ht="12.75" customHeight="1" spans="1:11">
      <c r="A49" s="64" t="s">
        <v>233</v>
      </c>
      <c r="B49" s="64"/>
      <c r="C49" s="80">
        <f>I33*1.17</f>
        <v>3.5919</v>
      </c>
      <c r="E49" s="76" t="s">
        <v>234</v>
      </c>
      <c r="F49" s="74">
        <f>F47*0.06</f>
        <v>3.197394</v>
      </c>
      <c r="G49" s="74"/>
      <c r="H49" s="74"/>
      <c r="I49" s="74"/>
      <c r="J49" s="74"/>
      <c r="K49" s="74"/>
    </row>
    <row r="50" ht="12.75" customHeight="1" spans="1:11">
      <c r="A50" s="64" t="s">
        <v>235</v>
      </c>
      <c r="B50" s="64"/>
      <c r="C50" s="75">
        <f>E46</f>
        <v>18.52</v>
      </c>
      <c r="E50" s="76" t="s">
        <v>236</v>
      </c>
      <c r="F50" s="74">
        <f>F47*0.02</f>
        <v>1.065798</v>
      </c>
      <c r="G50" s="74"/>
      <c r="H50" s="74"/>
      <c r="I50" s="74"/>
      <c r="J50" s="74"/>
      <c r="K50" s="74"/>
    </row>
    <row r="51" ht="12.75" customHeight="1" spans="1:11">
      <c r="A51" s="64" t="s">
        <v>238</v>
      </c>
      <c r="B51" s="64"/>
      <c r="C51" s="80">
        <f>J42*1.17</f>
        <v>5.382</v>
      </c>
      <c r="E51" s="76" t="s">
        <v>106</v>
      </c>
      <c r="F51" s="74"/>
      <c r="G51" s="74"/>
      <c r="H51" s="74"/>
      <c r="I51" s="74"/>
      <c r="J51" s="74"/>
      <c r="K51" s="74"/>
    </row>
    <row r="52" ht="12.75" customHeight="1" spans="1:11">
      <c r="A52" s="64" t="s">
        <v>219</v>
      </c>
      <c r="B52" s="64"/>
      <c r="C52" s="75">
        <f>J44+J45</f>
        <v>4.08</v>
      </c>
      <c r="E52" s="76" t="s">
        <v>239</v>
      </c>
      <c r="F52" s="74">
        <f>F51+F50+F49+F48+F47</f>
        <v>59.151789</v>
      </c>
      <c r="G52" s="74"/>
      <c r="H52" s="74"/>
      <c r="I52" s="74"/>
      <c r="J52" s="74"/>
      <c r="K52" s="74"/>
    </row>
    <row r="53" spans="1:9">
      <c r="A53" s="77"/>
      <c r="B53" s="77"/>
      <c r="H53" t="s">
        <v>252</v>
      </c>
      <c r="I53" t="s">
        <v>398</v>
      </c>
    </row>
    <row r="54" spans="1:2">
      <c r="A54" s="77"/>
      <c r="B54" s="77"/>
    </row>
    <row r="55" spans="1:2">
      <c r="A55" s="77"/>
      <c r="B55" s="77"/>
    </row>
  </sheetData>
  <mergeCells count="53">
    <mergeCell ref="A1:K1"/>
    <mergeCell ref="A11:J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9:K29"/>
    <mergeCell ref="J30:K30"/>
    <mergeCell ref="J31:K31"/>
    <mergeCell ref="D32:H32"/>
    <mergeCell ref="A33:H33"/>
    <mergeCell ref="A34:K34"/>
    <mergeCell ref="A35:E35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A46:D46"/>
    <mergeCell ref="F46:K46"/>
    <mergeCell ref="A47:B47"/>
    <mergeCell ref="F47:K47"/>
    <mergeCell ref="A48:B48"/>
    <mergeCell ref="F48:K48"/>
    <mergeCell ref="A49:B49"/>
    <mergeCell ref="F49:K49"/>
    <mergeCell ref="A50:B50"/>
    <mergeCell ref="F50:K50"/>
    <mergeCell ref="A51:B51"/>
    <mergeCell ref="F51:K51"/>
    <mergeCell ref="A52:B52"/>
    <mergeCell ref="F52:K52"/>
    <mergeCell ref="A53:B53"/>
    <mergeCell ref="A54:B54"/>
    <mergeCell ref="A55:B55"/>
  </mergeCells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58"/>
  <sheetViews>
    <sheetView topLeftCell="A37" workbookViewId="0">
      <selection activeCell="I35" sqref="I35"/>
    </sheetView>
  </sheetViews>
  <sheetFormatPr defaultColWidth="9" defaultRowHeight="13.5"/>
  <cols>
    <col min="1" max="1" width="3.125" customWidth="1"/>
    <col min="2" max="2" width="12.25" customWidth="1"/>
    <col min="3" max="3" width="9.125" customWidth="1"/>
    <col min="4" max="4" width="7.75" customWidth="1"/>
    <col min="5" max="5" width="6.625" customWidth="1"/>
    <col min="6" max="6" width="7.375" customWidth="1"/>
    <col min="7" max="7" width="7" customWidth="1"/>
    <col min="8" max="8" width="12.625" customWidth="1"/>
    <col min="9" max="9" width="7.75" customWidth="1"/>
    <col min="10" max="10" width="8.875" customWidth="1"/>
    <col min="11" max="11" width="6.5" customWidth="1"/>
    <col min="12" max="12" width="12.25" customWidth="1"/>
    <col min="13" max="13" width="13.125" customWidth="1"/>
  </cols>
  <sheetData>
    <row r="1" ht="36" customHeight="1" spans="1:11">
      <c r="A1" s="58" t="s">
        <v>399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customHeight="1" spans="1:11">
      <c r="A2" s="59" t="s">
        <v>29</v>
      </c>
      <c r="B2" s="59" t="s">
        <v>151</v>
      </c>
      <c r="C2" s="59" t="s">
        <v>152</v>
      </c>
      <c r="D2" s="59" t="s">
        <v>153</v>
      </c>
      <c r="E2" s="59" t="s">
        <v>154</v>
      </c>
      <c r="F2" s="59" t="s">
        <v>155</v>
      </c>
      <c r="G2" s="59" t="s">
        <v>156</v>
      </c>
      <c r="H2" s="59" t="s">
        <v>157</v>
      </c>
      <c r="I2" s="59" t="s">
        <v>158</v>
      </c>
      <c r="J2" s="59" t="s">
        <v>159</v>
      </c>
      <c r="K2" s="59" t="s">
        <v>160</v>
      </c>
    </row>
    <row r="3" customHeight="1" spans="1:11">
      <c r="A3" s="59">
        <v>1</v>
      </c>
      <c r="B3" s="59" t="s">
        <v>400</v>
      </c>
      <c r="C3" s="59"/>
      <c r="D3" s="59" t="s">
        <v>313</v>
      </c>
      <c r="E3" s="60">
        <v>6.1</v>
      </c>
      <c r="F3" s="60">
        <v>0.85</v>
      </c>
      <c r="G3" s="60">
        <f>E3*F3</f>
        <v>5.185</v>
      </c>
      <c r="H3" s="60">
        <v>0.85</v>
      </c>
      <c r="I3" s="60">
        <f>F3-H3</f>
        <v>0</v>
      </c>
      <c r="J3" s="60">
        <f>I3*1.1</f>
        <v>0</v>
      </c>
      <c r="K3" s="60">
        <f>G3-J3</f>
        <v>5.185</v>
      </c>
    </row>
    <row r="4" customHeight="1" spans="1:11">
      <c r="A4" s="59">
        <v>2</v>
      </c>
      <c r="B4" s="59" t="s">
        <v>401</v>
      </c>
      <c r="C4" s="59"/>
      <c r="D4" s="59" t="s">
        <v>313</v>
      </c>
      <c r="E4" s="60">
        <v>6.1</v>
      </c>
      <c r="F4" s="60">
        <v>0.68</v>
      </c>
      <c r="G4" s="60">
        <f t="shared" ref="G4:G12" si="0">E4*F4</f>
        <v>4.148</v>
      </c>
      <c r="H4" s="60">
        <v>0.68</v>
      </c>
      <c r="I4" s="60">
        <f t="shared" ref="I4:I12" si="1">F4-H4</f>
        <v>0</v>
      </c>
      <c r="J4" s="60">
        <f t="shared" ref="J4:J12" si="2">I4*1.1</f>
        <v>0</v>
      </c>
      <c r="K4" s="60">
        <f t="shared" ref="K4:K12" si="3">G4-J4</f>
        <v>4.148</v>
      </c>
    </row>
    <row r="5" customHeight="1" spans="1:11">
      <c r="A5" s="59">
        <v>3</v>
      </c>
      <c r="B5" s="59" t="s">
        <v>402</v>
      </c>
      <c r="C5" s="59"/>
      <c r="D5" s="59" t="s">
        <v>313</v>
      </c>
      <c r="E5" s="60">
        <v>6.1</v>
      </c>
      <c r="F5" s="60">
        <v>1.54</v>
      </c>
      <c r="G5" s="60">
        <f t="shared" si="0"/>
        <v>9.394</v>
      </c>
      <c r="H5" s="60">
        <v>1.54</v>
      </c>
      <c r="I5" s="60">
        <f t="shared" si="1"/>
        <v>0</v>
      </c>
      <c r="J5" s="60">
        <f t="shared" si="2"/>
        <v>0</v>
      </c>
      <c r="K5" s="60">
        <f t="shared" si="3"/>
        <v>9.394</v>
      </c>
    </row>
    <row r="6" customHeight="1" spans="1:11">
      <c r="A6" s="59">
        <v>4</v>
      </c>
      <c r="B6" s="59" t="s">
        <v>403</v>
      </c>
      <c r="C6" s="59"/>
      <c r="D6" s="59" t="s">
        <v>404</v>
      </c>
      <c r="E6" s="60">
        <v>5.5</v>
      </c>
      <c r="F6" s="60">
        <v>0.2</v>
      </c>
      <c r="G6" s="60">
        <f t="shared" si="0"/>
        <v>1.1</v>
      </c>
      <c r="H6" s="60">
        <v>0.2</v>
      </c>
      <c r="I6" s="60">
        <f t="shared" si="1"/>
        <v>0</v>
      </c>
      <c r="J6" s="60">
        <f t="shared" si="2"/>
        <v>0</v>
      </c>
      <c r="K6" s="60">
        <f t="shared" si="3"/>
        <v>1.1</v>
      </c>
    </row>
    <row r="7" customHeight="1" spans="1:11">
      <c r="A7" s="59">
        <v>5</v>
      </c>
      <c r="B7" s="59" t="s">
        <v>405</v>
      </c>
      <c r="C7" s="59"/>
      <c r="D7" s="59" t="s">
        <v>313</v>
      </c>
      <c r="E7" s="60">
        <v>6.1</v>
      </c>
      <c r="F7" s="60">
        <v>0.2</v>
      </c>
      <c r="G7" s="60">
        <f t="shared" si="0"/>
        <v>1.22</v>
      </c>
      <c r="H7" s="60">
        <v>0.2</v>
      </c>
      <c r="I7" s="60">
        <f t="shared" si="1"/>
        <v>0</v>
      </c>
      <c r="J7" s="60">
        <f t="shared" si="2"/>
        <v>0</v>
      </c>
      <c r="K7" s="60">
        <f t="shared" si="3"/>
        <v>1.22</v>
      </c>
    </row>
    <row r="8" customHeight="1" spans="1:11">
      <c r="A8" s="59">
        <v>6</v>
      </c>
      <c r="B8" s="59" t="s">
        <v>406</v>
      </c>
      <c r="C8" s="59"/>
      <c r="D8" s="59" t="s">
        <v>313</v>
      </c>
      <c r="E8" s="60">
        <v>6.1</v>
      </c>
      <c r="F8" s="59">
        <v>0.27</v>
      </c>
      <c r="G8" s="59">
        <f t="shared" si="0"/>
        <v>1.647</v>
      </c>
      <c r="H8" s="59">
        <v>0.27</v>
      </c>
      <c r="I8" s="59">
        <f t="shared" si="1"/>
        <v>0</v>
      </c>
      <c r="J8" s="59">
        <f t="shared" si="2"/>
        <v>0</v>
      </c>
      <c r="K8" s="59">
        <f t="shared" si="3"/>
        <v>1.647</v>
      </c>
    </row>
    <row r="9" customHeight="1" spans="1:11">
      <c r="A9" s="59">
        <v>7</v>
      </c>
      <c r="B9" s="59" t="s">
        <v>407</v>
      </c>
      <c r="C9" s="59"/>
      <c r="D9" s="59" t="s">
        <v>313</v>
      </c>
      <c r="E9" s="60">
        <v>6.1</v>
      </c>
      <c r="F9" s="59">
        <v>0.35</v>
      </c>
      <c r="G9" s="59">
        <f t="shared" si="0"/>
        <v>2.135</v>
      </c>
      <c r="H9" s="59">
        <v>0.35</v>
      </c>
      <c r="I9" s="59">
        <f t="shared" si="1"/>
        <v>0</v>
      </c>
      <c r="J9" s="59">
        <f t="shared" si="2"/>
        <v>0</v>
      </c>
      <c r="K9" s="59">
        <f t="shared" si="3"/>
        <v>2.135</v>
      </c>
    </row>
    <row r="10" customHeight="1" spans="1:11">
      <c r="A10" s="59">
        <v>8</v>
      </c>
      <c r="B10" s="59" t="s">
        <v>408</v>
      </c>
      <c r="C10" s="59"/>
      <c r="D10" s="59" t="s">
        <v>313</v>
      </c>
      <c r="E10" s="60">
        <v>6.1</v>
      </c>
      <c r="F10" s="59">
        <v>0.2</v>
      </c>
      <c r="G10" s="59">
        <f t="shared" si="0"/>
        <v>1.22</v>
      </c>
      <c r="H10" s="59">
        <v>0.2</v>
      </c>
      <c r="I10" s="59">
        <f t="shared" si="1"/>
        <v>0</v>
      </c>
      <c r="J10" s="59">
        <f t="shared" si="2"/>
        <v>0</v>
      </c>
      <c r="K10" s="59">
        <f t="shared" si="3"/>
        <v>1.22</v>
      </c>
    </row>
    <row r="11" customHeight="1" spans="1:11">
      <c r="A11" s="59">
        <v>9</v>
      </c>
      <c r="B11" s="59" t="s">
        <v>409</v>
      </c>
      <c r="C11" s="59"/>
      <c r="D11" s="59" t="s">
        <v>333</v>
      </c>
      <c r="E11" s="60">
        <v>5.9</v>
      </c>
      <c r="F11" s="59">
        <v>0.64</v>
      </c>
      <c r="G11" s="59">
        <f t="shared" si="0"/>
        <v>3.776</v>
      </c>
      <c r="H11" s="59">
        <v>0.5</v>
      </c>
      <c r="I11" s="59">
        <f t="shared" si="1"/>
        <v>0.14</v>
      </c>
      <c r="J11" s="59">
        <f t="shared" si="2"/>
        <v>0.154</v>
      </c>
      <c r="K11" s="59">
        <f t="shared" si="3"/>
        <v>3.622</v>
      </c>
    </row>
    <row r="12" customHeight="1" spans="1:11">
      <c r="A12" s="59">
        <v>10</v>
      </c>
      <c r="B12" s="59" t="s">
        <v>410</v>
      </c>
      <c r="C12" s="59"/>
      <c r="D12" s="59" t="s">
        <v>333</v>
      </c>
      <c r="E12" s="60">
        <v>5.9</v>
      </c>
      <c r="F12" s="59">
        <v>0.44</v>
      </c>
      <c r="G12" s="59">
        <f t="shared" si="0"/>
        <v>2.596</v>
      </c>
      <c r="H12" s="59">
        <v>0.32</v>
      </c>
      <c r="I12" s="59">
        <f t="shared" si="1"/>
        <v>0.12</v>
      </c>
      <c r="J12" s="59">
        <f t="shared" si="2"/>
        <v>0.132</v>
      </c>
      <c r="K12" s="59">
        <f t="shared" si="3"/>
        <v>2.464</v>
      </c>
    </row>
    <row r="13" customHeight="1" spans="1:11">
      <c r="A13" s="61" t="s">
        <v>182</v>
      </c>
      <c r="B13" s="62"/>
      <c r="C13" s="62"/>
      <c r="D13" s="62"/>
      <c r="E13" s="62"/>
      <c r="F13" s="62"/>
      <c r="G13" s="62"/>
      <c r="H13" s="62"/>
      <c r="I13" s="62"/>
      <c r="J13" s="63"/>
      <c r="K13" s="60">
        <f>SUM(K3:K12)</f>
        <v>32.135</v>
      </c>
    </row>
    <row r="14" customHeight="1" spans="1:11">
      <c r="A14" s="59" t="s">
        <v>29</v>
      </c>
      <c r="B14" s="59" t="s">
        <v>151</v>
      </c>
      <c r="C14" s="59" t="s">
        <v>152</v>
      </c>
      <c r="D14" s="59" t="s">
        <v>166</v>
      </c>
      <c r="E14" s="59" t="s">
        <v>167</v>
      </c>
      <c r="F14" s="59" t="s">
        <v>168</v>
      </c>
      <c r="G14" s="59" t="s">
        <v>169</v>
      </c>
      <c r="H14" s="59" t="s">
        <v>170</v>
      </c>
      <c r="I14" s="59" t="s">
        <v>171</v>
      </c>
      <c r="J14" s="61" t="s">
        <v>107</v>
      </c>
      <c r="K14" s="63"/>
    </row>
    <row r="15" customHeight="1" spans="1:11">
      <c r="A15" s="59">
        <v>1</v>
      </c>
      <c r="B15" s="59"/>
      <c r="C15" s="59"/>
      <c r="D15" s="59"/>
      <c r="E15" s="59" t="s">
        <v>260</v>
      </c>
      <c r="F15" s="59" t="s">
        <v>261</v>
      </c>
      <c r="G15" s="59"/>
      <c r="H15" s="59" t="s">
        <v>262</v>
      </c>
      <c r="I15" s="59"/>
      <c r="J15" s="61"/>
      <c r="K15" s="63"/>
    </row>
    <row r="16" customHeight="1" spans="1:11">
      <c r="A16" s="59">
        <v>2</v>
      </c>
      <c r="B16" s="59" t="s">
        <v>411</v>
      </c>
      <c r="C16" s="59"/>
      <c r="D16" s="59"/>
      <c r="E16" s="59" t="s">
        <v>260</v>
      </c>
      <c r="F16" s="59" t="s">
        <v>264</v>
      </c>
      <c r="G16" s="59"/>
      <c r="H16" s="59" t="s">
        <v>265</v>
      </c>
      <c r="I16" s="59">
        <v>0.3</v>
      </c>
      <c r="J16" s="61"/>
      <c r="K16" s="63"/>
    </row>
    <row r="17" customHeight="1" spans="1:11">
      <c r="A17" s="59">
        <v>3</v>
      </c>
      <c r="B17" s="59"/>
      <c r="C17" s="59"/>
      <c r="D17" s="59"/>
      <c r="E17" s="59" t="s">
        <v>266</v>
      </c>
      <c r="F17" s="59" t="s">
        <v>267</v>
      </c>
      <c r="G17" s="59"/>
      <c r="H17" s="59">
        <v>0.5</v>
      </c>
      <c r="I17" s="59">
        <f>G17*H17</f>
        <v>0</v>
      </c>
      <c r="J17" s="61"/>
      <c r="K17" s="63"/>
    </row>
    <row r="18" customHeight="1" spans="1:11">
      <c r="A18" s="59">
        <v>4</v>
      </c>
      <c r="B18" s="59"/>
      <c r="C18" s="59"/>
      <c r="D18" s="59"/>
      <c r="E18" s="59" t="s">
        <v>266</v>
      </c>
      <c r="F18" s="59" t="s">
        <v>268</v>
      </c>
      <c r="G18" s="59"/>
      <c r="H18" s="59">
        <v>0.3</v>
      </c>
      <c r="I18" s="59">
        <f t="shared" ref="I18:I32" si="4">G18*H18</f>
        <v>0</v>
      </c>
      <c r="J18" s="61"/>
      <c r="K18" s="63"/>
    </row>
    <row r="19" customHeight="1" spans="1:11">
      <c r="A19" s="59">
        <v>5</v>
      </c>
      <c r="B19" s="59"/>
      <c r="C19" s="59"/>
      <c r="D19" s="59"/>
      <c r="E19" s="59" t="s">
        <v>270</v>
      </c>
      <c r="F19" s="59" t="s">
        <v>271</v>
      </c>
      <c r="G19" s="59"/>
      <c r="H19" s="59">
        <v>0.15</v>
      </c>
      <c r="I19" s="59">
        <f t="shared" si="4"/>
        <v>0</v>
      </c>
      <c r="J19" s="61"/>
      <c r="K19" s="63"/>
    </row>
    <row r="20" customHeight="1" spans="1:11">
      <c r="A20" s="59">
        <v>6</v>
      </c>
      <c r="B20" s="59"/>
      <c r="C20" s="59"/>
      <c r="D20" s="59"/>
      <c r="E20" s="59" t="s">
        <v>270</v>
      </c>
      <c r="F20" s="59" t="s">
        <v>273</v>
      </c>
      <c r="G20" s="59"/>
      <c r="H20" s="59">
        <v>0.15</v>
      </c>
      <c r="I20" s="59">
        <f t="shared" si="4"/>
        <v>0</v>
      </c>
      <c r="J20" s="61"/>
      <c r="K20" s="63"/>
    </row>
    <row r="21" customHeight="1" spans="1:11">
      <c r="A21" s="59">
        <v>7</v>
      </c>
      <c r="B21" s="59"/>
      <c r="C21" s="59"/>
      <c r="D21" s="59"/>
      <c r="E21" s="59" t="s">
        <v>270</v>
      </c>
      <c r="F21" s="59" t="s">
        <v>276</v>
      </c>
      <c r="G21" s="59"/>
      <c r="H21" s="59">
        <v>0.08</v>
      </c>
      <c r="I21" s="59">
        <f t="shared" si="4"/>
        <v>0</v>
      </c>
      <c r="J21" s="61"/>
      <c r="K21" s="63"/>
    </row>
    <row r="22" customHeight="1" spans="1:11">
      <c r="A22" s="59">
        <v>8</v>
      </c>
      <c r="B22" s="59" t="s">
        <v>411</v>
      </c>
      <c r="C22" s="59"/>
      <c r="D22" s="59" t="s">
        <v>412</v>
      </c>
      <c r="E22" s="59" t="s">
        <v>270</v>
      </c>
      <c r="F22" s="59" t="s">
        <v>277</v>
      </c>
      <c r="G22" s="59">
        <v>12</v>
      </c>
      <c r="H22" s="59">
        <v>0.08</v>
      </c>
      <c r="I22" s="59">
        <f t="shared" si="4"/>
        <v>0.96</v>
      </c>
      <c r="J22" s="61"/>
      <c r="K22" s="63"/>
    </row>
    <row r="23" customHeight="1" spans="1:11">
      <c r="A23" s="59">
        <v>9</v>
      </c>
      <c r="B23" s="59"/>
      <c r="C23" s="59"/>
      <c r="D23" s="59"/>
      <c r="E23" s="59" t="s">
        <v>270</v>
      </c>
      <c r="F23" s="59" t="s">
        <v>278</v>
      </c>
      <c r="G23" s="59"/>
      <c r="H23" s="59">
        <v>0.05</v>
      </c>
      <c r="I23" s="59">
        <f t="shared" si="4"/>
        <v>0</v>
      </c>
      <c r="J23" s="61"/>
      <c r="K23" s="63"/>
    </row>
    <row r="24" customHeight="1" spans="1:11">
      <c r="A24" s="59">
        <v>10</v>
      </c>
      <c r="B24" s="59" t="s">
        <v>413</v>
      </c>
      <c r="C24" s="59" t="s">
        <v>414</v>
      </c>
      <c r="D24" s="59" t="s">
        <v>279</v>
      </c>
      <c r="E24" s="59"/>
      <c r="F24" s="59"/>
      <c r="G24" s="59"/>
      <c r="H24" s="59">
        <v>0.08</v>
      </c>
      <c r="I24" s="59">
        <v>0.56</v>
      </c>
      <c r="J24" s="61" t="s">
        <v>280</v>
      </c>
      <c r="K24" s="63"/>
    </row>
    <row r="25" customHeight="1" spans="1:11">
      <c r="A25" s="59">
        <v>11</v>
      </c>
      <c r="B25" s="59" t="s">
        <v>415</v>
      </c>
      <c r="C25" s="59"/>
      <c r="D25" s="59" t="s">
        <v>174</v>
      </c>
      <c r="E25" s="59"/>
      <c r="F25" s="59"/>
      <c r="G25" s="59">
        <v>2</v>
      </c>
      <c r="H25" s="59">
        <v>0.08</v>
      </c>
      <c r="I25" s="59">
        <f t="shared" si="4"/>
        <v>0.16</v>
      </c>
      <c r="J25" s="61"/>
      <c r="K25" s="63"/>
    </row>
    <row r="26" customHeight="1" spans="1:11">
      <c r="A26" s="59">
        <v>12</v>
      </c>
      <c r="B26" s="59" t="s">
        <v>416</v>
      </c>
      <c r="C26" s="59"/>
      <c r="D26" s="59" t="s">
        <v>321</v>
      </c>
      <c r="E26" s="59"/>
      <c r="F26" s="59"/>
      <c r="G26" s="59">
        <v>10</v>
      </c>
      <c r="H26" s="59">
        <v>0.08</v>
      </c>
      <c r="I26" s="59">
        <f t="shared" si="4"/>
        <v>0.8</v>
      </c>
      <c r="J26" s="61"/>
      <c r="K26" s="63"/>
    </row>
    <row r="27" customHeight="1" spans="1:11">
      <c r="A27" s="59">
        <v>13</v>
      </c>
      <c r="B27" s="59" t="s">
        <v>417</v>
      </c>
      <c r="C27" s="59"/>
      <c r="D27" s="59" t="s">
        <v>245</v>
      </c>
      <c r="E27" s="59"/>
      <c r="F27" s="59"/>
      <c r="G27" s="59">
        <v>2</v>
      </c>
      <c r="H27" s="59">
        <v>0.08</v>
      </c>
      <c r="I27" s="59">
        <f t="shared" si="4"/>
        <v>0.16</v>
      </c>
      <c r="J27" s="61"/>
      <c r="K27" s="63"/>
    </row>
    <row r="28" customHeight="1" spans="1:11">
      <c r="A28" s="59">
        <v>14</v>
      </c>
      <c r="B28" s="59" t="s">
        <v>418</v>
      </c>
      <c r="C28" s="59"/>
      <c r="D28" s="59" t="s">
        <v>283</v>
      </c>
      <c r="E28" s="59"/>
      <c r="F28" s="59"/>
      <c r="G28" s="59">
        <v>7</v>
      </c>
      <c r="H28" s="59">
        <v>0.08</v>
      </c>
      <c r="I28" s="59">
        <f t="shared" si="4"/>
        <v>0.56</v>
      </c>
      <c r="J28" s="61"/>
      <c r="K28" s="63"/>
    </row>
    <row r="29" customHeight="1" spans="1:11">
      <c r="A29" s="59">
        <v>15</v>
      </c>
      <c r="B29" s="59" t="s">
        <v>417</v>
      </c>
      <c r="C29" s="59"/>
      <c r="D29" s="59" t="s">
        <v>419</v>
      </c>
      <c r="E29" s="59"/>
      <c r="F29" s="59"/>
      <c r="G29" s="59">
        <v>2</v>
      </c>
      <c r="H29" s="59">
        <v>0.08</v>
      </c>
      <c r="I29" s="59">
        <f t="shared" si="4"/>
        <v>0.16</v>
      </c>
      <c r="J29" s="61"/>
      <c r="K29" s="63"/>
    </row>
    <row r="30" customHeight="1" spans="1:11">
      <c r="A30" s="59">
        <v>16</v>
      </c>
      <c r="B30" s="59" t="s">
        <v>368</v>
      </c>
      <c r="C30" s="59"/>
      <c r="D30" s="59" t="s">
        <v>275</v>
      </c>
      <c r="E30" s="59"/>
      <c r="F30" s="59"/>
      <c r="G30" s="59">
        <v>1</v>
      </c>
      <c r="H30" s="59">
        <v>0.08</v>
      </c>
      <c r="I30" s="59">
        <f t="shared" si="4"/>
        <v>0.08</v>
      </c>
      <c r="J30" s="61"/>
      <c r="K30" s="63"/>
    </row>
    <row r="31" customHeight="1" spans="1:11">
      <c r="A31" s="59">
        <v>17</v>
      </c>
      <c r="B31" s="59" t="s">
        <v>417</v>
      </c>
      <c r="C31" s="59"/>
      <c r="D31" s="59" t="s">
        <v>285</v>
      </c>
      <c r="E31" s="59"/>
      <c r="F31" s="59"/>
      <c r="G31" s="59">
        <v>2</v>
      </c>
      <c r="H31" s="59">
        <v>0.08</v>
      </c>
      <c r="I31" s="59">
        <f t="shared" si="4"/>
        <v>0.16</v>
      </c>
      <c r="J31" s="61"/>
      <c r="K31" s="63"/>
    </row>
    <row r="32" customHeight="1" spans="1:11">
      <c r="A32" s="59">
        <v>18</v>
      </c>
      <c r="B32" s="59"/>
      <c r="C32" s="59"/>
      <c r="D32" s="59"/>
      <c r="E32" s="59"/>
      <c r="F32" s="59"/>
      <c r="G32" s="59"/>
      <c r="H32" s="59">
        <v>0.08</v>
      </c>
      <c r="I32" s="59">
        <f t="shared" si="4"/>
        <v>0</v>
      </c>
      <c r="J32" s="61"/>
      <c r="K32" s="63"/>
    </row>
    <row r="33" customHeight="1" spans="1:11">
      <c r="A33" s="59">
        <v>19</v>
      </c>
      <c r="B33" s="59"/>
      <c r="C33" s="59"/>
      <c r="D33" s="59" t="s">
        <v>287</v>
      </c>
      <c r="E33" s="59"/>
      <c r="F33" s="59"/>
      <c r="G33" s="59"/>
      <c r="H33" s="59"/>
      <c r="I33" s="59">
        <v>0.4</v>
      </c>
      <c r="J33" s="61" t="s">
        <v>288</v>
      </c>
      <c r="K33" s="63"/>
    </row>
    <row r="34" customHeight="1" spans="1:11">
      <c r="A34" s="59"/>
      <c r="B34" s="59"/>
      <c r="C34" s="59"/>
      <c r="D34" s="61" t="s">
        <v>420</v>
      </c>
      <c r="E34" s="62"/>
      <c r="F34" s="62"/>
      <c r="G34" s="62"/>
      <c r="H34" s="63"/>
      <c r="I34" s="59">
        <v>0.7</v>
      </c>
      <c r="J34" s="61"/>
      <c r="K34" s="63"/>
    </row>
    <row r="35" customHeight="1" spans="1:11">
      <c r="A35" s="61" t="s">
        <v>182</v>
      </c>
      <c r="B35" s="62"/>
      <c r="C35" s="62"/>
      <c r="D35" s="62"/>
      <c r="E35" s="62"/>
      <c r="F35" s="62"/>
      <c r="G35" s="62"/>
      <c r="H35" s="63"/>
      <c r="I35" s="82">
        <f>SUM(I15:I34)</f>
        <v>5</v>
      </c>
      <c r="J35" s="59"/>
      <c r="K35" s="59"/>
    </row>
    <row r="36" customHeight="1" spans="1:11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3"/>
    </row>
    <row r="37" customHeight="1" spans="1:11">
      <c r="A37" s="61" t="s">
        <v>183</v>
      </c>
      <c r="B37" s="62"/>
      <c r="C37" s="62"/>
      <c r="D37" s="62"/>
      <c r="E37" s="63"/>
      <c r="F37" s="59" t="s">
        <v>184</v>
      </c>
      <c r="G37" s="59"/>
      <c r="H37" s="59" t="s">
        <v>185</v>
      </c>
      <c r="I37" s="59" t="s">
        <v>186</v>
      </c>
      <c r="J37" s="59" t="s">
        <v>187</v>
      </c>
      <c r="K37" s="63" t="s">
        <v>107</v>
      </c>
    </row>
    <row r="38" customHeight="1" spans="1:11">
      <c r="A38" s="59" t="s">
        <v>29</v>
      </c>
      <c r="B38" s="59" t="s">
        <v>190</v>
      </c>
      <c r="C38" s="59" t="s">
        <v>191</v>
      </c>
      <c r="D38" s="59" t="s">
        <v>192</v>
      </c>
      <c r="E38" s="59" t="s">
        <v>171</v>
      </c>
      <c r="F38" s="59" t="s">
        <v>421</v>
      </c>
      <c r="G38" s="59"/>
      <c r="H38" s="59">
        <v>12</v>
      </c>
      <c r="I38" s="59">
        <v>0.05</v>
      </c>
      <c r="J38" s="78">
        <f>I38*H38</f>
        <v>0.6</v>
      </c>
      <c r="K38" s="59"/>
    </row>
    <row r="39" customHeight="1" spans="1:11">
      <c r="A39" s="64">
        <v>1</v>
      </c>
      <c r="B39" s="59" t="s">
        <v>422</v>
      </c>
      <c r="C39" s="59">
        <v>3</v>
      </c>
      <c r="D39" s="59">
        <v>0.45</v>
      </c>
      <c r="E39" s="59">
        <f>D39*C39</f>
        <v>1.35</v>
      </c>
      <c r="F39" s="61" t="s">
        <v>423</v>
      </c>
      <c r="G39" s="63"/>
      <c r="H39" s="59">
        <v>12</v>
      </c>
      <c r="I39" s="59">
        <v>0.05</v>
      </c>
      <c r="J39" s="78">
        <f t="shared" ref="J39:J42" si="5">I39*H39</f>
        <v>0.6</v>
      </c>
      <c r="K39" s="59"/>
    </row>
    <row r="40" customHeight="1" spans="1:11">
      <c r="A40" s="64">
        <v>2</v>
      </c>
      <c r="B40" s="59" t="s">
        <v>424</v>
      </c>
      <c r="C40" s="59">
        <v>4</v>
      </c>
      <c r="D40" s="59">
        <v>0.55</v>
      </c>
      <c r="E40" s="59">
        <f t="shared" ref="E40:E47" si="6">D40*C40</f>
        <v>2.2</v>
      </c>
      <c r="F40" s="61" t="s">
        <v>425</v>
      </c>
      <c r="G40" s="63"/>
      <c r="H40" s="59">
        <v>4</v>
      </c>
      <c r="I40" s="59">
        <v>0.05</v>
      </c>
      <c r="J40" s="78">
        <f t="shared" si="5"/>
        <v>0.2</v>
      </c>
      <c r="K40" s="59"/>
    </row>
    <row r="41" customHeight="1" spans="1:11">
      <c r="A41" s="64">
        <v>3</v>
      </c>
      <c r="B41" s="59" t="s">
        <v>293</v>
      </c>
      <c r="C41" s="59">
        <v>8</v>
      </c>
      <c r="D41" s="59">
        <v>1</v>
      </c>
      <c r="E41" s="59">
        <f t="shared" si="6"/>
        <v>8</v>
      </c>
      <c r="F41" s="61" t="s">
        <v>291</v>
      </c>
      <c r="G41" s="63"/>
      <c r="H41" s="59">
        <v>112</v>
      </c>
      <c r="I41" s="59">
        <v>0.05</v>
      </c>
      <c r="J41" s="78">
        <f t="shared" si="5"/>
        <v>5.6</v>
      </c>
      <c r="K41" s="59"/>
    </row>
    <row r="42" customHeight="1" spans="1:11">
      <c r="A42" s="64">
        <v>4</v>
      </c>
      <c r="B42" s="59" t="s">
        <v>426</v>
      </c>
      <c r="C42" s="59">
        <v>16</v>
      </c>
      <c r="D42" s="59">
        <v>0.15</v>
      </c>
      <c r="E42" s="59">
        <f t="shared" si="6"/>
        <v>2.4</v>
      </c>
      <c r="F42" s="61"/>
      <c r="G42" s="63"/>
      <c r="H42" s="59"/>
      <c r="I42" s="59">
        <v>0.06</v>
      </c>
      <c r="J42" s="78">
        <f t="shared" si="5"/>
        <v>0</v>
      </c>
      <c r="K42" s="59"/>
    </row>
    <row r="43" customHeight="1" spans="1:15">
      <c r="A43" s="64">
        <v>5</v>
      </c>
      <c r="B43" s="59" t="s">
        <v>427</v>
      </c>
      <c r="C43" s="59">
        <v>1</v>
      </c>
      <c r="D43" s="65">
        <v>1.8</v>
      </c>
      <c r="E43" s="65">
        <f t="shared" si="6"/>
        <v>1.8</v>
      </c>
      <c r="F43" s="61"/>
      <c r="G43" s="63"/>
      <c r="H43" s="59"/>
      <c r="I43" s="59"/>
      <c r="J43" s="78"/>
      <c r="K43" s="59"/>
      <c r="M43" s="77" t="s">
        <v>211</v>
      </c>
      <c r="N43" s="77" t="s">
        <v>212</v>
      </c>
      <c r="O43" s="77" t="s">
        <v>213</v>
      </c>
    </row>
    <row r="44" customHeight="1" spans="1:15">
      <c r="A44" s="64">
        <v>6</v>
      </c>
      <c r="B44" s="59" t="s">
        <v>428</v>
      </c>
      <c r="C44" s="59">
        <v>4</v>
      </c>
      <c r="D44" s="59">
        <v>0.08</v>
      </c>
      <c r="E44" s="59">
        <f t="shared" si="6"/>
        <v>0.32</v>
      </c>
      <c r="F44" s="61" t="s">
        <v>182</v>
      </c>
      <c r="G44" s="63"/>
      <c r="H44" s="59"/>
      <c r="I44" s="59"/>
      <c r="J44" s="83">
        <f>SUM(J38:J43)</f>
        <v>7</v>
      </c>
      <c r="K44" s="59"/>
      <c r="M44" s="77" t="s">
        <v>215</v>
      </c>
      <c r="N44" s="77" t="s">
        <v>216</v>
      </c>
      <c r="O44" s="77" t="s">
        <v>217</v>
      </c>
    </row>
    <row r="45" customHeight="1" spans="1:11">
      <c r="A45" s="64">
        <v>7</v>
      </c>
      <c r="B45" s="59" t="s">
        <v>429</v>
      </c>
      <c r="C45" s="59">
        <v>16</v>
      </c>
      <c r="D45" s="59">
        <v>0.03</v>
      </c>
      <c r="E45" s="59">
        <f t="shared" si="6"/>
        <v>0.48</v>
      </c>
      <c r="F45" s="61" t="s">
        <v>219</v>
      </c>
      <c r="G45" s="63"/>
      <c r="H45" s="66" t="s">
        <v>301</v>
      </c>
      <c r="I45" s="59" t="s">
        <v>430</v>
      </c>
      <c r="J45" s="73" t="s">
        <v>187</v>
      </c>
      <c r="K45" s="59" t="s">
        <v>107</v>
      </c>
    </row>
    <row r="46" customHeight="1" spans="1:11">
      <c r="A46" s="64">
        <v>8</v>
      </c>
      <c r="B46" s="59" t="s">
        <v>431</v>
      </c>
      <c r="C46" s="59">
        <v>2</v>
      </c>
      <c r="D46" s="59">
        <v>0.1</v>
      </c>
      <c r="E46" s="59">
        <f t="shared" si="6"/>
        <v>0.2</v>
      </c>
      <c r="F46" s="61" t="s">
        <v>226</v>
      </c>
      <c r="G46" s="63"/>
      <c r="H46" s="59">
        <v>10</v>
      </c>
      <c r="I46" s="59">
        <v>0.5</v>
      </c>
      <c r="J46" s="59">
        <f>I46*H46</f>
        <v>5</v>
      </c>
      <c r="K46" s="59"/>
    </row>
    <row r="47" customHeight="1" spans="1:15">
      <c r="A47" s="64">
        <v>9</v>
      </c>
      <c r="B47" s="59" t="s">
        <v>432</v>
      </c>
      <c r="C47" s="59">
        <v>2</v>
      </c>
      <c r="D47" s="59">
        <v>1.3</v>
      </c>
      <c r="E47" s="59">
        <f t="shared" si="6"/>
        <v>2.6</v>
      </c>
      <c r="F47" s="61"/>
      <c r="G47" s="63"/>
      <c r="H47" s="67"/>
      <c r="I47" s="59"/>
      <c r="J47" s="59"/>
      <c r="K47" s="59"/>
      <c r="M47" s="64" t="s">
        <v>222</v>
      </c>
      <c r="N47" s="64" t="s">
        <v>223</v>
      </c>
      <c r="O47" s="64" t="s">
        <v>182</v>
      </c>
    </row>
    <row r="48" customHeight="1" spans="1:15">
      <c r="A48" s="64"/>
      <c r="B48" s="59"/>
      <c r="C48" s="59"/>
      <c r="D48" s="59"/>
      <c r="E48" s="59"/>
      <c r="F48" s="68"/>
      <c r="G48" s="69"/>
      <c r="H48" s="59"/>
      <c r="I48" s="59"/>
      <c r="J48" s="59"/>
      <c r="K48" s="59"/>
      <c r="M48" s="64">
        <v>5.7</v>
      </c>
      <c r="N48" s="64">
        <v>1.4</v>
      </c>
      <c r="O48" s="64">
        <f>M48*N48</f>
        <v>7.98</v>
      </c>
    </row>
    <row r="49" customHeight="1" spans="1:5">
      <c r="A49" s="68" t="s">
        <v>182</v>
      </c>
      <c r="B49" s="70"/>
      <c r="C49" s="70"/>
      <c r="D49" s="69"/>
      <c r="E49" s="71">
        <f>SUM(E39:E48)</f>
        <v>19.35</v>
      </c>
    </row>
    <row r="50" customHeight="1" spans="1:11">
      <c r="A50" s="72" t="s">
        <v>227</v>
      </c>
      <c r="B50" s="72"/>
      <c r="C50" s="72" t="s">
        <v>208</v>
      </c>
      <c r="E50" s="73" t="s">
        <v>228</v>
      </c>
      <c r="F50" s="74">
        <f>C55+C54+C53+C52+C51</f>
        <v>70.525</v>
      </c>
      <c r="G50" s="74"/>
      <c r="H50" s="74"/>
      <c r="I50" s="74"/>
      <c r="J50" s="74"/>
      <c r="K50" s="74"/>
    </row>
    <row r="51" customHeight="1" spans="1:15">
      <c r="A51" s="64" t="s">
        <v>231</v>
      </c>
      <c r="B51" s="64"/>
      <c r="C51" s="75">
        <f>K13</f>
        <v>32.135</v>
      </c>
      <c r="E51" s="76" t="s">
        <v>232</v>
      </c>
      <c r="F51" s="74">
        <f>F50*0.03</f>
        <v>2.11575</v>
      </c>
      <c r="G51" s="74"/>
      <c r="H51" s="74"/>
      <c r="I51" s="74"/>
      <c r="J51" s="74"/>
      <c r="K51" s="74"/>
      <c r="M51" s="64" t="s">
        <v>229</v>
      </c>
      <c r="N51" s="64" t="s">
        <v>230</v>
      </c>
      <c r="O51" s="64" t="s">
        <v>182</v>
      </c>
    </row>
    <row r="52" customHeight="1" spans="1:16">
      <c r="A52" s="64" t="s">
        <v>233</v>
      </c>
      <c r="B52" s="64"/>
      <c r="C52" s="80">
        <f>I35*1.17</f>
        <v>5.85</v>
      </c>
      <c r="E52" s="76" t="s">
        <v>234</v>
      </c>
      <c r="F52" s="74">
        <f>F50*0.06</f>
        <v>4.2315</v>
      </c>
      <c r="G52" s="74"/>
      <c r="H52" s="74"/>
      <c r="I52" s="74"/>
      <c r="J52" s="74"/>
      <c r="K52" s="74"/>
      <c r="M52" s="64">
        <v>68</v>
      </c>
      <c r="N52" s="64">
        <v>7.98</v>
      </c>
      <c r="O52" s="84">
        <f>M52+N52</f>
        <v>75.98</v>
      </c>
      <c r="P52" t="s">
        <v>252</v>
      </c>
    </row>
    <row r="53" customHeight="1" spans="1:11">
      <c r="A53" s="64" t="s">
        <v>235</v>
      </c>
      <c r="B53" s="64"/>
      <c r="C53" s="75">
        <f>E49</f>
        <v>19.35</v>
      </c>
      <c r="E53" s="76" t="s">
        <v>236</v>
      </c>
      <c r="F53" s="74">
        <f>F50*0.02</f>
        <v>1.4105</v>
      </c>
      <c r="G53" s="74"/>
      <c r="H53" s="74"/>
      <c r="I53" s="74"/>
      <c r="J53" s="74"/>
      <c r="K53" s="74"/>
    </row>
    <row r="54" customHeight="1" spans="1:11">
      <c r="A54" s="64" t="s">
        <v>238</v>
      </c>
      <c r="B54" s="64"/>
      <c r="C54" s="80">
        <f>J44*1.17</f>
        <v>8.19</v>
      </c>
      <c r="E54" s="76" t="s">
        <v>106</v>
      </c>
      <c r="F54" s="74"/>
      <c r="G54" s="74"/>
      <c r="H54" s="74"/>
      <c r="I54" s="74"/>
      <c r="J54" s="74"/>
      <c r="K54" s="74"/>
    </row>
    <row r="55" customHeight="1" spans="1:11">
      <c r="A55" s="64" t="s">
        <v>219</v>
      </c>
      <c r="B55" s="64"/>
      <c r="C55" s="75">
        <f>J46+J48</f>
        <v>5</v>
      </c>
      <c r="E55" s="76" t="s">
        <v>239</v>
      </c>
      <c r="F55" s="86">
        <f>F54+F53+F52+F51+F50</f>
        <v>78.28275</v>
      </c>
      <c r="G55" s="86"/>
      <c r="H55" s="86"/>
      <c r="I55" s="86"/>
      <c r="J55" s="86"/>
      <c r="K55" s="86"/>
    </row>
    <row r="56" spans="1:9">
      <c r="A56" s="77"/>
      <c r="B56" s="77"/>
      <c r="H56" t="s">
        <v>252</v>
      </c>
      <c r="I56" t="s">
        <v>433</v>
      </c>
    </row>
    <row r="57" spans="1:2">
      <c r="A57" s="77"/>
      <c r="B57" s="77"/>
    </row>
    <row r="58" spans="1:2">
      <c r="A58" s="77"/>
      <c r="B58" s="77"/>
    </row>
  </sheetData>
  <mergeCells count="53">
    <mergeCell ref="A1:K1"/>
    <mergeCell ref="A13:J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1:K31"/>
    <mergeCell ref="J32:K32"/>
    <mergeCell ref="J33:K33"/>
    <mergeCell ref="D34:H34"/>
    <mergeCell ref="A35:H35"/>
    <mergeCell ref="A36:K36"/>
    <mergeCell ref="A37:E37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A49:D49"/>
    <mergeCell ref="A50:B50"/>
    <mergeCell ref="F50:K50"/>
    <mergeCell ref="A51:B51"/>
    <mergeCell ref="F51:K51"/>
    <mergeCell ref="A52:B52"/>
    <mergeCell ref="F52:K52"/>
    <mergeCell ref="A53:B53"/>
    <mergeCell ref="F53:K53"/>
    <mergeCell ref="A54:B54"/>
    <mergeCell ref="F54:K54"/>
    <mergeCell ref="A55:B55"/>
    <mergeCell ref="F55:K55"/>
    <mergeCell ref="A56:B56"/>
    <mergeCell ref="A57:B57"/>
    <mergeCell ref="A58:B58"/>
  </mergeCells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54"/>
  <sheetViews>
    <sheetView topLeftCell="A34" workbookViewId="0">
      <selection activeCell="F51" sqref="F51:K51"/>
    </sheetView>
  </sheetViews>
  <sheetFormatPr defaultColWidth="9" defaultRowHeight="13.5"/>
  <cols>
    <col min="1" max="1" width="3.125" customWidth="1"/>
    <col min="2" max="2" width="12.25" customWidth="1"/>
    <col min="3" max="3" width="9.125" customWidth="1"/>
    <col min="4" max="4" width="7.75" customWidth="1"/>
    <col min="5" max="5" width="9.125" customWidth="1"/>
    <col min="6" max="6" width="7.375" customWidth="1"/>
    <col min="7" max="7" width="7" customWidth="1"/>
    <col min="8" max="8" width="8.125" customWidth="1"/>
    <col min="9" max="9" width="7.75" customWidth="1"/>
    <col min="10" max="10" width="8.875" customWidth="1"/>
    <col min="11" max="11" width="6.5" customWidth="1"/>
    <col min="12" max="12" width="12.25" customWidth="1"/>
    <col min="13" max="13" width="6.25" customWidth="1"/>
    <col min="14" max="14" width="12.5" customWidth="1"/>
    <col min="17" max="17" width="7.5" customWidth="1"/>
    <col min="18" max="18" width="7.375" customWidth="1"/>
    <col min="19" max="19" width="8" customWidth="1"/>
    <col min="23" max="23" width="8.125" customWidth="1"/>
  </cols>
  <sheetData>
    <row r="1" spans="1:2">
      <c r="A1" s="77"/>
      <c r="B1" s="77"/>
    </row>
    <row r="2" ht="25.5" spans="1:11">
      <c r="A2" s="58" t="s">
        <v>434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>
      <c r="A3" s="59" t="s">
        <v>29</v>
      </c>
      <c r="B3" s="59" t="s">
        <v>151</v>
      </c>
      <c r="C3" s="59" t="s">
        <v>152</v>
      </c>
      <c r="D3" s="59" t="s">
        <v>153</v>
      </c>
      <c r="E3" s="59" t="s">
        <v>154</v>
      </c>
      <c r="F3" s="59" t="s">
        <v>155</v>
      </c>
      <c r="G3" s="59" t="s">
        <v>156</v>
      </c>
      <c r="H3" s="59" t="s">
        <v>157</v>
      </c>
      <c r="I3" s="59" t="s">
        <v>158</v>
      </c>
      <c r="J3" s="59" t="s">
        <v>159</v>
      </c>
      <c r="K3" s="59" t="s">
        <v>160</v>
      </c>
    </row>
    <row r="4" spans="1:11">
      <c r="A4" s="59">
        <v>1</v>
      </c>
      <c r="B4" s="59" t="s">
        <v>400</v>
      </c>
      <c r="C4" s="59"/>
      <c r="D4" s="59" t="s">
        <v>313</v>
      </c>
      <c r="E4" s="60">
        <v>6.1</v>
      </c>
      <c r="F4" s="60">
        <v>0.85</v>
      </c>
      <c r="G4" s="60">
        <f>E4*F4</f>
        <v>5.185</v>
      </c>
      <c r="H4" s="60">
        <v>0.85</v>
      </c>
      <c r="I4" s="60">
        <f>F4-H4</f>
        <v>0</v>
      </c>
      <c r="J4" s="60">
        <f>I4*1.1</f>
        <v>0</v>
      </c>
      <c r="K4" s="60">
        <f>G4-J4</f>
        <v>5.185</v>
      </c>
    </row>
    <row r="5" spans="1:11">
      <c r="A5" s="59">
        <v>2</v>
      </c>
      <c r="B5" s="59" t="s">
        <v>401</v>
      </c>
      <c r="C5" s="59"/>
      <c r="D5" s="59" t="s">
        <v>313</v>
      </c>
      <c r="E5" s="60">
        <v>6.1</v>
      </c>
      <c r="F5" s="60">
        <v>0.68</v>
      </c>
      <c r="G5" s="60">
        <f t="shared" ref="G5:G11" si="0">E5*F5</f>
        <v>4.148</v>
      </c>
      <c r="H5" s="60">
        <v>0.68</v>
      </c>
      <c r="I5" s="60">
        <f t="shared" ref="I5:I11" si="1">F5-H5</f>
        <v>0</v>
      </c>
      <c r="J5" s="60">
        <f t="shared" ref="J5:J11" si="2">I5*1.1</f>
        <v>0</v>
      </c>
      <c r="K5" s="60">
        <f t="shared" ref="K5:K11" si="3">G5-J5</f>
        <v>4.148</v>
      </c>
    </row>
    <row r="6" spans="1:11">
      <c r="A6" s="59">
        <v>3</v>
      </c>
      <c r="B6" s="59" t="s">
        <v>402</v>
      </c>
      <c r="C6" s="59"/>
      <c r="D6" s="59" t="s">
        <v>313</v>
      </c>
      <c r="E6" s="60">
        <v>6.1</v>
      </c>
      <c r="F6" s="60">
        <v>1.54</v>
      </c>
      <c r="G6" s="60">
        <f t="shared" si="0"/>
        <v>9.394</v>
      </c>
      <c r="H6" s="60">
        <v>1.54</v>
      </c>
      <c r="I6" s="60">
        <f t="shared" si="1"/>
        <v>0</v>
      </c>
      <c r="J6" s="60">
        <f t="shared" si="2"/>
        <v>0</v>
      </c>
      <c r="K6" s="60">
        <f t="shared" si="3"/>
        <v>9.394</v>
      </c>
    </row>
    <row r="7" spans="1:11">
      <c r="A7" s="59">
        <v>4</v>
      </c>
      <c r="B7" s="59" t="s">
        <v>403</v>
      </c>
      <c r="C7" s="59"/>
      <c r="D7" s="59" t="s">
        <v>404</v>
      </c>
      <c r="E7" s="60">
        <v>5.5</v>
      </c>
      <c r="F7" s="60">
        <v>0.2</v>
      </c>
      <c r="G7" s="60">
        <f t="shared" si="0"/>
        <v>1.1</v>
      </c>
      <c r="H7" s="60">
        <v>0.2</v>
      </c>
      <c r="I7" s="60">
        <f t="shared" si="1"/>
        <v>0</v>
      </c>
      <c r="J7" s="60">
        <f t="shared" si="2"/>
        <v>0</v>
      </c>
      <c r="K7" s="60">
        <f t="shared" si="3"/>
        <v>1.1</v>
      </c>
    </row>
    <row r="8" spans="1:11">
      <c r="A8" s="59">
        <v>5</v>
      </c>
      <c r="B8" s="59" t="s">
        <v>405</v>
      </c>
      <c r="C8" s="59"/>
      <c r="D8" s="59" t="s">
        <v>313</v>
      </c>
      <c r="E8" s="60">
        <v>6.1</v>
      </c>
      <c r="F8" s="60">
        <v>0.2</v>
      </c>
      <c r="G8" s="60">
        <f t="shared" si="0"/>
        <v>1.22</v>
      </c>
      <c r="H8" s="60">
        <v>0.2</v>
      </c>
      <c r="I8" s="60">
        <f t="shared" si="1"/>
        <v>0</v>
      </c>
      <c r="J8" s="60">
        <f t="shared" si="2"/>
        <v>0</v>
      </c>
      <c r="K8" s="60">
        <f t="shared" si="3"/>
        <v>1.22</v>
      </c>
    </row>
    <row r="9" spans="1:11">
      <c r="A9" s="59">
        <v>6</v>
      </c>
      <c r="B9" s="59" t="s">
        <v>406</v>
      </c>
      <c r="C9" s="59"/>
      <c r="D9" s="59" t="s">
        <v>313</v>
      </c>
      <c r="E9" s="60">
        <v>6.1</v>
      </c>
      <c r="F9" s="59">
        <v>0.27</v>
      </c>
      <c r="G9" s="59">
        <f t="shared" si="0"/>
        <v>1.647</v>
      </c>
      <c r="H9" s="59">
        <v>0.27</v>
      </c>
      <c r="I9" s="59">
        <f t="shared" si="1"/>
        <v>0</v>
      </c>
      <c r="J9" s="59">
        <f t="shared" si="2"/>
        <v>0</v>
      </c>
      <c r="K9" s="59">
        <f t="shared" si="3"/>
        <v>1.647</v>
      </c>
    </row>
    <row r="10" spans="1:11">
      <c r="A10" s="59">
        <v>7</v>
      </c>
      <c r="B10" s="59" t="s">
        <v>409</v>
      </c>
      <c r="C10" s="59"/>
      <c r="D10" s="59" t="s">
        <v>333</v>
      </c>
      <c r="E10" s="60">
        <v>5.9</v>
      </c>
      <c r="F10" s="59">
        <v>0.64</v>
      </c>
      <c r="G10" s="59">
        <f t="shared" si="0"/>
        <v>3.776</v>
      </c>
      <c r="H10" s="59">
        <v>0.5</v>
      </c>
      <c r="I10" s="59">
        <f t="shared" si="1"/>
        <v>0.14</v>
      </c>
      <c r="J10" s="59">
        <f t="shared" si="2"/>
        <v>0.154</v>
      </c>
      <c r="K10" s="59">
        <f t="shared" si="3"/>
        <v>3.622</v>
      </c>
    </row>
    <row r="11" spans="1:11">
      <c r="A11" s="59">
        <v>8</v>
      </c>
      <c r="B11" s="59" t="s">
        <v>410</v>
      </c>
      <c r="C11" s="59"/>
      <c r="D11" s="59" t="s">
        <v>333</v>
      </c>
      <c r="E11" s="60">
        <v>5.9</v>
      </c>
      <c r="F11" s="59">
        <v>0.44</v>
      </c>
      <c r="G11" s="59">
        <f t="shared" si="0"/>
        <v>2.596</v>
      </c>
      <c r="H11" s="59">
        <v>0.32</v>
      </c>
      <c r="I11" s="59">
        <f t="shared" si="1"/>
        <v>0.12</v>
      </c>
      <c r="J11" s="59">
        <f t="shared" si="2"/>
        <v>0.132</v>
      </c>
      <c r="K11" s="59">
        <f t="shared" si="3"/>
        <v>2.464</v>
      </c>
    </row>
    <row r="12" spans="1:11">
      <c r="A12" s="61" t="s">
        <v>182</v>
      </c>
      <c r="B12" s="62"/>
      <c r="C12" s="62"/>
      <c r="D12" s="62"/>
      <c r="E12" s="62"/>
      <c r="F12" s="62"/>
      <c r="G12" s="62"/>
      <c r="H12" s="62"/>
      <c r="I12" s="62"/>
      <c r="J12" s="63"/>
      <c r="K12" s="60">
        <f>SUM(K4:K11)</f>
        <v>28.78</v>
      </c>
    </row>
    <row r="13" spans="1:11">
      <c r="A13" s="59" t="s">
        <v>29</v>
      </c>
      <c r="B13" s="59" t="s">
        <v>151</v>
      </c>
      <c r="C13" s="59" t="s">
        <v>152</v>
      </c>
      <c r="D13" s="59" t="s">
        <v>166</v>
      </c>
      <c r="E13" s="59" t="s">
        <v>167</v>
      </c>
      <c r="F13" s="59" t="s">
        <v>168</v>
      </c>
      <c r="G13" s="59" t="s">
        <v>169</v>
      </c>
      <c r="H13" s="59" t="s">
        <v>170</v>
      </c>
      <c r="I13" s="59" t="s">
        <v>171</v>
      </c>
      <c r="J13" s="61" t="s">
        <v>107</v>
      </c>
      <c r="K13" s="63"/>
    </row>
    <row r="14" spans="1:11">
      <c r="A14" s="59">
        <v>1</v>
      </c>
      <c r="B14" s="59"/>
      <c r="C14" s="59"/>
      <c r="D14" s="59"/>
      <c r="E14" s="59" t="s">
        <v>260</v>
      </c>
      <c r="F14" s="59" t="s">
        <v>261</v>
      </c>
      <c r="G14" s="59"/>
      <c r="H14" s="59" t="s">
        <v>262</v>
      </c>
      <c r="I14" s="59"/>
      <c r="J14" s="61"/>
      <c r="K14" s="63"/>
    </row>
    <row r="15" spans="1:11">
      <c r="A15" s="59">
        <v>2</v>
      </c>
      <c r="B15" s="59" t="s">
        <v>435</v>
      </c>
      <c r="C15" s="59"/>
      <c r="D15" s="59"/>
      <c r="E15" s="59" t="s">
        <v>260</v>
      </c>
      <c r="F15" s="59" t="s">
        <v>264</v>
      </c>
      <c r="G15" s="59"/>
      <c r="H15" s="59" t="s">
        <v>265</v>
      </c>
      <c r="I15" s="59">
        <v>0.3</v>
      </c>
      <c r="J15" s="61"/>
      <c r="K15" s="63"/>
    </row>
    <row r="16" spans="1:11">
      <c r="A16" s="59">
        <v>3</v>
      </c>
      <c r="B16" s="59"/>
      <c r="C16" s="59"/>
      <c r="D16" s="59"/>
      <c r="E16" s="59" t="s">
        <v>266</v>
      </c>
      <c r="F16" s="59" t="s">
        <v>267</v>
      </c>
      <c r="G16" s="59"/>
      <c r="H16" s="59">
        <v>0.5</v>
      </c>
      <c r="I16" s="59">
        <f>G16*H16</f>
        <v>0</v>
      </c>
      <c r="J16" s="61"/>
      <c r="K16" s="63"/>
    </row>
    <row r="17" spans="1:11">
      <c r="A17" s="59">
        <v>6</v>
      </c>
      <c r="B17" s="59"/>
      <c r="C17" s="59"/>
      <c r="D17" s="59"/>
      <c r="E17" s="59" t="s">
        <v>270</v>
      </c>
      <c r="F17" s="59" t="s">
        <v>273</v>
      </c>
      <c r="G17" s="59"/>
      <c r="H17" s="59">
        <v>0.15</v>
      </c>
      <c r="I17" s="59">
        <f t="shared" ref="I17:I20" si="4">G17*H17</f>
        <v>0</v>
      </c>
      <c r="J17" s="61"/>
      <c r="K17" s="63"/>
    </row>
    <row r="18" spans="1:11">
      <c r="A18" s="59">
        <v>7</v>
      </c>
      <c r="B18" s="59"/>
      <c r="C18" s="59"/>
      <c r="D18" s="59"/>
      <c r="E18" s="59" t="s">
        <v>270</v>
      </c>
      <c r="F18" s="59" t="s">
        <v>276</v>
      </c>
      <c r="G18" s="59"/>
      <c r="H18" s="59">
        <v>0.08</v>
      </c>
      <c r="I18" s="59">
        <f t="shared" si="4"/>
        <v>0</v>
      </c>
      <c r="J18" s="61"/>
      <c r="K18" s="63"/>
    </row>
    <row r="19" spans="1:11">
      <c r="A19" s="59">
        <v>8</v>
      </c>
      <c r="B19" s="59" t="s">
        <v>435</v>
      </c>
      <c r="C19" s="59"/>
      <c r="D19" s="59" t="s">
        <v>412</v>
      </c>
      <c r="E19" s="59" t="s">
        <v>270</v>
      </c>
      <c r="F19" s="59" t="s">
        <v>277</v>
      </c>
      <c r="G19" s="59">
        <v>12</v>
      </c>
      <c r="H19" s="59">
        <v>0.08</v>
      </c>
      <c r="I19" s="59">
        <f t="shared" si="4"/>
        <v>0.96</v>
      </c>
      <c r="J19" s="61"/>
      <c r="K19" s="63"/>
    </row>
    <row r="20" spans="1:11">
      <c r="A20" s="59">
        <v>9</v>
      </c>
      <c r="B20" s="59"/>
      <c r="C20" s="59"/>
      <c r="D20" s="59"/>
      <c r="E20" s="59" t="s">
        <v>270</v>
      </c>
      <c r="F20" s="59" t="s">
        <v>278</v>
      </c>
      <c r="G20" s="59"/>
      <c r="H20" s="59">
        <v>0.05</v>
      </c>
      <c r="I20" s="59">
        <f t="shared" si="4"/>
        <v>0</v>
      </c>
      <c r="J20" s="61"/>
      <c r="K20" s="63"/>
    </row>
    <row r="21" spans="1:11">
      <c r="A21" s="59">
        <v>10</v>
      </c>
      <c r="B21" s="59" t="s">
        <v>436</v>
      </c>
      <c r="C21" s="59" t="s">
        <v>414</v>
      </c>
      <c r="D21" s="59" t="s">
        <v>279</v>
      </c>
      <c r="E21" s="59"/>
      <c r="F21" s="59"/>
      <c r="G21" s="59"/>
      <c r="H21" s="59">
        <v>0.08</v>
      </c>
      <c r="I21" s="59">
        <v>0.46</v>
      </c>
      <c r="J21" s="61" t="s">
        <v>280</v>
      </c>
      <c r="K21" s="63"/>
    </row>
    <row r="22" spans="1:11">
      <c r="A22" s="59">
        <v>11</v>
      </c>
      <c r="B22" s="59" t="s">
        <v>415</v>
      </c>
      <c r="C22" s="59"/>
      <c r="D22" s="59" t="s">
        <v>174</v>
      </c>
      <c r="E22" s="59"/>
      <c r="F22" s="59"/>
      <c r="G22" s="59">
        <v>2</v>
      </c>
      <c r="H22" s="59">
        <v>0.08</v>
      </c>
      <c r="I22" s="59">
        <f t="shared" ref="I22:I29" si="5">G22*H22</f>
        <v>0.16</v>
      </c>
      <c r="J22" s="61"/>
      <c r="K22" s="63"/>
    </row>
    <row r="23" spans="1:11">
      <c r="A23" s="59">
        <v>12</v>
      </c>
      <c r="B23" s="59" t="s">
        <v>437</v>
      </c>
      <c r="C23" s="59"/>
      <c r="D23" s="59" t="s">
        <v>321</v>
      </c>
      <c r="E23" s="59"/>
      <c r="F23" s="59"/>
      <c r="G23" s="59">
        <v>6</v>
      </c>
      <c r="H23" s="59">
        <v>0.08</v>
      </c>
      <c r="I23" s="59">
        <f t="shared" si="5"/>
        <v>0.48</v>
      </c>
      <c r="J23" s="61"/>
      <c r="K23" s="63"/>
    </row>
    <row r="24" spans="1:11">
      <c r="A24" s="59">
        <v>13</v>
      </c>
      <c r="B24" s="59" t="s">
        <v>417</v>
      </c>
      <c r="C24" s="59"/>
      <c r="D24" s="59" t="s">
        <v>245</v>
      </c>
      <c r="E24" s="59"/>
      <c r="F24" s="59"/>
      <c r="G24" s="59">
        <v>2</v>
      </c>
      <c r="H24" s="59">
        <v>0.08</v>
      </c>
      <c r="I24" s="59">
        <f t="shared" si="5"/>
        <v>0.16</v>
      </c>
      <c r="J24" s="61"/>
      <c r="K24" s="63"/>
    </row>
    <row r="25" spans="1:11">
      <c r="A25" s="59">
        <v>14</v>
      </c>
      <c r="B25" s="59" t="s">
        <v>418</v>
      </c>
      <c r="C25" s="59"/>
      <c r="D25" s="59" t="s">
        <v>283</v>
      </c>
      <c r="E25" s="59"/>
      <c r="F25" s="59"/>
      <c r="G25" s="59">
        <v>7</v>
      </c>
      <c r="H25" s="59">
        <v>0.08</v>
      </c>
      <c r="I25" s="59">
        <f t="shared" si="5"/>
        <v>0.56</v>
      </c>
      <c r="J25" s="61"/>
      <c r="K25" s="63"/>
    </row>
    <row r="26" spans="1:11">
      <c r="A26" s="59">
        <v>15</v>
      </c>
      <c r="B26" s="59" t="s">
        <v>417</v>
      </c>
      <c r="C26" s="59"/>
      <c r="D26" s="59" t="s">
        <v>419</v>
      </c>
      <c r="E26" s="59"/>
      <c r="F26" s="59"/>
      <c r="G26" s="59">
        <v>2</v>
      </c>
      <c r="H26" s="59">
        <v>0.08</v>
      </c>
      <c r="I26" s="59">
        <f t="shared" si="5"/>
        <v>0.16</v>
      </c>
      <c r="J26" s="61"/>
      <c r="K26" s="63"/>
    </row>
    <row r="27" spans="1:11">
      <c r="A27" s="59">
        <v>16</v>
      </c>
      <c r="B27" s="59" t="s">
        <v>368</v>
      </c>
      <c r="C27" s="59"/>
      <c r="D27" s="59" t="s">
        <v>275</v>
      </c>
      <c r="E27" s="59"/>
      <c r="F27" s="59"/>
      <c r="G27" s="59">
        <v>1</v>
      </c>
      <c r="H27" s="59">
        <v>0.08</v>
      </c>
      <c r="I27" s="59">
        <f t="shared" si="5"/>
        <v>0.08</v>
      </c>
      <c r="J27" s="61"/>
      <c r="K27" s="63"/>
    </row>
    <row r="28" spans="1:11">
      <c r="A28" s="59">
        <v>17</v>
      </c>
      <c r="B28" s="59" t="s">
        <v>438</v>
      </c>
      <c r="C28" s="59"/>
      <c r="D28" s="59" t="s">
        <v>285</v>
      </c>
      <c r="E28" s="59"/>
      <c r="F28" s="59"/>
      <c r="G28" s="59">
        <v>2</v>
      </c>
      <c r="H28" s="59">
        <v>0.08</v>
      </c>
      <c r="I28" s="59">
        <f t="shared" si="5"/>
        <v>0.16</v>
      </c>
      <c r="J28" s="61"/>
      <c r="K28" s="63"/>
    </row>
    <row r="29" spans="1:11">
      <c r="A29" s="59">
        <v>18</v>
      </c>
      <c r="B29" s="59"/>
      <c r="C29" s="59"/>
      <c r="D29" s="59"/>
      <c r="E29" s="59"/>
      <c r="F29" s="59"/>
      <c r="G29" s="59"/>
      <c r="H29" s="59">
        <v>0.08</v>
      </c>
      <c r="I29" s="59">
        <f t="shared" si="5"/>
        <v>0</v>
      </c>
      <c r="J29" s="61"/>
      <c r="K29" s="63"/>
    </row>
    <row r="30" spans="1:11">
      <c r="A30" s="59">
        <v>19</v>
      </c>
      <c r="B30" s="59"/>
      <c r="C30" s="59"/>
      <c r="D30" s="59" t="s">
        <v>287</v>
      </c>
      <c r="E30" s="59"/>
      <c r="F30" s="59"/>
      <c r="G30" s="59"/>
      <c r="H30" s="59"/>
      <c r="I30" s="59">
        <v>0.4</v>
      </c>
      <c r="J30" s="61" t="s">
        <v>288</v>
      </c>
      <c r="K30" s="63"/>
    </row>
    <row r="31" spans="1:11">
      <c r="A31" s="59"/>
      <c r="B31" s="59"/>
      <c r="C31" s="59"/>
      <c r="D31" s="61" t="s">
        <v>420</v>
      </c>
      <c r="E31" s="62"/>
      <c r="F31" s="62"/>
      <c r="G31" s="62"/>
      <c r="H31" s="63"/>
      <c r="I31" s="59">
        <v>0.7</v>
      </c>
      <c r="J31" s="61"/>
      <c r="K31" s="63"/>
    </row>
    <row r="32" spans="1:11">
      <c r="A32" s="61" t="s">
        <v>182</v>
      </c>
      <c r="B32" s="62"/>
      <c r="C32" s="62"/>
      <c r="D32" s="62"/>
      <c r="E32" s="62"/>
      <c r="F32" s="62"/>
      <c r="G32" s="62"/>
      <c r="H32" s="63"/>
      <c r="I32" s="82">
        <f>SUM(I14:I31)</f>
        <v>4.58</v>
      </c>
      <c r="J32" s="59"/>
      <c r="K32" s="59"/>
    </row>
    <row r="33" spans="1:11">
      <c r="A33" s="61" t="s">
        <v>183</v>
      </c>
      <c r="B33" s="62"/>
      <c r="C33" s="62"/>
      <c r="D33" s="62"/>
      <c r="E33" s="63"/>
      <c r="F33" s="59" t="s">
        <v>184</v>
      </c>
      <c r="G33" s="59"/>
      <c r="H33" s="59" t="s">
        <v>185</v>
      </c>
      <c r="I33" s="59" t="s">
        <v>186</v>
      </c>
      <c r="J33" s="59" t="s">
        <v>187</v>
      </c>
      <c r="K33" s="63" t="s">
        <v>107</v>
      </c>
    </row>
    <row r="34" spans="1:11">
      <c r="A34" s="59" t="s">
        <v>29</v>
      </c>
      <c r="B34" s="59" t="s">
        <v>190</v>
      </c>
      <c r="C34" s="59" t="s">
        <v>191</v>
      </c>
      <c r="D34" s="59" t="s">
        <v>192</v>
      </c>
      <c r="E34" s="59" t="s">
        <v>171</v>
      </c>
      <c r="F34" s="59" t="s">
        <v>421</v>
      </c>
      <c r="G34" s="59"/>
      <c r="H34" s="59">
        <v>12</v>
      </c>
      <c r="I34" s="59">
        <v>0.05</v>
      </c>
      <c r="J34" s="78">
        <f>I34*H34</f>
        <v>0.6</v>
      </c>
      <c r="K34" s="59"/>
    </row>
    <row r="35" spans="1:11">
      <c r="A35" s="64">
        <v>1</v>
      </c>
      <c r="B35" s="59" t="s">
        <v>422</v>
      </c>
      <c r="C35" s="59">
        <v>3</v>
      </c>
      <c r="D35" s="59">
        <v>0.45</v>
      </c>
      <c r="E35" s="59">
        <f>D35*C35</f>
        <v>1.35</v>
      </c>
      <c r="F35" s="61" t="s">
        <v>423</v>
      </c>
      <c r="G35" s="63"/>
      <c r="H35" s="59">
        <v>12</v>
      </c>
      <c r="I35" s="59">
        <v>0.05</v>
      </c>
      <c r="J35" s="78">
        <f t="shared" ref="J35:J38" si="6">I35*H35</f>
        <v>0.6</v>
      </c>
      <c r="K35" s="59"/>
    </row>
    <row r="36" spans="1:11">
      <c r="A36" s="64">
        <v>2</v>
      </c>
      <c r="B36" s="59" t="s">
        <v>424</v>
      </c>
      <c r="C36" s="59">
        <v>4</v>
      </c>
      <c r="D36" s="59">
        <v>0.55</v>
      </c>
      <c r="E36" s="59">
        <f t="shared" ref="E36:E43" si="7">D36*C36</f>
        <v>2.2</v>
      </c>
      <c r="F36" s="61" t="s">
        <v>425</v>
      </c>
      <c r="G36" s="63"/>
      <c r="H36" s="59">
        <v>4</v>
      </c>
      <c r="I36" s="59">
        <v>0.05</v>
      </c>
      <c r="J36" s="78">
        <f t="shared" si="6"/>
        <v>0.2</v>
      </c>
      <c r="K36" s="59"/>
    </row>
    <row r="37" spans="1:11">
      <c r="A37" s="64">
        <v>3</v>
      </c>
      <c r="B37" s="59" t="s">
        <v>293</v>
      </c>
      <c r="C37" s="59">
        <v>8</v>
      </c>
      <c r="D37" s="59">
        <v>1</v>
      </c>
      <c r="E37" s="59">
        <f t="shared" si="7"/>
        <v>8</v>
      </c>
      <c r="F37" s="61" t="s">
        <v>291</v>
      </c>
      <c r="G37" s="63"/>
      <c r="H37" s="59">
        <v>102</v>
      </c>
      <c r="I37" s="59">
        <v>0.05</v>
      </c>
      <c r="J37" s="78">
        <f t="shared" si="6"/>
        <v>5.1</v>
      </c>
      <c r="K37" s="59"/>
    </row>
    <row r="38" spans="1:11">
      <c r="A38" s="64">
        <v>4</v>
      </c>
      <c r="B38" s="59" t="s">
        <v>426</v>
      </c>
      <c r="C38" s="59">
        <v>16</v>
      </c>
      <c r="D38" s="59">
        <v>0.15</v>
      </c>
      <c r="E38" s="59">
        <f t="shared" si="7"/>
        <v>2.4</v>
      </c>
      <c r="F38" s="61"/>
      <c r="G38" s="63"/>
      <c r="H38" s="59"/>
      <c r="I38" s="59">
        <v>0.06</v>
      </c>
      <c r="J38" s="78">
        <f t="shared" si="6"/>
        <v>0</v>
      </c>
      <c r="K38" s="59"/>
    </row>
    <row r="39" spans="1:11">
      <c r="A39" s="64">
        <v>5</v>
      </c>
      <c r="B39" s="59" t="s">
        <v>427</v>
      </c>
      <c r="C39" s="59">
        <v>1</v>
      </c>
      <c r="D39" s="65">
        <v>1.8</v>
      </c>
      <c r="E39" s="65">
        <f t="shared" si="7"/>
        <v>1.8</v>
      </c>
      <c r="F39" s="61"/>
      <c r="G39" s="63"/>
      <c r="H39" s="59"/>
      <c r="I39" s="59"/>
      <c r="J39" s="78"/>
      <c r="K39" s="59"/>
    </row>
    <row r="40" spans="1:11">
      <c r="A40" s="64">
        <v>6</v>
      </c>
      <c r="B40" s="59" t="s">
        <v>428</v>
      </c>
      <c r="C40" s="59">
        <v>4</v>
      </c>
      <c r="D40" s="59">
        <v>0.04</v>
      </c>
      <c r="E40" s="59">
        <f t="shared" si="7"/>
        <v>0.16</v>
      </c>
      <c r="F40" s="61" t="s">
        <v>182</v>
      </c>
      <c r="G40" s="63"/>
      <c r="H40" s="59"/>
      <c r="I40" s="59"/>
      <c r="J40" s="83">
        <f>SUM(J34:J39)</f>
        <v>6.5</v>
      </c>
      <c r="K40" s="59"/>
    </row>
    <row r="41" ht="15" spans="1:11">
      <c r="A41" s="64">
        <v>7</v>
      </c>
      <c r="B41" s="59" t="s">
        <v>429</v>
      </c>
      <c r="C41" s="59">
        <v>16</v>
      </c>
      <c r="D41" s="59">
        <v>0.03</v>
      </c>
      <c r="E41" s="59">
        <f t="shared" si="7"/>
        <v>0.48</v>
      </c>
      <c r="F41" s="61" t="s">
        <v>219</v>
      </c>
      <c r="G41" s="63"/>
      <c r="H41" s="66" t="s">
        <v>301</v>
      </c>
      <c r="I41" s="59" t="s">
        <v>430</v>
      </c>
      <c r="J41" s="73" t="s">
        <v>187</v>
      </c>
      <c r="K41" s="59" t="s">
        <v>107</v>
      </c>
    </row>
    <row r="42" spans="1:11">
      <c r="A42" s="64">
        <v>8</v>
      </c>
      <c r="B42" s="59" t="s">
        <v>431</v>
      </c>
      <c r="C42" s="59">
        <v>2</v>
      </c>
      <c r="D42" s="59">
        <v>0.1</v>
      </c>
      <c r="E42" s="59">
        <f t="shared" si="7"/>
        <v>0.2</v>
      </c>
      <c r="F42" s="61" t="s">
        <v>226</v>
      </c>
      <c r="G42" s="63"/>
      <c r="H42" s="59">
        <v>10</v>
      </c>
      <c r="I42" s="59">
        <v>0.5</v>
      </c>
      <c r="J42" s="59">
        <f>I42*H42</f>
        <v>5</v>
      </c>
      <c r="K42" s="59"/>
    </row>
    <row r="43" spans="1:11">
      <c r="A43" s="64">
        <v>9</v>
      </c>
      <c r="B43" s="59" t="s">
        <v>432</v>
      </c>
      <c r="C43" s="59">
        <v>2</v>
      </c>
      <c r="D43" s="59">
        <v>1.3</v>
      </c>
      <c r="E43" s="59">
        <f t="shared" si="7"/>
        <v>2.6</v>
      </c>
      <c r="F43" s="61"/>
      <c r="G43" s="63"/>
      <c r="H43" s="67"/>
      <c r="I43" s="59"/>
      <c r="J43" s="59"/>
      <c r="K43" s="59"/>
    </row>
    <row r="44" spans="1:11">
      <c r="A44" s="64"/>
      <c r="B44" s="59"/>
      <c r="C44" s="59"/>
      <c r="D44" s="59"/>
      <c r="E44" s="59"/>
      <c r="F44" s="68"/>
      <c r="G44" s="69"/>
      <c r="H44" s="59"/>
      <c r="I44" s="59"/>
      <c r="J44" s="59"/>
      <c r="K44" s="59"/>
    </row>
    <row r="45" spans="1:16">
      <c r="A45" s="68" t="s">
        <v>182</v>
      </c>
      <c r="B45" s="70"/>
      <c r="C45" s="70"/>
      <c r="D45" s="69"/>
      <c r="E45" s="71">
        <f>SUM(E35:E44)</f>
        <v>19.19</v>
      </c>
      <c r="N45" s="77" t="s">
        <v>211</v>
      </c>
      <c r="O45" s="77" t="s">
        <v>212</v>
      </c>
      <c r="P45" s="77" t="s">
        <v>213</v>
      </c>
    </row>
    <row r="46" spans="1:16">
      <c r="A46" s="72" t="s">
        <v>227</v>
      </c>
      <c r="B46" s="72"/>
      <c r="C46" s="72" t="s">
        <v>208</v>
      </c>
      <c r="E46" s="73" t="s">
        <v>228</v>
      </c>
      <c r="F46" s="74">
        <f>C51+C50+C49+C48+C47</f>
        <v>65.9336</v>
      </c>
      <c r="G46" s="74"/>
      <c r="H46" s="74"/>
      <c r="I46" s="74"/>
      <c r="J46" s="74"/>
      <c r="K46" s="74"/>
      <c r="N46" s="77" t="s">
        <v>215</v>
      </c>
      <c r="O46" s="77" t="s">
        <v>216</v>
      </c>
      <c r="P46" s="77" t="s">
        <v>217</v>
      </c>
    </row>
    <row r="47" spans="1:11">
      <c r="A47" s="64" t="s">
        <v>231</v>
      </c>
      <c r="B47" s="64"/>
      <c r="C47" s="75">
        <f>K12</f>
        <v>28.78</v>
      </c>
      <c r="E47" s="76" t="s">
        <v>232</v>
      </c>
      <c r="F47" s="74">
        <f>F46*0.03</f>
        <v>1.978008</v>
      </c>
      <c r="G47" s="74"/>
      <c r="H47" s="74"/>
      <c r="I47" s="74"/>
      <c r="J47" s="74"/>
      <c r="K47" s="74"/>
    </row>
    <row r="48" spans="1:11">
      <c r="A48" s="64" t="s">
        <v>233</v>
      </c>
      <c r="B48" s="64"/>
      <c r="C48" s="80">
        <f>I32*1.17</f>
        <v>5.3586</v>
      </c>
      <c r="E48" s="76" t="s">
        <v>234</v>
      </c>
      <c r="F48" s="74">
        <f>F46*0.06</f>
        <v>3.956016</v>
      </c>
      <c r="G48" s="74"/>
      <c r="H48" s="74"/>
      <c r="I48" s="74"/>
      <c r="J48" s="74"/>
      <c r="K48" s="74"/>
    </row>
    <row r="49" spans="1:16">
      <c r="A49" s="64" t="s">
        <v>235</v>
      </c>
      <c r="B49" s="64"/>
      <c r="C49" s="75">
        <f>E45</f>
        <v>19.19</v>
      </c>
      <c r="E49" s="76" t="s">
        <v>236</v>
      </c>
      <c r="F49" s="74">
        <f>F46*0.02</f>
        <v>1.318672</v>
      </c>
      <c r="G49" s="74"/>
      <c r="H49" s="74"/>
      <c r="I49" s="74"/>
      <c r="J49" s="74"/>
      <c r="K49" s="74"/>
      <c r="N49" s="64" t="s">
        <v>222</v>
      </c>
      <c r="O49" s="64" t="s">
        <v>223</v>
      </c>
      <c r="P49" s="64" t="s">
        <v>182</v>
      </c>
    </row>
    <row r="50" spans="1:16">
      <c r="A50" s="64" t="s">
        <v>238</v>
      </c>
      <c r="B50" s="64"/>
      <c r="C50" s="80">
        <f>J40*1.17</f>
        <v>7.605</v>
      </c>
      <c r="E50" s="76" t="s">
        <v>106</v>
      </c>
      <c r="F50" s="74"/>
      <c r="G50" s="74"/>
      <c r="H50" s="74"/>
      <c r="I50" s="74"/>
      <c r="J50" s="74"/>
      <c r="K50" s="74"/>
      <c r="N50" s="64">
        <v>5.07</v>
      </c>
      <c r="O50" s="64">
        <v>1.4</v>
      </c>
      <c r="P50" s="64">
        <f>N50*O50</f>
        <v>7.098</v>
      </c>
    </row>
    <row r="51" spans="1:11">
      <c r="A51" s="64" t="s">
        <v>219</v>
      </c>
      <c r="B51" s="64"/>
      <c r="C51" s="75">
        <f>J42+J44</f>
        <v>5</v>
      </c>
      <c r="E51" s="76" t="s">
        <v>239</v>
      </c>
      <c r="F51" s="81">
        <f>F50+F49+F48+F47+F46</f>
        <v>73.186296</v>
      </c>
      <c r="G51" s="81"/>
      <c r="H51" s="81"/>
      <c r="I51" s="81"/>
      <c r="J51" s="81"/>
      <c r="K51" s="81"/>
    </row>
    <row r="52" spans="8:10">
      <c r="H52" t="s">
        <v>252</v>
      </c>
      <c r="I52" t="s">
        <v>105</v>
      </c>
      <c r="J52">
        <v>65.55</v>
      </c>
    </row>
    <row r="53" spans="14:16">
      <c r="N53" s="64" t="s">
        <v>229</v>
      </c>
      <c r="O53" s="64" t="s">
        <v>230</v>
      </c>
      <c r="P53" s="64" t="s">
        <v>182</v>
      </c>
    </row>
    <row r="54" spans="14:17">
      <c r="N54" s="64">
        <v>65.55</v>
      </c>
      <c r="O54" s="64">
        <v>7.098</v>
      </c>
      <c r="P54" s="84">
        <f>N54+O54</f>
        <v>72.648</v>
      </c>
      <c r="Q54" t="s">
        <v>252</v>
      </c>
    </row>
  </sheetData>
  <mergeCells count="48">
    <mergeCell ref="A1:B1"/>
    <mergeCell ref="A2:K2"/>
    <mergeCell ref="A12:J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8:K28"/>
    <mergeCell ref="J29:K29"/>
    <mergeCell ref="J30:K30"/>
    <mergeCell ref="D31:H31"/>
    <mergeCell ref="A32:H32"/>
    <mergeCell ref="A33:E3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A45:D45"/>
    <mergeCell ref="A46:B46"/>
    <mergeCell ref="F46:K46"/>
    <mergeCell ref="A47:B47"/>
    <mergeCell ref="F47:K47"/>
    <mergeCell ref="A48:B48"/>
    <mergeCell ref="F48:K48"/>
    <mergeCell ref="A49:B49"/>
    <mergeCell ref="F49:K49"/>
    <mergeCell ref="A50:B50"/>
    <mergeCell ref="F50:K50"/>
    <mergeCell ref="A51:B51"/>
    <mergeCell ref="F51:K51"/>
  </mergeCells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54"/>
  <sheetViews>
    <sheetView topLeftCell="A26" workbookViewId="0">
      <selection activeCell="T38" sqref="T38"/>
    </sheetView>
  </sheetViews>
  <sheetFormatPr defaultColWidth="9" defaultRowHeight="13.5"/>
  <cols>
    <col min="1" max="1" width="3.125" customWidth="1"/>
    <col min="2" max="2" width="12.25" customWidth="1"/>
    <col min="3" max="3" width="9.125" customWidth="1"/>
    <col min="4" max="4" width="7.75" customWidth="1"/>
    <col min="5" max="5" width="6.625" customWidth="1"/>
    <col min="6" max="6" width="7.375" customWidth="1"/>
    <col min="7" max="7" width="7" customWidth="1"/>
    <col min="8" max="8" width="12.125" customWidth="1"/>
    <col min="9" max="9" width="7.75" customWidth="1"/>
    <col min="10" max="10" width="8.875" customWidth="1"/>
    <col min="11" max="11" width="6.5" customWidth="1"/>
    <col min="12" max="12" width="7.125" customWidth="1"/>
    <col min="13" max="13" width="11" customWidth="1"/>
  </cols>
  <sheetData>
    <row r="1" ht="36" customHeight="1" spans="1:11">
      <c r="A1" s="58" t="s">
        <v>439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customHeight="1" spans="1:11">
      <c r="A2" s="59" t="s">
        <v>29</v>
      </c>
      <c r="B2" s="59" t="s">
        <v>151</v>
      </c>
      <c r="C2" s="59" t="s">
        <v>152</v>
      </c>
      <c r="D2" s="59" t="s">
        <v>153</v>
      </c>
      <c r="E2" s="59" t="s">
        <v>154</v>
      </c>
      <c r="F2" s="59" t="s">
        <v>155</v>
      </c>
      <c r="G2" s="59" t="s">
        <v>156</v>
      </c>
      <c r="H2" s="59" t="s">
        <v>157</v>
      </c>
      <c r="I2" s="59" t="s">
        <v>158</v>
      </c>
      <c r="J2" s="59" t="s">
        <v>159</v>
      </c>
      <c r="K2" s="59" t="s">
        <v>160</v>
      </c>
    </row>
    <row r="3" customHeight="1" spans="1:11">
      <c r="A3" s="59">
        <v>1</v>
      </c>
      <c r="B3" s="59" t="s">
        <v>440</v>
      </c>
      <c r="C3" s="59"/>
      <c r="D3" s="59" t="s">
        <v>313</v>
      </c>
      <c r="E3" s="60">
        <v>6.1</v>
      </c>
      <c r="F3" s="60">
        <v>0.99</v>
      </c>
      <c r="G3" s="60">
        <f>E3*F3</f>
        <v>6.039</v>
      </c>
      <c r="H3" s="60">
        <v>0.99</v>
      </c>
      <c r="I3" s="60">
        <f>F3-H3</f>
        <v>0</v>
      </c>
      <c r="J3" s="60">
        <f>I3*1.1</f>
        <v>0</v>
      </c>
      <c r="K3" s="60">
        <f>G3-J3</f>
        <v>6.039</v>
      </c>
    </row>
    <row r="4" customHeight="1" spans="1:11">
      <c r="A4" s="59">
        <v>2</v>
      </c>
      <c r="B4" s="59" t="s">
        <v>401</v>
      </c>
      <c r="C4" s="59"/>
      <c r="D4" s="59" t="s">
        <v>313</v>
      </c>
      <c r="E4" s="60">
        <v>6.1</v>
      </c>
      <c r="F4" s="60">
        <v>0.68</v>
      </c>
      <c r="G4" s="60">
        <f t="shared" ref="G4:G12" si="0">E4*F4</f>
        <v>4.148</v>
      </c>
      <c r="H4" s="60">
        <v>0.68</v>
      </c>
      <c r="I4" s="60">
        <f t="shared" ref="I4:I12" si="1">F4-H4</f>
        <v>0</v>
      </c>
      <c r="J4" s="60">
        <f t="shared" ref="J4:J12" si="2">I4*1.1</f>
        <v>0</v>
      </c>
      <c r="K4" s="60">
        <f t="shared" ref="K4:K12" si="3">G4-J4</f>
        <v>4.148</v>
      </c>
    </row>
    <row r="5" customHeight="1" spans="1:11">
      <c r="A5" s="59">
        <v>3</v>
      </c>
      <c r="B5" s="59" t="s">
        <v>441</v>
      </c>
      <c r="C5" s="59"/>
      <c r="D5" s="59" t="s">
        <v>313</v>
      </c>
      <c r="E5" s="60">
        <v>6.1</v>
      </c>
      <c r="F5" s="60">
        <v>1.67</v>
      </c>
      <c r="G5" s="60">
        <f t="shared" si="0"/>
        <v>10.187</v>
      </c>
      <c r="H5" s="60">
        <v>1.67</v>
      </c>
      <c r="I5" s="60">
        <f t="shared" si="1"/>
        <v>0</v>
      </c>
      <c r="J5" s="60">
        <f t="shared" si="2"/>
        <v>0</v>
      </c>
      <c r="K5" s="60">
        <f t="shared" si="3"/>
        <v>10.187</v>
      </c>
    </row>
    <row r="6" customHeight="1" spans="1:11">
      <c r="A6" s="59">
        <v>4</v>
      </c>
      <c r="B6" s="59" t="s">
        <v>442</v>
      </c>
      <c r="C6" s="59"/>
      <c r="D6" s="59" t="s">
        <v>404</v>
      </c>
      <c r="E6" s="60">
        <v>5.5</v>
      </c>
      <c r="F6" s="60">
        <v>0.228</v>
      </c>
      <c r="G6" s="60">
        <f t="shared" si="0"/>
        <v>1.254</v>
      </c>
      <c r="H6" s="60">
        <v>0.228</v>
      </c>
      <c r="I6" s="60">
        <f t="shared" si="1"/>
        <v>0</v>
      </c>
      <c r="J6" s="60">
        <f t="shared" si="2"/>
        <v>0</v>
      </c>
      <c r="K6" s="60">
        <f t="shared" si="3"/>
        <v>1.254</v>
      </c>
    </row>
    <row r="7" customHeight="1" spans="1:11">
      <c r="A7" s="59">
        <v>5</v>
      </c>
      <c r="B7" s="85" t="s">
        <v>443</v>
      </c>
      <c r="C7" s="59"/>
      <c r="D7" s="59" t="s">
        <v>313</v>
      </c>
      <c r="E7" s="60">
        <v>6.1</v>
      </c>
      <c r="F7" s="60">
        <v>0.53</v>
      </c>
      <c r="G7" s="60">
        <f t="shared" si="0"/>
        <v>3.233</v>
      </c>
      <c r="H7" s="60">
        <v>0.53</v>
      </c>
      <c r="I7" s="60">
        <f t="shared" si="1"/>
        <v>0</v>
      </c>
      <c r="J7" s="60">
        <f t="shared" si="2"/>
        <v>0</v>
      </c>
      <c r="K7" s="60">
        <f t="shared" si="3"/>
        <v>3.233</v>
      </c>
    </row>
    <row r="8" customHeight="1" spans="1:11">
      <c r="A8" s="59">
        <v>6</v>
      </c>
      <c r="B8" s="59" t="s">
        <v>406</v>
      </c>
      <c r="C8" s="59"/>
      <c r="D8" s="59" t="s">
        <v>313</v>
      </c>
      <c r="E8" s="60">
        <v>6.1</v>
      </c>
      <c r="F8" s="59">
        <v>0.27</v>
      </c>
      <c r="G8" s="59">
        <f t="shared" si="0"/>
        <v>1.647</v>
      </c>
      <c r="H8" s="59">
        <v>0.27</v>
      </c>
      <c r="I8" s="59">
        <f t="shared" si="1"/>
        <v>0</v>
      </c>
      <c r="J8" s="59">
        <f t="shared" si="2"/>
        <v>0</v>
      </c>
      <c r="K8" s="59">
        <f t="shared" si="3"/>
        <v>1.647</v>
      </c>
    </row>
    <row r="9" customHeight="1" spans="1:11">
      <c r="A9" s="59">
        <v>7</v>
      </c>
      <c r="B9" s="59" t="s">
        <v>444</v>
      </c>
      <c r="C9" s="59"/>
      <c r="D9" s="59" t="s">
        <v>445</v>
      </c>
      <c r="E9" s="60">
        <v>6.1</v>
      </c>
      <c r="F9" s="59">
        <v>0.44</v>
      </c>
      <c r="G9" s="59">
        <f t="shared" si="0"/>
        <v>2.684</v>
      </c>
      <c r="H9" s="59">
        <v>0.44</v>
      </c>
      <c r="I9" s="59">
        <f t="shared" si="1"/>
        <v>0</v>
      </c>
      <c r="J9" s="59">
        <f t="shared" si="2"/>
        <v>0</v>
      </c>
      <c r="K9" s="59">
        <f t="shared" si="3"/>
        <v>2.684</v>
      </c>
    </row>
    <row r="10" customHeight="1" spans="1:11">
      <c r="A10" s="59">
        <v>8</v>
      </c>
      <c r="B10" s="59" t="s">
        <v>446</v>
      </c>
      <c r="C10" s="59"/>
      <c r="D10" s="59" t="s">
        <v>447</v>
      </c>
      <c r="E10" s="60">
        <v>6.1</v>
      </c>
      <c r="F10" s="59">
        <v>0.49</v>
      </c>
      <c r="G10" s="59">
        <f t="shared" si="0"/>
        <v>2.989</v>
      </c>
      <c r="H10" s="59">
        <v>0.49</v>
      </c>
      <c r="I10" s="59">
        <f t="shared" si="1"/>
        <v>0</v>
      </c>
      <c r="J10" s="59">
        <f t="shared" si="2"/>
        <v>0</v>
      </c>
      <c r="K10" s="59">
        <f t="shared" si="3"/>
        <v>2.989</v>
      </c>
    </row>
    <row r="11" customHeight="1" spans="1:11">
      <c r="A11" s="59">
        <v>9</v>
      </c>
      <c r="B11" s="59" t="s">
        <v>409</v>
      </c>
      <c r="C11" s="59"/>
      <c r="D11" s="59" t="s">
        <v>333</v>
      </c>
      <c r="E11" s="60">
        <v>5.9</v>
      </c>
      <c r="F11" s="59">
        <v>0.64</v>
      </c>
      <c r="G11" s="59">
        <f t="shared" si="0"/>
        <v>3.776</v>
      </c>
      <c r="H11" s="59">
        <v>0.5</v>
      </c>
      <c r="I11" s="59">
        <f t="shared" si="1"/>
        <v>0.14</v>
      </c>
      <c r="J11" s="59">
        <f t="shared" si="2"/>
        <v>0.154</v>
      </c>
      <c r="K11" s="59">
        <f t="shared" si="3"/>
        <v>3.622</v>
      </c>
    </row>
    <row r="12" customHeight="1" spans="1:11">
      <c r="A12" s="59">
        <v>10</v>
      </c>
      <c r="B12" s="59" t="s">
        <v>410</v>
      </c>
      <c r="C12" s="59"/>
      <c r="D12" s="59" t="s">
        <v>333</v>
      </c>
      <c r="E12" s="60">
        <v>5.9</v>
      </c>
      <c r="F12" s="59">
        <v>0.44</v>
      </c>
      <c r="G12" s="59">
        <f t="shared" si="0"/>
        <v>2.596</v>
      </c>
      <c r="H12" s="59">
        <v>0.32</v>
      </c>
      <c r="I12" s="59">
        <f t="shared" si="1"/>
        <v>0.12</v>
      </c>
      <c r="J12" s="59">
        <f t="shared" si="2"/>
        <v>0.132</v>
      </c>
      <c r="K12" s="59">
        <f t="shared" si="3"/>
        <v>2.464</v>
      </c>
    </row>
    <row r="13" customHeight="1" spans="1:11">
      <c r="A13" s="61" t="s">
        <v>182</v>
      </c>
      <c r="B13" s="62"/>
      <c r="C13" s="62"/>
      <c r="D13" s="62"/>
      <c r="E13" s="62"/>
      <c r="F13" s="62"/>
      <c r="G13" s="62"/>
      <c r="H13" s="62"/>
      <c r="I13" s="62"/>
      <c r="J13" s="63"/>
      <c r="K13" s="60">
        <f>SUM(K3:K12)</f>
        <v>38.267</v>
      </c>
    </row>
    <row r="14" customHeight="1" spans="1:11">
      <c r="A14" s="59" t="s">
        <v>29</v>
      </c>
      <c r="B14" s="59" t="s">
        <v>151</v>
      </c>
      <c r="C14" s="59" t="s">
        <v>152</v>
      </c>
      <c r="D14" s="59" t="s">
        <v>166</v>
      </c>
      <c r="E14" s="59" t="s">
        <v>167</v>
      </c>
      <c r="F14" s="59" t="s">
        <v>168</v>
      </c>
      <c r="G14" s="59" t="s">
        <v>169</v>
      </c>
      <c r="H14" s="59" t="s">
        <v>170</v>
      </c>
      <c r="I14" s="59" t="s">
        <v>171</v>
      </c>
      <c r="J14" s="61" t="s">
        <v>107</v>
      </c>
      <c r="K14" s="63"/>
    </row>
    <row r="15" customHeight="1" spans="1:11">
      <c r="A15" s="59">
        <v>1</v>
      </c>
      <c r="B15" s="59"/>
      <c r="C15" s="59"/>
      <c r="D15" s="59"/>
      <c r="E15" s="59" t="s">
        <v>260</v>
      </c>
      <c r="F15" s="59" t="s">
        <v>261</v>
      </c>
      <c r="G15" s="59"/>
      <c r="H15" s="59" t="s">
        <v>262</v>
      </c>
      <c r="I15" s="59"/>
      <c r="J15" s="61"/>
      <c r="K15" s="63"/>
    </row>
    <row r="16" customHeight="1" spans="1:11">
      <c r="A16" s="59">
        <v>2</v>
      </c>
      <c r="B16" s="59" t="s">
        <v>411</v>
      </c>
      <c r="C16" s="59"/>
      <c r="D16" s="59"/>
      <c r="E16" s="59" t="s">
        <v>260</v>
      </c>
      <c r="F16" s="59" t="s">
        <v>264</v>
      </c>
      <c r="G16" s="59"/>
      <c r="H16" s="59" t="s">
        <v>265</v>
      </c>
      <c r="I16" s="59">
        <v>0.3</v>
      </c>
      <c r="J16" s="61"/>
      <c r="K16" s="63"/>
    </row>
    <row r="17" customHeight="1" spans="1:11">
      <c r="A17" s="59">
        <v>8</v>
      </c>
      <c r="B17" s="59" t="s">
        <v>411</v>
      </c>
      <c r="C17" s="59"/>
      <c r="D17" s="59" t="s">
        <v>412</v>
      </c>
      <c r="E17" s="59" t="s">
        <v>270</v>
      </c>
      <c r="F17" s="59" t="s">
        <v>277</v>
      </c>
      <c r="G17" s="59">
        <v>12</v>
      </c>
      <c r="H17" s="59">
        <v>0.08</v>
      </c>
      <c r="I17" s="59">
        <f t="shared" ref="I17:I27" si="4">G17*H17</f>
        <v>0.96</v>
      </c>
      <c r="J17" s="61"/>
      <c r="K17" s="63"/>
    </row>
    <row r="18" customHeight="1" spans="1:11">
      <c r="A18" s="59">
        <v>9</v>
      </c>
      <c r="B18" s="59"/>
      <c r="C18" s="59"/>
      <c r="D18" s="59"/>
      <c r="E18" s="59" t="s">
        <v>270</v>
      </c>
      <c r="F18" s="59" t="s">
        <v>278</v>
      </c>
      <c r="G18" s="59"/>
      <c r="H18" s="59">
        <v>0.05</v>
      </c>
      <c r="I18" s="59">
        <f t="shared" si="4"/>
        <v>0</v>
      </c>
      <c r="J18" s="61"/>
      <c r="K18" s="63"/>
    </row>
    <row r="19" customHeight="1" spans="1:11">
      <c r="A19" s="59">
        <v>10</v>
      </c>
      <c r="B19" s="59" t="s">
        <v>413</v>
      </c>
      <c r="C19" s="59" t="s">
        <v>414</v>
      </c>
      <c r="D19" s="59" t="s">
        <v>279</v>
      </c>
      <c r="E19" s="59"/>
      <c r="F19" s="59"/>
      <c r="G19" s="59"/>
      <c r="H19" s="59">
        <v>0.08</v>
      </c>
      <c r="I19" s="59">
        <v>0.61</v>
      </c>
      <c r="J19" s="61" t="s">
        <v>280</v>
      </c>
      <c r="K19" s="63"/>
    </row>
    <row r="20" customHeight="1" spans="1:11">
      <c r="A20" s="59">
        <v>11</v>
      </c>
      <c r="B20" s="59" t="s">
        <v>415</v>
      </c>
      <c r="C20" s="59"/>
      <c r="D20" s="59" t="s">
        <v>174</v>
      </c>
      <c r="E20" s="59"/>
      <c r="F20" s="59"/>
      <c r="G20" s="59">
        <v>2</v>
      </c>
      <c r="H20" s="59">
        <v>0.08</v>
      </c>
      <c r="I20" s="59">
        <f t="shared" si="4"/>
        <v>0.16</v>
      </c>
      <c r="J20" s="61"/>
      <c r="K20" s="63"/>
    </row>
    <row r="21" customHeight="1" spans="1:11">
      <c r="A21" s="59">
        <v>12</v>
      </c>
      <c r="B21" s="59" t="s">
        <v>448</v>
      </c>
      <c r="C21" s="59"/>
      <c r="D21" s="59" t="s">
        <v>321</v>
      </c>
      <c r="E21" s="59"/>
      <c r="F21" s="59"/>
      <c r="G21" s="59">
        <v>10</v>
      </c>
      <c r="H21" s="59">
        <v>0.08</v>
      </c>
      <c r="I21" s="59">
        <f t="shared" si="4"/>
        <v>0.8</v>
      </c>
      <c r="J21" s="61"/>
      <c r="K21" s="63"/>
    </row>
    <row r="22" customHeight="1" spans="1:11">
      <c r="A22" s="59">
        <v>13</v>
      </c>
      <c r="B22" s="59" t="s">
        <v>417</v>
      </c>
      <c r="C22" s="59"/>
      <c r="D22" s="59" t="s">
        <v>245</v>
      </c>
      <c r="E22" s="59"/>
      <c r="F22" s="59"/>
      <c r="G22" s="59">
        <v>2</v>
      </c>
      <c r="H22" s="59">
        <v>0.08</v>
      </c>
      <c r="I22" s="59">
        <f t="shared" si="4"/>
        <v>0.16</v>
      </c>
      <c r="J22" s="61"/>
      <c r="K22" s="63"/>
    </row>
    <row r="23" customHeight="1" spans="1:11">
      <c r="A23" s="59">
        <v>14</v>
      </c>
      <c r="B23" s="59" t="s">
        <v>418</v>
      </c>
      <c r="C23" s="59"/>
      <c r="D23" s="59" t="s">
        <v>283</v>
      </c>
      <c r="E23" s="59"/>
      <c r="F23" s="59"/>
      <c r="G23" s="59">
        <v>10</v>
      </c>
      <c r="H23" s="59">
        <v>0.08</v>
      </c>
      <c r="I23" s="59">
        <f t="shared" si="4"/>
        <v>0.8</v>
      </c>
      <c r="J23" s="61"/>
      <c r="K23" s="63"/>
    </row>
    <row r="24" customHeight="1" spans="1:11">
      <c r="A24" s="59">
        <v>15</v>
      </c>
      <c r="B24" s="59" t="s">
        <v>417</v>
      </c>
      <c r="C24" s="59"/>
      <c r="D24" s="59" t="s">
        <v>419</v>
      </c>
      <c r="E24" s="59"/>
      <c r="F24" s="59"/>
      <c r="G24" s="59">
        <v>2</v>
      </c>
      <c r="H24" s="59">
        <v>0.08</v>
      </c>
      <c r="I24" s="59">
        <f t="shared" si="4"/>
        <v>0.16</v>
      </c>
      <c r="J24" s="61"/>
      <c r="K24" s="63"/>
    </row>
    <row r="25" customHeight="1" spans="1:11">
      <c r="A25" s="59">
        <v>16</v>
      </c>
      <c r="B25" s="59" t="s">
        <v>368</v>
      </c>
      <c r="C25" s="59"/>
      <c r="D25" s="59" t="s">
        <v>275</v>
      </c>
      <c r="E25" s="59"/>
      <c r="F25" s="59"/>
      <c r="G25" s="59">
        <v>2</v>
      </c>
      <c r="H25" s="59">
        <v>0.08</v>
      </c>
      <c r="I25" s="59">
        <f t="shared" si="4"/>
        <v>0.16</v>
      </c>
      <c r="J25" s="61"/>
      <c r="K25" s="63"/>
    </row>
    <row r="26" customHeight="1" spans="1:11">
      <c r="A26" s="59">
        <v>17</v>
      </c>
      <c r="B26" s="59" t="s">
        <v>417</v>
      </c>
      <c r="C26" s="59"/>
      <c r="D26" s="59" t="s">
        <v>285</v>
      </c>
      <c r="E26" s="59"/>
      <c r="F26" s="59"/>
      <c r="G26" s="59">
        <v>2</v>
      </c>
      <c r="H26" s="59">
        <v>0.08</v>
      </c>
      <c r="I26" s="59">
        <f t="shared" si="4"/>
        <v>0.16</v>
      </c>
      <c r="J26" s="61"/>
      <c r="K26" s="63"/>
    </row>
    <row r="27" customHeight="1" spans="1:11">
      <c r="A27" s="59">
        <v>18</v>
      </c>
      <c r="B27" s="59"/>
      <c r="C27" s="59"/>
      <c r="D27" s="59"/>
      <c r="E27" s="59"/>
      <c r="F27" s="59"/>
      <c r="G27" s="59"/>
      <c r="H27" s="59">
        <v>0.08</v>
      </c>
      <c r="I27" s="59">
        <f t="shared" si="4"/>
        <v>0</v>
      </c>
      <c r="J27" s="61"/>
      <c r="K27" s="63"/>
    </row>
    <row r="28" customHeight="1" spans="1:11">
      <c r="A28" s="59">
        <v>19</v>
      </c>
      <c r="B28" s="59"/>
      <c r="C28" s="59"/>
      <c r="D28" s="59" t="s">
        <v>287</v>
      </c>
      <c r="E28" s="59"/>
      <c r="F28" s="59"/>
      <c r="G28" s="59"/>
      <c r="H28" s="59"/>
      <c r="I28" s="59">
        <v>0.4</v>
      </c>
      <c r="J28" s="61" t="s">
        <v>288</v>
      </c>
      <c r="K28" s="63"/>
    </row>
    <row r="29" customHeight="1" spans="1:11">
      <c r="A29" s="59"/>
      <c r="B29" s="59"/>
      <c r="C29" s="59"/>
      <c r="D29" s="61" t="s">
        <v>420</v>
      </c>
      <c r="E29" s="62"/>
      <c r="F29" s="62"/>
      <c r="G29" s="62"/>
      <c r="H29" s="63"/>
      <c r="I29" s="59">
        <v>0.8</v>
      </c>
      <c r="J29" s="61"/>
      <c r="K29" s="63"/>
    </row>
    <row r="30" customHeight="1" spans="1:11">
      <c r="A30" s="61" t="s">
        <v>182</v>
      </c>
      <c r="B30" s="62"/>
      <c r="C30" s="62"/>
      <c r="D30" s="62"/>
      <c r="E30" s="62"/>
      <c r="F30" s="62"/>
      <c r="G30" s="62"/>
      <c r="H30" s="63"/>
      <c r="I30" s="82">
        <f>SUM(I15:I29)</f>
        <v>5.47</v>
      </c>
      <c r="J30" s="59"/>
      <c r="K30" s="59"/>
    </row>
    <row r="31" customHeight="1" spans="1:11">
      <c r="A31" s="61"/>
      <c r="B31" s="62"/>
      <c r="C31" s="62"/>
      <c r="D31" s="62"/>
      <c r="E31" s="62"/>
      <c r="F31" s="62"/>
      <c r="G31" s="62"/>
      <c r="H31" s="62"/>
      <c r="I31" s="62"/>
      <c r="J31" s="62"/>
      <c r="K31" s="63"/>
    </row>
    <row r="32" customHeight="1" spans="1:11">
      <c r="A32" s="61" t="s">
        <v>183</v>
      </c>
      <c r="B32" s="62"/>
      <c r="C32" s="62"/>
      <c r="D32" s="62"/>
      <c r="E32" s="63"/>
      <c r="F32" s="59" t="s">
        <v>184</v>
      </c>
      <c r="G32" s="59"/>
      <c r="H32" s="59" t="s">
        <v>185</v>
      </c>
      <c r="I32" s="59" t="s">
        <v>186</v>
      </c>
      <c r="J32" s="59" t="s">
        <v>187</v>
      </c>
      <c r="K32" s="63" t="s">
        <v>107</v>
      </c>
    </row>
    <row r="33" customHeight="1" spans="1:11">
      <c r="A33" s="59" t="s">
        <v>29</v>
      </c>
      <c r="B33" s="59" t="s">
        <v>190</v>
      </c>
      <c r="C33" s="59" t="s">
        <v>191</v>
      </c>
      <c r="D33" s="59" t="s">
        <v>192</v>
      </c>
      <c r="E33" s="59" t="s">
        <v>171</v>
      </c>
      <c r="F33" s="59" t="s">
        <v>421</v>
      </c>
      <c r="G33" s="59"/>
      <c r="H33" s="59">
        <v>12</v>
      </c>
      <c r="I33" s="59">
        <v>0.05</v>
      </c>
      <c r="J33" s="78">
        <f>I33*H33</f>
        <v>0.6</v>
      </c>
      <c r="K33" s="59"/>
    </row>
    <row r="34" customHeight="1" spans="1:11">
      <c r="A34" s="64">
        <v>1</v>
      </c>
      <c r="B34" s="59" t="s">
        <v>422</v>
      </c>
      <c r="C34" s="59">
        <v>4</v>
      </c>
      <c r="D34" s="59">
        <v>0.45</v>
      </c>
      <c r="E34" s="59">
        <f>D34*C34</f>
        <v>1.8</v>
      </c>
      <c r="F34" s="61" t="s">
        <v>423</v>
      </c>
      <c r="G34" s="63"/>
      <c r="H34" s="59">
        <v>15</v>
      </c>
      <c r="I34" s="59">
        <v>0.05</v>
      </c>
      <c r="J34" s="78">
        <f t="shared" ref="J34:J38" si="5">I34*H34</f>
        <v>0.75</v>
      </c>
      <c r="K34" s="59"/>
    </row>
    <row r="35" customHeight="1" spans="1:11">
      <c r="A35" s="64">
        <v>2</v>
      </c>
      <c r="B35" s="59" t="s">
        <v>424</v>
      </c>
      <c r="C35" s="59">
        <v>6</v>
      </c>
      <c r="D35" s="59">
        <v>0.55</v>
      </c>
      <c r="E35" s="59">
        <f t="shared" ref="E35:E44" si="6">D35*C35</f>
        <v>3.3</v>
      </c>
      <c r="F35" s="61" t="s">
        <v>425</v>
      </c>
      <c r="G35" s="63"/>
      <c r="H35" s="59">
        <v>4</v>
      </c>
      <c r="I35" s="59">
        <v>0.05</v>
      </c>
      <c r="J35" s="78">
        <f t="shared" si="5"/>
        <v>0.2</v>
      </c>
      <c r="K35" s="59"/>
    </row>
    <row r="36" customHeight="1" spans="1:11">
      <c r="A36" s="64">
        <v>3</v>
      </c>
      <c r="B36" s="59" t="s">
        <v>293</v>
      </c>
      <c r="C36" s="59">
        <v>9</v>
      </c>
      <c r="D36" s="59">
        <v>1</v>
      </c>
      <c r="E36" s="59">
        <f t="shared" si="6"/>
        <v>9</v>
      </c>
      <c r="F36" s="61" t="s">
        <v>291</v>
      </c>
      <c r="G36" s="63"/>
      <c r="H36" s="59">
        <v>170</v>
      </c>
      <c r="I36" s="59">
        <v>0.05</v>
      </c>
      <c r="J36" s="78">
        <f t="shared" si="5"/>
        <v>8.5</v>
      </c>
      <c r="K36" s="59"/>
    </row>
    <row r="37" customHeight="1" spans="1:11">
      <c r="A37" s="64">
        <v>4</v>
      </c>
      <c r="B37" s="59" t="s">
        <v>426</v>
      </c>
      <c r="C37" s="59">
        <v>18</v>
      </c>
      <c r="D37" s="59">
        <v>0.15</v>
      </c>
      <c r="E37" s="59">
        <f t="shared" si="6"/>
        <v>2.7</v>
      </c>
      <c r="F37" s="61" t="s">
        <v>449</v>
      </c>
      <c r="G37" s="63"/>
      <c r="H37" s="59">
        <v>6</v>
      </c>
      <c r="I37" s="59">
        <v>0.05</v>
      </c>
      <c r="J37" s="78">
        <f t="shared" si="5"/>
        <v>0.3</v>
      </c>
      <c r="K37" s="59"/>
    </row>
    <row r="38" customHeight="1" spans="1:15">
      <c r="A38" s="64">
        <v>5</v>
      </c>
      <c r="B38" s="59" t="s">
        <v>427</v>
      </c>
      <c r="C38" s="59">
        <v>2</v>
      </c>
      <c r="D38" s="65">
        <v>1.8</v>
      </c>
      <c r="E38" s="65">
        <f t="shared" si="6"/>
        <v>3.6</v>
      </c>
      <c r="F38" s="61" t="s">
        <v>450</v>
      </c>
      <c r="G38" s="63"/>
      <c r="H38" s="59">
        <v>3</v>
      </c>
      <c r="I38" s="59">
        <v>0.05</v>
      </c>
      <c r="J38" s="78">
        <f t="shared" si="5"/>
        <v>0.15</v>
      </c>
      <c r="K38" s="59"/>
      <c r="M38" s="77" t="s">
        <v>211</v>
      </c>
      <c r="N38" s="77" t="s">
        <v>212</v>
      </c>
      <c r="O38" s="77" t="s">
        <v>213</v>
      </c>
    </row>
    <row r="39" customHeight="1" spans="1:15">
      <c r="A39" s="64">
        <v>6</v>
      </c>
      <c r="B39" s="59" t="s">
        <v>428</v>
      </c>
      <c r="C39" s="59">
        <v>9</v>
      </c>
      <c r="D39" s="59">
        <v>0.04</v>
      </c>
      <c r="E39" s="59">
        <f t="shared" si="6"/>
        <v>0.36</v>
      </c>
      <c r="F39" s="61" t="s">
        <v>182</v>
      </c>
      <c r="G39" s="63"/>
      <c r="H39" s="59"/>
      <c r="I39" s="59"/>
      <c r="J39" s="83">
        <f>SUM(J33:J38)</f>
        <v>10.5</v>
      </c>
      <c r="K39" s="59"/>
      <c r="M39" s="77" t="s">
        <v>215</v>
      </c>
      <c r="N39" s="77" t="s">
        <v>216</v>
      </c>
      <c r="O39" s="77" t="s">
        <v>217</v>
      </c>
    </row>
    <row r="40" customHeight="1" spans="1:11">
      <c r="A40" s="64">
        <v>7</v>
      </c>
      <c r="B40" s="59" t="s">
        <v>429</v>
      </c>
      <c r="C40" s="59">
        <v>18</v>
      </c>
      <c r="D40" s="59">
        <v>0.03</v>
      </c>
      <c r="E40" s="59">
        <f t="shared" si="6"/>
        <v>0.54</v>
      </c>
      <c r="F40" s="61" t="s">
        <v>219</v>
      </c>
      <c r="G40" s="63"/>
      <c r="H40" s="66" t="s">
        <v>301</v>
      </c>
      <c r="I40" s="59" t="s">
        <v>430</v>
      </c>
      <c r="J40" s="73" t="s">
        <v>187</v>
      </c>
      <c r="K40" s="59" t="s">
        <v>107</v>
      </c>
    </row>
    <row r="41" customHeight="1" spans="1:11">
      <c r="A41" s="64">
        <v>8</v>
      </c>
      <c r="B41" s="59" t="s">
        <v>431</v>
      </c>
      <c r="C41" s="59">
        <v>2</v>
      </c>
      <c r="D41" s="59">
        <v>0.1</v>
      </c>
      <c r="E41" s="59">
        <f t="shared" si="6"/>
        <v>0.2</v>
      </c>
      <c r="F41" s="61" t="s">
        <v>226</v>
      </c>
      <c r="G41" s="63"/>
      <c r="H41" s="59">
        <v>10</v>
      </c>
      <c r="I41" s="59">
        <v>0.95</v>
      </c>
      <c r="J41" s="59">
        <f>I41*H41</f>
        <v>9.5</v>
      </c>
      <c r="K41" s="59"/>
    </row>
    <row r="42" customHeight="1" spans="1:15">
      <c r="A42" s="64">
        <v>9</v>
      </c>
      <c r="B42" s="59" t="s">
        <v>432</v>
      </c>
      <c r="C42" s="59">
        <v>2</v>
      </c>
      <c r="D42" s="59">
        <v>1.3</v>
      </c>
      <c r="E42" s="59">
        <f t="shared" si="6"/>
        <v>2.6</v>
      </c>
      <c r="F42" s="61"/>
      <c r="G42" s="63"/>
      <c r="H42" s="67"/>
      <c r="I42" s="59"/>
      <c r="J42" s="59"/>
      <c r="K42" s="59"/>
      <c r="M42" s="64" t="s">
        <v>222</v>
      </c>
      <c r="N42" s="64" t="s">
        <v>223</v>
      </c>
      <c r="O42" s="64" t="s">
        <v>182</v>
      </c>
    </row>
    <row r="43" customHeight="1" spans="1:15">
      <c r="A43" s="64"/>
      <c r="B43" s="59" t="s">
        <v>356</v>
      </c>
      <c r="C43" s="59">
        <v>1</v>
      </c>
      <c r="D43" s="59">
        <v>1.3</v>
      </c>
      <c r="E43" s="59">
        <f t="shared" si="6"/>
        <v>1.3</v>
      </c>
      <c r="F43" s="61"/>
      <c r="G43" s="63"/>
      <c r="H43" s="67"/>
      <c r="I43" s="59"/>
      <c r="J43" s="59"/>
      <c r="K43" s="59"/>
      <c r="M43" s="64">
        <v>7.13</v>
      </c>
      <c r="N43" s="64">
        <v>1.4</v>
      </c>
      <c r="O43" s="64">
        <f>M43*N43</f>
        <v>9.982</v>
      </c>
    </row>
    <row r="44" customHeight="1" spans="1:11">
      <c r="A44" s="64"/>
      <c r="B44" s="59" t="s">
        <v>359</v>
      </c>
      <c r="C44" s="59">
        <v>2</v>
      </c>
      <c r="D44" s="59">
        <v>0.46</v>
      </c>
      <c r="E44" s="59">
        <f t="shared" si="6"/>
        <v>0.92</v>
      </c>
      <c r="F44" s="68"/>
      <c r="G44" s="69"/>
      <c r="H44" s="59"/>
      <c r="I44" s="59"/>
      <c r="J44" s="59"/>
      <c r="K44" s="59"/>
    </row>
    <row r="45" customHeight="1" spans="1:5">
      <c r="A45" s="68" t="s">
        <v>182</v>
      </c>
      <c r="B45" s="70"/>
      <c r="C45" s="70"/>
      <c r="D45" s="69"/>
      <c r="E45" s="71">
        <f>SUM(E34:E44)</f>
        <v>26.32</v>
      </c>
    </row>
    <row r="46" customHeight="1" spans="1:15">
      <c r="A46" s="72" t="s">
        <v>227</v>
      </c>
      <c r="B46" s="72"/>
      <c r="C46" s="72" t="s">
        <v>208</v>
      </c>
      <c r="E46" s="73" t="s">
        <v>228</v>
      </c>
      <c r="F46" s="74">
        <f>C51+C50+C49+C48+C47</f>
        <v>92.7719</v>
      </c>
      <c r="G46" s="74"/>
      <c r="H46" s="74"/>
      <c r="I46" s="74"/>
      <c r="J46" s="74"/>
      <c r="K46" s="74"/>
      <c r="M46" s="64" t="s">
        <v>229</v>
      </c>
      <c r="N46" s="64" t="s">
        <v>230</v>
      </c>
      <c r="O46" s="64" t="s">
        <v>182</v>
      </c>
    </row>
    <row r="47" customHeight="1" spans="1:16">
      <c r="A47" s="64" t="s">
        <v>231</v>
      </c>
      <c r="B47" s="64"/>
      <c r="C47" s="75">
        <f>K13</f>
        <v>38.267</v>
      </c>
      <c r="E47" s="76" t="s">
        <v>232</v>
      </c>
      <c r="F47" s="74">
        <f>F46*0.03</f>
        <v>2.783157</v>
      </c>
      <c r="G47" s="74"/>
      <c r="H47" s="74"/>
      <c r="I47" s="74"/>
      <c r="J47" s="74"/>
      <c r="K47" s="74"/>
      <c r="M47" s="64">
        <v>92.24</v>
      </c>
      <c r="N47" s="64">
        <v>9.982</v>
      </c>
      <c r="O47" s="84">
        <f>M47+N47</f>
        <v>102.222</v>
      </c>
      <c r="P47" t="s">
        <v>252</v>
      </c>
    </row>
    <row r="48" customHeight="1" spans="1:11">
      <c r="A48" s="64" t="s">
        <v>233</v>
      </c>
      <c r="B48" s="64"/>
      <c r="C48" s="80">
        <f>I30*1.17</f>
        <v>6.3999</v>
      </c>
      <c r="E48" s="76" t="s">
        <v>234</v>
      </c>
      <c r="F48" s="74">
        <f>F46*0.06</f>
        <v>5.566314</v>
      </c>
      <c r="G48" s="74"/>
      <c r="H48" s="74"/>
      <c r="I48" s="74"/>
      <c r="J48" s="74"/>
      <c r="K48" s="74"/>
    </row>
    <row r="49" customHeight="1" spans="1:11">
      <c r="A49" s="64" t="s">
        <v>235</v>
      </c>
      <c r="B49" s="64"/>
      <c r="C49" s="75">
        <f>E45</f>
        <v>26.32</v>
      </c>
      <c r="E49" s="76" t="s">
        <v>236</v>
      </c>
      <c r="F49" s="74">
        <f>F46*0.02</f>
        <v>1.855438</v>
      </c>
      <c r="G49" s="74"/>
      <c r="H49" s="74"/>
      <c r="I49" s="74"/>
      <c r="J49" s="74"/>
      <c r="K49" s="74"/>
    </row>
    <row r="50" customHeight="1" spans="1:11">
      <c r="A50" s="64" t="s">
        <v>238</v>
      </c>
      <c r="B50" s="64"/>
      <c r="C50" s="80">
        <f>J39*1.17</f>
        <v>12.285</v>
      </c>
      <c r="E50" s="76" t="s">
        <v>106</v>
      </c>
      <c r="F50" s="74"/>
      <c r="G50" s="74"/>
      <c r="H50" s="74"/>
      <c r="I50" s="74"/>
      <c r="J50" s="74"/>
      <c r="K50" s="74"/>
    </row>
    <row r="51" customHeight="1" spans="1:11">
      <c r="A51" s="64" t="s">
        <v>219</v>
      </c>
      <c r="B51" s="64"/>
      <c r="C51" s="75">
        <f>J41+J44</f>
        <v>9.5</v>
      </c>
      <c r="E51" s="76" t="s">
        <v>239</v>
      </c>
      <c r="F51" s="81">
        <f>F50+F49+F48+F47+F46</f>
        <v>102.976809</v>
      </c>
      <c r="G51" s="81"/>
      <c r="H51" s="81"/>
      <c r="I51" s="81"/>
      <c r="J51" s="81"/>
      <c r="K51" s="81"/>
    </row>
    <row r="52" spans="1:9">
      <c r="A52" s="77"/>
      <c r="B52" s="77"/>
      <c r="H52" t="s">
        <v>252</v>
      </c>
      <c r="I52" t="s">
        <v>451</v>
      </c>
    </row>
    <row r="53" spans="1:2">
      <c r="A53" s="77"/>
      <c r="B53" s="77"/>
    </row>
    <row r="54" spans="1:2">
      <c r="A54" s="77"/>
      <c r="B54" s="77"/>
    </row>
  </sheetData>
  <mergeCells count="48">
    <mergeCell ref="A1:K1"/>
    <mergeCell ref="A13:J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6:K26"/>
    <mergeCell ref="J27:K27"/>
    <mergeCell ref="J28:K28"/>
    <mergeCell ref="D29:H29"/>
    <mergeCell ref="A30:H30"/>
    <mergeCell ref="A31:K31"/>
    <mergeCell ref="A32:E32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4:G44"/>
    <mergeCell ref="A45:D45"/>
    <mergeCell ref="A46:B46"/>
    <mergeCell ref="F46:K46"/>
    <mergeCell ref="A47:B47"/>
    <mergeCell ref="F47:K47"/>
    <mergeCell ref="A48:B48"/>
    <mergeCell ref="F48:K48"/>
    <mergeCell ref="A49:B49"/>
    <mergeCell ref="F49:K49"/>
    <mergeCell ref="A50:B50"/>
    <mergeCell ref="F50:K50"/>
    <mergeCell ref="A51:B51"/>
    <mergeCell ref="F51:K51"/>
    <mergeCell ref="A52:B52"/>
    <mergeCell ref="A53:B53"/>
    <mergeCell ref="A54:B54"/>
  </mergeCells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52"/>
  <sheetViews>
    <sheetView topLeftCell="A37" workbookViewId="0">
      <selection activeCell="H3" sqref="H3:H10"/>
    </sheetView>
  </sheetViews>
  <sheetFormatPr defaultColWidth="9" defaultRowHeight="13.5"/>
  <cols>
    <col min="1" max="1" width="4.875" customWidth="1"/>
    <col min="2" max="2" width="25.625" customWidth="1"/>
    <col min="3" max="3" width="10.625" customWidth="1"/>
    <col min="4" max="4" width="13.5" customWidth="1"/>
    <col min="5" max="9" width="11.75" customWidth="1"/>
    <col min="10" max="10" width="12.75" customWidth="1"/>
    <col min="11" max="11" width="10.25" customWidth="1"/>
    <col min="12" max="12" width="5.875" customWidth="1"/>
  </cols>
  <sheetData>
    <row r="1" ht="36" customHeight="1" spans="1:11">
      <c r="A1" s="58" t="s">
        <v>452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customHeight="1" spans="1:11">
      <c r="A2" s="59" t="s">
        <v>29</v>
      </c>
      <c r="B2" s="59" t="s">
        <v>151</v>
      </c>
      <c r="C2" s="59" t="s">
        <v>152</v>
      </c>
      <c r="D2" s="59" t="s">
        <v>153</v>
      </c>
      <c r="E2" s="59" t="s">
        <v>154</v>
      </c>
      <c r="F2" s="59" t="s">
        <v>155</v>
      </c>
      <c r="G2" s="59" t="s">
        <v>156</v>
      </c>
      <c r="H2" s="59" t="s">
        <v>157</v>
      </c>
      <c r="I2" s="59" t="s">
        <v>158</v>
      </c>
      <c r="J2" s="59" t="s">
        <v>159</v>
      </c>
      <c r="K2" s="59" t="s">
        <v>160</v>
      </c>
    </row>
    <row r="3" customHeight="1" spans="1:11">
      <c r="A3" s="59">
        <v>1</v>
      </c>
      <c r="B3" s="59" t="s">
        <v>440</v>
      </c>
      <c r="C3" s="59"/>
      <c r="D3" s="59" t="s">
        <v>313</v>
      </c>
      <c r="E3" s="60">
        <v>6.1</v>
      </c>
      <c r="F3" s="60">
        <v>0.99</v>
      </c>
      <c r="G3" s="60">
        <f t="shared" ref="G3:G10" si="0">E3*F3</f>
        <v>6.039</v>
      </c>
      <c r="H3" s="60">
        <v>0.99</v>
      </c>
      <c r="I3" s="60">
        <f t="shared" ref="I3:I10" si="1">F3-H3</f>
        <v>0</v>
      </c>
      <c r="J3" s="60">
        <f t="shared" ref="J3:J10" si="2">I3*1.1</f>
        <v>0</v>
      </c>
      <c r="K3" s="60">
        <f t="shared" ref="K3:K10" si="3">G3-J3</f>
        <v>6.039</v>
      </c>
    </row>
    <row r="4" customHeight="1" spans="1:11">
      <c r="A4" s="59">
        <v>2</v>
      </c>
      <c r="B4" s="59" t="s">
        <v>401</v>
      </c>
      <c r="C4" s="59"/>
      <c r="D4" s="59" t="s">
        <v>313</v>
      </c>
      <c r="E4" s="60">
        <v>6.1</v>
      </c>
      <c r="F4" s="60">
        <v>0.68</v>
      </c>
      <c r="G4" s="60">
        <f t="shared" si="0"/>
        <v>4.148</v>
      </c>
      <c r="H4" s="60">
        <v>0.68</v>
      </c>
      <c r="I4" s="60">
        <f t="shared" si="1"/>
        <v>0</v>
      </c>
      <c r="J4" s="60">
        <f t="shared" si="2"/>
        <v>0</v>
      </c>
      <c r="K4" s="60">
        <f t="shared" si="3"/>
        <v>4.148</v>
      </c>
    </row>
    <row r="5" customHeight="1" spans="1:11">
      <c r="A5" s="59">
        <v>3</v>
      </c>
      <c r="B5" s="59" t="s">
        <v>441</v>
      </c>
      <c r="C5" s="59"/>
      <c r="D5" s="59" t="s">
        <v>313</v>
      </c>
      <c r="E5" s="60">
        <v>6.1</v>
      </c>
      <c r="F5" s="60">
        <v>1.67</v>
      </c>
      <c r="G5" s="60">
        <f t="shared" si="0"/>
        <v>10.187</v>
      </c>
      <c r="H5" s="60">
        <v>1.67</v>
      </c>
      <c r="I5" s="60">
        <f t="shared" si="1"/>
        <v>0</v>
      </c>
      <c r="J5" s="60">
        <f t="shared" si="2"/>
        <v>0</v>
      </c>
      <c r="K5" s="60">
        <f t="shared" si="3"/>
        <v>10.187</v>
      </c>
    </row>
    <row r="6" customHeight="1" spans="1:11">
      <c r="A6" s="59">
        <v>4</v>
      </c>
      <c r="B6" s="59" t="s">
        <v>442</v>
      </c>
      <c r="C6" s="59"/>
      <c r="D6" s="59" t="s">
        <v>404</v>
      </c>
      <c r="E6" s="60">
        <v>5.5</v>
      </c>
      <c r="F6" s="60">
        <v>0.228</v>
      </c>
      <c r="G6" s="60">
        <f t="shared" si="0"/>
        <v>1.254</v>
      </c>
      <c r="H6" s="60">
        <v>0.228</v>
      </c>
      <c r="I6" s="60">
        <f t="shared" si="1"/>
        <v>0</v>
      </c>
      <c r="J6" s="60">
        <f t="shared" si="2"/>
        <v>0</v>
      </c>
      <c r="K6" s="60">
        <f t="shared" si="3"/>
        <v>1.254</v>
      </c>
    </row>
    <row r="7" customHeight="1" spans="1:11">
      <c r="A7" s="59">
        <v>5</v>
      </c>
      <c r="B7" s="59" t="s">
        <v>405</v>
      </c>
      <c r="C7" s="59"/>
      <c r="D7" s="59" t="s">
        <v>313</v>
      </c>
      <c r="E7" s="60">
        <v>6.1</v>
      </c>
      <c r="F7" s="60">
        <v>0.2</v>
      </c>
      <c r="G7" s="60">
        <f t="shared" si="0"/>
        <v>1.22</v>
      </c>
      <c r="H7" s="60">
        <v>0.2</v>
      </c>
      <c r="I7" s="60">
        <f t="shared" si="1"/>
        <v>0</v>
      </c>
      <c r="J7" s="60">
        <f t="shared" si="2"/>
        <v>0</v>
      </c>
      <c r="K7" s="60">
        <f t="shared" si="3"/>
        <v>1.22</v>
      </c>
    </row>
    <row r="8" customHeight="1" spans="1:11">
      <c r="A8" s="59">
        <v>6</v>
      </c>
      <c r="B8" s="59" t="s">
        <v>406</v>
      </c>
      <c r="C8" s="59"/>
      <c r="D8" s="59" t="s">
        <v>313</v>
      </c>
      <c r="E8" s="60">
        <v>6.1</v>
      </c>
      <c r="F8" s="59">
        <v>0.27</v>
      </c>
      <c r="G8" s="59">
        <f t="shared" si="0"/>
        <v>1.647</v>
      </c>
      <c r="H8" s="59">
        <v>0.27</v>
      </c>
      <c r="I8" s="59">
        <f t="shared" si="1"/>
        <v>0</v>
      </c>
      <c r="J8" s="59">
        <f t="shared" si="2"/>
        <v>0</v>
      </c>
      <c r="K8" s="59">
        <f t="shared" si="3"/>
        <v>1.647</v>
      </c>
    </row>
    <row r="9" customHeight="1" spans="1:11">
      <c r="A9" s="59">
        <v>7</v>
      </c>
      <c r="B9" s="59" t="s">
        <v>409</v>
      </c>
      <c r="C9" s="59"/>
      <c r="D9" s="59" t="s">
        <v>333</v>
      </c>
      <c r="E9" s="60">
        <v>5.9</v>
      </c>
      <c r="F9" s="59">
        <v>0.64</v>
      </c>
      <c r="G9" s="59">
        <f t="shared" si="0"/>
        <v>3.776</v>
      </c>
      <c r="H9" s="59">
        <v>0.5</v>
      </c>
      <c r="I9" s="59">
        <f t="shared" si="1"/>
        <v>0.14</v>
      </c>
      <c r="J9" s="59">
        <f t="shared" si="2"/>
        <v>0.154</v>
      </c>
      <c r="K9" s="59">
        <f t="shared" si="3"/>
        <v>3.622</v>
      </c>
    </row>
    <row r="10" customHeight="1" spans="1:11">
      <c r="A10" s="59">
        <v>8</v>
      </c>
      <c r="B10" s="59" t="s">
        <v>410</v>
      </c>
      <c r="C10" s="59"/>
      <c r="D10" s="59" t="s">
        <v>333</v>
      </c>
      <c r="E10" s="60">
        <v>5.9</v>
      </c>
      <c r="F10" s="59">
        <v>0.44</v>
      </c>
      <c r="G10" s="59">
        <f t="shared" si="0"/>
        <v>2.596</v>
      </c>
      <c r="H10" s="59">
        <v>0.32</v>
      </c>
      <c r="I10" s="59">
        <f t="shared" si="1"/>
        <v>0.12</v>
      </c>
      <c r="J10" s="59">
        <f t="shared" si="2"/>
        <v>0.132</v>
      </c>
      <c r="K10" s="59">
        <f t="shared" si="3"/>
        <v>2.464</v>
      </c>
    </row>
    <row r="11" customHeight="1" spans="1:11">
      <c r="A11" s="61" t="s">
        <v>182</v>
      </c>
      <c r="B11" s="62"/>
      <c r="C11" s="62"/>
      <c r="D11" s="62"/>
      <c r="E11" s="62"/>
      <c r="F11" s="62"/>
      <c r="G11" s="62"/>
      <c r="H11" s="62"/>
      <c r="I11" s="62"/>
      <c r="J11" s="63"/>
      <c r="K11" s="60">
        <f>SUM(K3:K10)</f>
        <v>30.581</v>
      </c>
    </row>
    <row r="12" customHeight="1" spans="1:11">
      <c r="A12" s="59" t="s">
        <v>29</v>
      </c>
      <c r="B12" s="59" t="s">
        <v>151</v>
      </c>
      <c r="C12" s="59" t="s">
        <v>152</v>
      </c>
      <c r="D12" s="59" t="s">
        <v>166</v>
      </c>
      <c r="E12" s="59" t="s">
        <v>167</v>
      </c>
      <c r="F12" s="59" t="s">
        <v>168</v>
      </c>
      <c r="G12" s="59" t="s">
        <v>169</v>
      </c>
      <c r="H12" s="59" t="s">
        <v>170</v>
      </c>
      <c r="I12" s="59" t="s">
        <v>171</v>
      </c>
      <c r="J12" s="61" t="s">
        <v>107</v>
      </c>
      <c r="K12" s="63"/>
    </row>
    <row r="13" customHeight="1" spans="1:11">
      <c r="A13" s="59">
        <v>1</v>
      </c>
      <c r="B13" s="59"/>
      <c r="C13" s="59"/>
      <c r="D13" s="59"/>
      <c r="E13" s="59" t="s">
        <v>260</v>
      </c>
      <c r="F13" s="59" t="s">
        <v>261</v>
      </c>
      <c r="G13" s="59"/>
      <c r="H13" s="59" t="s">
        <v>262</v>
      </c>
      <c r="I13" s="59"/>
      <c r="J13" s="61"/>
      <c r="K13" s="63"/>
    </row>
    <row r="14" customHeight="1" spans="1:11">
      <c r="A14" s="59">
        <v>2</v>
      </c>
      <c r="B14" s="59" t="s">
        <v>435</v>
      </c>
      <c r="C14" s="59"/>
      <c r="D14" s="59"/>
      <c r="E14" s="59" t="s">
        <v>260</v>
      </c>
      <c r="F14" s="59" t="s">
        <v>264</v>
      </c>
      <c r="G14" s="59"/>
      <c r="H14" s="59" t="s">
        <v>265</v>
      </c>
      <c r="I14" s="59">
        <v>0.3</v>
      </c>
      <c r="J14" s="61"/>
      <c r="K14" s="63"/>
    </row>
    <row r="15" customHeight="1" spans="1:11">
      <c r="A15" s="59">
        <v>7</v>
      </c>
      <c r="B15" s="59"/>
      <c r="C15" s="59"/>
      <c r="D15" s="59"/>
      <c r="E15" s="59" t="s">
        <v>270</v>
      </c>
      <c r="F15" s="59" t="s">
        <v>276</v>
      </c>
      <c r="G15" s="59"/>
      <c r="H15" s="59">
        <v>0.08</v>
      </c>
      <c r="I15" s="59">
        <f t="shared" ref="I15:I17" si="4">G15*H15</f>
        <v>0</v>
      </c>
      <c r="J15" s="61"/>
      <c r="K15" s="63"/>
    </row>
    <row r="16" customHeight="1" spans="1:11">
      <c r="A16" s="59">
        <v>8</v>
      </c>
      <c r="B16" s="59" t="s">
        <v>435</v>
      </c>
      <c r="C16" s="59"/>
      <c r="D16" s="59" t="s">
        <v>412</v>
      </c>
      <c r="E16" s="59" t="s">
        <v>270</v>
      </c>
      <c r="F16" s="59" t="s">
        <v>277</v>
      </c>
      <c r="G16" s="59">
        <v>12</v>
      </c>
      <c r="H16" s="59">
        <v>0.08</v>
      </c>
      <c r="I16" s="59">
        <f t="shared" si="4"/>
        <v>0.96</v>
      </c>
      <c r="J16" s="61"/>
      <c r="K16" s="63"/>
    </row>
    <row r="17" customHeight="1" spans="1:11">
      <c r="A17" s="59">
        <v>9</v>
      </c>
      <c r="B17" s="59"/>
      <c r="C17" s="59"/>
      <c r="D17" s="59"/>
      <c r="E17" s="59" t="s">
        <v>270</v>
      </c>
      <c r="F17" s="59" t="s">
        <v>278</v>
      </c>
      <c r="G17" s="59"/>
      <c r="H17" s="59">
        <v>0.05</v>
      </c>
      <c r="I17" s="59">
        <f t="shared" si="4"/>
        <v>0</v>
      </c>
      <c r="J17" s="61"/>
      <c r="K17" s="63"/>
    </row>
    <row r="18" customHeight="1" spans="1:11">
      <c r="A18" s="59">
        <v>10</v>
      </c>
      <c r="B18" s="59" t="s">
        <v>453</v>
      </c>
      <c r="C18" s="59" t="s">
        <v>414</v>
      </c>
      <c r="D18" s="59" t="s">
        <v>279</v>
      </c>
      <c r="E18" s="59"/>
      <c r="F18" s="59"/>
      <c r="G18" s="59"/>
      <c r="H18" s="59">
        <v>0.08</v>
      </c>
      <c r="I18" s="59">
        <v>0.46</v>
      </c>
      <c r="J18" s="61" t="s">
        <v>280</v>
      </c>
      <c r="K18" s="63"/>
    </row>
    <row r="19" customHeight="1" spans="1:11">
      <c r="A19" s="59">
        <v>11</v>
      </c>
      <c r="B19" s="59" t="s">
        <v>415</v>
      </c>
      <c r="C19" s="59"/>
      <c r="D19" s="59" t="s">
        <v>174</v>
      </c>
      <c r="E19" s="59"/>
      <c r="F19" s="59"/>
      <c r="G19" s="59">
        <v>2</v>
      </c>
      <c r="H19" s="59">
        <v>0.08</v>
      </c>
      <c r="I19" s="59">
        <f t="shared" ref="I19:I26" si="5">G19*H19</f>
        <v>0.16</v>
      </c>
      <c r="J19" s="61"/>
      <c r="K19" s="63"/>
    </row>
    <row r="20" customHeight="1" spans="1:11">
      <c r="A20" s="59">
        <v>12</v>
      </c>
      <c r="B20" s="59" t="s">
        <v>437</v>
      </c>
      <c r="C20" s="59"/>
      <c r="D20" s="59" t="s">
        <v>321</v>
      </c>
      <c r="E20" s="59"/>
      <c r="F20" s="59"/>
      <c r="G20" s="59">
        <v>6</v>
      </c>
      <c r="H20" s="59">
        <v>0.08</v>
      </c>
      <c r="I20" s="59">
        <f t="shared" si="5"/>
        <v>0.48</v>
      </c>
      <c r="J20" s="61"/>
      <c r="K20" s="63"/>
    </row>
    <row r="21" customHeight="1" spans="1:11">
      <c r="A21" s="59">
        <v>13</v>
      </c>
      <c r="B21" s="59" t="s">
        <v>417</v>
      </c>
      <c r="C21" s="59"/>
      <c r="D21" s="59" t="s">
        <v>245</v>
      </c>
      <c r="E21" s="59"/>
      <c r="F21" s="59"/>
      <c r="G21" s="59">
        <v>2</v>
      </c>
      <c r="H21" s="59">
        <v>0.08</v>
      </c>
      <c r="I21" s="59">
        <f t="shared" si="5"/>
        <v>0.16</v>
      </c>
      <c r="J21" s="61"/>
      <c r="K21" s="63"/>
    </row>
    <row r="22" customHeight="1" spans="1:11">
      <c r="A22" s="59">
        <v>14</v>
      </c>
      <c r="B22" s="59" t="s">
        <v>418</v>
      </c>
      <c r="C22" s="59"/>
      <c r="D22" s="59" t="s">
        <v>283</v>
      </c>
      <c r="E22" s="59"/>
      <c r="F22" s="59"/>
      <c r="G22" s="59">
        <v>10</v>
      </c>
      <c r="H22" s="59">
        <v>0.08</v>
      </c>
      <c r="I22" s="59">
        <f t="shared" si="5"/>
        <v>0.8</v>
      </c>
      <c r="J22" s="61"/>
      <c r="K22" s="63"/>
    </row>
    <row r="23" customHeight="1" spans="1:11">
      <c r="A23" s="59">
        <v>15</v>
      </c>
      <c r="B23" s="59" t="s">
        <v>417</v>
      </c>
      <c r="C23" s="59"/>
      <c r="D23" s="59" t="s">
        <v>419</v>
      </c>
      <c r="E23" s="59"/>
      <c r="F23" s="59"/>
      <c r="G23" s="59">
        <v>2</v>
      </c>
      <c r="H23" s="59">
        <v>0.08</v>
      </c>
      <c r="I23" s="59">
        <f t="shared" si="5"/>
        <v>0.16</v>
      </c>
      <c r="J23" s="61"/>
      <c r="K23" s="63"/>
    </row>
    <row r="24" customHeight="1" spans="1:11">
      <c r="A24" s="59">
        <v>16</v>
      </c>
      <c r="B24" s="59" t="s">
        <v>368</v>
      </c>
      <c r="C24" s="59"/>
      <c r="D24" s="59" t="s">
        <v>275</v>
      </c>
      <c r="E24" s="59"/>
      <c r="F24" s="59"/>
      <c r="G24" s="59">
        <v>2</v>
      </c>
      <c r="H24" s="59">
        <v>0.08</v>
      </c>
      <c r="I24" s="59">
        <f t="shared" si="5"/>
        <v>0.16</v>
      </c>
      <c r="J24" s="61"/>
      <c r="K24" s="63"/>
    </row>
    <row r="25" customHeight="1" spans="1:11">
      <c r="A25" s="59">
        <v>17</v>
      </c>
      <c r="B25" s="59" t="s">
        <v>417</v>
      </c>
      <c r="C25" s="59"/>
      <c r="D25" s="59" t="s">
        <v>285</v>
      </c>
      <c r="E25" s="59"/>
      <c r="F25" s="59"/>
      <c r="G25" s="59">
        <v>2</v>
      </c>
      <c r="H25" s="59">
        <v>0.08</v>
      </c>
      <c r="I25" s="59">
        <f t="shared" si="5"/>
        <v>0.16</v>
      </c>
      <c r="J25" s="61"/>
      <c r="K25" s="63"/>
    </row>
    <row r="26" customHeight="1" spans="1:11">
      <c r="A26" s="59">
        <v>18</v>
      </c>
      <c r="B26" s="59"/>
      <c r="C26" s="59"/>
      <c r="D26" s="59"/>
      <c r="E26" s="59"/>
      <c r="F26" s="59"/>
      <c r="G26" s="59"/>
      <c r="H26" s="59">
        <v>0.08</v>
      </c>
      <c r="I26" s="59">
        <f t="shared" si="5"/>
        <v>0</v>
      </c>
      <c r="J26" s="61"/>
      <c r="K26" s="63"/>
    </row>
    <row r="27" customHeight="1" spans="1:11">
      <c r="A27" s="59">
        <v>19</v>
      </c>
      <c r="B27" s="59"/>
      <c r="C27" s="59"/>
      <c r="D27" s="59" t="s">
        <v>287</v>
      </c>
      <c r="E27" s="59"/>
      <c r="F27" s="59"/>
      <c r="G27" s="59"/>
      <c r="H27" s="59"/>
      <c r="I27" s="59">
        <v>0.4</v>
      </c>
      <c r="J27" s="61" t="s">
        <v>288</v>
      </c>
      <c r="K27" s="63"/>
    </row>
    <row r="28" customHeight="1" spans="1:11">
      <c r="A28" s="59"/>
      <c r="B28" s="59"/>
      <c r="C28" s="59"/>
      <c r="D28" s="61" t="s">
        <v>420</v>
      </c>
      <c r="E28" s="62"/>
      <c r="F28" s="62"/>
      <c r="G28" s="62"/>
      <c r="H28" s="63"/>
      <c r="I28" s="59">
        <v>0.8</v>
      </c>
      <c r="J28" s="61"/>
      <c r="K28" s="63"/>
    </row>
    <row r="29" customHeight="1" spans="1:11">
      <c r="A29" s="61" t="s">
        <v>182</v>
      </c>
      <c r="B29" s="62"/>
      <c r="C29" s="62"/>
      <c r="D29" s="62"/>
      <c r="E29" s="62"/>
      <c r="F29" s="62"/>
      <c r="G29" s="62"/>
      <c r="H29" s="63"/>
      <c r="I29" s="82">
        <f>SUM(I13:I28)</f>
        <v>5</v>
      </c>
      <c r="J29" s="59"/>
      <c r="K29" s="59"/>
    </row>
    <row r="30" customHeight="1" spans="1:11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3"/>
    </row>
    <row r="31" customHeight="1" spans="1:11">
      <c r="A31" s="61" t="s">
        <v>183</v>
      </c>
      <c r="B31" s="62"/>
      <c r="C31" s="62"/>
      <c r="D31" s="62"/>
      <c r="E31" s="63"/>
      <c r="F31" s="59" t="s">
        <v>184</v>
      </c>
      <c r="G31" s="59"/>
      <c r="H31" s="59" t="s">
        <v>185</v>
      </c>
      <c r="I31" s="59" t="s">
        <v>186</v>
      </c>
      <c r="J31" s="59" t="s">
        <v>187</v>
      </c>
      <c r="K31" s="63" t="s">
        <v>107</v>
      </c>
    </row>
    <row r="32" customHeight="1" spans="1:11">
      <c r="A32" s="59" t="s">
        <v>29</v>
      </c>
      <c r="B32" s="59" t="s">
        <v>190</v>
      </c>
      <c r="C32" s="59" t="s">
        <v>191</v>
      </c>
      <c r="D32" s="59" t="s">
        <v>192</v>
      </c>
      <c r="E32" s="59" t="s">
        <v>171</v>
      </c>
      <c r="F32" s="59" t="s">
        <v>421</v>
      </c>
      <c r="G32" s="59"/>
      <c r="H32" s="59">
        <v>12</v>
      </c>
      <c r="I32" s="59">
        <v>0.05</v>
      </c>
      <c r="J32" s="78">
        <f t="shared" ref="J32:J36" si="6">I32*H32</f>
        <v>0.6</v>
      </c>
      <c r="K32" s="59"/>
    </row>
    <row r="33" customHeight="1" spans="1:11">
      <c r="A33" s="64">
        <v>1</v>
      </c>
      <c r="B33" s="59" t="s">
        <v>422</v>
      </c>
      <c r="C33" s="59">
        <v>4</v>
      </c>
      <c r="D33" s="59">
        <v>0.45</v>
      </c>
      <c r="E33" s="59">
        <f t="shared" ref="E33:E41" si="7">D33*C33</f>
        <v>1.8</v>
      </c>
      <c r="F33" s="61" t="s">
        <v>423</v>
      </c>
      <c r="G33" s="63"/>
      <c r="H33" s="59">
        <v>15</v>
      </c>
      <c r="I33" s="59">
        <v>0.05</v>
      </c>
      <c r="J33" s="78">
        <f t="shared" si="6"/>
        <v>0.75</v>
      </c>
      <c r="K33" s="59"/>
    </row>
    <row r="34" customHeight="1" spans="1:11">
      <c r="A34" s="64">
        <v>2</v>
      </c>
      <c r="B34" s="59" t="s">
        <v>424</v>
      </c>
      <c r="C34" s="59">
        <v>6</v>
      </c>
      <c r="D34" s="59">
        <v>0.55</v>
      </c>
      <c r="E34" s="59">
        <f t="shared" si="7"/>
        <v>3.3</v>
      </c>
      <c r="F34" s="61" t="s">
        <v>425</v>
      </c>
      <c r="G34" s="63"/>
      <c r="H34" s="59">
        <v>4</v>
      </c>
      <c r="I34" s="59">
        <v>0.05</v>
      </c>
      <c r="J34" s="78">
        <f t="shared" si="6"/>
        <v>0.2</v>
      </c>
      <c r="K34" s="59"/>
    </row>
    <row r="35" customHeight="1" spans="1:11">
      <c r="A35" s="64">
        <v>3</v>
      </c>
      <c r="B35" s="59" t="s">
        <v>293</v>
      </c>
      <c r="C35" s="59">
        <v>9</v>
      </c>
      <c r="D35" s="59">
        <v>1</v>
      </c>
      <c r="E35" s="59">
        <f t="shared" si="7"/>
        <v>9</v>
      </c>
      <c r="F35" s="61" t="s">
        <v>291</v>
      </c>
      <c r="G35" s="63"/>
      <c r="H35" s="59">
        <v>150</v>
      </c>
      <c r="I35" s="59">
        <v>0.05</v>
      </c>
      <c r="J35" s="78">
        <f t="shared" si="6"/>
        <v>7.5</v>
      </c>
      <c r="K35" s="59"/>
    </row>
    <row r="36" customHeight="1" spans="1:11">
      <c r="A36" s="64">
        <v>4</v>
      </c>
      <c r="B36" s="59" t="s">
        <v>426</v>
      </c>
      <c r="C36" s="59">
        <v>18</v>
      </c>
      <c r="D36" s="59">
        <v>0.15</v>
      </c>
      <c r="E36" s="59">
        <f t="shared" si="7"/>
        <v>2.7</v>
      </c>
      <c r="F36" s="61"/>
      <c r="G36" s="63"/>
      <c r="H36" s="59"/>
      <c r="I36" s="59">
        <v>0.06</v>
      </c>
      <c r="J36" s="78">
        <f t="shared" si="6"/>
        <v>0</v>
      </c>
      <c r="K36" s="59"/>
    </row>
    <row r="37" customHeight="1" spans="1:11">
      <c r="A37" s="64">
        <v>5</v>
      </c>
      <c r="B37" s="59" t="s">
        <v>427</v>
      </c>
      <c r="C37" s="59">
        <v>2</v>
      </c>
      <c r="D37" s="65">
        <v>1.8</v>
      </c>
      <c r="E37" s="65">
        <f t="shared" si="7"/>
        <v>3.6</v>
      </c>
      <c r="F37" s="61"/>
      <c r="G37" s="63"/>
      <c r="H37" s="59"/>
      <c r="I37" s="59"/>
      <c r="J37" s="78"/>
      <c r="K37" s="59"/>
    </row>
    <row r="38" customHeight="1" spans="1:11">
      <c r="A38" s="64">
        <v>6</v>
      </c>
      <c r="B38" s="59" t="s">
        <v>428</v>
      </c>
      <c r="C38" s="59">
        <v>4</v>
      </c>
      <c r="D38" s="59">
        <v>0.04</v>
      </c>
      <c r="E38" s="59">
        <f t="shared" si="7"/>
        <v>0.16</v>
      </c>
      <c r="F38" s="61" t="s">
        <v>182</v>
      </c>
      <c r="G38" s="63"/>
      <c r="H38" s="59"/>
      <c r="I38" s="59"/>
      <c r="J38" s="83">
        <f>SUM(J32:J37)</f>
        <v>9.05</v>
      </c>
      <c r="K38" s="59"/>
    </row>
    <row r="39" customHeight="1" spans="1:11">
      <c r="A39" s="64">
        <v>7</v>
      </c>
      <c r="B39" s="59" t="s">
        <v>429</v>
      </c>
      <c r="C39" s="59">
        <v>18</v>
      </c>
      <c r="D39" s="59">
        <v>0.03</v>
      </c>
      <c r="E39" s="59">
        <f t="shared" si="7"/>
        <v>0.54</v>
      </c>
      <c r="F39" s="61" t="s">
        <v>219</v>
      </c>
      <c r="G39" s="63"/>
      <c r="H39" s="66" t="s">
        <v>301</v>
      </c>
      <c r="I39" s="59" t="s">
        <v>430</v>
      </c>
      <c r="J39" s="73" t="s">
        <v>187</v>
      </c>
      <c r="K39" s="59" t="s">
        <v>107</v>
      </c>
    </row>
    <row r="40" customHeight="1" spans="1:15">
      <c r="A40" s="64">
        <v>8</v>
      </c>
      <c r="B40" s="59" t="s">
        <v>431</v>
      </c>
      <c r="C40" s="59">
        <v>2</v>
      </c>
      <c r="D40" s="59">
        <v>0.1</v>
      </c>
      <c r="E40" s="59">
        <f t="shared" si="7"/>
        <v>0.2</v>
      </c>
      <c r="F40" s="61" t="s">
        <v>226</v>
      </c>
      <c r="G40" s="63"/>
      <c r="H40" s="59">
        <v>10</v>
      </c>
      <c r="I40" s="59">
        <v>0.68</v>
      </c>
      <c r="J40" s="59">
        <f>I40*H40</f>
        <v>6.8</v>
      </c>
      <c r="K40" s="59"/>
      <c r="M40" s="77" t="s">
        <v>211</v>
      </c>
      <c r="N40" s="77" t="s">
        <v>212</v>
      </c>
      <c r="O40" s="77" t="s">
        <v>213</v>
      </c>
    </row>
    <row r="41" customHeight="1" spans="1:15">
      <c r="A41" s="64">
        <v>9</v>
      </c>
      <c r="B41" s="59" t="s">
        <v>432</v>
      </c>
      <c r="C41" s="59">
        <v>2</v>
      </c>
      <c r="D41" s="59">
        <v>1.3</v>
      </c>
      <c r="E41" s="59">
        <f t="shared" si="7"/>
        <v>2.6</v>
      </c>
      <c r="F41" s="61"/>
      <c r="G41" s="63"/>
      <c r="H41" s="67"/>
      <c r="I41" s="59"/>
      <c r="J41" s="59"/>
      <c r="K41" s="59"/>
      <c r="M41" s="77" t="s">
        <v>215</v>
      </c>
      <c r="N41" s="77" t="s">
        <v>216</v>
      </c>
      <c r="O41" s="77" t="s">
        <v>217</v>
      </c>
    </row>
    <row r="42" customHeight="1" spans="1:11">
      <c r="A42" s="64"/>
      <c r="B42" s="59"/>
      <c r="C42" s="59"/>
      <c r="D42" s="59"/>
      <c r="E42" s="59"/>
      <c r="F42" s="68"/>
      <c r="G42" s="69"/>
      <c r="H42" s="59"/>
      <c r="I42" s="59"/>
      <c r="J42" s="59"/>
      <c r="K42" s="59"/>
    </row>
    <row r="43" customHeight="1" spans="1:5">
      <c r="A43" s="68" t="s">
        <v>182</v>
      </c>
      <c r="B43" s="70"/>
      <c r="C43" s="70"/>
      <c r="D43" s="69"/>
      <c r="E43" s="71">
        <f>SUM(E33:E42)</f>
        <v>23.9</v>
      </c>
    </row>
    <row r="44" customHeight="1" spans="1:15">
      <c r="A44" s="72" t="s">
        <v>227</v>
      </c>
      <c r="B44" s="72"/>
      <c r="C44" s="72" t="s">
        <v>208</v>
      </c>
      <c r="E44" s="73" t="s">
        <v>228</v>
      </c>
      <c r="F44" s="74">
        <f>C49+C48+C47+C46+C45</f>
        <v>77.7195</v>
      </c>
      <c r="G44" s="74"/>
      <c r="H44" s="74"/>
      <c r="I44" s="74"/>
      <c r="J44" s="74"/>
      <c r="K44" s="74"/>
      <c r="M44" s="64" t="s">
        <v>222</v>
      </c>
      <c r="N44" s="64" t="s">
        <v>223</v>
      </c>
      <c r="O44" s="64" t="s">
        <v>182</v>
      </c>
    </row>
    <row r="45" customHeight="1" spans="1:15">
      <c r="A45" s="64" t="s">
        <v>231</v>
      </c>
      <c r="B45" s="64"/>
      <c r="C45" s="75">
        <f>K11</f>
        <v>30.581</v>
      </c>
      <c r="E45" s="76" t="s">
        <v>232</v>
      </c>
      <c r="F45" s="74">
        <f>F44*0.03</f>
        <v>2.331585</v>
      </c>
      <c r="G45" s="74"/>
      <c r="H45" s="74"/>
      <c r="I45" s="74"/>
      <c r="J45" s="74"/>
      <c r="K45" s="74"/>
      <c r="M45" s="64">
        <v>5.69</v>
      </c>
      <c r="N45" s="64">
        <v>1.4</v>
      </c>
      <c r="O45" s="64">
        <f>M45*N45</f>
        <v>7.966</v>
      </c>
    </row>
    <row r="46" customHeight="1" spans="1:11">
      <c r="A46" s="64" t="s">
        <v>233</v>
      </c>
      <c r="B46" s="64"/>
      <c r="C46" s="80">
        <f>I29*1.17</f>
        <v>5.85</v>
      </c>
      <c r="E46" s="76" t="s">
        <v>234</v>
      </c>
      <c r="F46" s="74">
        <f>F44*0.06</f>
        <v>4.66317</v>
      </c>
      <c r="G46" s="74"/>
      <c r="H46" s="74"/>
      <c r="I46" s="74"/>
      <c r="J46" s="74"/>
      <c r="K46" s="74"/>
    </row>
    <row r="47" customHeight="1" spans="1:11">
      <c r="A47" s="64" t="s">
        <v>235</v>
      </c>
      <c r="B47" s="64"/>
      <c r="C47" s="75">
        <f>E43</f>
        <v>23.9</v>
      </c>
      <c r="E47" s="76" t="s">
        <v>236</v>
      </c>
      <c r="F47" s="74">
        <f>F44*0.02</f>
        <v>1.55439</v>
      </c>
      <c r="G47" s="74"/>
      <c r="H47" s="74"/>
      <c r="I47" s="74"/>
      <c r="J47" s="74"/>
      <c r="K47" s="74"/>
    </row>
    <row r="48" customHeight="1" spans="1:15">
      <c r="A48" s="64" t="s">
        <v>238</v>
      </c>
      <c r="B48" s="64"/>
      <c r="C48" s="80">
        <f>J38*1.17</f>
        <v>10.5885</v>
      </c>
      <c r="E48" s="76" t="s">
        <v>106</v>
      </c>
      <c r="F48" s="74"/>
      <c r="G48" s="74"/>
      <c r="H48" s="74"/>
      <c r="I48" s="74"/>
      <c r="J48" s="74"/>
      <c r="K48" s="74"/>
      <c r="M48" s="64" t="s">
        <v>229</v>
      </c>
      <c r="N48" s="64" t="s">
        <v>230</v>
      </c>
      <c r="O48" s="64" t="s">
        <v>182</v>
      </c>
    </row>
    <row r="49" customHeight="1" spans="1:16">
      <c r="A49" s="64" t="s">
        <v>219</v>
      </c>
      <c r="B49" s="64"/>
      <c r="C49" s="75">
        <f>J40+J42</f>
        <v>6.8</v>
      </c>
      <c r="E49" s="76" t="s">
        <v>239</v>
      </c>
      <c r="F49" s="74">
        <f>F48+F47+F46+F45+F44</f>
        <v>86.268645</v>
      </c>
      <c r="G49" s="74"/>
      <c r="H49" s="74"/>
      <c r="I49" s="74"/>
      <c r="J49" s="74"/>
      <c r="K49" s="74"/>
      <c r="M49" s="64">
        <v>79.09</v>
      </c>
      <c r="N49" s="64">
        <v>7.966</v>
      </c>
      <c r="O49" s="84">
        <f>M49+N49</f>
        <v>87.056</v>
      </c>
      <c r="P49" t="s">
        <v>252</v>
      </c>
    </row>
    <row r="50" spans="1:9">
      <c r="A50" s="77"/>
      <c r="B50" s="77"/>
      <c r="H50" t="s">
        <v>252</v>
      </c>
      <c r="I50" t="s">
        <v>454</v>
      </c>
    </row>
    <row r="51" spans="1:2">
      <c r="A51" s="77"/>
      <c r="B51" s="77"/>
    </row>
    <row r="52" spans="1:2">
      <c r="A52" s="77"/>
      <c r="B52" s="77"/>
    </row>
  </sheetData>
  <mergeCells count="49">
    <mergeCell ref="A1:K1"/>
    <mergeCell ref="A11:J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5:K25"/>
    <mergeCell ref="J26:K26"/>
    <mergeCell ref="J27:K27"/>
    <mergeCell ref="D28:H28"/>
    <mergeCell ref="A29:H29"/>
    <mergeCell ref="A30:K30"/>
    <mergeCell ref="A31:E31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A43:D43"/>
    <mergeCell ref="A44:B44"/>
    <mergeCell ref="F44:K44"/>
    <mergeCell ref="A45:B45"/>
    <mergeCell ref="F45:K45"/>
    <mergeCell ref="A46:B46"/>
    <mergeCell ref="F46:K46"/>
    <mergeCell ref="A47:B47"/>
    <mergeCell ref="F47:K47"/>
    <mergeCell ref="A48:B48"/>
    <mergeCell ref="F48:K48"/>
    <mergeCell ref="A49:B49"/>
    <mergeCell ref="F49:K49"/>
    <mergeCell ref="A50:B50"/>
    <mergeCell ref="A51:B51"/>
    <mergeCell ref="A52:B52"/>
  </mergeCells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P55"/>
  <sheetViews>
    <sheetView workbookViewId="0">
      <selection activeCell="I33" sqref="I33"/>
    </sheetView>
  </sheetViews>
  <sheetFormatPr defaultColWidth="9" defaultRowHeight="13.5"/>
  <cols>
    <col min="1" max="1" width="3.5" customWidth="1"/>
    <col min="2" max="2" width="9.25" customWidth="1"/>
    <col min="3" max="3" width="8" customWidth="1"/>
    <col min="4" max="4" width="7.875" customWidth="1"/>
    <col min="5" max="5" width="5.875" customWidth="1"/>
    <col min="6" max="6" width="6.5" customWidth="1"/>
    <col min="7" max="7" width="7.125" customWidth="1"/>
    <col min="8" max="8" width="10.125" customWidth="1"/>
    <col min="9" max="9" width="9" customWidth="1"/>
    <col min="10" max="10" width="8.375" customWidth="1"/>
    <col min="11" max="11" width="11.875" customWidth="1"/>
  </cols>
  <sheetData>
    <row r="1" ht="21.75" customHeight="1" spans="1:11">
      <c r="A1" s="58" t="s">
        <v>455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customHeight="1" spans="1:11">
      <c r="A2" s="59" t="s">
        <v>29</v>
      </c>
      <c r="B2" s="59" t="s">
        <v>151</v>
      </c>
      <c r="C2" s="59" t="s">
        <v>152</v>
      </c>
      <c r="D2" s="59" t="s">
        <v>153</v>
      </c>
      <c r="E2" s="59" t="s">
        <v>154</v>
      </c>
      <c r="F2" s="59" t="s">
        <v>155</v>
      </c>
      <c r="G2" s="59" t="s">
        <v>156</v>
      </c>
      <c r="H2" s="59" t="s">
        <v>157</v>
      </c>
      <c r="I2" s="59" t="s">
        <v>158</v>
      </c>
      <c r="J2" s="59" t="s">
        <v>159</v>
      </c>
      <c r="K2" s="59" t="s">
        <v>160</v>
      </c>
    </row>
    <row r="3" customHeight="1" spans="1:11">
      <c r="A3" s="59">
        <v>1</v>
      </c>
      <c r="B3" s="59" t="s">
        <v>456</v>
      </c>
      <c r="C3" s="59"/>
      <c r="D3" s="59" t="s">
        <v>313</v>
      </c>
      <c r="E3" s="60">
        <v>6.1</v>
      </c>
      <c r="F3" s="60">
        <v>0.96</v>
      </c>
      <c r="G3" s="60">
        <f>E3*F3</f>
        <v>5.856</v>
      </c>
      <c r="H3" s="60">
        <v>0.96</v>
      </c>
      <c r="I3" s="60">
        <f>F3-H3</f>
        <v>0</v>
      </c>
      <c r="J3" s="60">
        <f>I3*1.1</f>
        <v>0</v>
      </c>
      <c r="K3" s="60">
        <f>G3-J3</f>
        <v>5.856</v>
      </c>
    </row>
    <row r="4" customHeight="1" spans="1:11">
      <c r="A4" s="59">
        <v>2</v>
      </c>
      <c r="B4" s="59" t="s">
        <v>457</v>
      </c>
      <c r="C4" s="59"/>
      <c r="D4" s="59" t="s">
        <v>313</v>
      </c>
      <c r="E4" s="60">
        <v>6.1</v>
      </c>
      <c r="F4" s="60">
        <v>0.72</v>
      </c>
      <c r="G4" s="60">
        <f t="shared" ref="G4:G10" si="0">E4*F4</f>
        <v>4.392</v>
      </c>
      <c r="H4" s="60">
        <v>0.72</v>
      </c>
      <c r="I4" s="60">
        <f t="shared" ref="I4:I10" si="1">F4-H4</f>
        <v>0</v>
      </c>
      <c r="J4" s="60">
        <f t="shared" ref="J4:J10" si="2">I4*1.1</f>
        <v>0</v>
      </c>
      <c r="K4" s="60">
        <f t="shared" ref="K4:K10" si="3">G4-J4</f>
        <v>4.392</v>
      </c>
    </row>
    <row r="5" customHeight="1" spans="1:11">
      <c r="A5" s="59">
        <v>3</v>
      </c>
      <c r="B5" s="59"/>
      <c r="C5" s="59"/>
      <c r="D5" s="59"/>
      <c r="E5" s="60"/>
      <c r="F5" s="60"/>
      <c r="G5" s="60">
        <f t="shared" si="0"/>
        <v>0</v>
      </c>
      <c r="H5" s="60"/>
      <c r="I5" s="60">
        <f t="shared" si="1"/>
        <v>0</v>
      </c>
      <c r="J5" s="60">
        <f t="shared" si="2"/>
        <v>0</v>
      </c>
      <c r="K5" s="60">
        <f t="shared" si="3"/>
        <v>0</v>
      </c>
    </row>
    <row r="6" customHeight="1" spans="1:11">
      <c r="A6" s="59">
        <v>4</v>
      </c>
      <c r="B6" s="59"/>
      <c r="C6" s="59"/>
      <c r="D6" s="59"/>
      <c r="E6" s="60"/>
      <c r="F6" s="60"/>
      <c r="G6" s="60">
        <f t="shared" si="0"/>
        <v>0</v>
      </c>
      <c r="H6" s="60"/>
      <c r="I6" s="60">
        <f t="shared" si="1"/>
        <v>0</v>
      </c>
      <c r="J6" s="60">
        <f t="shared" si="2"/>
        <v>0</v>
      </c>
      <c r="K6" s="60">
        <f t="shared" si="3"/>
        <v>0</v>
      </c>
    </row>
    <row r="7" customHeight="1" spans="1:11">
      <c r="A7" s="59">
        <v>5</v>
      </c>
      <c r="B7" s="59"/>
      <c r="C7" s="59"/>
      <c r="D7" s="59"/>
      <c r="E7" s="60"/>
      <c r="F7" s="60"/>
      <c r="G7" s="60">
        <f t="shared" si="0"/>
        <v>0</v>
      </c>
      <c r="H7" s="60"/>
      <c r="I7" s="60">
        <f t="shared" si="1"/>
        <v>0</v>
      </c>
      <c r="J7" s="60">
        <f t="shared" si="2"/>
        <v>0</v>
      </c>
      <c r="K7" s="60">
        <f t="shared" si="3"/>
        <v>0</v>
      </c>
    </row>
    <row r="8" customHeight="1" spans="1:11">
      <c r="A8" s="59">
        <v>6</v>
      </c>
      <c r="B8" s="59"/>
      <c r="C8" s="59"/>
      <c r="D8" s="59"/>
      <c r="E8" s="60"/>
      <c r="F8" s="59"/>
      <c r="G8" s="60">
        <f t="shared" si="0"/>
        <v>0</v>
      </c>
      <c r="H8" s="59"/>
      <c r="I8" s="60">
        <f t="shared" si="1"/>
        <v>0</v>
      </c>
      <c r="J8" s="60">
        <f t="shared" si="2"/>
        <v>0</v>
      </c>
      <c r="K8" s="60">
        <f t="shared" si="3"/>
        <v>0</v>
      </c>
    </row>
    <row r="9" customHeight="1" spans="1:11">
      <c r="A9" s="59">
        <v>7</v>
      </c>
      <c r="B9" s="59"/>
      <c r="C9" s="59"/>
      <c r="D9" s="59"/>
      <c r="E9" s="59"/>
      <c r="F9" s="59"/>
      <c r="G9" s="60">
        <f t="shared" si="0"/>
        <v>0</v>
      </c>
      <c r="H9" s="59"/>
      <c r="I9" s="60">
        <f t="shared" si="1"/>
        <v>0</v>
      </c>
      <c r="J9" s="60">
        <f t="shared" si="2"/>
        <v>0</v>
      </c>
      <c r="K9" s="60">
        <f t="shared" si="3"/>
        <v>0</v>
      </c>
    </row>
    <row r="10" customHeight="1" spans="1:11">
      <c r="A10" s="59">
        <v>8</v>
      </c>
      <c r="B10" s="59"/>
      <c r="C10" s="59"/>
      <c r="D10" s="59"/>
      <c r="E10" s="59"/>
      <c r="F10" s="59"/>
      <c r="G10" s="60">
        <f t="shared" si="0"/>
        <v>0</v>
      </c>
      <c r="H10" s="59"/>
      <c r="I10" s="60">
        <f t="shared" si="1"/>
        <v>0</v>
      </c>
      <c r="J10" s="60">
        <f t="shared" si="2"/>
        <v>0</v>
      </c>
      <c r="K10" s="60">
        <f t="shared" si="3"/>
        <v>0</v>
      </c>
    </row>
    <row r="11" customHeight="1" spans="1:11">
      <c r="A11" s="61" t="s">
        <v>182</v>
      </c>
      <c r="B11" s="62"/>
      <c r="C11" s="62"/>
      <c r="D11" s="62"/>
      <c r="E11" s="62"/>
      <c r="F11" s="62"/>
      <c r="G11" s="62"/>
      <c r="H11" s="62"/>
      <c r="I11" s="62"/>
      <c r="J11" s="63"/>
      <c r="K11" s="60">
        <f>SUM(K3:K10)</f>
        <v>10.248</v>
      </c>
    </row>
    <row r="12" customHeight="1" spans="1:11">
      <c r="A12" s="59" t="s">
        <v>29</v>
      </c>
      <c r="B12" s="59" t="s">
        <v>151</v>
      </c>
      <c r="C12" s="59" t="s">
        <v>152</v>
      </c>
      <c r="D12" s="59" t="s">
        <v>166</v>
      </c>
      <c r="E12" s="59" t="s">
        <v>167</v>
      </c>
      <c r="F12" s="59" t="s">
        <v>168</v>
      </c>
      <c r="G12" s="59" t="s">
        <v>169</v>
      </c>
      <c r="H12" s="59" t="s">
        <v>170</v>
      </c>
      <c r="I12" s="59" t="s">
        <v>171</v>
      </c>
      <c r="J12" s="61" t="s">
        <v>107</v>
      </c>
      <c r="K12" s="63"/>
    </row>
    <row r="13" customHeight="1" spans="1:11">
      <c r="A13" s="59">
        <v>1</v>
      </c>
      <c r="B13" s="59"/>
      <c r="C13" s="59"/>
      <c r="D13" s="59"/>
      <c r="E13" s="59" t="s">
        <v>260</v>
      </c>
      <c r="F13" s="59" t="s">
        <v>261</v>
      </c>
      <c r="G13" s="59"/>
      <c r="H13" s="59" t="s">
        <v>262</v>
      </c>
      <c r="I13" s="59"/>
      <c r="J13" s="61"/>
      <c r="K13" s="63"/>
    </row>
    <row r="14" customHeight="1" spans="1:11">
      <c r="A14" s="59">
        <v>2</v>
      </c>
      <c r="B14" s="59"/>
      <c r="C14" s="59"/>
      <c r="D14" s="59"/>
      <c r="E14" s="59" t="s">
        <v>260</v>
      </c>
      <c r="F14" s="59" t="s">
        <v>264</v>
      </c>
      <c r="G14" s="59"/>
      <c r="H14" s="59" t="s">
        <v>265</v>
      </c>
      <c r="I14" s="59"/>
      <c r="J14" s="61"/>
      <c r="K14" s="63"/>
    </row>
    <row r="15" customHeight="1" spans="1:11">
      <c r="A15" s="59">
        <v>3</v>
      </c>
      <c r="B15" s="59"/>
      <c r="C15" s="59"/>
      <c r="D15" s="59"/>
      <c r="E15" s="59" t="s">
        <v>266</v>
      </c>
      <c r="F15" s="59" t="s">
        <v>267</v>
      </c>
      <c r="G15" s="59"/>
      <c r="H15" s="59">
        <v>0.5</v>
      </c>
      <c r="I15" s="59">
        <f>G15*H15</f>
        <v>0</v>
      </c>
      <c r="J15" s="61"/>
      <c r="K15" s="63"/>
    </row>
    <row r="16" customHeight="1" spans="1:11">
      <c r="A16" s="59">
        <v>4</v>
      </c>
      <c r="B16" s="59"/>
      <c r="C16" s="59"/>
      <c r="D16" s="59"/>
      <c r="E16" s="59" t="s">
        <v>266</v>
      </c>
      <c r="F16" s="59" t="s">
        <v>268</v>
      </c>
      <c r="G16" s="59"/>
      <c r="H16" s="59">
        <v>0.3</v>
      </c>
      <c r="I16" s="59">
        <f t="shared" ref="I16:I30" si="4">G16*H16</f>
        <v>0</v>
      </c>
      <c r="J16" s="61"/>
      <c r="K16" s="63"/>
    </row>
    <row r="17" customHeight="1" spans="1:11">
      <c r="A17" s="59">
        <v>5</v>
      </c>
      <c r="B17" s="59"/>
      <c r="C17" s="59"/>
      <c r="D17" s="59"/>
      <c r="E17" s="59" t="s">
        <v>270</v>
      </c>
      <c r="F17" s="59" t="s">
        <v>271</v>
      </c>
      <c r="G17" s="59"/>
      <c r="H17" s="59">
        <v>0.15</v>
      </c>
      <c r="I17" s="59">
        <f t="shared" si="4"/>
        <v>0</v>
      </c>
      <c r="J17" s="61"/>
      <c r="K17" s="63"/>
    </row>
    <row r="18" customHeight="1" spans="1:11">
      <c r="A18" s="59">
        <v>6</v>
      </c>
      <c r="B18" s="59"/>
      <c r="C18" s="59"/>
      <c r="D18" s="59"/>
      <c r="E18" s="59" t="s">
        <v>270</v>
      </c>
      <c r="F18" s="59" t="s">
        <v>273</v>
      </c>
      <c r="G18" s="59"/>
      <c r="H18" s="59">
        <v>0.15</v>
      </c>
      <c r="I18" s="59">
        <f t="shared" si="4"/>
        <v>0</v>
      </c>
      <c r="J18" s="61"/>
      <c r="K18" s="63"/>
    </row>
    <row r="19" customHeight="1" spans="1:11">
      <c r="A19" s="59">
        <v>7</v>
      </c>
      <c r="B19" s="59"/>
      <c r="C19" s="59"/>
      <c r="D19" s="59"/>
      <c r="E19" s="59" t="s">
        <v>270</v>
      </c>
      <c r="F19" s="59" t="s">
        <v>276</v>
      </c>
      <c r="G19" s="59"/>
      <c r="H19" s="59">
        <v>0.08</v>
      </c>
      <c r="I19" s="59">
        <f t="shared" si="4"/>
        <v>0</v>
      </c>
      <c r="J19" s="61"/>
      <c r="K19" s="63"/>
    </row>
    <row r="20" customHeight="1" spans="1:11">
      <c r="A20" s="59">
        <v>8</v>
      </c>
      <c r="B20" s="59"/>
      <c r="C20" s="59"/>
      <c r="D20" s="59"/>
      <c r="E20" s="59" t="s">
        <v>270</v>
      </c>
      <c r="F20" s="59" t="s">
        <v>277</v>
      </c>
      <c r="G20" s="59"/>
      <c r="H20" s="59">
        <v>0.08</v>
      </c>
      <c r="I20" s="59">
        <f t="shared" si="4"/>
        <v>0</v>
      </c>
      <c r="J20" s="61"/>
      <c r="K20" s="63"/>
    </row>
    <row r="21" customHeight="1" spans="1:11">
      <c r="A21" s="59">
        <v>9</v>
      </c>
      <c r="B21" s="59"/>
      <c r="C21" s="59"/>
      <c r="D21" s="59"/>
      <c r="E21" s="59" t="s">
        <v>270</v>
      </c>
      <c r="F21" s="59" t="s">
        <v>278</v>
      </c>
      <c r="G21" s="59"/>
      <c r="H21" s="59">
        <v>0.05</v>
      </c>
      <c r="I21" s="59">
        <f t="shared" si="4"/>
        <v>0</v>
      </c>
      <c r="J21" s="61"/>
      <c r="K21" s="63"/>
    </row>
    <row r="22" customHeight="1" spans="1:11">
      <c r="A22" s="59">
        <v>10</v>
      </c>
      <c r="B22" s="59" t="s">
        <v>351</v>
      </c>
      <c r="C22" s="59" t="s">
        <v>352</v>
      </c>
      <c r="D22" s="59" t="s">
        <v>279</v>
      </c>
      <c r="E22" s="59"/>
      <c r="F22" s="59"/>
      <c r="G22" s="59"/>
      <c r="H22" s="59">
        <v>0.08</v>
      </c>
      <c r="I22" s="59">
        <v>0.16</v>
      </c>
      <c r="J22" s="61" t="s">
        <v>280</v>
      </c>
      <c r="K22" s="63"/>
    </row>
    <row r="23" customHeight="1" spans="1:11">
      <c r="A23" s="59">
        <v>11</v>
      </c>
      <c r="B23" s="59" t="s">
        <v>349</v>
      </c>
      <c r="C23" s="59"/>
      <c r="D23" s="59" t="s">
        <v>174</v>
      </c>
      <c r="E23" s="59"/>
      <c r="F23" s="59"/>
      <c r="G23" s="59">
        <v>4</v>
      </c>
      <c r="H23" s="59">
        <v>0.08</v>
      </c>
      <c r="I23" s="59">
        <f t="shared" si="4"/>
        <v>0.32</v>
      </c>
      <c r="J23" s="61"/>
      <c r="K23" s="63"/>
    </row>
    <row r="24" customHeight="1" spans="1:11">
      <c r="A24" s="59">
        <v>12</v>
      </c>
      <c r="B24" s="59"/>
      <c r="C24" s="59"/>
      <c r="D24" s="59" t="s">
        <v>321</v>
      </c>
      <c r="E24" s="59"/>
      <c r="F24" s="59"/>
      <c r="G24" s="59"/>
      <c r="H24" s="59">
        <v>0.08</v>
      </c>
      <c r="I24" s="59">
        <f t="shared" si="4"/>
        <v>0</v>
      </c>
      <c r="J24" s="61"/>
      <c r="K24" s="63"/>
    </row>
    <row r="25" customHeight="1" spans="1:11">
      <c r="A25" s="59">
        <v>13</v>
      </c>
      <c r="B25" s="59"/>
      <c r="C25" s="59"/>
      <c r="D25" s="59" t="s">
        <v>282</v>
      </c>
      <c r="E25" s="59"/>
      <c r="F25" s="59"/>
      <c r="G25" s="59"/>
      <c r="H25" s="59">
        <v>0.08</v>
      </c>
      <c r="I25" s="59">
        <f t="shared" si="4"/>
        <v>0</v>
      </c>
      <c r="J25" s="61"/>
      <c r="K25" s="63"/>
    </row>
    <row r="26" customHeight="1" spans="1:11">
      <c r="A26" s="59">
        <v>14</v>
      </c>
      <c r="B26" s="59" t="s">
        <v>353</v>
      </c>
      <c r="C26" s="59"/>
      <c r="D26" s="59" t="s">
        <v>283</v>
      </c>
      <c r="E26" s="59"/>
      <c r="F26" s="59"/>
      <c r="G26" s="59">
        <v>4</v>
      </c>
      <c r="H26" s="59">
        <v>0.08</v>
      </c>
      <c r="I26" s="59">
        <f t="shared" si="4"/>
        <v>0.32</v>
      </c>
      <c r="J26" s="61"/>
      <c r="K26" s="63"/>
    </row>
    <row r="27" customHeight="1" spans="1:11">
      <c r="A27" s="59">
        <v>15</v>
      </c>
      <c r="B27" s="59"/>
      <c r="C27" s="59"/>
      <c r="D27" s="59" t="s">
        <v>284</v>
      </c>
      <c r="E27" s="59"/>
      <c r="F27" s="59"/>
      <c r="G27" s="59"/>
      <c r="H27" s="59">
        <v>0.08</v>
      </c>
      <c r="I27" s="59">
        <f t="shared" si="4"/>
        <v>0</v>
      </c>
      <c r="J27" s="61"/>
      <c r="K27" s="63"/>
    </row>
    <row r="28" customHeight="1" spans="1:11">
      <c r="A28" s="59">
        <v>16</v>
      </c>
      <c r="B28" s="59"/>
      <c r="C28" s="59"/>
      <c r="D28" s="59" t="s">
        <v>275</v>
      </c>
      <c r="E28" s="59"/>
      <c r="F28" s="59"/>
      <c r="G28" s="59"/>
      <c r="H28" s="59">
        <v>0.08</v>
      </c>
      <c r="I28" s="59">
        <f t="shared" si="4"/>
        <v>0</v>
      </c>
      <c r="J28" s="61"/>
      <c r="K28" s="63"/>
    </row>
    <row r="29" customHeight="1" spans="1:11">
      <c r="A29" s="59">
        <v>17</v>
      </c>
      <c r="B29" s="59"/>
      <c r="C29" s="59"/>
      <c r="D29" s="59" t="s">
        <v>285</v>
      </c>
      <c r="E29" s="59"/>
      <c r="F29" s="59"/>
      <c r="G29" s="59"/>
      <c r="H29" s="59">
        <v>0.08</v>
      </c>
      <c r="I29" s="59">
        <f t="shared" si="4"/>
        <v>0</v>
      </c>
      <c r="J29" s="61"/>
      <c r="K29" s="63"/>
    </row>
    <row r="30" customHeight="1" spans="1:11">
      <c r="A30" s="59">
        <v>18</v>
      </c>
      <c r="B30" s="59"/>
      <c r="C30" s="59"/>
      <c r="D30" s="59" t="s">
        <v>286</v>
      </c>
      <c r="E30" s="59"/>
      <c r="F30" s="59"/>
      <c r="G30" s="59"/>
      <c r="H30" s="59">
        <v>0.08</v>
      </c>
      <c r="I30" s="59">
        <f t="shared" si="4"/>
        <v>0</v>
      </c>
      <c r="J30" s="61"/>
      <c r="K30" s="63"/>
    </row>
    <row r="31" customHeight="1" spans="1:11">
      <c r="A31" s="59">
        <v>19</v>
      </c>
      <c r="B31" s="59"/>
      <c r="C31" s="59"/>
      <c r="D31" s="59" t="s">
        <v>287</v>
      </c>
      <c r="E31" s="59"/>
      <c r="F31" s="59"/>
      <c r="G31" s="59"/>
      <c r="H31" s="59"/>
      <c r="I31" s="59">
        <v>0.2</v>
      </c>
      <c r="J31" s="61" t="s">
        <v>288</v>
      </c>
      <c r="K31" s="63"/>
    </row>
    <row r="32" customHeight="1" spans="1:11">
      <c r="A32" s="59"/>
      <c r="B32" s="59"/>
      <c r="C32" s="59"/>
      <c r="D32" s="61"/>
      <c r="E32" s="62"/>
      <c r="F32" s="62"/>
      <c r="G32" s="62"/>
      <c r="H32" s="63"/>
      <c r="I32" s="59"/>
      <c r="J32" s="61"/>
      <c r="K32" s="63"/>
    </row>
    <row r="33" customHeight="1" spans="1:11">
      <c r="A33" s="61" t="s">
        <v>182</v>
      </c>
      <c r="B33" s="62"/>
      <c r="C33" s="62"/>
      <c r="D33" s="62"/>
      <c r="E33" s="62"/>
      <c r="F33" s="62"/>
      <c r="G33" s="62"/>
      <c r="H33" s="63"/>
      <c r="I33" s="82">
        <f>SUM(I13:I32)</f>
        <v>1</v>
      </c>
      <c r="J33" s="59"/>
      <c r="K33" s="59"/>
    </row>
    <row r="34" customHeight="1" spans="1:11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customHeight="1" spans="1:11">
      <c r="A35" s="61" t="s">
        <v>183</v>
      </c>
      <c r="B35" s="62"/>
      <c r="C35" s="62"/>
      <c r="D35" s="62"/>
      <c r="E35" s="63"/>
      <c r="F35" s="59" t="s">
        <v>184</v>
      </c>
      <c r="G35" s="59"/>
      <c r="H35" s="59" t="s">
        <v>185</v>
      </c>
      <c r="I35" s="59" t="s">
        <v>186</v>
      </c>
      <c r="J35" s="59" t="s">
        <v>187</v>
      </c>
      <c r="K35" s="63" t="s">
        <v>107</v>
      </c>
    </row>
    <row r="36" customHeight="1" spans="1:11">
      <c r="A36" s="59" t="s">
        <v>29</v>
      </c>
      <c r="B36" s="59" t="s">
        <v>190</v>
      </c>
      <c r="C36" s="59" t="s">
        <v>191</v>
      </c>
      <c r="D36" s="59" t="s">
        <v>192</v>
      </c>
      <c r="E36" s="59" t="s">
        <v>171</v>
      </c>
      <c r="F36" s="59" t="s">
        <v>354</v>
      </c>
      <c r="G36" s="59"/>
      <c r="H36" s="59">
        <v>4</v>
      </c>
      <c r="I36" s="59">
        <v>0.05</v>
      </c>
      <c r="J36" s="78">
        <f>I36*H36</f>
        <v>0.2</v>
      </c>
      <c r="K36" s="59"/>
    </row>
    <row r="37" customHeight="1" spans="1:11">
      <c r="A37" s="64">
        <v>1</v>
      </c>
      <c r="B37" s="59" t="s">
        <v>335</v>
      </c>
      <c r="C37" s="59">
        <v>2</v>
      </c>
      <c r="D37" s="79">
        <v>0.04</v>
      </c>
      <c r="E37" s="59">
        <f>D37*C37</f>
        <v>0.08</v>
      </c>
      <c r="F37" s="61" t="s">
        <v>355</v>
      </c>
      <c r="G37" s="63"/>
      <c r="H37" s="59">
        <v>6</v>
      </c>
      <c r="I37" s="59">
        <v>0.05</v>
      </c>
      <c r="J37" s="78">
        <f t="shared" ref="J37:J39" si="5">I37*H37</f>
        <v>0.3</v>
      </c>
      <c r="K37" s="59"/>
    </row>
    <row r="38" customHeight="1" spans="1:11">
      <c r="A38" s="64">
        <v>2</v>
      </c>
      <c r="B38" s="59" t="s">
        <v>356</v>
      </c>
      <c r="C38" s="59">
        <v>2</v>
      </c>
      <c r="D38" s="79">
        <v>1.3</v>
      </c>
      <c r="E38" s="59">
        <f t="shared" ref="E38:E45" si="6">D38*C38</f>
        <v>2.6</v>
      </c>
      <c r="F38" s="61" t="s">
        <v>357</v>
      </c>
      <c r="G38" s="63"/>
      <c r="H38" s="59">
        <v>4</v>
      </c>
      <c r="I38" s="59">
        <v>0.05</v>
      </c>
      <c r="J38" s="78">
        <f t="shared" si="5"/>
        <v>0.2</v>
      </c>
      <c r="K38" s="59"/>
    </row>
    <row r="39" customHeight="1" spans="1:11">
      <c r="A39" s="64">
        <v>3</v>
      </c>
      <c r="B39" s="59" t="s">
        <v>358</v>
      </c>
      <c r="C39" s="59">
        <v>2</v>
      </c>
      <c r="D39" s="79">
        <v>1.05</v>
      </c>
      <c r="E39" s="59">
        <f t="shared" si="6"/>
        <v>2.1</v>
      </c>
      <c r="F39" s="61" t="s">
        <v>291</v>
      </c>
      <c r="G39" s="63"/>
      <c r="H39" s="59">
        <v>20</v>
      </c>
      <c r="I39" s="59">
        <v>0.05</v>
      </c>
      <c r="J39" s="78">
        <f t="shared" si="5"/>
        <v>1</v>
      </c>
      <c r="K39" s="59"/>
    </row>
    <row r="40" customHeight="1" spans="1:11">
      <c r="A40" s="64">
        <v>4</v>
      </c>
      <c r="B40" s="59" t="s">
        <v>359</v>
      </c>
      <c r="C40" s="59">
        <v>2</v>
      </c>
      <c r="D40" s="59">
        <v>0.46</v>
      </c>
      <c r="E40" s="59">
        <f t="shared" si="6"/>
        <v>0.92</v>
      </c>
      <c r="F40" s="61"/>
      <c r="G40" s="63"/>
      <c r="H40" s="59"/>
      <c r="I40" s="59"/>
      <c r="J40" s="78"/>
      <c r="K40" s="59"/>
    </row>
    <row r="41" customHeight="1" spans="1:11">
      <c r="A41" s="64">
        <v>5</v>
      </c>
      <c r="B41" s="59" t="s">
        <v>360</v>
      </c>
      <c r="C41" s="59">
        <v>2</v>
      </c>
      <c r="D41" s="59">
        <v>0.2</v>
      </c>
      <c r="E41" s="59">
        <f t="shared" si="6"/>
        <v>0.4</v>
      </c>
      <c r="F41" s="61"/>
      <c r="G41" s="63"/>
      <c r="H41" s="59"/>
      <c r="I41" s="59"/>
      <c r="J41" s="78"/>
      <c r="K41" s="59"/>
    </row>
    <row r="42" customHeight="1" spans="1:11">
      <c r="A42" s="64">
        <v>6</v>
      </c>
      <c r="B42" s="59" t="s">
        <v>361</v>
      </c>
      <c r="C42" s="59">
        <v>2</v>
      </c>
      <c r="D42" s="59">
        <v>0.04</v>
      </c>
      <c r="E42" s="59">
        <f t="shared" si="6"/>
        <v>0.08</v>
      </c>
      <c r="F42" s="61" t="s">
        <v>182</v>
      </c>
      <c r="G42" s="63"/>
      <c r="H42" s="59"/>
      <c r="I42" s="59"/>
      <c r="J42" s="83">
        <f>SUM(J36:J41)</f>
        <v>1.7</v>
      </c>
      <c r="K42" s="59"/>
    </row>
    <row r="43" customHeight="1" spans="1:15">
      <c r="A43" s="64">
        <v>7</v>
      </c>
      <c r="B43" s="59"/>
      <c r="C43" s="59"/>
      <c r="D43" s="59"/>
      <c r="E43" s="59">
        <f t="shared" si="6"/>
        <v>0</v>
      </c>
      <c r="F43" s="61" t="s">
        <v>219</v>
      </c>
      <c r="G43" s="63"/>
      <c r="H43" s="66" t="s">
        <v>301</v>
      </c>
      <c r="I43" s="66" t="s">
        <v>302</v>
      </c>
      <c r="J43" s="73" t="s">
        <v>187</v>
      </c>
      <c r="K43" s="59" t="s">
        <v>107</v>
      </c>
      <c r="M43" s="77" t="s">
        <v>211</v>
      </c>
      <c r="N43" s="77" t="s">
        <v>212</v>
      </c>
      <c r="O43" s="77" t="s">
        <v>213</v>
      </c>
    </row>
    <row r="44" customHeight="1" spans="1:15">
      <c r="A44" s="64">
        <v>8</v>
      </c>
      <c r="B44" s="59"/>
      <c r="C44" s="59"/>
      <c r="D44" s="59"/>
      <c r="E44" s="59">
        <f t="shared" si="6"/>
        <v>0</v>
      </c>
      <c r="F44" s="61" t="s">
        <v>224</v>
      </c>
      <c r="G44" s="63"/>
      <c r="H44" s="59">
        <v>10</v>
      </c>
      <c r="I44" s="59"/>
      <c r="J44" s="59">
        <f>I44*H44</f>
        <v>0</v>
      </c>
      <c r="K44" s="59"/>
      <c r="M44" s="77" t="s">
        <v>215</v>
      </c>
      <c r="N44" s="77" t="s">
        <v>216</v>
      </c>
      <c r="O44" s="77" t="s">
        <v>217</v>
      </c>
    </row>
    <row r="45" customHeight="1" spans="1:11">
      <c r="A45" s="64">
        <v>9</v>
      </c>
      <c r="B45" s="59"/>
      <c r="C45" s="59"/>
      <c r="D45" s="59"/>
      <c r="E45" s="59">
        <f t="shared" si="6"/>
        <v>0</v>
      </c>
      <c r="F45" s="61" t="s">
        <v>226</v>
      </c>
      <c r="G45" s="63"/>
      <c r="H45" s="59">
        <v>12</v>
      </c>
      <c r="I45" s="59">
        <v>0.11</v>
      </c>
      <c r="J45" s="59">
        <f>I45*H45</f>
        <v>1.32</v>
      </c>
      <c r="K45" s="59"/>
    </row>
    <row r="46" customHeight="1" spans="1:5">
      <c r="A46" s="68" t="s">
        <v>182</v>
      </c>
      <c r="B46" s="70"/>
      <c r="C46" s="70"/>
      <c r="D46" s="69"/>
      <c r="E46" s="71">
        <f>SUM(E37:E45)</f>
        <v>6.18</v>
      </c>
    </row>
    <row r="47" customHeight="1" spans="1:15">
      <c r="A47" s="72" t="s">
        <v>227</v>
      </c>
      <c r="B47" s="72"/>
      <c r="C47" s="72" t="s">
        <v>208</v>
      </c>
      <c r="E47" s="73" t="s">
        <v>228</v>
      </c>
      <c r="F47" s="74">
        <f>C52+C51+C50+C49+C48</f>
        <v>20.907</v>
      </c>
      <c r="G47" s="74"/>
      <c r="H47" s="74"/>
      <c r="I47" s="74"/>
      <c r="J47" s="74"/>
      <c r="K47" s="74"/>
      <c r="M47" s="64" t="s">
        <v>222</v>
      </c>
      <c r="N47" s="64" t="s">
        <v>223</v>
      </c>
      <c r="O47" s="64" t="s">
        <v>182</v>
      </c>
    </row>
    <row r="48" customHeight="1" spans="1:15">
      <c r="A48" s="64" t="s">
        <v>231</v>
      </c>
      <c r="B48" s="64"/>
      <c r="C48" s="75">
        <f>K11</f>
        <v>10.248</v>
      </c>
      <c r="E48" s="76" t="s">
        <v>232</v>
      </c>
      <c r="F48" s="74">
        <f>F47*0.03</f>
        <v>0.62721</v>
      </c>
      <c r="G48" s="74"/>
      <c r="H48" s="74"/>
      <c r="I48" s="74"/>
      <c r="J48" s="74"/>
      <c r="K48" s="74"/>
      <c r="M48" s="64">
        <v>1.63</v>
      </c>
      <c r="N48" s="64">
        <v>1.4</v>
      </c>
      <c r="O48" s="64">
        <f>M48*N48</f>
        <v>2.282</v>
      </c>
    </row>
    <row r="49" customHeight="1" spans="1:11">
      <c r="A49" s="64" t="s">
        <v>233</v>
      </c>
      <c r="B49" s="64"/>
      <c r="C49" s="80">
        <f>I33*1.17</f>
        <v>1.17</v>
      </c>
      <c r="E49" s="76" t="s">
        <v>234</v>
      </c>
      <c r="F49" s="74">
        <f>F47*0.06</f>
        <v>1.25442</v>
      </c>
      <c r="G49" s="74"/>
      <c r="H49" s="74"/>
      <c r="I49" s="74"/>
      <c r="J49" s="74"/>
      <c r="K49" s="74"/>
    </row>
    <row r="50" customHeight="1" spans="1:11">
      <c r="A50" s="64" t="s">
        <v>235</v>
      </c>
      <c r="B50" s="64"/>
      <c r="C50" s="75">
        <f>E46</f>
        <v>6.18</v>
      </c>
      <c r="E50" s="76" t="s">
        <v>236</v>
      </c>
      <c r="F50" s="74">
        <f>F47*0.03</f>
        <v>0.62721</v>
      </c>
      <c r="G50" s="74"/>
      <c r="H50" s="74"/>
      <c r="I50" s="74"/>
      <c r="J50" s="74"/>
      <c r="K50" s="74"/>
    </row>
    <row r="51" customHeight="1" spans="1:15">
      <c r="A51" s="64" t="s">
        <v>238</v>
      </c>
      <c r="B51" s="64"/>
      <c r="C51" s="80">
        <f>J42*1.17</f>
        <v>1.989</v>
      </c>
      <c r="E51" s="76" t="s">
        <v>106</v>
      </c>
      <c r="F51" s="74"/>
      <c r="G51" s="74"/>
      <c r="H51" s="74"/>
      <c r="I51" s="74"/>
      <c r="J51" s="74"/>
      <c r="K51" s="74"/>
      <c r="M51" s="64" t="s">
        <v>229</v>
      </c>
      <c r="N51" s="64" t="s">
        <v>230</v>
      </c>
      <c r="O51" s="64" t="s">
        <v>182</v>
      </c>
    </row>
    <row r="52" customHeight="1" spans="1:16">
      <c r="A52" s="64" t="s">
        <v>219</v>
      </c>
      <c r="B52" s="64"/>
      <c r="C52" s="75">
        <f>J44+J45</f>
        <v>1.32</v>
      </c>
      <c r="E52" s="76" t="s">
        <v>239</v>
      </c>
      <c r="F52" s="81">
        <f>F51+F50+F49+F48+F47</f>
        <v>23.41584</v>
      </c>
      <c r="G52" s="81"/>
      <c r="H52" s="81"/>
      <c r="I52" s="81"/>
      <c r="J52" s="81"/>
      <c r="K52" s="81"/>
      <c r="M52" s="64">
        <v>19.92</v>
      </c>
      <c r="N52" s="64">
        <v>2.282</v>
      </c>
      <c r="O52" s="84">
        <f>M52+N52</f>
        <v>22.202</v>
      </c>
      <c r="P52" t="s">
        <v>252</v>
      </c>
    </row>
    <row r="53" spans="1:9">
      <c r="A53" s="77"/>
      <c r="B53" s="77"/>
      <c r="H53" t="s">
        <v>252</v>
      </c>
      <c r="I53" t="s">
        <v>458</v>
      </c>
    </row>
    <row r="54" spans="1:2">
      <c r="A54" s="77"/>
      <c r="B54" s="77"/>
    </row>
    <row r="55" spans="1:2">
      <c r="A55" s="77"/>
      <c r="B55" s="77"/>
    </row>
  </sheetData>
  <mergeCells count="52">
    <mergeCell ref="A1:K1"/>
    <mergeCell ref="A11:J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9:K29"/>
    <mergeCell ref="J30:K30"/>
    <mergeCell ref="J31:K31"/>
    <mergeCell ref="D32:H32"/>
    <mergeCell ref="A33:H33"/>
    <mergeCell ref="A34:K34"/>
    <mergeCell ref="A35:E35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A46:D46"/>
    <mergeCell ref="A47:B47"/>
    <mergeCell ref="F47:K47"/>
    <mergeCell ref="A48:B48"/>
    <mergeCell ref="F48:K48"/>
    <mergeCell ref="A49:B49"/>
    <mergeCell ref="F49:K49"/>
    <mergeCell ref="A50:B50"/>
    <mergeCell ref="F50:K50"/>
    <mergeCell ref="A51:B51"/>
    <mergeCell ref="F51:K51"/>
    <mergeCell ref="A52:B52"/>
    <mergeCell ref="F52:K52"/>
    <mergeCell ref="A53:B53"/>
    <mergeCell ref="A54:B54"/>
    <mergeCell ref="A55:B55"/>
  </mergeCells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47"/>
  <sheetViews>
    <sheetView topLeftCell="A20" workbookViewId="0">
      <selection activeCell="D33" sqref="D33"/>
    </sheetView>
  </sheetViews>
  <sheetFormatPr defaultColWidth="9" defaultRowHeight="13.5"/>
  <cols>
    <col min="1" max="1" width="3.125" customWidth="1"/>
    <col min="2" max="2" width="12.25" customWidth="1"/>
    <col min="3" max="3" width="9.125" customWidth="1"/>
    <col min="4" max="4" width="7.75" customWidth="1"/>
    <col min="5" max="5" width="6.625" customWidth="1"/>
    <col min="6" max="6" width="7.375" customWidth="1"/>
    <col min="7" max="7" width="7" customWidth="1"/>
    <col min="8" max="8" width="8.125" customWidth="1"/>
    <col min="9" max="9" width="7.75" customWidth="1"/>
    <col min="10" max="10" width="8.875" customWidth="1"/>
    <col min="11" max="11" width="6.5" customWidth="1"/>
    <col min="12" max="12" width="5.875" customWidth="1"/>
  </cols>
  <sheetData>
    <row r="1" ht="36" customHeight="1" spans="1:11">
      <c r="A1" s="58" t="s">
        <v>459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customHeight="1" spans="1:11">
      <c r="A2" s="59" t="s">
        <v>29</v>
      </c>
      <c r="B2" s="59" t="s">
        <v>151</v>
      </c>
      <c r="C2" s="59" t="s">
        <v>152</v>
      </c>
      <c r="D2" s="59" t="s">
        <v>153</v>
      </c>
      <c r="E2" s="59" t="s">
        <v>154</v>
      </c>
      <c r="F2" s="59" t="s">
        <v>155</v>
      </c>
      <c r="G2" s="59" t="s">
        <v>156</v>
      </c>
      <c r="H2" s="59" t="s">
        <v>157</v>
      </c>
      <c r="I2" s="59" t="s">
        <v>158</v>
      </c>
      <c r="J2" s="59" t="s">
        <v>159</v>
      </c>
      <c r="K2" s="59" t="s">
        <v>160</v>
      </c>
    </row>
    <row r="3" customHeight="1" spans="1:11">
      <c r="A3" s="59">
        <v>1</v>
      </c>
      <c r="B3" s="59" t="s">
        <v>460</v>
      </c>
      <c r="C3" s="59"/>
      <c r="D3" s="59" t="s">
        <v>313</v>
      </c>
      <c r="E3" s="60">
        <v>6.1</v>
      </c>
      <c r="F3" s="60">
        <v>1.21</v>
      </c>
      <c r="G3" s="60">
        <f>E3*F3</f>
        <v>7.381</v>
      </c>
      <c r="H3" s="60">
        <v>1.21</v>
      </c>
      <c r="I3" s="60">
        <f>F3-H3</f>
        <v>0</v>
      </c>
      <c r="J3" s="60">
        <f>I3*1.1</f>
        <v>0</v>
      </c>
      <c r="K3" s="60">
        <f>G3-J3</f>
        <v>7.381</v>
      </c>
    </row>
    <row r="4" customHeight="1" spans="1:11">
      <c r="A4" s="59">
        <v>2</v>
      </c>
      <c r="B4" s="59" t="s">
        <v>461</v>
      </c>
      <c r="C4" s="59"/>
      <c r="D4" s="59" t="s">
        <v>313</v>
      </c>
      <c r="E4" s="60">
        <v>6.1</v>
      </c>
      <c r="F4" s="60">
        <v>0.55</v>
      </c>
      <c r="G4" s="60">
        <f>E4*F4</f>
        <v>3.355</v>
      </c>
      <c r="H4" s="60">
        <v>0.55</v>
      </c>
      <c r="I4" s="60">
        <f>F4-H4</f>
        <v>0</v>
      </c>
      <c r="J4" s="60">
        <f>I4*1.1</f>
        <v>0</v>
      </c>
      <c r="K4" s="60">
        <f>G4-J4</f>
        <v>3.355</v>
      </c>
    </row>
    <row r="5" customHeight="1" spans="1:11">
      <c r="A5" s="59">
        <v>3</v>
      </c>
      <c r="B5" s="59"/>
      <c r="C5" s="59"/>
      <c r="D5" s="59"/>
      <c r="E5" s="60"/>
      <c r="F5" s="60"/>
      <c r="G5" s="60"/>
      <c r="H5" s="60"/>
      <c r="I5" s="60">
        <f>F5-H5</f>
        <v>0</v>
      </c>
      <c r="J5" s="60">
        <f>I5*1.1</f>
        <v>0</v>
      </c>
      <c r="K5" s="60">
        <f>G5-J5</f>
        <v>0</v>
      </c>
    </row>
    <row r="6" customHeight="1" spans="1:11">
      <c r="A6" s="61" t="s">
        <v>182</v>
      </c>
      <c r="B6" s="62"/>
      <c r="C6" s="62"/>
      <c r="D6" s="62"/>
      <c r="E6" s="62"/>
      <c r="F6" s="62"/>
      <c r="G6" s="62"/>
      <c r="H6" s="62"/>
      <c r="I6" s="62"/>
      <c r="J6" s="63"/>
      <c r="K6" s="60">
        <f>SUM(K3:K5)</f>
        <v>10.736</v>
      </c>
    </row>
    <row r="7" customHeight="1" spans="1:11">
      <c r="A7" s="59" t="s">
        <v>29</v>
      </c>
      <c r="B7" s="59" t="s">
        <v>151</v>
      </c>
      <c r="C7" s="59" t="s">
        <v>152</v>
      </c>
      <c r="D7" s="59" t="s">
        <v>166</v>
      </c>
      <c r="E7" s="59" t="s">
        <v>167</v>
      </c>
      <c r="F7" s="59" t="s">
        <v>168</v>
      </c>
      <c r="G7" s="59" t="s">
        <v>169</v>
      </c>
      <c r="H7" s="59" t="s">
        <v>170</v>
      </c>
      <c r="I7" s="59" t="s">
        <v>171</v>
      </c>
      <c r="J7" s="61" t="s">
        <v>107</v>
      </c>
      <c r="K7" s="63"/>
    </row>
    <row r="8" customHeight="1" spans="1:11">
      <c r="A8" s="59">
        <v>1</v>
      </c>
      <c r="B8" s="59"/>
      <c r="C8" s="59"/>
      <c r="D8" s="59"/>
      <c r="E8" s="59" t="s">
        <v>260</v>
      </c>
      <c r="F8" s="59" t="s">
        <v>261</v>
      </c>
      <c r="G8" s="59"/>
      <c r="H8" s="59" t="s">
        <v>262</v>
      </c>
      <c r="I8" s="59"/>
      <c r="J8" s="61"/>
      <c r="K8" s="63"/>
    </row>
    <row r="9" customHeight="1" spans="1:11">
      <c r="A9" s="59">
        <v>2</v>
      </c>
      <c r="B9" s="59"/>
      <c r="C9" s="59"/>
      <c r="D9" s="59"/>
      <c r="E9" s="59" t="s">
        <v>260</v>
      </c>
      <c r="F9" s="59" t="s">
        <v>264</v>
      </c>
      <c r="G9" s="59"/>
      <c r="H9" s="59" t="s">
        <v>265</v>
      </c>
      <c r="I9" s="59"/>
      <c r="J9" s="61"/>
      <c r="K9" s="63"/>
    </row>
    <row r="10" customHeight="1" spans="1:11">
      <c r="A10" s="59">
        <v>7</v>
      </c>
      <c r="B10" s="59"/>
      <c r="C10" s="59"/>
      <c r="D10" s="59"/>
      <c r="E10" s="59" t="s">
        <v>270</v>
      </c>
      <c r="F10" s="59" t="s">
        <v>276</v>
      </c>
      <c r="G10" s="59"/>
      <c r="H10" s="59">
        <v>0.08</v>
      </c>
      <c r="I10" s="59">
        <f t="shared" ref="I10:I12" si="0">G10*H10</f>
        <v>0</v>
      </c>
      <c r="J10" s="61"/>
      <c r="K10" s="63"/>
    </row>
    <row r="11" customHeight="1" spans="1:11">
      <c r="A11" s="59">
        <v>8</v>
      </c>
      <c r="B11" s="59"/>
      <c r="C11" s="59"/>
      <c r="D11" s="59"/>
      <c r="E11" s="59" t="s">
        <v>270</v>
      </c>
      <c r="F11" s="59" t="s">
        <v>277</v>
      </c>
      <c r="G11" s="59"/>
      <c r="H11" s="59">
        <v>0.08</v>
      </c>
      <c r="I11" s="59">
        <f t="shared" si="0"/>
        <v>0</v>
      </c>
      <c r="J11" s="61"/>
      <c r="K11" s="63"/>
    </row>
    <row r="12" customHeight="1" spans="1:11">
      <c r="A12" s="59">
        <v>9</v>
      </c>
      <c r="B12" s="59"/>
      <c r="C12" s="59"/>
      <c r="D12" s="59"/>
      <c r="E12" s="59" t="s">
        <v>270</v>
      </c>
      <c r="F12" s="59" t="s">
        <v>278</v>
      </c>
      <c r="G12" s="59"/>
      <c r="H12" s="59">
        <v>0.05</v>
      </c>
      <c r="I12" s="59">
        <f t="shared" si="0"/>
        <v>0</v>
      </c>
      <c r="J12" s="61"/>
      <c r="K12" s="63"/>
    </row>
    <row r="13" customHeight="1" spans="1:11">
      <c r="A13" s="59">
        <v>10</v>
      </c>
      <c r="B13" s="59">
        <v>1.2</v>
      </c>
      <c r="C13" s="59"/>
      <c r="D13" s="59" t="s">
        <v>279</v>
      </c>
      <c r="E13" s="59"/>
      <c r="F13" s="59"/>
      <c r="G13" s="59"/>
      <c r="H13" s="59">
        <v>0.08</v>
      </c>
      <c r="I13" s="59">
        <v>0.13</v>
      </c>
      <c r="J13" s="61" t="s">
        <v>280</v>
      </c>
      <c r="K13" s="63"/>
    </row>
    <row r="14" customHeight="1" spans="1:11">
      <c r="A14" s="59">
        <v>11</v>
      </c>
      <c r="B14" s="59" t="s">
        <v>415</v>
      </c>
      <c r="C14" s="59"/>
      <c r="D14" s="59" t="s">
        <v>174</v>
      </c>
      <c r="E14" s="59"/>
      <c r="F14" s="59"/>
      <c r="G14" s="59">
        <v>3</v>
      </c>
      <c r="H14" s="59">
        <v>0.08</v>
      </c>
      <c r="I14" s="59">
        <f t="shared" ref="I14:I21" si="1">G14*H14</f>
        <v>0.24</v>
      </c>
      <c r="J14" s="61"/>
      <c r="K14" s="63"/>
    </row>
    <row r="15" customHeight="1" spans="1:11">
      <c r="A15" s="59">
        <v>12</v>
      </c>
      <c r="B15" s="59">
        <v>2</v>
      </c>
      <c r="C15" s="59"/>
      <c r="D15" s="59" t="s">
        <v>462</v>
      </c>
      <c r="E15" s="59"/>
      <c r="F15" s="59"/>
      <c r="G15" s="59"/>
      <c r="H15" s="59">
        <v>0.08</v>
      </c>
      <c r="I15" s="59">
        <f t="shared" si="1"/>
        <v>0</v>
      </c>
      <c r="J15" s="61"/>
      <c r="K15" s="63"/>
    </row>
    <row r="16" customHeight="1" spans="1:11">
      <c r="A16" s="59">
        <v>13</v>
      </c>
      <c r="B16" s="59"/>
      <c r="C16" s="59"/>
      <c r="D16" s="59" t="s">
        <v>245</v>
      </c>
      <c r="E16" s="59"/>
      <c r="F16" s="59"/>
      <c r="G16" s="59"/>
      <c r="H16" s="59">
        <v>0.08</v>
      </c>
      <c r="I16" s="59">
        <f t="shared" si="1"/>
        <v>0</v>
      </c>
      <c r="J16" s="61"/>
      <c r="K16" s="63"/>
    </row>
    <row r="17" customHeight="1" spans="1:11">
      <c r="A17" s="59">
        <v>14</v>
      </c>
      <c r="B17" s="59"/>
      <c r="C17" s="59"/>
      <c r="D17" s="59" t="s">
        <v>283</v>
      </c>
      <c r="E17" s="59"/>
      <c r="F17" s="59"/>
      <c r="G17" s="59"/>
      <c r="H17" s="59">
        <v>0.08</v>
      </c>
      <c r="I17" s="59">
        <f t="shared" si="1"/>
        <v>0</v>
      </c>
      <c r="J17" s="61"/>
      <c r="K17" s="63"/>
    </row>
    <row r="18" customHeight="1" spans="1:11">
      <c r="A18" s="59">
        <v>15</v>
      </c>
      <c r="B18" s="59"/>
      <c r="C18" s="59"/>
      <c r="D18" s="59" t="s">
        <v>419</v>
      </c>
      <c r="E18" s="59"/>
      <c r="F18" s="59"/>
      <c r="G18" s="59"/>
      <c r="H18" s="59">
        <v>0.08</v>
      </c>
      <c r="I18" s="59">
        <f t="shared" si="1"/>
        <v>0</v>
      </c>
      <c r="J18" s="61"/>
      <c r="K18" s="63"/>
    </row>
    <row r="19" customHeight="1" spans="1:11">
      <c r="A19" s="59">
        <v>16</v>
      </c>
      <c r="B19" s="59"/>
      <c r="C19" s="59"/>
      <c r="D19" s="59" t="s">
        <v>275</v>
      </c>
      <c r="E19" s="59"/>
      <c r="F19" s="59"/>
      <c r="G19" s="59"/>
      <c r="H19" s="59">
        <v>0.08</v>
      </c>
      <c r="I19" s="59">
        <f t="shared" si="1"/>
        <v>0</v>
      </c>
      <c r="J19" s="61"/>
      <c r="K19" s="63"/>
    </row>
    <row r="20" customHeight="1" spans="1:11">
      <c r="A20" s="59">
        <v>17</v>
      </c>
      <c r="B20" s="59"/>
      <c r="C20" s="59"/>
      <c r="D20" s="59" t="s">
        <v>285</v>
      </c>
      <c r="E20" s="59"/>
      <c r="F20" s="59"/>
      <c r="G20" s="59"/>
      <c r="H20" s="59">
        <v>0.08</v>
      </c>
      <c r="I20" s="59">
        <f t="shared" si="1"/>
        <v>0</v>
      </c>
      <c r="J20" s="61"/>
      <c r="K20" s="63"/>
    </row>
    <row r="21" customHeight="1" spans="1:11">
      <c r="A21" s="59">
        <v>18</v>
      </c>
      <c r="B21" s="59"/>
      <c r="C21" s="59"/>
      <c r="D21" s="59" t="s">
        <v>463</v>
      </c>
      <c r="E21" s="59"/>
      <c r="F21" s="59"/>
      <c r="G21" s="59"/>
      <c r="H21" s="59">
        <v>0.08</v>
      </c>
      <c r="I21" s="59">
        <v>0.38</v>
      </c>
      <c r="J21" s="61"/>
      <c r="K21" s="63"/>
    </row>
    <row r="22" customHeight="1" spans="1:11">
      <c r="A22" s="59">
        <v>19</v>
      </c>
      <c r="B22" s="59"/>
      <c r="C22" s="59"/>
      <c r="D22" s="59" t="s">
        <v>287</v>
      </c>
      <c r="E22" s="59" t="s">
        <v>464</v>
      </c>
      <c r="F22" s="59"/>
      <c r="G22" s="59"/>
      <c r="H22" s="59"/>
      <c r="I22" s="59">
        <v>0.4</v>
      </c>
      <c r="J22" s="61" t="s">
        <v>288</v>
      </c>
      <c r="K22" s="63"/>
    </row>
    <row r="23" customHeight="1" spans="1:11">
      <c r="A23" s="59"/>
      <c r="B23" s="59"/>
      <c r="C23" s="59"/>
      <c r="D23" s="61"/>
      <c r="E23" s="62"/>
      <c r="F23" s="62"/>
      <c r="G23" s="62"/>
      <c r="H23" s="63"/>
      <c r="I23" s="59"/>
      <c r="J23" s="61"/>
      <c r="K23" s="63"/>
    </row>
    <row r="24" customHeight="1" spans="1:11">
      <c r="A24" s="61" t="s">
        <v>182</v>
      </c>
      <c r="B24" s="62"/>
      <c r="C24" s="62"/>
      <c r="D24" s="62"/>
      <c r="E24" s="62"/>
      <c r="F24" s="62"/>
      <c r="G24" s="62"/>
      <c r="H24" s="63"/>
      <c r="I24" s="59">
        <f>SUM(I8:I23)</f>
        <v>1.15</v>
      </c>
      <c r="J24" s="59"/>
      <c r="K24" s="59"/>
    </row>
    <row r="25" customHeight="1" spans="1:11">
      <c r="A25" s="61"/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customHeight="1" spans="1:11">
      <c r="A26" s="61" t="s">
        <v>183</v>
      </c>
      <c r="B26" s="62"/>
      <c r="C26" s="62"/>
      <c r="D26" s="62"/>
      <c r="E26" s="63"/>
      <c r="F26" s="59" t="s">
        <v>184</v>
      </c>
      <c r="G26" s="59"/>
      <c r="H26" s="59" t="s">
        <v>185</v>
      </c>
      <c r="I26" s="59" t="s">
        <v>186</v>
      </c>
      <c r="J26" s="59" t="s">
        <v>187</v>
      </c>
      <c r="K26" s="63" t="s">
        <v>107</v>
      </c>
    </row>
    <row r="27" customHeight="1" spans="1:11">
      <c r="A27" s="59" t="s">
        <v>29</v>
      </c>
      <c r="B27" s="59" t="s">
        <v>190</v>
      </c>
      <c r="C27" s="59" t="s">
        <v>191</v>
      </c>
      <c r="D27" s="59" t="s">
        <v>192</v>
      </c>
      <c r="E27" s="59" t="s">
        <v>171</v>
      </c>
      <c r="F27" s="59"/>
      <c r="G27" s="59"/>
      <c r="H27" s="59"/>
      <c r="I27" s="59">
        <v>0.05</v>
      </c>
      <c r="J27" s="78">
        <f t="shared" ref="J27:J31" si="2">I27*H27</f>
        <v>0</v>
      </c>
      <c r="K27" s="59"/>
    </row>
    <row r="28" customHeight="1" spans="1:11">
      <c r="A28" s="64">
        <v>1</v>
      </c>
      <c r="B28" s="59" t="s">
        <v>465</v>
      </c>
      <c r="C28" s="59">
        <v>1</v>
      </c>
      <c r="D28" s="59">
        <v>4.5</v>
      </c>
      <c r="E28" s="59">
        <f t="shared" ref="E28:E36" si="3">D28*C28</f>
        <v>4.5</v>
      </c>
      <c r="F28" s="61"/>
      <c r="G28" s="63"/>
      <c r="H28" s="59"/>
      <c r="I28" s="59">
        <v>0.05</v>
      </c>
      <c r="J28" s="78">
        <f t="shared" si="2"/>
        <v>0</v>
      </c>
      <c r="K28" s="59"/>
    </row>
    <row r="29" customHeight="1" spans="1:11">
      <c r="A29" s="64">
        <v>2</v>
      </c>
      <c r="B29" s="59" t="s">
        <v>466</v>
      </c>
      <c r="C29" s="59">
        <v>1</v>
      </c>
      <c r="D29" s="59">
        <v>0.7</v>
      </c>
      <c r="E29" s="59">
        <f t="shared" si="3"/>
        <v>0.7</v>
      </c>
      <c r="F29" s="61"/>
      <c r="G29" s="63"/>
      <c r="H29" s="59"/>
      <c r="I29" s="59">
        <v>0.05</v>
      </c>
      <c r="J29" s="78">
        <f t="shared" si="2"/>
        <v>0</v>
      </c>
      <c r="K29" s="59"/>
    </row>
    <row r="30" customHeight="1" spans="1:11">
      <c r="A30" s="64">
        <v>3</v>
      </c>
      <c r="B30" s="59" t="s">
        <v>467</v>
      </c>
      <c r="C30" s="59">
        <v>1</v>
      </c>
      <c r="D30" s="59">
        <v>0.9</v>
      </c>
      <c r="E30" s="59">
        <f t="shared" si="3"/>
        <v>0.9</v>
      </c>
      <c r="F30" s="61" t="s">
        <v>291</v>
      </c>
      <c r="G30" s="63"/>
      <c r="H30" s="59">
        <v>80</v>
      </c>
      <c r="I30" s="59">
        <v>0.05</v>
      </c>
      <c r="J30" s="78">
        <f t="shared" si="2"/>
        <v>4</v>
      </c>
      <c r="K30" s="59"/>
    </row>
    <row r="31" customHeight="1" spans="1:11">
      <c r="A31" s="64">
        <v>4</v>
      </c>
      <c r="B31" s="59" t="s">
        <v>468</v>
      </c>
      <c r="C31" s="59">
        <v>1</v>
      </c>
      <c r="D31" s="59">
        <v>3.5</v>
      </c>
      <c r="E31" s="59">
        <f t="shared" si="3"/>
        <v>3.5</v>
      </c>
      <c r="F31" s="61"/>
      <c r="G31" s="63"/>
      <c r="H31" s="59"/>
      <c r="I31" s="59">
        <v>0.06</v>
      </c>
      <c r="J31" s="78">
        <f t="shared" si="2"/>
        <v>0</v>
      </c>
      <c r="K31" s="59"/>
    </row>
    <row r="32" customHeight="1" spans="1:11">
      <c r="A32" s="64">
        <v>5</v>
      </c>
      <c r="B32" s="59" t="s">
        <v>469</v>
      </c>
      <c r="C32" s="59">
        <v>1</v>
      </c>
      <c r="D32" s="65">
        <v>0.2</v>
      </c>
      <c r="E32" s="65">
        <f t="shared" si="3"/>
        <v>0.2</v>
      </c>
      <c r="F32" s="61"/>
      <c r="G32" s="63"/>
      <c r="H32" s="59"/>
      <c r="I32" s="59"/>
      <c r="J32" s="78"/>
      <c r="K32" s="59"/>
    </row>
    <row r="33" customHeight="1" spans="1:11">
      <c r="A33" s="64">
        <v>6</v>
      </c>
      <c r="B33" s="59" t="s">
        <v>293</v>
      </c>
      <c r="C33" s="59">
        <v>5</v>
      </c>
      <c r="D33" s="59">
        <v>0.75</v>
      </c>
      <c r="E33" s="59">
        <f t="shared" si="3"/>
        <v>3.75</v>
      </c>
      <c r="F33" s="61" t="s">
        <v>182</v>
      </c>
      <c r="G33" s="63"/>
      <c r="H33" s="59"/>
      <c r="I33" s="59"/>
      <c r="J33" s="78">
        <f>SUM(J27:J32)</f>
        <v>4</v>
      </c>
      <c r="K33" s="59"/>
    </row>
    <row r="34" customHeight="1" spans="1:11">
      <c r="A34" s="64">
        <v>7</v>
      </c>
      <c r="B34" s="59" t="s">
        <v>470</v>
      </c>
      <c r="C34" s="59">
        <v>2</v>
      </c>
      <c r="D34" s="59">
        <v>0.1</v>
      </c>
      <c r="E34" s="59">
        <f t="shared" si="3"/>
        <v>0.2</v>
      </c>
      <c r="F34" s="61" t="s">
        <v>219</v>
      </c>
      <c r="G34" s="63"/>
      <c r="H34" s="66" t="s">
        <v>301</v>
      </c>
      <c r="I34" s="59" t="s">
        <v>430</v>
      </c>
      <c r="J34" s="73" t="s">
        <v>187</v>
      </c>
      <c r="K34" s="59" t="s">
        <v>107</v>
      </c>
    </row>
    <row r="35" customHeight="1" spans="1:11">
      <c r="A35" s="64">
        <v>8</v>
      </c>
      <c r="B35" s="59" t="s">
        <v>203</v>
      </c>
      <c r="C35" s="59">
        <v>10</v>
      </c>
      <c r="D35" s="59">
        <v>0.15</v>
      </c>
      <c r="E35" s="59">
        <f t="shared" si="3"/>
        <v>1.5</v>
      </c>
      <c r="F35" s="61" t="s">
        <v>226</v>
      </c>
      <c r="G35" s="63"/>
      <c r="H35" s="59">
        <v>12</v>
      </c>
      <c r="I35" s="59">
        <v>0.25</v>
      </c>
      <c r="J35" s="59">
        <f>I35*H35</f>
        <v>3</v>
      </c>
      <c r="K35" s="59"/>
    </row>
    <row r="36" customHeight="1" spans="1:11">
      <c r="A36" s="64">
        <v>9</v>
      </c>
      <c r="B36" s="59"/>
      <c r="C36" s="59"/>
      <c r="D36" s="59"/>
      <c r="E36" s="59">
        <f t="shared" si="3"/>
        <v>0</v>
      </c>
      <c r="F36" s="61"/>
      <c r="G36" s="63"/>
      <c r="H36" s="67"/>
      <c r="I36" s="59"/>
      <c r="J36" s="59"/>
      <c r="K36" s="59"/>
    </row>
    <row r="37" customHeight="1" spans="1:11">
      <c r="A37" s="64"/>
      <c r="B37" s="59"/>
      <c r="C37" s="59"/>
      <c r="D37" s="59"/>
      <c r="E37" s="59"/>
      <c r="F37" s="68"/>
      <c r="G37" s="69"/>
      <c r="H37" s="59"/>
      <c r="I37" s="59"/>
      <c r="J37" s="59"/>
      <c r="K37" s="59"/>
    </row>
    <row r="38" customHeight="1" spans="1:5">
      <c r="A38" s="68" t="s">
        <v>182</v>
      </c>
      <c r="B38" s="70"/>
      <c r="C38" s="70"/>
      <c r="D38" s="69"/>
      <c r="E38" s="71">
        <f>SUM(E28:E37)</f>
        <v>15.25</v>
      </c>
    </row>
    <row r="39" customHeight="1" spans="1:11">
      <c r="A39" s="72" t="s">
        <v>227</v>
      </c>
      <c r="B39" s="72"/>
      <c r="C39" s="72" t="s">
        <v>208</v>
      </c>
      <c r="E39" s="73" t="s">
        <v>228</v>
      </c>
      <c r="F39" s="74">
        <f>C44+C43+C42+C41+C40</f>
        <v>34.8055</v>
      </c>
      <c r="G39" s="74"/>
      <c r="H39" s="74"/>
      <c r="I39" s="74"/>
      <c r="J39" s="74"/>
      <c r="K39" s="74"/>
    </row>
    <row r="40" customHeight="1" spans="1:11">
      <c r="A40" s="64" t="s">
        <v>231</v>
      </c>
      <c r="B40" s="64"/>
      <c r="C40" s="75">
        <f>K6</f>
        <v>10.736</v>
      </c>
      <c r="E40" s="76" t="s">
        <v>232</v>
      </c>
      <c r="F40" s="74">
        <f>F39*0.03</f>
        <v>1.044165</v>
      </c>
      <c r="G40" s="74"/>
      <c r="H40" s="74"/>
      <c r="I40" s="74"/>
      <c r="J40" s="74"/>
      <c r="K40" s="74"/>
    </row>
    <row r="41" customHeight="1" spans="1:11">
      <c r="A41" s="64" t="s">
        <v>233</v>
      </c>
      <c r="B41" s="64"/>
      <c r="C41" s="75">
        <f>I24*1.13</f>
        <v>1.2995</v>
      </c>
      <c r="E41" s="76" t="s">
        <v>234</v>
      </c>
      <c r="F41" s="74">
        <f>F39*0.06</f>
        <v>2.08833</v>
      </c>
      <c r="G41" s="74"/>
      <c r="H41" s="74"/>
      <c r="I41" s="74"/>
      <c r="J41" s="74"/>
      <c r="K41" s="74"/>
    </row>
    <row r="42" customHeight="1" spans="1:11">
      <c r="A42" s="64" t="s">
        <v>235</v>
      </c>
      <c r="B42" s="64"/>
      <c r="C42" s="75">
        <f>E38</f>
        <v>15.25</v>
      </c>
      <c r="E42" s="76" t="s">
        <v>236</v>
      </c>
      <c r="F42" s="74">
        <f>F39*0.02</f>
        <v>0.69611</v>
      </c>
      <c r="G42" s="74"/>
      <c r="H42" s="74"/>
      <c r="I42" s="74"/>
      <c r="J42" s="74"/>
      <c r="K42" s="74"/>
    </row>
    <row r="43" customHeight="1" spans="1:11">
      <c r="A43" s="64" t="s">
        <v>238</v>
      </c>
      <c r="B43" s="64"/>
      <c r="C43" s="75">
        <f>J33*1.13</f>
        <v>4.52</v>
      </c>
      <c r="E43" s="76" t="s">
        <v>106</v>
      </c>
      <c r="F43" s="74"/>
      <c r="G43" s="74"/>
      <c r="H43" s="74"/>
      <c r="I43" s="74"/>
      <c r="J43" s="74"/>
      <c r="K43" s="74"/>
    </row>
    <row r="44" customHeight="1" spans="1:11">
      <c r="A44" s="64" t="s">
        <v>219</v>
      </c>
      <c r="B44" s="64"/>
      <c r="C44" s="75">
        <f>J35+J37</f>
        <v>3</v>
      </c>
      <c r="E44" s="76" t="s">
        <v>239</v>
      </c>
      <c r="F44" s="74">
        <f>F43+F42+F41+F40+F39</f>
        <v>38.634105</v>
      </c>
      <c r="G44" s="74"/>
      <c r="H44" s="74"/>
      <c r="I44" s="74"/>
      <c r="J44" s="74"/>
      <c r="K44" s="74"/>
    </row>
    <row r="45" spans="1:9">
      <c r="A45" s="77"/>
      <c r="B45" s="77"/>
      <c r="I45" t="s">
        <v>471</v>
      </c>
    </row>
    <row r="46" spans="1:2">
      <c r="A46" s="77"/>
      <c r="B46" s="77"/>
    </row>
    <row r="47" spans="1:2">
      <c r="A47" s="77"/>
      <c r="B47" s="77"/>
    </row>
  </sheetData>
  <mergeCells count="49">
    <mergeCell ref="A1:K1"/>
    <mergeCell ref="A6:J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20:K20"/>
    <mergeCell ref="J21:K21"/>
    <mergeCell ref="J22:K22"/>
    <mergeCell ref="D23:H23"/>
    <mergeCell ref="A24:H24"/>
    <mergeCell ref="A25:K25"/>
    <mergeCell ref="A26:E26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A38:D38"/>
    <mergeCell ref="A39:B39"/>
    <mergeCell ref="F39:K39"/>
    <mergeCell ref="A40:B40"/>
    <mergeCell ref="F40:K40"/>
    <mergeCell ref="A41:B41"/>
    <mergeCell ref="F41:K41"/>
    <mergeCell ref="A42:B42"/>
    <mergeCell ref="F42:K42"/>
    <mergeCell ref="A43:B43"/>
    <mergeCell ref="F43:K43"/>
    <mergeCell ref="A44:B44"/>
    <mergeCell ref="F44:K44"/>
    <mergeCell ref="A45:B45"/>
    <mergeCell ref="A46:B46"/>
    <mergeCell ref="A47:B47"/>
  </mergeCells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47"/>
  <sheetViews>
    <sheetView topLeftCell="A14" workbookViewId="0">
      <selection activeCell="M35" sqref="M35"/>
    </sheetView>
  </sheetViews>
  <sheetFormatPr defaultColWidth="9" defaultRowHeight="13.5"/>
  <cols>
    <col min="1" max="1" width="3.125" customWidth="1"/>
    <col min="2" max="2" width="12.25" customWidth="1"/>
    <col min="3" max="3" width="9.125" customWidth="1"/>
    <col min="4" max="4" width="7.75" customWidth="1"/>
    <col min="5" max="5" width="6.625" customWidth="1"/>
    <col min="6" max="6" width="7.375" customWidth="1"/>
    <col min="7" max="7" width="7" customWidth="1"/>
    <col min="8" max="8" width="8.125" customWidth="1"/>
    <col min="9" max="9" width="7.75" customWidth="1"/>
    <col min="10" max="10" width="8.875" customWidth="1"/>
    <col min="11" max="11" width="6.5" customWidth="1"/>
    <col min="12" max="12" width="5.875" customWidth="1"/>
  </cols>
  <sheetData>
    <row r="1" ht="36" customHeight="1" spans="1:11">
      <c r="A1" s="58" t="s">
        <v>143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customHeight="1" spans="1:11">
      <c r="A2" s="59" t="s">
        <v>29</v>
      </c>
      <c r="B2" s="59" t="s">
        <v>151</v>
      </c>
      <c r="C2" s="59" t="s">
        <v>152</v>
      </c>
      <c r="D2" s="59" t="s">
        <v>153</v>
      </c>
      <c r="E2" s="59" t="s">
        <v>154</v>
      </c>
      <c r="F2" s="59" t="s">
        <v>155</v>
      </c>
      <c r="G2" s="59" t="s">
        <v>156</v>
      </c>
      <c r="H2" s="59" t="s">
        <v>157</v>
      </c>
      <c r="I2" s="59" t="s">
        <v>158</v>
      </c>
      <c r="J2" s="59" t="s">
        <v>159</v>
      </c>
      <c r="K2" s="59" t="s">
        <v>160</v>
      </c>
    </row>
    <row r="3" customHeight="1" spans="1:11">
      <c r="A3" s="59">
        <v>1</v>
      </c>
      <c r="B3" s="59" t="s">
        <v>472</v>
      </c>
      <c r="C3" s="59"/>
      <c r="D3" s="59" t="s">
        <v>313</v>
      </c>
      <c r="E3" s="60">
        <v>6.1</v>
      </c>
      <c r="F3" s="60">
        <v>1.03</v>
      </c>
      <c r="G3" s="60">
        <f>E3*F3</f>
        <v>6.283</v>
      </c>
      <c r="H3" s="60">
        <v>1.03</v>
      </c>
      <c r="I3" s="60">
        <f>F3-H3</f>
        <v>0</v>
      </c>
      <c r="J3" s="60">
        <f>I3*1.1</f>
        <v>0</v>
      </c>
      <c r="K3" s="60">
        <f>G3-J3</f>
        <v>6.283</v>
      </c>
    </row>
    <row r="4" customHeight="1" spans="1:11">
      <c r="A4" s="59">
        <v>2</v>
      </c>
      <c r="B4" s="59" t="s">
        <v>473</v>
      </c>
      <c r="C4" s="59"/>
      <c r="D4" s="59" t="s">
        <v>313</v>
      </c>
      <c r="E4" s="60">
        <v>6.1</v>
      </c>
      <c r="F4" s="60">
        <v>0.49</v>
      </c>
      <c r="G4" s="60">
        <f>E4*F4</f>
        <v>2.989</v>
      </c>
      <c r="H4" s="60">
        <v>0.49</v>
      </c>
      <c r="I4" s="60">
        <f>F4-H4</f>
        <v>0</v>
      </c>
      <c r="J4" s="60">
        <f>I4*1.1</f>
        <v>0</v>
      </c>
      <c r="K4" s="60">
        <f>G4-J4</f>
        <v>2.989</v>
      </c>
    </row>
    <row r="5" customHeight="1" spans="1:11">
      <c r="A5" s="59">
        <v>3</v>
      </c>
      <c r="B5" s="59"/>
      <c r="C5" s="59"/>
      <c r="D5" s="59"/>
      <c r="E5" s="60"/>
      <c r="F5" s="60"/>
      <c r="G5" s="60"/>
      <c r="H5" s="60"/>
      <c r="I5" s="60">
        <f>F5-H5</f>
        <v>0</v>
      </c>
      <c r="J5" s="60">
        <f>I5*1.1</f>
        <v>0</v>
      </c>
      <c r="K5" s="60">
        <f>G5-J5</f>
        <v>0</v>
      </c>
    </row>
    <row r="6" customHeight="1" spans="1:11">
      <c r="A6" s="61" t="s">
        <v>182</v>
      </c>
      <c r="B6" s="62"/>
      <c r="C6" s="62"/>
      <c r="D6" s="62"/>
      <c r="E6" s="62"/>
      <c r="F6" s="62"/>
      <c r="G6" s="62"/>
      <c r="H6" s="62"/>
      <c r="I6" s="62"/>
      <c r="J6" s="63"/>
      <c r="K6" s="60">
        <f>SUM(K3:K5)</f>
        <v>9.272</v>
      </c>
    </row>
    <row r="7" customHeight="1" spans="1:11">
      <c r="A7" s="59" t="s">
        <v>29</v>
      </c>
      <c r="B7" s="59" t="s">
        <v>151</v>
      </c>
      <c r="C7" s="59" t="s">
        <v>152</v>
      </c>
      <c r="D7" s="59" t="s">
        <v>166</v>
      </c>
      <c r="E7" s="59" t="s">
        <v>167</v>
      </c>
      <c r="F7" s="59" t="s">
        <v>168</v>
      </c>
      <c r="G7" s="59" t="s">
        <v>169</v>
      </c>
      <c r="H7" s="59" t="s">
        <v>170</v>
      </c>
      <c r="I7" s="59" t="s">
        <v>171</v>
      </c>
      <c r="J7" s="61" t="s">
        <v>107</v>
      </c>
      <c r="K7" s="63"/>
    </row>
    <row r="8" customHeight="1" spans="1:11">
      <c r="A8" s="59">
        <v>1</v>
      </c>
      <c r="B8" s="59"/>
      <c r="C8" s="59"/>
      <c r="D8" s="59"/>
      <c r="E8" s="59" t="s">
        <v>260</v>
      </c>
      <c r="F8" s="59" t="s">
        <v>261</v>
      </c>
      <c r="G8" s="59"/>
      <c r="H8" s="59" t="s">
        <v>262</v>
      </c>
      <c r="I8" s="59"/>
      <c r="J8" s="61"/>
      <c r="K8" s="63"/>
    </row>
    <row r="9" customHeight="1" spans="1:11">
      <c r="A9" s="59">
        <v>2</v>
      </c>
      <c r="B9" s="59"/>
      <c r="C9" s="59"/>
      <c r="D9" s="59"/>
      <c r="E9" s="59" t="s">
        <v>260</v>
      </c>
      <c r="F9" s="59" t="s">
        <v>264</v>
      </c>
      <c r="G9" s="59"/>
      <c r="H9" s="59" t="s">
        <v>265</v>
      </c>
      <c r="I9" s="59"/>
      <c r="J9" s="61"/>
      <c r="K9" s="63"/>
    </row>
    <row r="10" customHeight="1" spans="1:11">
      <c r="A10" s="59">
        <v>7</v>
      </c>
      <c r="B10" s="59"/>
      <c r="C10" s="59"/>
      <c r="D10" s="59"/>
      <c r="E10" s="59" t="s">
        <v>270</v>
      </c>
      <c r="F10" s="59" t="s">
        <v>276</v>
      </c>
      <c r="G10" s="59"/>
      <c r="H10" s="59">
        <v>0.08</v>
      </c>
      <c r="I10" s="59">
        <f t="shared" ref="I10:I21" si="0">G10*H10</f>
        <v>0</v>
      </c>
      <c r="J10" s="61"/>
      <c r="K10" s="63"/>
    </row>
    <row r="11" customHeight="1" spans="1:11">
      <c r="A11" s="59">
        <v>8</v>
      </c>
      <c r="B11" s="59"/>
      <c r="C11" s="59"/>
      <c r="D11" s="59"/>
      <c r="E11" s="59" t="s">
        <v>270</v>
      </c>
      <c r="F11" s="59" t="s">
        <v>277</v>
      </c>
      <c r="G11" s="59"/>
      <c r="H11" s="59">
        <v>0.08</v>
      </c>
      <c r="I11" s="59">
        <f t="shared" si="0"/>
        <v>0</v>
      </c>
      <c r="J11" s="61"/>
      <c r="K11" s="63"/>
    </row>
    <row r="12" customHeight="1" spans="1:11">
      <c r="A12" s="59">
        <v>9</v>
      </c>
      <c r="B12" s="59"/>
      <c r="C12" s="59"/>
      <c r="D12" s="59"/>
      <c r="E12" s="59" t="s">
        <v>270</v>
      </c>
      <c r="F12" s="59" t="s">
        <v>278</v>
      </c>
      <c r="G12" s="59"/>
      <c r="H12" s="59">
        <v>0.05</v>
      </c>
      <c r="I12" s="59">
        <f t="shared" si="0"/>
        <v>0</v>
      </c>
      <c r="J12" s="61"/>
      <c r="K12" s="63"/>
    </row>
    <row r="13" customHeight="1" spans="1:11">
      <c r="A13" s="59">
        <v>10</v>
      </c>
      <c r="B13" s="59">
        <v>1.2</v>
      </c>
      <c r="C13" s="59"/>
      <c r="D13" s="59" t="s">
        <v>279</v>
      </c>
      <c r="E13" s="59"/>
      <c r="F13" s="59"/>
      <c r="G13" s="59"/>
      <c r="H13" s="59">
        <v>0.08</v>
      </c>
      <c r="I13" s="59">
        <v>0.13</v>
      </c>
      <c r="J13" s="61" t="s">
        <v>280</v>
      </c>
      <c r="K13" s="63"/>
    </row>
    <row r="14" customHeight="1" spans="1:11">
      <c r="A14" s="59">
        <v>11</v>
      </c>
      <c r="B14" s="59" t="s">
        <v>415</v>
      </c>
      <c r="C14" s="59"/>
      <c r="D14" s="59" t="s">
        <v>174</v>
      </c>
      <c r="E14" s="59"/>
      <c r="F14" s="59"/>
      <c r="G14" s="59">
        <v>5</v>
      </c>
      <c r="H14" s="59">
        <v>0.08</v>
      </c>
      <c r="I14" s="59">
        <f t="shared" si="0"/>
        <v>0.4</v>
      </c>
      <c r="J14" s="61"/>
      <c r="K14" s="63"/>
    </row>
    <row r="15" customHeight="1" spans="1:11">
      <c r="A15" s="59">
        <v>12</v>
      </c>
      <c r="B15" s="59">
        <v>2</v>
      </c>
      <c r="C15" s="59"/>
      <c r="D15" s="59" t="s">
        <v>462</v>
      </c>
      <c r="E15" s="59"/>
      <c r="F15" s="59"/>
      <c r="G15" s="59">
        <v>1</v>
      </c>
      <c r="H15" s="59">
        <v>0.08</v>
      </c>
      <c r="I15" s="59">
        <f t="shared" si="0"/>
        <v>0.08</v>
      </c>
      <c r="J15" s="61"/>
      <c r="K15" s="63"/>
    </row>
    <row r="16" customHeight="1" spans="1:11">
      <c r="A16" s="59">
        <v>13</v>
      </c>
      <c r="B16" s="59"/>
      <c r="C16" s="59"/>
      <c r="D16" s="59" t="s">
        <v>245</v>
      </c>
      <c r="E16" s="59"/>
      <c r="F16" s="59"/>
      <c r="G16" s="59"/>
      <c r="H16" s="59">
        <v>0.08</v>
      </c>
      <c r="I16" s="59">
        <f t="shared" si="0"/>
        <v>0</v>
      </c>
      <c r="J16" s="61"/>
      <c r="K16" s="63"/>
    </row>
    <row r="17" customHeight="1" spans="1:11">
      <c r="A17" s="59">
        <v>14</v>
      </c>
      <c r="B17" s="59"/>
      <c r="C17" s="59"/>
      <c r="D17" s="59" t="s">
        <v>283</v>
      </c>
      <c r="E17" s="59"/>
      <c r="F17" s="59"/>
      <c r="G17" s="59"/>
      <c r="H17" s="59">
        <v>0.08</v>
      </c>
      <c r="I17" s="59">
        <f t="shared" si="0"/>
        <v>0</v>
      </c>
      <c r="J17" s="61"/>
      <c r="K17" s="63"/>
    </row>
    <row r="18" customHeight="1" spans="1:11">
      <c r="A18" s="59">
        <v>15</v>
      </c>
      <c r="B18" s="59"/>
      <c r="C18" s="59"/>
      <c r="D18" s="59" t="s">
        <v>419</v>
      </c>
      <c r="E18" s="59"/>
      <c r="F18" s="59"/>
      <c r="G18" s="59"/>
      <c r="H18" s="59">
        <v>0.08</v>
      </c>
      <c r="I18" s="59">
        <f t="shared" si="0"/>
        <v>0</v>
      </c>
      <c r="J18" s="61"/>
      <c r="K18" s="63"/>
    </row>
    <row r="19" customHeight="1" spans="1:11">
      <c r="A19" s="59">
        <v>16</v>
      </c>
      <c r="B19" s="59"/>
      <c r="C19" s="59"/>
      <c r="D19" s="59" t="s">
        <v>275</v>
      </c>
      <c r="E19" s="59"/>
      <c r="F19" s="59"/>
      <c r="G19" s="59"/>
      <c r="H19" s="59">
        <v>0.08</v>
      </c>
      <c r="I19" s="59">
        <f t="shared" si="0"/>
        <v>0</v>
      </c>
      <c r="J19" s="61"/>
      <c r="K19" s="63"/>
    </row>
    <row r="20" customHeight="1" spans="1:11">
      <c r="A20" s="59">
        <v>17</v>
      </c>
      <c r="B20" s="59"/>
      <c r="C20" s="59"/>
      <c r="D20" s="59" t="s">
        <v>285</v>
      </c>
      <c r="E20" s="59"/>
      <c r="F20" s="59"/>
      <c r="G20" s="59"/>
      <c r="H20" s="59">
        <v>0.08</v>
      </c>
      <c r="I20" s="59">
        <f t="shared" si="0"/>
        <v>0</v>
      </c>
      <c r="J20" s="61"/>
      <c r="K20" s="63"/>
    </row>
    <row r="21" customHeight="1" spans="1:11">
      <c r="A21" s="59">
        <v>18</v>
      </c>
      <c r="B21" s="59"/>
      <c r="C21" s="59"/>
      <c r="D21" s="59"/>
      <c r="E21" s="59"/>
      <c r="F21" s="59"/>
      <c r="G21" s="59"/>
      <c r="H21" s="59">
        <v>0.08</v>
      </c>
      <c r="I21" s="59">
        <f t="shared" si="0"/>
        <v>0</v>
      </c>
      <c r="J21" s="61"/>
      <c r="K21" s="63"/>
    </row>
    <row r="22" customHeight="1" spans="1:11">
      <c r="A22" s="59">
        <v>19</v>
      </c>
      <c r="B22" s="59"/>
      <c r="C22" s="59"/>
      <c r="D22" s="59" t="s">
        <v>287</v>
      </c>
      <c r="E22" s="59"/>
      <c r="F22" s="59"/>
      <c r="G22" s="59"/>
      <c r="H22" s="59"/>
      <c r="I22" s="59">
        <v>0.4</v>
      </c>
      <c r="J22" s="61" t="s">
        <v>288</v>
      </c>
      <c r="K22" s="63"/>
    </row>
    <row r="23" customHeight="1" spans="1:11">
      <c r="A23" s="59"/>
      <c r="B23" s="59"/>
      <c r="C23" s="59"/>
      <c r="D23" s="61"/>
      <c r="E23" s="62"/>
      <c r="F23" s="62"/>
      <c r="G23" s="62"/>
      <c r="H23" s="63"/>
      <c r="I23" s="59"/>
      <c r="J23" s="61"/>
      <c r="K23" s="63"/>
    </row>
    <row r="24" customHeight="1" spans="1:11">
      <c r="A24" s="61" t="s">
        <v>182</v>
      </c>
      <c r="B24" s="62"/>
      <c r="C24" s="62"/>
      <c r="D24" s="62"/>
      <c r="E24" s="62"/>
      <c r="F24" s="62"/>
      <c r="G24" s="62"/>
      <c r="H24" s="63"/>
      <c r="I24" s="59">
        <f>SUM(I8:I23)</f>
        <v>1.01</v>
      </c>
      <c r="J24" s="59"/>
      <c r="K24" s="59"/>
    </row>
    <row r="25" customHeight="1" spans="1:11">
      <c r="A25" s="61"/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customHeight="1" spans="1:11">
      <c r="A26" s="61" t="s">
        <v>183</v>
      </c>
      <c r="B26" s="62"/>
      <c r="C26" s="62"/>
      <c r="D26" s="62"/>
      <c r="E26" s="63"/>
      <c r="F26" s="59" t="s">
        <v>184</v>
      </c>
      <c r="G26" s="59"/>
      <c r="H26" s="59" t="s">
        <v>185</v>
      </c>
      <c r="I26" s="59" t="s">
        <v>186</v>
      </c>
      <c r="J26" s="59" t="s">
        <v>187</v>
      </c>
      <c r="K26" s="63" t="s">
        <v>107</v>
      </c>
    </row>
    <row r="27" customHeight="1" spans="1:11">
      <c r="A27" s="59" t="s">
        <v>29</v>
      </c>
      <c r="B27" s="59" t="s">
        <v>190</v>
      </c>
      <c r="C27" s="59" t="s">
        <v>191</v>
      </c>
      <c r="D27" s="59" t="s">
        <v>192</v>
      </c>
      <c r="E27" s="59" t="s">
        <v>171</v>
      </c>
      <c r="F27" s="59"/>
      <c r="G27" s="59"/>
      <c r="H27" s="59"/>
      <c r="I27" s="59">
        <v>0.05</v>
      </c>
      <c r="J27" s="78">
        <f>I27*H27</f>
        <v>0</v>
      </c>
      <c r="K27" s="59"/>
    </row>
    <row r="28" customHeight="1" spans="1:11">
      <c r="A28" s="64">
        <v>1</v>
      </c>
      <c r="B28" s="59" t="s">
        <v>474</v>
      </c>
      <c r="C28" s="59">
        <v>1</v>
      </c>
      <c r="D28" s="59">
        <v>3.5</v>
      </c>
      <c r="E28" s="59">
        <f>D28*C28</f>
        <v>3.5</v>
      </c>
      <c r="F28" s="61"/>
      <c r="G28" s="63"/>
      <c r="H28" s="59"/>
      <c r="I28" s="59">
        <v>0.05</v>
      </c>
      <c r="J28" s="78">
        <f t="shared" ref="J28:J31" si="1">I28*H28</f>
        <v>0</v>
      </c>
      <c r="K28" s="59"/>
    </row>
    <row r="29" customHeight="1" spans="1:11">
      <c r="A29" s="64">
        <v>2</v>
      </c>
      <c r="B29" s="59" t="s">
        <v>475</v>
      </c>
      <c r="C29" s="59">
        <v>4</v>
      </c>
      <c r="D29" s="59">
        <v>0.15</v>
      </c>
      <c r="E29" s="59">
        <f t="shared" ref="E29:E36" si="2">D29*C29</f>
        <v>0.6</v>
      </c>
      <c r="F29" s="61"/>
      <c r="G29" s="63"/>
      <c r="H29" s="59"/>
      <c r="I29" s="59">
        <v>0.05</v>
      </c>
      <c r="J29" s="78">
        <f t="shared" si="1"/>
        <v>0</v>
      </c>
      <c r="K29" s="59"/>
    </row>
    <row r="30" customHeight="1" spans="1:11">
      <c r="A30" s="64">
        <v>3</v>
      </c>
      <c r="B30" s="59" t="s">
        <v>476</v>
      </c>
      <c r="C30" s="59">
        <v>4</v>
      </c>
      <c r="D30" s="59">
        <v>1</v>
      </c>
      <c r="E30" s="59">
        <f t="shared" si="2"/>
        <v>4</v>
      </c>
      <c r="F30" s="61" t="s">
        <v>291</v>
      </c>
      <c r="G30" s="63"/>
      <c r="H30" s="59">
        <v>78</v>
      </c>
      <c r="I30" s="59">
        <v>0.05</v>
      </c>
      <c r="J30" s="78">
        <f t="shared" si="1"/>
        <v>3.9</v>
      </c>
      <c r="K30" s="59"/>
    </row>
    <row r="31" customHeight="1" spans="1:11">
      <c r="A31" s="64">
        <v>4</v>
      </c>
      <c r="B31" s="59"/>
      <c r="C31" s="59"/>
      <c r="D31" s="59"/>
      <c r="E31" s="59">
        <f t="shared" si="2"/>
        <v>0</v>
      </c>
      <c r="F31" s="61"/>
      <c r="G31" s="63"/>
      <c r="H31" s="59"/>
      <c r="I31" s="59">
        <v>0.06</v>
      </c>
      <c r="J31" s="78">
        <f t="shared" si="1"/>
        <v>0</v>
      </c>
      <c r="K31" s="59"/>
    </row>
    <row r="32" customHeight="1" spans="1:11">
      <c r="A32" s="64">
        <v>5</v>
      </c>
      <c r="B32" s="59"/>
      <c r="C32" s="59"/>
      <c r="D32" s="65"/>
      <c r="E32" s="65">
        <f t="shared" si="2"/>
        <v>0</v>
      </c>
      <c r="F32" s="61"/>
      <c r="G32" s="63"/>
      <c r="H32" s="59"/>
      <c r="I32" s="59"/>
      <c r="J32" s="78"/>
      <c r="K32" s="59"/>
    </row>
    <row r="33" customHeight="1" spans="1:11">
      <c r="A33" s="64">
        <v>6</v>
      </c>
      <c r="B33" s="59"/>
      <c r="C33" s="59"/>
      <c r="D33" s="59"/>
      <c r="E33" s="59">
        <f t="shared" si="2"/>
        <v>0</v>
      </c>
      <c r="F33" s="61" t="s">
        <v>182</v>
      </c>
      <c r="G33" s="63"/>
      <c r="H33" s="59"/>
      <c r="I33" s="59"/>
      <c r="J33" s="78">
        <f>SUM(J27:J32)</f>
        <v>3.9</v>
      </c>
      <c r="K33" s="59"/>
    </row>
    <row r="34" customHeight="1" spans="1:11">
      <c r="A34" s="64">
        <v>7</v>
      </c>
      <c r="B34" s="59"/>
      <c r="C34" s="59"/>
      <c r="D34" s="59"/>
      <c r="E34" s="59">
        <f t="shared" si="2"/>
        <v>0</v>
      </c>
      <c r="F34" s="61" t="s">
        <v>219</v>
      </c>
      <c r="G34" s="63"/>
      <c r="H34" s="66" t="s">
        <v>301</v>
      </c>
      <c r="I34" s="59" t="s">
        <v>430</v>
      </c>
      <c r="J34" s="73" t="s">
        <v>187</v>
      </c>
      <c r="K34" s="59" t="s">
        <v>107</v>
      </c>
    </row>
    <row r="35" customHeight="1" spans="1:11">
      <c r="A35" s="64">
        <v>8</v>
      </c>
      <c r="B35" s="59"/>
      <c r="C35" s="59"/>
      <c r="D35" s="59"/>
      <c r="E35" s="59">
        <f t="shared" si="2"/>
        <v>0</v>
      </c>
      <c r="F35" s="61" t="s">
        <v>226</v>
      </c>
      <c r="G35" s="63"/>
      <c r="H35" s="59">
        <v>12</v>
      </c>
      <c r="I35" s="59">
        <v>0.2</v>
      </c>
      <c r="J35" s="59">
        <f>I35*H35</f>
        <v>2.4</v>
      </c>
      <c r="K35" s="59"/>
    </row>
    <row r="36" customHeight="1" spans="1:11">
      <c r="A36" s="64">
        <v>9</v>
      </c>
      <c r="B36" s="59"/>
      <c r="C36" s="59"/>
      <c r="D36" s="59"/>
      <c r="E36" s="59">
        <f t="shared" si="2"/>
        <v>0</v>
      </c>
      <c r="F36" s="61"/>
      <c r="G36" s="63"/>
      <c r="H36" s="67"/>
      <c r="I36" s="59"/>
      <c r="J36" s="59"/>
      <c r="K36" s="59"/>
    </row>
    <row r="37" customHeight="1" spans="1:11">
      <c r="A37" s="64"/>
      <c r="B37" s="59"/>
      <c r="C37" s="59"/>
      <c r="D37" s="59"/>
      <c r="E37" s="59"/>
      <c r="F37" s="68"/>
      <c r="G37" s="69"/>
      <c r="H37" s="59"/>
      <c r="I37" s="59"/>
      <c r="J37" s="59"/>
      <c r="K37" s="59"/>
    </row>
    <row r="38" customHeight="1" spans="1:5">
      <c r="A38" s="68" t="s">
        <v>182</v>
      </c>
      <c r="B38" s="70"/>
      <c r="C38" s="70"/>
      <c r="D38" s="69"/>
      <c r="E38" s="71">
        <f>SUM(E28:E37)</f>
        <v>8.1</v>
      </c>
    </row>
    <row r="39" customHeight="1" spans="1:11">
      <c r="A39" s="72" t="s">
        <v>227</v>
      </c>
      <c r="B39" s="72"/>
      <c r="C39" s="72" t="s">
        <v>208</v>
      </c>
      <c r="E39" s="73" t="s">
        <v>228</v>
      </c>
      <c r="F39" s="74">
        <f>C44+C43+C42+C41+C40</f>
        <v>25.3203</v>
      </c>
      <c r="G39" s="74"/>
      <c r="H39" s="74"/>
      <c r="I39" s="74"/>
      <c r="J39" s="74"/>
      <c r="K39" s="74"/>
    </row>
    <row r="40" customHeight="1" spans="1:11">
      <c r="A40" s="64" t="s">
        <v>231</v>
      </c>
      <c r="B40" s="64"/>
      <c r="C40" s="75">
        <f>K6</f>
        <v>9.272</v>
      </c>
      <c r="E40" s="76" t="s">
        <v>232</v>
      </c>
      <c r="F40" s="74">
        <f>F39*0.03</f>
        <v>0.759609</v>
      </c>
      <c r="G40" s="74"/>
      <c r="H40" s="74"/>
      <c r="I40" s="74"/>
      <c r="J40" s="74"/>
      <c r="K40" s="74"/>
    </row>
    <row r="41" customHeight="1" spans="1:11">
      <c r="A41" s="64" t="s">
        <v>233</v>
      </c>
      <c r="B41" s="64"/>
      <c r="C41" s="75">
        <f>I24*1.13</f>
        <v>1.1413</v>
      </c>
      <c r="E41" s="76" t="s">
        <v>234</v>
      </c>
      <c r="F41" s="74">
        <f>F39*0.06</f>
        <v>1.519218</v>
      </c>
      <c r="G41" s="74"/>
      <c r="H41" s="74"/>
      <c r="I41" s="74"/>
      <c r="J41" s="74"/>
      <c r="K41" s="74"/>
    </row>
    <row r="42" customHeight="1" spans="1:11">
      <c r="A42" s="64" t="s">
        <v>235</v>
      </c>
      <c r="B42" s="64"/>
      <c r="C42" s="75">
        <f>E38</f>
        <v>8.1</v>
      </c>
      <c r="E42" s="76" t="s">
        <v>236</v>
      </c>
      <c r="F42" s="74">
        <f>F39*0.02</f>
        <v>0.506406</v>
      </c>
      <c r="G42" s="74"/>
      <c r="H42" s="74"/>
      <c r="I42" s="74"/>
      <c r="J42" s="74"/>
      <c r="K42" s="74"/>
    </row>
    <row r="43" customHeight="1" spans="1:11">
      <c r="A43" s="64" t="s">
        <v>238</v>
      </c>
      <c r="B43" s="64"/>
      <c r="C43" s="75">
        <f>J33*1.13</f>
        <v>4.407</v>
      </c>
      <c r="E43" s="76" t="s">
        <v>106</v>
      </c>
      <c r="F43" s="74"/>
      <c r="G43" s="74"/>
      <c r="H43" s="74"/>
      <c r="I43" s="74"/>
      <c r="J43" s="74"/>
      <c r="K43" s="74"/>
    </row>
    <row r="44" customHeight="1" spans="1:11">
      <c r="A44" s="64" t="s">
        <v>219</v>
      </c>
      <c r="B44" s="64"/>
      <c r="C44" s="75">
        <f>J35+J37</f>
        <v>2.4</v>
      </c>
      <c r="E44" s="76" t="s">
        <v>239</v>
      </c>
      <c r="F44" s="74">
        <f>F43+F42+F41+F40+F39</f>
        <v>28.105533</v>
      </c>
      <c r="G44" s="74"/>
      <c r="H44" s="74"/>
      <c r="I44" s="74"/>
      <c r="J44" s="74"/>
      <c r="K44" s="74"/>
    </row>
    <row r="45" spans="1:9">
      <c r="A45" s="77"/>
      <c r="B45" s="77"/>
      <c r="I45" t="s">
        <v>477</v>
      </c>
    </row>
    <row r="46" spans="1:2">
      <c r="A46" s="77"/>
      <c r="B46" s="77"/>
    </row>
    <row r="47" spans="1:2">
      <c r="A47" s="77"/>
      <c r="B47" s="77"/>
    </row>
  </sheetData>
  <mergeCells count="49">
    <mergeCell ref="A1:K1"/>
    <mergeCell ref="A6:J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20:K20"/>
    <mergeCell ref="J21:K21"/>
    <mergeCell ref="J22:K22"/>
    <mergeCell ref="D23:H23"/>
    <mergeCell ref="A24:H24"/>
    <mergeCell ref="A25:K25"/>
    <mergeCell ref="A26:E26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A38:D38"/>
    <mergeCell ref="A39:B39"/>
    <mergeCell ref="F39:K39"/>
    <mergeCell ref="A40:B40"/>
    <mergeCell ref="F40:K40"/>
    <mergeCell ref="A41:B41"/>
    <mergeCell ref="F41:K41"/>
    <mergeCell ref="A42:B42"/>
    <mergeCell ref="F42:K42"/>
    <mergeCell ref="A43:B43"/>
    <mergeCell ref="F43:K43"/>
    <mergeCell ref="A44:B44"/>
    <mergeCell ref="F44:K44"/>
    <mergeCell ref="A45:B45"/>
    <mergeCell ref="A46:B46"/>
    <mergeCell ref="A47:B47"/>
  </mergeCells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47"/>
  <sheetViews>
    <sheetView topLeftCell="A7" workbookViewId="0">
      <selection activeCell="D39" sqref="D39:D44"/>
    </sheetView>
  </sheetViews>
  <sheetFormatPr defaultColWidth="9" defaultRowHeight="13.5"/>
  <cols>
    <col min="1" max="1" width="3.125" customWidth="1"/>
    <col min="2" max="2" width="17.125" customWidth="1"/>
    <col min="3" max="3" width="9.875" customWidth="1"/>
    <col min="4" max="4" width="11" customWidth="1"/>
    <col min="5" max="11" width="12.25" customWidth="1"/>
    <col min="12" max="12" width="5.875" customWidth="1"/>
  </cols>
  <sheetData>
    <row r="1" ht="36" customHeight="1" spans="1:11">
      <c r="A1" s="58" t="s">
        <v>478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customHeight="1" spans="1:11">
      <c r="A2" s="59" t="s">
        <v>29</v>
      </c>
      <c r="B2" s="59" t="s">
        <v>151</v>
      </c>
      <c r="C2" s="59" t="s">
        <v>152</v>
      </c>
      <c r="D2" s="59" t="s">
        <v>153</v>
      </c>
      <c r="E2" s="59" t="s">
        <v>154</v>
      </c>
      <c r="F2" s="59" t="s">
        <v>155</v>
      </c>
      <c r="G2" s="59" t="s">
        <v>156</v>
      </c>
      <c r="H2" s="59" t="s">
        <v>157</v>
      </c>
      <c r="I2" s="59" t="s">
        <v>158</v>
      </c>
      <c r="J2" s="59" t="s">
        <v>159</v>
      </c>
      <c r="K2" s="59" t="s">
        <v>160</v>
      </c>
    </row>
    <row r="3" customHeight="1" spans="1:11">
      <c r="A3" s="59">
        <v>1</v>
      </c>
      <c r="B3" s="59" t="s">
        <v>460</v>
      </c>
      <c r="C3" s="59"/>
      <c r="D3" s="59" t="s">
        <v>313</v>
      </c>
      <c r="E3" s="60">
        <v>6.1</v>
      </c>
      <c r="F3" s="60">
        <v>1.21</v>
      </c>
      <c r="G3" s="60">
        <f>E3*F3</f>
        <v>7.381</v>
      </c>
      <c r="H3" s="60">
        <v>1.21</v>
      </c>
      <c r="I3" s="60">
        <f>F3-H3</f>
        <v>0</v>
      </c>
      <c r="J3" s="60">
        <f>I3*1.1</f>
        <v>0</v>
      </c>
      <c r="K3" s="60">
        <f>G3-J3</f>
        <v>7.381</v>
      </c>
    </row>
    <row r="4" customHeight="1" spans="1:11">
      <c r="A4" s="59">
        <v>2</v>
      </c>
      <c r="B4" s="59" t="s">
        <v>461</v>
      </c>
      <c r="C4" s="59"/>
      <c r="D4" s="59" t="s">
        <v>313</v>
      </c>
      <c r="E4" s="60">
        <v>6.1</v>
      </c>
      <c r="F4" s="60">
        <v>0.55</v>
      </c>
      <c r="G4" s="60">
        <f>E4*F4</f>
        <v>3.355</v>
      </c>
      <c r="H4" s="60">
        <v>0.55</v>
      </c>
      <c r="I4" s="60">
        <f>F4-H4</f>
        <v>0</v>
      </c>
      <c r="J4" s="60">
        <f>I4*1.1</f>
        <v>0</v>
      </c>
      <c r="K4" s="60">
        <f>G4-J4</f>
        <v>3.355</v>
      </c>
    </row>
    <row r="5" customHeight="1" spans="1:11">
      <c r="A5" s="59">
        <v>3</v>
      </c>
      <c r="B5" s="59"/>
      <c r="C5" s="59"/>
      <c r="D5" s="59"/>
      <c r="E5" s="60"/>
      <c r="F5" s="60"/>
      <c r="G5" s="60"/>
      <c r="H5" s="60"/>
      <c r="I5" s="60">
        <f>F5-H5</f>
        <v>0</v>
      </c>
      <c r="J5" s="60">
        <f>I5*1.1</f>
        <v>0</v>
      </c>
      <c r="K5" s="60">
        <f>G5-J5</f>
        <v>0</v>
      </c>
    </row>
    <row r="6" customHeight="1" spans="1:11">
      <c r="A6" s="61" t="s">
        <v>182</v>
      </c>
      <c r="B6" s="62"/>
      <c r="C6" s="62"/>
      <c r="D6" s="62"/>
      <c r="E6" s="62"/>
      <c r="F6" s="62"/>
      <c r="G6" s="62"/>
      <c r="H6" s="62"/>
      <c r="I6" s="62"/>
      <c r="J6" s="63"/>
      <c r="K6" s="60">
        <f>SUM(K3:K5)</f>
        <v>10.736</v>
      </c>
    </row>
    <row r="7" customHeight="1" spans="1:11">
      <c r="A7" s="59" t="s">
        <v>29</v>
      </c>
      <c r="B7" s="59" t="s">
        <v>151</v>
      </c>
      <c r="C7" s="59" t="s">
        <v>152</v>
      </c>
      <c r="D7" s="59" t="s">
        <v>166</v>
      </c>
      <c r="E7" s="59" t="s">
        <v>167</v>
      </c>
      <c r="F7" s="59" t="s">
        <v>168</v>
      </c>
      <c r="G7" s="59" t="s">
        <v>169</v>
      </c>
      <c r="H7" s="59" t="s">
        <v>170</v>
      </c>
      <c r="I7" s="59" t="s">
        <v>171</v>
      </c>
      <c r="J7" s="61" t="s">
        <v>107</v>
      </c>
      <c r="K7" s="63"/>
    </row>
    <row r="8" customHeight="1" spans="1:11">
      <c r="A8" s="59">
        <v>1</v>
      </c>
      <c r="B8" s="59"/>
      <c r="C8" s="59"/>
      <c r="D8" s="59"/>
      <c r="E8" s="59" t="s">
        <v>260</v>
      </c>
      <c r="F8" s="59" t="s">
        <v>261</v>
      </c>
      <c r="G8" s="59"/>
      <c r="H8" s="59" t="s">
        <v>262</v>
      </c>
      <c r="I8" s="59"/>
      <c r="J8" s="61"/>
      <c r="K8" s="63"/>
    </row>
    <row r="9" customHeight="1" spans="1:11">
      <c r="A9" s="59">
        <v>2</v>
      </c>
      <c r="B9" s="59"/>
      <c r="C9" s="59"/>
      <c r="D9" s="59"/>
      <c r="E9" s="59" t="s">
        <v>260</v>
      </c>
      <c r="F9" s="59" t="s">
        <v>264</v>
      </c>
      <c r="G9" s="59"/>
      <c r="H9" s="59" t="s">
        <v>265</v>
      </c>
      <c r="I9" s="59"/>
      <c r="J9" s="61"/>
      <c r="K9" s="63"/>
    </row>
    <row r="10" customHeight="1" spans="1:11">
      <c r="A10" s="59">
        <v>7</v>
      </c>
      <c r="B10" s="59"/>
      <c r="C10" s="59"/>
      <c r="D10" s="59"/>
      <c r="E10" s="59" t="s">
        <v>270</v>
      </c>
      <c r="F10" s="59" t="s">
        <v>276</v>
      </c>
      <c r="G10" s="59"/>
      <c r="H10" s="59">
        <v>0.08</v>
      </c>
      <c r="I10" s="59">
        <f t="shared" ref="I10:I12" si="0">G10*H10</f>
        <v>0</v>
      </c>
      <c r="J10" s="61"/>
      <c r="K10" s="63"/>
    </row>
    <row r="11" customHeight="1" spans="1:11">
      <c r="A11" s="59">
        <v>8</v>
      </c>
      <c r="B11" s="59"/>
      <c r="C11" s="59"/>
      <c r="D11" s="59"/>
      <c r="E11" s="59" t="s">
        <v>270</v>
      </c>
      <c r="F11" s="59" t="s">
        <v>277</v>
      </c>
      <c r="G11" s="59"/>
      <c r="H11" s="59">
        <v>0.08</v>
      </c>
      <c r="I11" s="59">
        <f t="shared" si="0"/>
        <v>0</v>
      </c>
      <c r="J11" s="61"/>
      <c r="K11" s="63"/>
    </row>
    <row r="12" customHeight="1" spans="1:11">
      <c r="A12" s="59">
        <v>9</v>
      </c>
      <c r="B12" s="59"/>
      <c r="C12" s="59"/>
      <c r="D12" s="59"/>
      <c r="E12" s="59" t="s">
        <v>270</v>
      </c>
      <c r="F12" s="59" t="s">
        <v>278</v>
      </c>
      <c r="G12" s="59"/>
      <c r="H12" s="59">
        <v>0.05</v>
      </c>
      <c r="I12" s="59">
        <f t="shared" si="0"/>
        <v>0</v>
      </c>
      <c r="J12" s="61"/>
      <c r="K12" s="63"/>
    </row>
    <row r="13" customHeight="1" spans="1:11">
      <c r="A13" s="59">
        <v>10</v>
      </c>
      <c r="B13" s="59">
        <v>1.2</v>
      </c>
      <c r="C13" s="59"/>
      <c r="D13" s="59" t="s">
        <v>279</v>
      </c>
      <c r="E13" s="59"/>
      <c r="F13" s="59"/>
      <c r="G13" s="59"/>
      <c r="H13" s="59">
        <v>0.08</v>
      </c>
      <c r="I13" s="59">
        <v>0.13</v>
      </c>
      <c r="J13" s="61" t="s">
        <v>280</v>
      </c>
      <c r="K13" s="63"/>
    </row>
    <row r="14" customHeight="1" spans="1:11">
      <c r="A14" s="59">
        <v>11</v>
      </c>
      <c r="B14" s="59" t="s">
        <v>415</v>
      </c>
      <c r="C14" s="59"/>
      <c r="D14" s="59" t="s">
        <v>174</v>
      </c>
      <c r="E14" s="59"/>
      <c r="F14" s="59"/>
      <c r="G14" s="59">
        <v>3</v>
      </c>
      <c r="H14" s="59">
        <v>0.08</v>
      </c>
      <c r="I14" s="59">
        <f t="shared" ref="I14:I20" si="1">G14*H14</f>
        <v>0.24</v>
      </c>
      <c r="J14" s="61"/>
      <c r="K14" s="63"/>
    </row>
    <row r="15" customHeight="1" spans="1:11">
      <c r="A15" s="59">
        <v>12</v>
      </c>
      <c r="B15" s="59">
        <v>2</v>
      </c>
      <c r="C15" s="59"/>
      <c r="D15" s="59" t="s">
        <v>462</v>
      </c>
      <c r="E15" s="59"/>
      <c r="F15" s="59"/>
      <c r="G15" s="59"/>
      <c r="H15" s="59">
        <v>0.08</v>
      </c>
      <c r="I15" s="59">
        <f t="shared" si="1"/>
        <v>0</v>
      </c>
      <c r="J15" s="61"/>
      <c r="K15" s="63"/>
    </row>
    <row r="16" customHeight="1" spans="1:11">
      <c r="A16" s="59">
        <v>13</v>
      </c>
      <c r="B16" s="59"/>
      <c r="C16" s="59"/>
      <c r="D16" s="59" t="s">
        <v>245</v>
      </c>
      <c r="E16" s="59"/>
      <c r="F16" s="59"/>
      <c r="G16" s="59"/>
      <c r="H16" s="59">
        <v>0.08</v>
      </c>
      <c r="I16" s="59">
        <f t="shared" si="1"/>
        <v>0</v>
      </c>
      <c r="J16" s="61"/>
      <c r="K16" s="63"/>
    </row>
    <row r="17" customHeight="1" spans="1:11">
      <c r="A17" s="59">
        <v>14</v>
      </c>
      <c r="B17" s="59"/>
      <c r="C17" s="59"/>
      <c r="D17" s="59" t="s">
        <v>283</v>
      </c>
      <c r="E17" s="59"/>
      <c r="F17" s="59"/>
      <c r="G17" s="59"/>
      <c r="H17" s="59">
        <v>0.08</v>
      </c>
      <c r="I17" s="59">
        <f t="shared" si="1"/>
        <v>0</v>
      </c>
      <c r="J17" s="61"/>
      <c r="K17" s="63"/>
    </row>
    <row r="18" customHeight="1" spans="1:11">
      <c r="A18" s="59">
        <v>15</v>
      </c>
      <c r="B18" s="59"/>
      <c r="C18" s="59"/>
      <c r="D18" s="59" t="s">
        <v>419</v>
      </c>
      <c r="E18" s="59"/>
      <c r="F18" s="59"/>
      <c r="G18" s="59"/>
      <c r="H18" s="59">
        <v>0.08</v>
      </c>
      <c r="I18" s="59">
        <f t="shared" si="1"/>
        <v>0</v>
      </c>
      <c r="J18" s="61"/>
      <c r="K18" s="63"/>
    </row>
    <row r="19" customHeight="1" spans="1:11">
      <c r="A19" s="59">
        <v>16</v>
      </c>
      <c r="B19" s="59"/>
      <c r="C19" s="59"/>
      <c r="D19" s="59" t="s">
        <v>275</v>
      </c>
      <c r="E19" s="59"/>
      <c r="F19" s="59"/>
      <c r="G19" s="59"/>
      <c r="H19" s="59">
        <v>0.08</v>
      </c>
      <c r="I19" s="59">
        <f t="shared" si="1"/>
        <v>0</v>
      </c>
      <c r="J19" s="61"/>
      <c r="K19" s="63"/>
    </row>
    <row r="20" customHeight="1" spans="1:11">
      <c r="A20" s="59">
        <v>17</v>
      </c>
      <c r="B20" s="59"/>
      <c r="C20" s="59"/>
      <c r="D20" s="59" t="s">
        <v>285</v>
      </c>
      <c r="E20" s="59"/>
      <c r="F20" s="59"/>
      <c r="G20" s="59"/>
      <c r="H20" s="59">
        <v>0.08</v>
      </c>
      <c r="I20" s="59">
        <f t="shared" si="1"/>
        <v>0</v>
      </c>
      <c r="J20" s="61"/>
      <c r="K20" s="63"/>
    </row>
    <row r="21" customHeight="1" spans="1:11">
      <c r="A21" s="59">
        <v>18</v>
      </c>
      <c r="B21" s="59"/>
      <c r="C21" s="59"/>
      <c r="D21" s="59" t="s">
        <v>463</v>
      </c>
      <c r="E21" s="59"/>
      <c r="F21" s="59"/>
      <c r="G21" s="59"/>
      <c r="H21" s="59">
        <v>0.08</v>
      </c>
      <c r="I21" s="59">
        <v>0.38</v>
      </c>
      <c r="J21" s="61"/>
      <c r="K21" s="63"/>
    </row>
    <row r="22" customHeight="1" spans="1:11">
      <c r="A22" s="59">
        <v>19</v>
      </c>
      <c r="B22" s="59"/>
      <c r="C22" s="59"/>
      <c r="D22" s="59" t="s">
        <v>287</v>
      </c>
      <c r="E22" s="59" t="s">
        <v>464</v>
      </c>
      <c r="F22" s="59"/>
      <c r="G22" s="59"/>
      <c r="H22" s="59"/>
      <c r="I22" s="59">
        <v>0.4</v>
      </c>
      <c r="J22" s="61" t="s">
        <v>288</v>
      </c>
      <c r="K22" s="63"/>
    </row>
    <row r="23" customHeight="1" spans="1:11">
      <c r="A23" s="59"/>
      <c r="B23" s="59"/>
      <c r="C23" s="59"/>
      <c r="D23" s="61"/>
      <c r="E23" s="62"/>
      <c r="F23" s="62"/>
      <c r="G23" s="62"/>
      <c r="H23" s="63"/>
      <c r="I23" s="59"/>
      <c r="J23" s="61"/>
      <c r="K23" s="63"/>
    </row>
    <row r="24" customHeight="1" spans="1:11">
      <c r="A24" s="61" t="s">
        <v>182</v>
      </c>
      <c r="B24" s="62"/>
      <c r="C24" s="62"/>
      <c r="D24" s="62"/>
      <c r="E24" s="62"/>
      <c r="F24" s="62"/>
      <c r="G24" s="62"/>
      <c r="H24" s="63"/>
      <c r="I24" s="59">
        <f>SUM(I8:I23)</f>
        <v>1.15</v>
      </c>
      <c r="J24" s="59"/>
      <c r="K24" s="59"/>
    </row>
    <row r="25" customHeight="1" spans="1:11">
      <c r="A25" s="61"/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customHeight="1" spans="1:11">
      <c r="A26" s="61" t="s">
        <v>183</v>
      </c>
      <c r="B26" s="62"/>
      <c r="C26" s="62"/>
      <c r="D26" s="62"/>
      <c r="E26" s="63"/>
      <c r="F26" s="59" t="s">
        <v>184</v>
      </c>
      <c r="G26" s="59"/>
      <c r="H26" s="59" t="s">
        <v>185</v>
      </c>
      <c r="I26" s="59" t="s">
        <v>186</v>
      </c>
      <c r="J26" s="59" t="s">
        <v>187</v>
      </c>
      <c r="K26" s="63" t="s">
        <v>107</v>
      </c>
    </row>
    <row r="27" customHeight="1" spans="1:11">
      <c r="A27" s="59" t="s">
        <v>29</v>
      </c>
      <c r="B27" s="59" t="s">
        <v>190</v>
      </c>
      <c r="C27" s="59" t="s">
        <v>191</v>
      </c>
      <c r="D27" s="59" t="s">
        <v>192</v>
      </c>
      <c r="E27" s="59" t="s">
        <v>171</v>
      </c>
      <c r="F27" s="59"/>
      <c r="G27" s="59"/>
      <c r="H27" s="59"/>
      <c r="I27" s="59">
        <v>0.05</v>
      </c>
      <c r="J27" s="78">
        <f t="shared" ref="J27:J31" si="2">I27*H27</f>
        <v>0</v>
      </c>
      <c r="K27" s="59"/>
    </row>
    <row r="28" customHeight="1" spans="1:11">
      <c r="A28" s="64">
        <v>1</v>
      </c>
      <c r="B28" s="59" t="s">
        <v>465</v>
      </c>
      <c r="C28" s="59">
        <v>1</v>
      </c>
      <c r="D28" s="59">
        <v>4.5</v>
      </c>
      <c r="E28" s="59">
        <f t="shared" ref="E28:E37" si="3">D28*C28</f>
        <v>4.5</v>
      </c>
      <c r="F28" s="61"/>
      <c r="G28" s="63"/>
      <c r="H28" s="59"/>
      <c r="I28" s="59">
        <v>0.05</v>
      </c>
      <c r="J28" s="78">
        <f t="shared" si="2"/>
        <v>0</v>
      </c>
      <c r="K28" s="59"/>
    </row>
    <row r="29" customHeight="1" spans="1:11">
      <c r="A29" s="64">
        <v>2</v>
      </c>
      <c r="B29" s="59" t="s">
        <v>466</v>
      </c>
      <c r="C29" s="59">
        <v>1</v>
      </c>
      <c r="D29" s="59">
        <v>0.7</v>
      </c>
      <c r="E29" s="59">
        <f t="shared" si="3"/>
        <v>0.7</v>
      </c>
      <c r="F29" s="61"/>
      <c r="G29" s="63"/>
      <c r="H29" s="59"/>
      <c r="I29" s="59">
        <v>0.05</v>
      </c>
      <c r="J29" s="78">
        <f t="shared" si="2"/>
        <v>0</v>
      </c>
      <c r="K29" s="59"/>
    </row>
    <row r="30" customHeight="1" spans="1:11">
      <c r="A30" s="64">
        <v>3</v>
      </c>
      <c r="B30" s="59" t="s">
        <v>467</v>
      </c>
      <c r="C30" s="59">
        <v>1</v>
      </c>
      <c r="D30" s="59">
        <v>0.9</v>
      </c>
      <c r="E30" s="59">
        <f t="shared" si="3"/>
        <v>0.9</v>
      </c>
      <c r="F30" s="61" t="s">
        <v>291</v>
      </c>
      <c r="G30" s="63"/>
      <c r="H30" s="59">
        <v>92</v>
      </c>
      <c r="I30" s="59">
        <v>0.05</v>
      </c>
      <c r="J30" s="78">
        <f t="shared" si="2"/>
        <v>4.6</v>
      </c>
      <c r="K30" s="59"/>
    </row>
    <row r="31" customHeight="1" spans="1:11">
      <c r="A31" s="64">
        <v>4</v>
      </c>
      <c r="B31" s="59" t="s">
        <v>468</v>
      </c>
      <c r="C31" s="59">
        <v>1</v>
      </c>
      <c r="D31" s="59">
        <v>3.5</v>
      </c>
      <c r="E31" s="59">
        <f t="shared" si="3"/>
        <v>3.5</v>
      </c>
      <c r="F31" s="61"/>
      <c r="G31" s="63"/>
      <c r="H31" s="59"/>
      <c r="I31" s="59">
        <v>0.06</v>
      </c>
      <c r="J31" s="78">
        <f t="shared" si="2"/>
        <v>0</v>
      </c>
      <c r="K31" s="59"/>
    </row>
    <row r="32" customHeight="1" spans="1:11">
      <c r="A32" s="64">
        <v>5</v>
      </c>
      <c r="B32" s="59" t="s">
        <v>469</v>
      </c>
      <c r="C32" s="59">
        <v>1</v>
      </c>
      <c r="D32" s="65">
        <v>0.2</v>
      </c>
      <c r="E32" s="65">
        <f t="shared" si="3"/>
        <v>0.2</v>
      </c>
      <c r="F32" s="61"/>
      <c r="G32" s="63"/>
      <c r="H32" s="59"/>
      <c r="I32" s="59"/>
      <c r="J32" s="78"/>
      <c r="K32" s="59"/>
    </row>
    <row r="33" customHeight="1" spans="1:11">
      <c r="A33" s="64">
        <v>6</v>
      </c>
      <c r="B33" s="59" t="s">
        <v>293</v>
      </c>
      <c r="C33" s="59">
        <v>5</v>
      </c>
      <c r="D33" s="59">
        <v>0.75</v>
      </c>
      <c r="E33" s="59">
        <f t="shared" si="3"/>
        <v>3.75</v>
      </c>
      <c r="F33" s="61" t="s">
        <v>182</v>
      </c>
      <c r="G33" s="63"/>
      <c r="H33" s="59"/>
      <c r="I33" s="59"/>
      <c r="J33" s="78">
        <f>SUM(J27:J32)</f>
        <v>4.6</v>
      </c>
      <c r="K33" s="59"/>
    </row>
    <row r="34" customHeight="1" spans="1:11">
      <c r="A34" s="64">
        <v>7</v>
      </c>
      <c r="B34" s="59" t="s">
        <v>470</v>
      </c>
      <c r="C34" s="59">
        <v>2</v>
      </c>
      <c r="D34" s="59">
        <v>0.1</v>
      </c>
      <c r="E34" s="59">
        <f t="shared" si="3"/>
        <v>0.2</v>
      </c>
      <c r="F34" s="61" t="s">
        <v>219</v>
      </c>
      <c r="G34" s="63"/>
      <c r="H34" s="66" t="s">
        <v>301</v>
      </c>
      <c r="I34" s="59" t="s">
        <v>430</v>
      </c>
      <c r="J34" s="73" t="s">
        <v>187</v>
      </c>
      <c r="K34" s="59" t="s">
        <v>107</v>
      </c>
    </row>
    <row r="35" customHeight="1" spans="1:11">
      <c r="A35" s="64">
        <v>8</v>
      </c>
      <c r="B35" s="59" t="s">
        <v>479</v>
      </c>
      <c r="C35" s="59">
        <v>1</v>
      </c>
      <c r="D35" s="59">
        <v>1.8</v>
      </c>
      <c r="E35" s="59">
        <f t="shared" si="3"/>
        <v>1.8</v>
      </c>
      <c r="F35" s="61" t="s">
        <v>226</v>
      </c>
      <c r="G35" s="63"/>
      <c r="H35" s="59">
        <v>12</v>
      </c>
      <c r="I35" s="59">
        <v>0.27</v>
      </c>
      <c r="J35" s="59">
        <f>I35*H35</f>
        <v>3.24</v>
      </c>
      <c r="K35" s="59"/>
    </row>
    <row r="36" customHeight="1" spans="1:11">
      <c r="A36" s="64">
        <v>9</v>
      </c>
      <c r="B36" s="59" t="s">
        <v>480</v>
      </c>
      <c r="C36" s="59">
        <v>1</v>
      </c>
      <c r="D36" s="59">
        <v>0.75</v>
      </c>
      <c r="E36" s="59">
        <f t="shared" si="3"/>
        <v>0.75</v>
      </c>
      <c r="F36" s="61"/>
      <c r="G36" s="63"/>
      <c r="H36" s="67"/>
      <c r="I36" s="59"/>
      <c r="J36" s="59"/>
      <c r="K36" s="59"/>
    </row>
    <row r="37" customHeight="1" spans="1:11">
      <c r="A37" s="64"/>
      <c r="B37" s="59" t="s">
        <v>203</v>
      </c>
      <c r="C37" s="59">
        <v>10</v>
      </c>
      <c r="D37" s="59">
        <v>0.15</v>
      </c>
      <c r="E37" s="59">
        <f t="shared" si="3"/>
        <v>1.5</v>
      </c>
      <c r="F37" s="68"/>
      <c r="G37" s="69"/>
      <c r="H37" s="59"/>
      <c r="I37" s="59"/>
      <c r="J37" s="59"/>
      <c r="K37" s="59"/>
    </row>
    <row r="38" customHeight="1" spans="1:5">
      <c r="A38" s="68" t="s">
        <v>182</v>
      </c>
      <c r="B38" s="70"/>
      <c r="C38" s="70"/>
      <c r="D38" s="69"/>
      <c r="E38" s="71">
        <f>SUM(E28:E37)</f>
        <v>17.8</v>
      </c>
    </row>
    <row r="39" customHeight="1" spans="1:11">
      <c r="A39" s="72" t="s">
        <v>227</v>
      </c>
      <c r="B39" s="72"/>
      <c r="C39" s="72" t="s">
        <v>208</v>
      </c>
      <c r="E39" s="73" t="s">
        <v>228</v>
      </c>
      <c r="F39" s="74">
        <f>C44+C43+C42+C41+C40</f>
        <v>38.2735</v>
      </c>
      <c r="G39" s="74"/>
      <c r="H39" s="74"/>
      <c r="I39" s="74"/>
      <c r="J39" s="74"/>
      <c r="K39" s="74"/>
    </row>
    <row r="40" customHeight="1" spans="1:11">
      <c r="A40" s="64" t="s">
        <v>231</v>
      </c>
      <c r="B40" s="64"/>
      <c r="C40" s="75">
        <f>K6</f>
        <v>10.736</v>
      </c>
      <c r="E40" s="76" t="s">
        <v>232</v>
      </c>
      <c r="F40" s="74">
        <f>F39*0.03</f>
        <v>1.148205</v>
      </c>
      <c r="G40" s="74"/>
      <c r="H40" s="74"/>
      <c r="I40" s="74"/>
      <c r="J40" s="74"/>
      <c r="K40" s="74"/>
    </row>
    <row r="41" customHeight="1" spans="1:11">
      <c r="A41" s="64" t="s">
        <v>233</v>
      </c>
      <c r="B41" s="64"/>
      <c r="C41" s="75">
        <f>I24*1.13</f>
        <v>1.2995</v>
      </c>
      <c r="E41" s="76" t="s">
        <v>234</v>
      </c>
      <c r="F41" s="74">
        <f>F39*0.06</f>
        <v>2.29641</v>
      </c>
      <c r="G41" s="74"/>
      <c r="H41" s="74"/>
      <c r="I41" s="74"/>
      <c r="J41" s="74"/>
      <c r="K41" s="74"/>
    </row>
    <row r="42" customHeight="1" spans="1:11">
      <c r="A42" s="64" t="s">
        <v>235</v>
      </c>
      <c r="B42" s="64"/>
      <c r="C42" s="75">
        <f>E38</f>
        <v>17.8</v>
      </c>
      <c r="E42" s="76" t="s">
        <v>236</v>
      </c>
      <c r="F42" s="74">
        <f>F39*0.02</f>
        <v>0.76547</v>
      </c>
      <c r="G42" s="74"/>
      <c r="H42" s="74"/>
      <c r="I42" s="74"/>
      <c r="J42" s="74"/>
      <c r="K42" s="74"/>
    </row>
    <row r="43" customHeight="1" spans="1:11">
      <c r="A43" s="64" t="s">
        <v>238</v>
      </c>
      <c r="B43" s="64"/>
      <c r="C43" s="75">
        <f>J33*1.13</f>
        <v>5.198</v>
      </c>
      <c r="E43" s="76" t="s">
        <v>106</v>
      </c>
      <c r="F43" s="74"/>
      <c r="G43" s="74"/>
      <c r="H43" s="74"/>
      <c r="I43" s="74"/>
      <c r="J43" s="74"/>
      <c r="K43" s="74"/>
    </row>
    <row r="44" customHeight="1" spans="1:11">
      <c r="A44" s="64" t="s">
        <v>219</v>
      </c>
      <c r="B44" s="64"/>
      <c r="C44" s="75">
        <f>J35+J37</f>
        <v>3.24</v>
      </c>
      <c r="E44" s="76" t="s">
        <v>239</v>
      </c>
      <c r="F44" s="74">
        <f>F43+F42+F41+F40+F39</f>
        <v>42.483585</v>
      </c>
      <c r="G44" s="74"/>
      <c r="H44" s="74"/>
      <c r="I44" s="74"/>
      <c r="J44" s="74"/>
      <c r="K44" s="74"/>
    </row>
    <row r="45" spans="1:9">
      <c r="A45" s="77"/>
      <c r="B45" s="77"/>
      <c r="I45" t="s">
        <v>471</v>
      </c>
    </row>
    <row r="46" spans="1:2">
      <c r="A46" s="77"/>
      <c r="B46" s="77"/>
    </row>
    <row r="47" spans="1:2">
      <c r="A47" s="77"/>
      <c r="B47" s="77"/>
    </row>
  </sheetData>
  <mergeCells count="49">
    <mergeCell ref="A1:K1"/>
    <mergeCell ref="A6:J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20:K20"/>
    <mergeCell ref="J21:K21"/>
    <mergeCell ref="J22:K22"/>
    <mergeCell ref="D23:H23"/>
    <mergeCell ref="A24:H24"/>
    <mergeCell ref="A25:K25"/>
    <mergeCell ref="A26:E26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A38:D38"/>
    <mergeCell ref="A39:B39"/>
    <mergeCell ref="F39:K39"/>
    <mergeCell ref="A40:B40"/>
    <mergeCell ref="F40:K40"/>
    <mergeCell ref="A41:B41"/>
    <mergeCell ref="F41:K41"/>
    <mergeCell ref="A42:B42"/>
    <mergeCell ref="F42:K42"/>
    <mergeCell ref="A43:B43"/>
    <mergeCell ref="F43:K43"/>
    <mergeCell ref="A44:B44"/>
    <mergeCell ref="F44:K44"/>
    <mergeCell ref="A45:B45"/>
    <mergeCell ref="A46:B46"/>
    <mergeCell ref="A47:B47"/>
  </mergeCells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48"/>
  <sheetViews>
    <sheetView workbookViewId="0">
      <selection activeCell="F43" sqref="F43:K43"/>
    </sheetView>
  </sheetViews>
  <sheetFormatPr defaultColWidth="9" defaultRowHeight="13.5"/>
  <cols>
    <col min="1" max="1" width="3.125" customWidth="1"/>
    <col min="2" max="2" width="12.25" customWidth="1"/>
    <col min="3" max="3" width="9.125" customWidth="1"/>
    <col min="4" max="4" width="7.75" customWidth="1"/>
    <col min="5" max="5" width="6.625" customWidth="1"/>
    <col min="6" max="6" width="7.375" customWidth="1"/>
    <col min="7" max="7" width="7" customWidth="1"/>
    <col min="8" max="8" width="8.125" customWidth="1"/>
    <col min="9" max="9" width="7.75" customWidth="1"/>
    <col min="10" max="10" width="8.875" customWidth="1"/>
    <col min="11" max="11" width="6.5" customWidth="1"/>
    <col min="12" max="12" width="5.875" customWidth="1"/>
  </cols>
  <sheetData>
    <row r="1" ht="36" customHeight="1" spans="1:11">
      <c r="A1" s="58" t="s">
        <v>149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customHeight="1" spans="1:11">
      <c r="A2" s="59" t="s">
        <v>29</v>
      </c>
      <c r="B2" s="59" t="s">
        <v>151</v>
      </c>
      <c r="C2" s="59" t="s">
        <v>152</v>
      </c>
      <c r="D2" s="59" t="s">
        <v>153</v>
      </c>
      <c r="E2" s="59" t="s">
        <v>154</v>
      </c>
      <c r="F2" s="59" t="s">
        <v>155</v>
      </c>
      <c r="G2" s="59" t="s">
        <v>156</v>
      </c>
      <c r="H2" s="59" t="s">
        <v>157</v>
      </c>
      <c r="I2" s="59" t="s">
        <v>158</v>
      </c>
      <c r="J2" s="59" t="s">
        <v>159</v>
      </c>
      <c r="K2" s="59" t="s">
        <v>160</v>
      </c>
    </row>
    <row r="3" customHeight="1" spans="1:11">
      <c r="A3" s="59">
        <v>1</v>
      </c>
      <c r="B3" s="59" t="s">
        <v>242</v>
      </c>
      <c r="C3" s="59"/>
      <c r="D3" s="59" t="s">
        <v>313</v>
      </c>
      <c r="E3" s="60">
        <v>6.1</v>
      </c>
      <c r="F3" s="60">
        <v>1.3</v>
      </c>
      <c r="G3" s="60">
        <f>E3*F3</f>
        <v>7.93</v>
      </c>
      <c r="H3" s="60">
        <v>1.3</v>
      </c>
      <c r="I3" s="60">
        <f>F3-H3</f>
        <v>0</v>
      </c>
      <c r="J3" s="60">
        <f>I3*1.1</f>
        <v>0</v>
      </c>
      <c r="K3" s="60">
        <f>G3-J3</f>
        <v>7.93</v>
      </c>
    </row>
    <row r="4" customHeight="1" spans="1:11">
      <c r="A4" s="59">
        <v>2</v>
      </c>
      <c r="B4" s="59" t="s">
        <v>481</v>
      </c>
      <c r="C4" s="59"/>
      <c r="D4" s="59" t="s">
        <v>313</v>
      </c>
      <c r="E4" s="60">
        <v>6.1</v>
      </c>
      <c r="F4" s="60">
        <v>1.35</v>
      </c>
      <c r="G4" s="60">
        <f>E4*F4</f>
        <v>8.235</v>
      </c>
      <c r="H4" s="60">
        <v>1.35</v>
      </c>
      <c r="I4" s="60">
        <f>F4-H4</f>
        <v>0</v>
      </c>
      <c r="J4" s="60">
        <f>I4*1.1</f>
        <v>0</v>
      </c>
      <c r="K4" s="60">
        <f>G4-J4</f>
        <v>8.235</v>
      </c>
    </row>
    <row r="5" customHeight="1" spans="1:11">
      <c r="A5" s="59">
        <v>3</v>
      </c>
      <c r="B5" s="59" t="s">
        <v>482</v>
      </c>
      <c r="C5" s="59"/>
      <c r="D5" s="59" t="s">
        <v>483</v>
      </c>
      <c r="E5" s="60">
        <v>6.3</v>
      </c>
      <c r="F5" s="60">
        <v>0.229</v>
      </c>
      <c r="G5" s="60">
        <f>E5*F5</f>
        <v>1.4427</v>
      </c>
      <c r="H5" s="60">
        <v>0.23</v>
      </c>
      <c r="I5" s="60">
        <f>F5-H5</f>
        <v>-0.001</v>
      </c>
      <c r="J5" s="60">
        <f>I5*1.1</f>
        <v>-0.0011</v>
      </c>
      <c r="K5" s="60">
        <f>G5-J5</f>
        <v>1.4438</v>
      </c>
    </row>
    <row r="6" customHeight="1" spans="1:11">
      <c r="A6" s="59">
        <v>4</v>
      </c>
      <c r="B6" s="59"/>
      <c r="C6" s="59"/>
      <c r="D6" s="59"/>
      <c r="E6" s="60"/>
      <c r="F6" s="60"/>
      <c r="G6" s="60"/>
      <c r="H6" s="60"/>
      <c r="I6" s="60">
        <f>F6-H6</f>
        <v>0</v>
      </c>
      <c r="J6" s="60">
        <f>I6*1.1</f>
        <v>0</v>
      </c>
      <c r="K6" s="60">
        <f>G6-J6</f>
        <v>0</v>
      </c>
    </row>
    <row r="7" customHeight="1" spans="1:11">
      <c r="A7" s="61" t="s">
        <v>182</v>
      </c>
      <c r="B7" s="62"/>
      <c r="C7" s="62"/>
      <c r="D7" s="62"/>
      <c r="E7" s="62"/>
      <c r="F7" s="62"/>
      <c r="G7" s="62"/>
      <c r="H7" s="62"/>
      <c r="I7" s="62"/>
      <c r="J7" s="63"/>
      <c r="K7" s="60">
        <f>SUM(K3:K6)</f>
        <v>17.6088</v>
      </c>
    </row>
    <row r="8" customHeight="1" spans="1:11">
      <c r="A8" s="59" t="s">
        <v>29</v>
      </c>
      <c r="B8" s="59" t="s">
        <v>151</v>
      </c>
      <c r="C8" s="59" t="s">
        <v>152</v>
      </c>
      <c r="D8" s="59" t="s">
        <v>166</v>
      </c>
      <c r="E8" s="59" t="s">
        <v>167</v>
      </c>
      <c r="F8" s="59" t="s">
        <v>168</v>
      </c>
      <c r="G8" s="59" t="s">
        <v>169</v>
      </c>
      <c r="H8" s="59" t="s">
        <v>170</v>
      </c>
      <c r="I8" s="59" t="s">
        <v>171</v>
      </c>
      <c r="J8" s="61" t="s">
        <v>107</v>
      </c>
      <c r="K8" s="63"/>
    </row>
    <row r="9" customHeight="1" spans="1:11">
      <c r="A9" s="59">
        <v>1</v>
      </c>
      <c r="B9" s="59"/>
      <c r="C9" s="59"/>
      <c r="D9" s="59"/>
      <c r="E9" s="59" t="s">
        <v>260</v>
      </c>
      <c r="F9" s="59" t="s">
        <v>261</v>
      </c>
      <c r="G9" s="59"/>
      <c r="H9" s="59" t="s">
        <v>262</v>
      </c>
      <c r="I9" s="59"/>
      <c r="J9" s="61"/>
      <c r="K9" s="63"/>
    </row>
    <row r="10" customHeight="1" spans="1:11">
      <c r="A10" s="59">
        <v>2</v>
      </c>
      <c r="B10" s="59"/>
      <c r="C10" s="59"/>
      <c r="D10" s="59"/>
      <c r="E10" s="59" t="s">
        <v>260</v>
      </c>
      <c r="F10" s="59" t="s">
        <v>264</v>
      </c>
      <c r="G10" s="59"/>
      <c r="H10" s="59" t="s">
        <v>265</v>
      </c>
      <c r="I10" s="59"/>
      <c r="J10" s="61"/>
      <c r="K10" s="63"/>
    </row>
    <row r="11" customHeight="1" spans="1:11">
      <c r="A11" s="59">
        <v>7</v>
      </c>
      <c r="B11" s="59"/>
      <c r="C11" s="59"/>
      <c r="D11" s="59"/>
      <c r="E11" s="59" t="s">
        <v>270</v>
      </c>
      <c r="F11" s="59" t="s">
        <v>276</v>
      </c>
      <c r="G11" s="59"/>
      <c r="H11" s="59">
        <v>0.08</v>
      </c>
      <c r="I11" s="59">
        <f t="shared" ref="I11:I13" si="0">G11*H11</f>
        <v>0</v>
      </c>
      <c r="J11" s="61"/>
      <c r="K11" s="63"/>
    </row>
    <row r="12" customHeight="1" spans="1:11">
      <c r="A12" s="59">
        <v>8</v>
      </c>
      <c r="B12" s="59"/>
      <c r="C12" s="59"/>
      <c r="D12" s="59"/>
      <c r="E12" s="59" t="s">
        <v>270</v>
      </c>
      <c r="F12" s="59" t="s">
        <v>277</v>
      </c>
      <c r="G12" s="59"/>
      <c r="H12" s="59">
        <v>0.08</v>
      </c>
      <c r="I12" s="59">
        <f t="shared" si="0"/>
        <v>0</v>
      </c>
      <c r="J12" s="61"/>
      <c r="K12" s="63"/>
    </row>
    <row r="13" customHeight="1" spans="1:11">
      <c r="A13" s="59">
        <v>9</v>
      </c>
      <c r="B13" s="59"/>
      <c r="C13" s="59"/>
      <c r="D13" s="59"/>
      <c r="E13" s="59" t="s">
        <v>270</v>
      </c>
      <c r="F13" s="59" t="s">
        <v>278</v>
      </c>
      <c r="G13" s="59"/>
      <c r="H13" s="59">
        <v>0.05</v>
      </c>
      <c r="I13" s="59">
        <f t="shared" si="0"/>
        <v>0</v>
      </c>
      <c r="J13" s="61"/>
      <c r="K13" s="63"/>
    </row>
    <row r="14" customHeight="1" spans="1:11">
      <c r="A14" s="59">
        <v>10</v>
      </c>
      <c r="B14" s="59" t="s">
        <v>484</v>
      </c>
      <c r="C14" s="59"/>
      <c r="D14" s="59" t="s">
        <v>279</v>
      </c>
      <c r="E14" s="59"/>
      <c r="F14" s="59"/>
      <c r="G14" s="59"/>
      <c r="H14" s="59">
        <v>0.08</v>
      </c>
      <c r="I14" s="59">
        <v>0.13</v>
      </c>
      <c r="J14" s="61" t="s">
        <v>280</v>
      </c>
      <c r="K14" s="63"/>
    </row>
    <row r="15" customHeight="1" spans="1:11">
      <c r="A15" s="59">
        <v>11</v>
      </c>
      <c r="B15" s="59" t="s">
        <v>484</v>
      </c>
      <c r="C15" s="59"/>
      <c r="D15" s="59" t="s">
        <v>174</v>
      </c>
      <c r="E15" s="59"/>
      <c r="F15" s="59"/>
      <c r="G15" s="59">
        <v>3</v>
      </c>
      <c r="H15" s="59">
        <v>0.08</v>
      </c>
      <c r="I15" s="59">
        <f t="shared" ref="I15:I21" si="1">G15*H15</f>
        <v>0.24</v>
      </c>
      <c r="J15" s="61"/>
      <c r="K15" s="63"/>
    </row>
    <row r="16" customHeight="1" spans="1:11">
      <c r="A16" s="59">
        <v>12</v>
      </c>
      <c r="B16" s="59">
        <v>2</v>
      </c>
      <c r="C16" s="59"/>
      <c r="D16" s="59" t="s">
        <v>462</v>
      </c>
      <c r="E16" s="59"/>
      <c r="F16" s="59"/>
      <c r="G16" s="59">
        <v>1</v>
      </c>
      <c r="H16" s="59">
        <v>0.08</v>
      </c>
      <c r="I16" s="59">
        <f t="shared" si="1"/>
        <v>0.08</v>
      </c>
      <c r="J16" s="61"/>
      <c r="K16" s="63"/>
    </row>
    <row r="17" customHeight="1" spans="1:11">
      <c r="A17" s="59">
        <v>13</v>
      </c>
      <c r="B17" s="59"/>
      <c r="C17" s="59"/>
      <c r="D17" s="59" t="s">
        <v>245</v>
      </c>
      <c r="E17" s="59"/>
      <c r="F17" s="59"/>
      <c r="G17" s="59"/>
      <c r="H17" s="59">
        <v>0.08</v>
      </c>
      <c r="I17" s="59">
        <f t="shared" si="1"/>
        <v>0</v>
      </c>
      <c r="J17" s="61"/>
      <c r="K17" s="63"/>
    </row>
    <row r="18" customHeight="1" spans="1:11">
      <c r="A18" s="59">
        <v>14</v>
      </c>
      <c r="B18" s="59"/>
      <c r="C18" s="59"/>
      <c r="D18" s="59" t="s">
        <v>283</v>
      </c>
      <c r="E18" s="59"/>
      <c r="F18" s="59"/>
      <c r="G18" s="59"/>
      <c r="H18" s="59">
        <v>0.08</v>
      </c>
      <c r="I18" s="59">
        <f t="shared" si="1"/>
        <v>0</v>
      </c>
      <c r="J18" s="61"/>
      <c r="K18" s="63"/>
    </row>
    <row r="19" customHeight="1" spans="1:11">
      <c r="A19" s="59">
        <v>15</v>
      </c>
      <c r="B19" s="59"/>
      <c r="C19" s="59"/>
      <c r="D19" s="59" t="s">
        <v>419</v>
      </c>
      <c r="E19" s="59"/>
      <c r="F19" s="59"/>
      <c r="G19" s="59"/>
      <c r="H19" s="59">
        <v>0.08</v>
      </c>
      <c r="I19" s="59">
        <f t="shared" si="1"/>
        <v>0</v>
      </c>
      <c r="J19" s="61"/>
      <c r="K19" s="63"/>
    </row>
    <row r="20" customHeight="1" spans="1:11">
      <c r="A20" s="59">
        <v>16</v>
      </c>
      <c r="B20" s="59"/>
      <c r="C20" s="59"/>
      <c r="D20" s="59" t="s">
        <v>275</v>
      </c>
      <c r="E20" s="59"/>
      <c r="F20" s="59"/>
      <c r="G20" s="59"/>
      <c r="H20" s="59">
        <v>0.08</v>
      </c>
      <c r="I20" s="59">
        <f t="shared" si="1"/>
        <v>0</v>
      </c>
      <c r="J20" s="61"/>
      <c r="K20" s="63"/>
    </row>
    <row r="21" customHeight="1" spans="1:11">
      <c r="A21" s="59">
        <v>17</v>
      </c>
      <c r="B21" s="59"/>
      <c r="C21" s="59"/>
      <c r="D21" s="59" t="s">
        <v>285</v>
      </c>
      <c r="E21" s="59"/>
      <c r="F21" s="59"/>
      <c r="G21" s="59"/>
      <c r="H21" s="59">
        <v>0.08</v>
      </c>
      <c r="I21" s="59">
        <f t="shared" si="1"/>
        <v>0</v>
      </c>
      <c r="J21" s="61"/>
      <c r="K21" s="63"/>
    </row>
    <row r="22" customHeight="1" spans="1:11">
      <c r="A22" s="59">
        <v>18</v>
      </c>
      <c r="B22" s="59"/>
      <c r="C22" s="59"/>
      <c r="D22" s="59" t="s">
        <v>463</v>
      </c>
      <c r="E22" s="59"/>
      <c r="F22" s="59"/>
      <c r="G22" s="59"/>
      <c r="H22" s="59">
        <v>0.08</v>
      </c>
      <c r="I22" s="59">
        <v>0.15</v>
      </c>
      <c r="J22" s="61"/>
      <c r="K22" s="63"/>
    </row>
    <row r="23" customHeight="1" spans="1:11">
      <c r="A23" s="59">
        <v>19</v>
      </c>
      <c r="B23" s="59"/>
      <c r="C23" s="59"/>
      <c r="D23" s="59" t="s">
        <v>287</v>
      </c>
      <c r="E23" s="59" t="s">
        <v>464</v>
      </c>
      <c r="F23" s="59"/>
      <c r="G23" s="59"/>
      <c r="H23" s="59"/>
      <c r="I23" s="59">
        <v>0.4</v>
      </c>
      <c r="J23" s="61" t="s">
        <v>288</v>
      </c>
      <c r="K23" s="63"/>
    </row>
    <row r="24" customHeight="1" spans="1:11">
      <c r="A24" s="59"/>
      <c r="B24" s="59"/>
      <c r="C24" s="59"/>
      <c r="D24" s="61"/>
      <c r="E24" s="62"/>
      <c r="F24" s="62"/>
      <c r="G24" s="62"/>
      <c r="H24" s="63"/>
      <c r="I24" s="59"/>
      <c r="J24" s="61"/>
      <c r="K24" s="63"/>
    </row>
    <row r="25" customHeight="1" spans="1:11">
      <c r="A25" s="61" t="s">
        <v>182</v>
      </c>
      <c r="B25" s="62"/>
      <c r="C25" s="62"/>
      <c r="D25" s="62"/>
      <c r="E25" s="62"/>
      <c r="F25" s="62"/>
      <c r="G25" s="62"/>
      <c r="H25" s="63"/>
      <c r="I25" s="59">
        <f>SUM(I9:I24)</f>
        <v>1</v>
      </c>
      <c r="J25" s="59"/>
      <c r="K25" s="59"/>
    </row>
    <row r="26" customHeight="1" spans="1:11">
      <c r="A26" s="61"/>
      <c r="B26" s="62"/>
      <c r="C26" s="62"/>
      <c r="D26" s="62"/>
      <c r="E26" s="62"/>
      <c r="F26" s="62"/>
      <c r="G26" s="62"/>
      <c r="H26" s="62"/>
      <c r="I26" s="62"/>
      <c r="J26" s="62"/>
      <c r="K26" s="63"/>
    </row>
    <row r="27" customHeight="1" spans="1:11">
      <c r="A27" s="61" t="s">
        <v>183</v>
      </c>
      <c r="B27" s="62"/>
      <c r="C27" s="62"/>
      <c r="D27" s="62"/>
      <c r="E27" s="63"/>
      <c r="F27" s="59" t="s">
        <v>184</v>
      </c>
      <c r="G27" s="59"/>
      <c r="H27" s="59" t="s">
        <v>185</v>
      </c>
      <c r="I27" s="59" t="s">
        <v>186</v>
      </c>
      <c r="J27" s="59" t="s">
        <v>187</v>
      </c>
      <c r="K27" s="63" t="s">
        <v>107</v>
      </c>
    </row>
    <row r="28" customHeight="1" spans="1:11">
      <c r="A28" s="59" t="s">
        <v>29</v>
      </c>
      <c r="B28" s="59" t="s">
        <v>190</v>
      </c>
      <c r="C28" s="59" t="s">
        <v>191</v>
      </c>
      <c r="D28" s="59" t="s">
        <v>192</v>
      </c>
      <c r="E28" s="59" t="s">
        <v>171</v>
      </c>
      <c r="F28" s="59"/>
      <c r="G28" s="59"/>
      <c r="H28" s="59"/>
      <c r="I28" s="59">
        <v>0.05</v>
      </c>
      <c r="J28" s="78">
        <f t="shared" ref="J28:J32" si="2">I28*H28</f>
        <v>0</v>
      </c>
      <c r="K28" s="59"/>
    </row>
    <row r="29" customHeight="1" spans="1:11">
      <c r="A29" s="64">
        <v>1</v>
      </c>
      <c r="B29" s="59" t="s">
        <v>474</v>
      </c>
      <c r="C29" s="59">
        <v>1</v>
      </c>
      <c r="D29" s="59">
        <v>4.5</v>
      </c>
      <c r="E29" s="59">
        <f t="shared" ref="E29:E37" si="3">D29*C29</f>
        <v>4.5</v>
      </c>
      <c r="F29" s="61"/>
      <c r="G29" s="63"/>
      <c r="H29" s="59"/>
      <c r="I29" s="59">
        <v>0.05</v>
      </c>
      <c r="J29" s="78">
        <f t="shared" si="2"/>
        <v>0</v>
      </c>
      <c r="K29" s="59"/>
    </row>
    <row r="30" customHeight="1" spans="1:11">
      <c r="A30" s="64">
        <v>2</v>
      </c>
      <c r="B30" s="59" t="s">
        <v>250</v>
      </c>
      <c r="C30" s="59">
        <v>1</v>
      </c>
      <c r="D30" s="59">
        <v>2.15</v>
      </c>
      <c r="E30" s="59">
        <f t="shared" si="3"/>
        <v>2.15</v>
      </c>
      <c r="F30" s="61"/>
      <c r="G30" s="63"/>
      <c r="H30" s="59"/>
      <c r="I30" s="59">
        <v>0.05</v>
      </c>
      <c r="J30" s="78">
        <f t="shared" si="2"/>
        <v>0</v>
      </c>
      <c r="K30" s="59"/>
    </row>
    <row r="31" customHeight="1" spans="1:11">
      <c r="A31" s="64">
        <v>3</v>
      </c>
      <c r="B31" s="59" t="s">
        <v>485</v>
      </c>
      <c r="C31" s="59">
        <v>1</v>
      </c>
      <c r="D31" s="59">
        <v>1.28</v>
      </c>
      <c r="E31" s="59">
        <f t="shared" si="3"/>
        <v>1.28</v>
      </c>
      <c r="F31" s="61" t="s">
        <v>291</v>
      </c>
      <c r="G31" s="63"/>
      <c r="H31" s="59">
        <v>98</v>
      </c>
      <c r="I31" s="59">
        <v>0.05</v>
      </c>
      <c r="J31" s="78">
        <f t="shared" si="2"/>
        <v>4.9</v>
      </c>
      <c r="K31" s="59"/>
    </row>
    <row r="32" customHeight="1" spans="1:11">
      <c r="A32" s="64">
        <v>4</v>
      </c>
      <c r="B32" s="59" t="s">
        <v>203</v>
      </c>
      <c r="C32" s="59">
        <v>4</v>
      </c>
      <c r="D32" s="59">
        <v>0.15</v>
      </c>
      <c r="E32" s="59">
        <f t="shared" si="3"/>
        <v>0.6</v>
      </c>
      <c r="F32" s="61"/>
      <c r="G32" s="63"/>
      <c r="H32" s="59"/>
      <c r="I32" s="59">
        <v>0.06</v>
      </c>
      <c r="J32" s="78">
        <f t="shared" si="2"/>
        <v>0</v>
      </c>
      <c r="K32" s="59"/>
    </row>
    <row r="33" customHeight="1" spans="1:11">
      <c r="A33" s="64">
        <v>5</v>
      </c>
      <c r="B33" s="59" t="s">
        <v>293</v>
      </c>
      <c r="C33" s="59">
        <v>2</v>
      </c>
      <c r="D33" s="65">
        <v>1</v>
      </c>
      <c r="E33" s="65">
        <f t="shared" si="3"/>
        <v>2</v>
      </c>
      <c r="F33" s="61"/>
      <c r="G33" s="63"/>
      <c r="H33" s="59"/>
      <c r="I33" s="59"/>
      <c r="J33" s="78"/>
      <c r="K33" s="59"/>
    </row>
    <row r="34" customHeight="1" spans="1:11">
      <c r="A34" s="64">
        <v>6</v>
      </c>
      <c r="B34" s="59" t="s">
        <v>486</v>
      </c>
      <c r="C34" s="59">
        <v>2</v>
      </c>
      <c r="D34" s="59">
        <v>0.1</v>
      </c>
      <c r="E34" s="59">
        <f t="shared" si="3"/>
        <v>0.2</v>
      </c>
      <c r="F34" s="61" t="s">
        <v>182</v>
      </c>
      <c r="G34" s="63"/>
      <c r="H34" s="59"/>
      <c r="I34" s="59"/>
      <c r="J34" s="78">
        <f>SUM(J28:J33)</f>
        <v>4.9</v>
      </c>
      <c r="K34" s="59"/>
    </row>
    <row r="35" customHeight="1" spans="1:11">
      <c r="A35" s="64">
        <v>7</v>
      </c>
      <c r="B35" s="59"/>
      <c r="C35" s="59"/>
      <c r="D35" s="59"/>
      <c r="E35" s="59">
        <f t="shared" si="3"/>
        <v>0</v>
      </c>
      <c r="F35" s="61" t="s">
        <v>219</v>
      </c>
      <c r="G35" s="63"/>
      <c r="H35" s="66" t="s">
        <v>301</v>
      </c>
      <c r="I35" s="59" t="s">
        <v>430</v>
      </c>
      <c r="J35" s="73" t="s">
        <v>187</v>
      </c>
      <c r="K35" s="59" t="s">
        <v>107</v>
      </c>
    </row>
    <row r="36" customHeight="1" spans="1:11">
      <c r="A36" s="64">
        <v>8</v>
      </c>
      <c r="B36" s="59"/>
      <c r="C36" s="59"/>
      <c r="D36" s="59"/>
      <c r="E36" s="59">
        <f t="shared" si="3"/>
        <v>0</v>
      </c>
      <c r="F36" s="61" t="s">
        <v>226</v>
      </c>
      <c r="G36" s="63"/>
      <c r="H36" s="59">
        <v>12</v>
      </c>
      <c r="I36" s="59">
        <v>0.26</v>
      </c>
      <c r="J36" s="59">
        <f>I36*H36</f>
        <v>3.12</v>
      </c>
      <c r="K36" s="59"/>
    </row>
    <row r="37" customHeight="1" spans="1:11">
      <c r="A37" s="64">
        <v>9</v>
      </c>
      <c r="B37" s="59"/>
      <c r="C37" s="59"/>
      <c r="D37" s="59"/>
      <c r="E37" s="59">
        <f t="shared" si="3"/>
        <v>0</v>
      </c>
      <c r="F37" s="61"/>
      <c r="G37" s="63"/>
      <c r="H37" s="67"/>
      <c r="I37" s="59"/>
      <c r="J37" s="59"/>
      <c r="K37" s="59"/>
    </row>
    <row r="38" customHeight="1" spans="1:11">
      <c r="A38" s="64"/>
      <c r="B38" s="59"/>
      <c r="C38" s="59"/>
      <c r="D38" s="59"/>
      <c r="E38" s="59"/>
      <c r="F38" s="68"/>
      <c r="G38" s="69"/>
      <c r="H38" s="59"/>
      <c r="I38" s="59"/>
      <c r="J38" s="59"/>
      <c r="K38" s="59"/>
    </row>
    <row r="39" customHeight="1" spans="1:5">
      <c r="A39" s="68" t="s">
        <v>182</v>
      </c>
      <c r="B39" s="70"/>
      <c r="C39" s="70"/>
      <c r="D39" s="69"/>
      <c r="E39" s="71">
        <f>SUM(E29:E38)</f>
        <v>10.73</v>
      </c>
    </row>
    <row r="40" customHeight="1" spans="1:11">
      <c r="A40" s="72" t="s">
        <v>227</v>
      </c>
      <c r="B40" s="72"/>
      <c r="C40" s="72" t="s">
        <v>208</v>
      </c>
      <c r="E40" s="73" t="s">
        <v>228</v>
      </c>
      <c r="F40" s="74">
        <f>C45+C44+C43+C42+C41</f>
        <v>38.1258</v>
      </c>
      <c r="G40" s="74"/>
      <c r="H40" s="74"/>
      <c r="I40" s="74"/>
      <c r="J40" s="74"/>
      <c r="K40" s="74"/>
    </row>
    <row r="41" customHeight="1" spans="1:11">
      <c r="A41" s="64" t="s">
        <v>231</v>
      </c>
      <c r="B41" s="64"/>
      <c r="C41" s="75">
        <f>K7</f>
        <v>17.6088</v>
      </c>
      <c r="E41" s="76" t="s">
        <v>232</v>
      </c>
      <c r="F41" s="74">
        <f>F40*0.03</f>
        <v>1.143774</v>
      </c>
      <c r="G41" s="74"/>
      <c r="H41" s="74"/>
      <c r="I41" s="74"/>
      <c r="J41" s="74"/>
      <c r="K41" s="74"/>
    </row>
    <row r="42" customHeight="1" spans="1:11">
      <c r="A42" s="64" t="s">
        <v>233</v>
      </c>
      <c r="B42" s="64"/>
      <c r="C42" s="75">
        <f>I25*1.13</f>
        <v>1.13</v>
      </c>
      <c r="E42" s="76" t="s">
        <v>234</v>
      </c>
      <c r="F42" s="74">
        <f>F40*0.06</f>
        <v>2.287548</v>
      </c>
      <c r="G42" s="74"/>
      <c r="H42" s="74"/>
      <c r="I42" s="74"/>
      <c r="J42" s="74"/>
      <c r="K42" s="74"/>
    </row>
    <row r="43" customHeight="1" spans="1:11">
      <c r="A43" s="64" t="s">
        <v>235</v>
      </c>
      <c r="B43" s="64"/>
      <c r="C43" s="75">
        <f>E39</f>
        <v>10.73</v>
      </c>
      <c r="E43" s="76" t="s">
        <v>236</v>
      </c>
      <c r="F43" s="74">
        <f>F40*0.02</f>
        <v>0.762516</v>
      </c>
      <c r="G43" s="74"/>
      <c r="H43" s="74"/>
      <c r="I43" s="74"/>
      <c r="J43" s="74"/>
      <c r="K43" s="74"/>
    </row>
    <row r="44" customHeight="1" spans="1:11">
      <c r="A44" s="64" t="s">
        <v>238</v>
      </c>
      <c r="B44" s="64"/>
      <c r="C44" s="75">
        <f>J34*1.13</f>
        <v>5.537</v>
      </c>
      <c r="E44" s="76" t="s">
        <v>106</v>
      </c>
      <c r="F44" s="74"/>
      <c r="G44" s="74"/>
      <c r="H44" s="74"/>
      <c r="I44" s="74"/>
      <c r="J44" s="74"/>
      <c r="K44" s="74"/>
    </row>
    <row r="45" customHeight="1" spans="1:11">
      <c r="A45" s="64" t="s">
        <v>219</v>
      </c>
      <c r="B45" s="64"/>
      <c r="C45" s="75">
        <f>J36+J38</f>
        <v>3.12</v>
      </c>
      <c r="E45" s="76" t="s">
        <v>239</v>
      </c>
      <c r="F45" s="74">
        <f>F44+F43+F42+F41+F40</f>
        <v>42.319638</v>
      </c>
      <c r="G45" s="74"/>
      <c r="H45" s="74"/>
      <c r="I45" s="74"/>
      <c r="J45" s="74"/>
      <c r="K45" s="74"/>
    </row>
    <row r="46" spans="1:9">
      <c r="A46" s="77"/>
      <c r="B46" s="77"/>
      <c r="I46" t="s">
        <v>471</v>
      </c>
    </row>
    <row r="47" spans="1:2">
      <c r="A47" s="77"/>
      <c r="B47" s="77"/>
    </row>
    <row r="48" spans="1:2">
      <c r="A48" s="77"/>
      <c r="B48" s="77"/>
    </row>
  </sheetData>
  <mergeCells count="49">
    <mergeCell ref="A1:K1"/>
    <mergeCell ref="A7:J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1:K21"/>
    <mergeCell ref="J22:K22"/>
    <mergeCell ref="J23:K23"/>
    <mergeCell ref="D24:H24"/>
    <mergeCell ref="A25:H25"/>
    <mergeCell ref="A26:K26"/>
    <mergeCell ref="A27:E27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A39:D39"/>
    <mergeCell ref="A40:B40"/>
    <mergeCell ref="F40:K40"/>
    <mergeCell ref="A41:B41"/>
    <mergeCell ref="F41:K41"/>
    <mergeCell ref="A42:B42"/>
    <mergeCell ref="F42:K42"/>
    <mergeCell ref="A43:B43"/>
    <mergeCell ref="F43:K43"/>
    <mergeCell ref="A44:B44"/>
    <mergeCell ref="F44:K44"/>
    <mergeCell ref="A45:B45"/>
    <mergeCell ref="F45:K45"/>
    <mergeCell ref="A46:B46"/>
    <mergeCell ref="A47:B47"/>
    <mergeCell ref="A48:B48"/>
  </mergeCells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E16" sqref="E16"/>
    </sheetView>
  </sheetViews>
  <sheetFormatPr defaultColWidth="9" defaultRowHeight="13.5"/>
  <cols>
    <col min="2" max="2" width="21.5" customWidth="1"/>
    <col min="3" max="3" width="13.5" customWidth="1"/>
    <col min="8" max="8" width="12.875" customWidth="1"/>
    <col min="10" max="10" width="12.625"/>
  </cols>
  <sheetData>
    <row r="1" ht="20.25" spans="1:9">
      <c r="A1" s="151" t="s">
        <v>29</v>
      </c>
      <c r="B1" s="152" t="s">
        <v>30</v>
      </c>
      <c r="C1" s="153" t="s">
        <v>31</v>
      </c>
      <c r="D1" s="154" t="s">
        <v>2</v>
      </c>
      <c r="E1" s="155" t="s">
        <v>32</v>
      </c>
      <c r="F1" s="156" t="s">
        <v>33</v>
      </c>
      <c r="G1" s="154" t="s">
        <v>34</v>
      </c>
      <c r="H1" s="157" t="s">
        <v>35</v>
      </c>
      <c r="I1" s="179"/>
    </row>
    <row r="2" spans="1:10">
      <c r="A2" s="158">
        <v>1</v>
      </c>
      <c r="B2" s="159" t="s">
        <v>36</v>
      </c>
      <c r="C2" s="160" t="s">
        <v>37</v>
      </c>
      <c r="D2" s="158" t="s">
        <v>38</v>
      </c>
      <c r="E2" s="161">
        <v>26.22</v>
      </c>
      <c r="F2" s="162">
        <v>28.05</v>
      </c>
      <c r="G2" s="158"/>
      <c r="H2" s="163">
        <v>28.05</v>
      </c>
      <c r="I2" s="179"/>
      <c r="J2" s="149">
        <f t="shared" ref="J2:J15" si="0">(H2-E2)/E2</f>
        <v>0.0697940503432495</v>
      </c>
    </row>
    <row r="3" spans="1:10">
      <c r="A3" s="158">
        <v>2</v>
      </c>
      <c r="B3" s="159" t="s">
        <v>39</v>
      </c>
      <c r="C3" s="164" t="s">
        <v>40</v>
      </c>
      <c r="D3" s="158" t="s">
        <v>38</v>
      </c>
      <c r="E3" s="161">
        <v>29.4</v>
      </c>
      <c r="F3" s="162">
        <v>31.44</v>
      </c>
      <c r="G3" s="158"/>
      <c r="H3" s="163">
        <v>31.44</v>
      </c>
      <c r="I3" s="179"/>
      <c r="J3" s="149">
        <f t="shared" si="0"/>
        <v>0.0693877551020409</v>
      </c>
    </row>
    <row r="4" spans="1:10">
      <c r="A4" s="158">
        <v>3</v>
      </c>
      <c r="B4" s="165" t="s">
        <v>41</v>
      </c>
      <c r="C4" s="158" t="s">
        <v>42</v>
      </c>
      <c r="D4" s="158" t="s">
        <v>38</v>
      </c>
      <c r="E4" s="161">
        <v>36.24</v>
      </c>
      <c r="F4" s="162">
        <v>43.15</v>
      </c>
      <c r="G4" s="158"/>
      <c r="H4" s="163">
        <v>41.5</v>
      </c>
      <c r="I4" s="179"/>
      <c r="J4" s="149">
        <f t="shared" si="0"/>
        <v>0.14514348785872</v>
      </c>
    </row>
    <row r="5" spans="1:10">
      <c r="A5" s="158">
        <v>4</v>
      </c>
      <c r="B5" s="159" t="s">
        <v>43</v>
      </c>
      <c r="C5" s="158" t="s">
        <v>44</v>
      </c>
      <c r="D5" s="158" t="s">
        <v>38</v>
      </c>
      <c r="E5" s="161">
        <v>29.7</v>
      </c>
      <c r="F5" s="162">
        <v>33.42</v>
      </c>
      <c r="G5" s="158"/>
      <c r="H5" s="163">
        <v>33.42</v>
      </c>
      <c r="I5" s="179"/>
      <c r="J5" s="149">
        <f t="shared" si="0"/>
        <v>0.125252525252525</v>
      </c>
    </row>
    <row r="6" spans="1:10">
      <c r="A6" s="154">
        <v>5</v>
      </c>
      <c r="B6" s="166" t="s">
        <v>45</v>
      </c>
      <c r="C6" s="154" t="s">
        <v>46</v>
      </c>
      <c r="D6" s="154" t="s">
        <v>38</v>
      </c>
      <c r="E6" s="167">
        <v>38.53</v>
      </c>
      <c r="F6" s="168">
        <v>44.07</v>
      </c>
      <c r="G6" s="154">
        <v>42.62</v>
      </c>
      <c r="H6" s="157" t="s">
        <v>47</v>
      </c>
      <c r="I6" s="179"/>
      <c r="J6" s="149">
        <f>(G6-E6)/E6</f>
        <v>0.10615105112899</v>
      </c>
    </row>
    <row r="7" spans="1:10">
      <c r="A7" s="154">
        <v>6</v>
      </c>
      <c r="B7" s="169" t="s">
        <v>48</v>
      </c>
      <c r="C7" s="154" t="s">
        <v>49</v>
      </c>
      <c r="D7" s="154" t="s">
        <v>38</v>
      </c>
      <c r="E7" s="167">
        <v>7.55</v>
      </c>
      <c r="F7" s="168">
        <v>11.84</v>
      </c>
      <c r="G7" s="154">
        <v>8.46</v>
      </c>
      <c r="H7" s="170">
        <v>9.5</v>
      </c>
      <c r="I7" s="180" t="s">
        <v>50</v>
      </c>
      <c r="J7" s="149">
        <f t="shared" si="0"/>
        <v>0.258278145695364</v>
      </c>
    </row>
    <row r="8" spans="1:10">
      <c r="A8" s="158">
        <v>7</v>
      </c>
      <c r="B8" s="165" t="s">
        <v>51</v>
      </c>
      <c r="C8" s="158" t="s">
        <v>52</v>
      </c>
      <c r="D8" s="158" t="s">
        <v>38</v>
      </c>
      <c r="E8" s="161">
        <v>3.85</v>
      </c>
      <c r="F8" s="162">
        <v>4.75</v>
      </c>
      <c r="G8" s="158"/>
      <c r="H8" s="163">
        <v>4.5</v>
      </c>
      <c r="I8" s="179"/>
      <c r="J8" s="149">
        <f t="shared" si="0"/>
        <v>0.168831168831169</v>
      </c>
    </row>
    <row r="9" spans="1:10">
      <c r="A9" s="158">
        <v>8</v>
      </c>
      <c r="B9" s="159" t="s">
        <v>53</v>
      </c>
      <c r="C9" s="158" t="s">
        <v>54</v>
      </c>
      <c r="D9" s="158" t="s">
        <v>38</v>
      </c>
      <c r="E9" s="161">
        <v>1.5</v>
      </c>
      <c r="F9" s="162">
        <v>1.89</v>
      </c>
      <c r="G9" s="158"/>
      <c r="H9" s="163">
        <v>1.89</v>
      </c>
      <c r="I9" s="179"/>
      <c r="J9" s="149">
        <f t="shared" si="0"/>
        <v>0.26</v>
      </c>
    </row>
    <row r="10" spans="1:10">
      <c r="A10" s="154">
        <v>9</v>
      </c>
      <c r="B10" s="169" t="s">
        <v>55</v>
      </c>
      <c r="C10" s="171" t="s">
        <v>56</v>
      </c>
      <c r="D10" s="154" t="s">
        <v>38</v>
      </c>
      <c r="E10" s="167">
        <v>18.76</v>
      </c>
      <c r="F10" s="168">
        <v>22.5</v>
      </c>
      <c r="G10" s="154">
        <v>20.85</v>
      </c>
      <c r="H10" s="157">
        <v>22.5</v>
      </c>
      <c r="I10" s="180" t="s">
        <v>50</v>
      </c>
      <c r="J10" s="149">
        <f t="shared" si="0"/>
        <v>0.199360341151386</v>
      </c>
    </row>
    <row r="11" spans="1:10">
      <c r="A11" s="154">
        <v>10</v>
      </c>
      <c r="B11" s="169" t="s">
        <v>57</v>
      </c>
      <c r="C11" s="154" t="s">
        <v>58</v>
      </c>
      <c r="D11" s="154" t="s">
        <v>38</v>
      </c>
      <c r="E11" s="167">
        <v>7.53</v>
      </c>
      <c r="F11" s="168">
        <v>10.85</v>
      </c>
      <c r="G11" s="154">
        <v>8.39</v>
      </c>
      <c r="H11" s="157">
        <v>9.5</v>
      </c>
      <c r="I11" s="180"/>
      <c r="J11" s="149">
        <f t="shared" si="0"/>
        <v>0.261620185922975</v>
      </c>
    </row>
    <row r="12" spans="1:10">
      <c r="A12" s="158">
        <v>11</v>
      </c>
      <c r="B12" s="165" t="s">
        <v>59</v>
      </c>
      <c r="C12" s="158" t="s">
        <v>60</v>
      </c>
      <c r="D12" s="158" t="s">
        <v>38</v>
      </c>
      <c r="E12" s="161">
        <v>4.31</v>
      </c>
      <c r="F12" s="162">
        <v>4.82</v>
      </c>
      <c r="G12" s="158"/>
      <c r="H12" s="163">
        <v>4.82</v>
      </c>
      <c r="I12" s="179"/>
      <c r="J12" s="149">
        <f t="shared" si="0"/>
        <v>0.118329466357309</v>
      </c>
    </row>
    <row r="13" spans="1:10">
      <c r="A13" s="154">
        <v>12</v>
      </c>
      <c r="B13" s="169" t="s">
        <v>61</v>
      </c>
      <c r="C13" s="171" t="s">
        <v>62</v>
      </c>
      <c r="D13" s="154" t="s">
        <v>38</v>
      </c>
      <c r="E13" s="167">
        <v>24.19</v>
      </c>
      <c r="F13" s="168">
        <v>31.26</v>
      </c>
      <c r="G13" s="154">
        <v>27.99</v>
      </c>
      <c r="H13" s="157">
        <v>31.26</v>
      </c>
      <c r="I13" s="180" t="s">
        <v>50</v>
      </c>
      <c r="J13" s="149">
        <f t="shared" si="0"/>
        <v>0.29226953286482</v>
      </c>
    </row>
    <row r="14" spans="1:10">
      <c r="A14" s="154">
        <v>13</v>
      </c>
      <c r="B14" s="169" t="s">
        <v>63</v>
      </c>
      <c r="C14" s="171" t="s">
        <v>64</v>
      </c>
      <c r="D14" s="154" t="s">
        <v>38</v>
      </c>
      <c r="E14" s="167">
        <v>18.76</v>
      </c>
      <c r="F14" s="168">
        <v>22.5</v>
      </c>
      <c r="G14" s="154">
        <v>20.85</v>
      </c>
      <c r="H14" s="157">
        <v>22.5</v>
      </c>
      <c r="I14" s="180"/>
      <c r="J14" s="149">
        <f t="shared" si="0"/>
        <v>0.199360341151386</v>
      </c>
    </row>
    <row r="15" spans="1:10">
      <c r="A15" s="158">
        <v>14</v>
      </c>
      <c r="B15" s="159" t="s">
        <v>65</v>
      </c>
      <c r="C15" s="160" t="s">
        <v>66</v>
      </c>
      <c r="D15" s="158" t="s">
        <v>38</v>
      </c>
      <c r="E15" s="161">
        <v>68</v>
      </c>
      <c r="F15" s="162">
        <v>74.29</v>
      </c>
      <c r="G15" s="158"/>
      <c r="H15" s="163">
        <v>74.29</v>
      </c>
      <c r="I15" s="179"/>
      <c r="J15" s="149">
        <f t="shared" si="0"/>
        <v>0.0925000000000001</v>
      </c>
    </row>
    <row r="16" spans="1:10">
      <c r="A16" s="154">
        <v>15</v>
      </c>
      <c r="B16" s="169" t="s">
        <v>67</v>
      </c>
      <c r="C16" s="171" t="s">
        <v>68</v>
      </c>
      <c r="D16" s="154" t="s">
        <v>38</v>
      </c>
      <c r="E16" s="167">
        <v>65.55</v>
      </c>
      <c r="F16" s="168">
        <v>73.19</v>
      </c>
      <c r="G16" s="154">
        <v>72.648</v>
      </c>
      <c r="H16" s="157" t="s">
        <v>47</v>
      </c>
      <c r="I16" s="179"/>
      <c r="J16" s="149">
        <f>(G16-E16)/E16</f>
        <v>0.108283752860412</v>
      </c>
    </row>
    <row r="17" spans="1:10">
      <c r="A17" s="154">
        <v>16</v>
      </c>
      <c r="B17" s="169" t="s">
        <v>69</v>
      </c>
      <c r="C17" s="171" t="s">
        <v>70</v>
      </c>
      <c r="D17" s="154" t="s">
        <v>38</v>
      </c>
      <c r="E17" s="167">
        <v>18.76</v>
      </c>
      <c r="F17" s="168">
        <v>22.5</v>
      </c>
      <c r="G17" s="154">
        <v>20.85</v>
      </c>
      <c r="H17" s="157">
        <v>21.81</v>
      </c>
      <c r="I17" s="180" t="s">
        <v>50</v>
      </c>
      <c r="J17" s="149">
        <f t="shared" ref="J17:J20" si="1">(H17-E17)/E17</f>
        <v>0.162579957356077</v>
      </c>
    </row>
    <row r="18" spans="1:10">
      <c r="A18" s="154">
        <v>17</v>
      </c>
      <c r="B18" s="169" t="s">
        <v>71</v>
      </c>
      <c r="C18" s="171" t="s">
        <v>72</v>
      </c>
      <c r="D18" s="154" t="s">
        <v>38</v>
      </c>
      <c r="E18" s="167">
        <v>7.55</v>
      </c>
      <c r="F18" s="168">
        <v>10.85</v>
      </c>
      <c r="G18" s="154">
        <v>8.39</v>
      </c>
      <c r="H18" s="157">
        <v>9.5</v>
      </c>
      <c r="I18" s="180"/>
      <c r="J18" s="149">
        <f t="shared" si="1"/>
        <v>0.258278145695364</v>
      </c>
    </row>
    <row r="19" spans="1:10">
      <c r="A19" s="158">
        <v>18</v>
      </c>
      <c r="B19" s="159" t="s">
        <v>73</v>
      </c>
      <c r="C19" s="160" t="s">
        <v>74</v>
      </c>
      <c r="D19" s="158" t="s">
        <v>38</v>
      </c>
      <c r="E19" s="161">
        <v>68</v>
      </c>
      <c r="F19" s="162">
        <v>74.29</v>
      </c>
      <c r="G19" s="158"/>
      <c r="H19" s="163">
        <v>74.29</v>
      </c>
      <c r="I19" s="179"/>
      <c r="J19" s="149">
        <f t="shared" si="1"/>
        <v>0.0925000000000001</v>
      </c>
    </row>
    <row r="20" spans="1:10">
      <c r="A20" s="154">
        <v>19</v>
      </c>
      <c r="B20" s="169" t="s">
        <v>75</v>
      </c>
      <c r="C20" s="171" t="s">
        <v>76</v>
      </c>
      <c r="D20" s="154" t="s">
        <v>38</v>
      </c>
      <c r="E20" s="167">
        <v>18.76</v>
      </c>
      <c r="F20" s="168">
        <v>22.5</v>
      </c>
      <c r="G20" s="154">
        <v>20.85</v>
      </c>
      <c r="H20" s="157">
        <v>22.5</v>
      </c>
      <c r="I20" s="180" t="s">
        <v>50</v>
      </c>
      <c r="J20" s="149">
        <f t="shared" si="1"/>
        <v>0.199360341151386</v>
      </c>
    </row>
    <row r="21" spans="1:10">
      <c r="A21" s="154">
        <v>20</v>
      </c>
      <c r="B21" s="169" t="s">
        <v>77</v>
      </c>
      <c r="C21" s="171" t="s">
        <v>78</v>
      </c>
      <c r="D21" s="154" t="s">
        <v>38</v>
      </c>
      <c r="E21" s="167">
        <v>51.01</v>
      </c>
      <c r="F21" s="168">
        <v>59.15</v>
      </c>
      <c r="G21" s="154">
        <v>54.31</v>
      </c>
      <c r="H21" s="157" t="s">
        <v>47</v>
      </c>
      <c r="I21" s="179"/>
      <c r="J21" s="149">
        <f t="shared" ref="J21:J24" si="2">(G21-E21)/E21</f>
        <v>0.0646931974122722</v>
      </c>
    </row>
    <row r="22" spans="1:10">
      <c r="A22" s="154">
        <v>21</v>
      </c>
      <c r="B22" s="169" t="s">
        <v>79</v>
      </c>
      <c r="C22" s="171" t="s">
        <v>80</v>
      </c>
      <c r="D22" s="154" t="s">
        <v>38</v>
      </c>
      <c r="E22" s="167">
        <v>79.09</v>
      </c>
      <c r="F22" s="168">
        <v>86.27</v>
      </c>
      <c r="G22" s="154">
        <v>87.056</v>
      </c>
      <c r="H22" s="157" t="s">
        <v>47</v>
      </c>
      <c r="I22" s="179"/>
      <c r="J22" s="149">
        <f t="shared" si="2"/>
        <v>0.100720697939057</v>
      </c>
    </row>
    <row r="23" spans="1:10">
      <c r="A23" s="158">
        <v>22</v>
      </c>
      <c r="B23" s="159" t="s">
        <v>81</v>
      </c>
      <c r="C23" s="158" t="s">
        <v>82</v>
      </c>
      <c r="D23" s="158" t="s">
        <v>38</v>
      </c>
      <c r="E23" s="161">
        <v>81.46</v>
      </c>
      <c r="F23" s="162">
        <v>88.7</v>
      </c>
      <c r="G23" s="158"/>
      <c r="H23" s="163">
        <v>88.7</v>
      </c>
      <c r="I23" s="179"/>
      <c r="J23" s="149">
        <f t="shared" ref="J23:J28" si="3">(H23-E23)/E23</f>
        <v>0.0888779769211884</v>
      </c>
    </row>
    <row r="24" spans="1:10">
      <c r="A24" s="154">
        <v>23</v>
      </c>
      <c r="B24" s="169" t="s">
        <v>83</v>
      </c>
      <c r="C24" s="154" t="s">
        <v>84</v>
      </c>
      <c r="D24" s="154" t="s">
        <v>38</v>
      </c>
      <c r="E24" s="167">
        <v>92.24</v>
      </c>
      <c r="F24" s="168">
        <v>102.98</v>
      </c>
      <c r="G24" s="154">
        <v>102.22</v>
      </c>
      <c r="H24" s="157" t="s">
        <v>47</v>
      </c>
      <c r="I24" s="179"/>
      <c r="J24" s="149">
        <f t="shared" si="2"/>
        <v>0.108196010407632</v>
      </c>
    </row>
    <row r="25" spans="1:10">
      <c r="A25" s="154">
        <v>24</v>
      </c>
      <c r="B25" s="169" t="s">
        <v>85</v>
      </c>
      <c r="C25" s="154" t="s">
        <v>86</v>
      </c>
      <c r="D25" s="154" t="s">
        <v>38</v>
      </c>
      <c r="E25" s="167">
        <v>19.92</v>
      </c>
      <c r="F25" s="168">
        <v>23.42</v>
      </c>
      <c r="G25" s="154">
        <v>22.2</v>
      </c>
      <c r="H25" s="157">
        <v>23.42</v>
      </c>
      <c r="I25" s="180" t="s">
        <v>50</v>
      </c>
      <c r="J25" s="149">
        <f t="shared" si="3"/>
        <v>0.17570281124498</v>
      </c>
    </row>
    <row r="26" spans="1:10">
      <c r="A26" s="154">
        <v>25</v>
      </c>
      <c r="B26" s="169" t="s">
        <v>87</v>
      </c>
      <c r="C26" s="171" t="s">
        <v>88</v>
      </c>
      <c r="D26" s="154" t="s">
        <v>38</v>
      </c>
      <c r="E26" s="167">
        <v>92.24</v>
      </c>
      <c r="F26" s="168">
        <v>102.98</v>
      </c>
      <c r="G26" s="154">
        <v>102.22</v>
      </c>
      <c r="H26" s="157" t="s">
        <v>47</v>
      </c>
      <c r="I26" s="179"/>
      <c r="J26" s="149">
        <f>(G26-E26)/E26</f>
        <v>0.108196010407632</v>
      </c>
    </row>
    <row r="27" spans="1:10">
      <c r="A27" s="154">
        <v>26</v>
      </c>
      <c r="B27" s="169" t="s">
        <v>89</v>
      </c>
      <c r="C27" s="171" t="s">
        <v>90</v>
      </c>
      <c r="D27" s="154" t="s">
        <v>38</v>
      </c>
      <c r="E27" s="167">
        <v>19.92</v>
      </c>
      <c r="F27" s="168">
        <v>23.42</v>
      </c>
      <c r="G27" s="154">
        <v>22.2</v>
      </c>
      <c r="H27" s="157">
        <v>23.42</v>
      </c>
      <c r="I27" s="180" t="s">
        <v>50</v>
      </c>
      <c r="J27" s="149">
        <f t="shared" si="3"/>
        <v>0.17570281124498</v>
      </c>
    </row>
    <row r="28" spans="1:10">
      <c r="A28" s="158">
        <v>27</v>
      </c>
      <c r="B28" s="159" t="s">
        <v>91</v>
      </c>
      <c r="C28" s="158" t="s">
        <v>92</v>
      </c>
      <c r="D28" s="158" t="s">
        <v>38</v>
      </c>
      <c r="E28" s="161">
        <v>1.62</v>
      </c>
      <c r="F28" s="162">
        <v>1.98</v>
      </c>
      <c r="G28" s="158"/>
      <c r="H28" s="163">
        <v>1.98</v>
      </c>
      <c r="I28" s="179"/>
      <c r="J28" s="149">
        <f t="shared" si="3"/>
        <v>0.222222222222222</v>
      </c>
    </row>
    <row r="29" spans="1:10">
      <c r="A29" s="154">
        <v>28</v>
      </c>
      <c r="B29" s="169" t="s">
        <v>93</v>
      </c>
      <c r="C29" s="171" t="s">
        <v>94</v>
      </c>
      <c r="D29" s="154" t="s">
        <v>38</v>
      </c>
      <c r="E29" s="167">
        <v>65.55</v>
      </c>
      <c r="F29" s="168">
        <v>73.19</v>
      </c>
      <c r="G29" s="154">
        <v>72.648</v>
      </c>
      <c r="H29" s="157" t="s">
        <v>47</v>
      </c>
      <c r="I29" s="179"/>
      <c r="J29" s="149">
        <f>(G29-E29)/E29</f>
        <v>0.108283752860412</v>
      </c>
    </row>
    <row r="30" spans="1:10">
      <c r="A30" s="172">
        <v>29</v>
      </c>
      <c r="B30" s="173" t="s">
        <v>95</v>
      </c>
      <c r="C30" s="172" t="s">
        <v>96</v>
      </c>
      <c r="D30" s="172" t="s">
        <v>38</v>
      </c>
      <c r="E30" s="174">
        <v>22.6</v>
      </c>
      <c r="F30" s="175"/>
      <c r="G30" s="172">
        <v>23.7</v>
      </c>
      <c r="H30" s="176">
        <v>25.7</v>
      </c>
      <c r="I30" s="179"/>
      <c r="J30" s="149">
        <f t="shared" ref="J30:J32" si="4">(H30-E30)/E30</f>
        <v>0.13716814159292</v>
      </c>
    </row>
    <row r="31" spans="1:10">
      <c r="A31" s="172">
        <v>30</v>
      </c>
      <c r="B31" s="173" t="s">
        <v>97</v>
      </c>
      <c r="C31" s="172" t="s">
        <v>98</v>
      </c>
      <c r="D31" s="172" t="s">
        <v>38</v>
      </c>
      <c r="E31" s="174">
        <v>22.6</v>
      </c>
      <c r="F31" s="175"/>
      <c r="G31" s="172">
        <v>33.51</v>
      </c>
      <c r="H31" s="176">
        <v>37.5</v>
      </c>
      <c r="I31" s="179"/>
      <c r="J31" s="149">
        <f t="shared" si="4"/>
        <v>0.65929203539823</v>
      </c>
    </row>
    <row r="32" spans="1:10">
      <c r="A32" s="172">
        <v>31</v>
      </c>
      <c r="B32" s="173" t="s">
        <v>99</v>
      </c>
      <c r="C32" s="172" t="s">
        <v>100</v>
      </c>
      <c r="D32" s="172" t="s">
        <v>38</v>
      </c>
      <c r="E32" s="174">
        <v>22.6</v>
      </c>
      <c r="F32" s="175"/>
      <c r="G32" s="172">
        <v>36.8</v>
      </c>
      <c r="H32" s="176">
        <v>36.8</v>
      </c>
      <c r="I32" s="179"/>
      <c r="J32" s="149">
        <f t="shared" si="4"/>
        <v>0.628318584070796</v>
      </c>
    </row>
    <row r="33" spans="1:9">
      <c r="A33" s="177" t="s">
        <v>101</v>
      </c>
      <c r="B33" s="177"/>
      <c r="C33" s="177"/>
      <c r="D33" s="177"/>
      <c r="E33" s="177"/>
      <c r="F33" s="177"/>
      <c r="G33" s="177"/>
      <c r="H33" s="177"/>
      <c r="I33" s="179"/>
    </row>
    <row r="34" spans="1:9">
      <c r="A34" s="177"/>
      <c r="B34" s="177"/>
      <c r="C34" s="177"/>
      <c r="D34" s="177"/>
      <c r="E34" s="177"/>
      <c r="F34" s="177"/>
      <c r="G34" s="177"/>
      <c r="H34" s="177"/>
      <c r="I34" s="181"/>
    </row>
    <row r="35" spans="1:9">
      <c r="A35" s="177"/>
      <c r="B35" s="177"/>
      <c r="C35" s="177"/>
      <c r="D35" s="177"/>
      <c r="E35" s="177"/>
      <c r="F35" s="177"/>
      <c r="G35" s="177"/>
      <c r="H35" s="177"/>
      <c r="I35" s="181"/>
    </row>
    <row r="36" ht="58" customHeight="1" spans="1:9">
      <c r="A36" s="178" t="s">
        <v>102</v>
      </c>
      <c r="B36" s="178"/>
      <c r="C36" s="178"/>
      <c r="D36" s="178"/>
      <c r="E36" s="178"/>
      <c r="F36" s="178"/>
      <c r="G36" s="178"/>
      <c r="H36" s="178"/>
      <c r="I36" s="178"/>
    </row>
  </sheetData>
  <mergeCells count="5">
    <mergeCell ref="A36:I36"/>
    <mergeCell ref="I10:I11"/>
    <mergeCell ref="I13:I14"/>
    <mergeCell ref="I17:I18"/>
    <mergeCell ref="A33:H35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12" workbookViewId="0">
      <selection activeCell="B23" sqref="B23:G23"/>
    </sheetView>
  </sheetViews>
  <sheetFormatPr defaultColWidth="9" defaultRowHeight="13.5" outlineLevelCol="7"/>
  <cols>
    <col min="2" max="2" width="5.625" customWidth="1"/>
    <col min="3" max="3" width="38.125" customWidth="1"/>
    <col min="5" max="5" width="6.875" customWidth="1"/>
  </cols>
  <sheetData>
    <row r="1" ht="32.25" spans="1:8">
      <c r="A1" s="30" t="s">
        <v>487</v>
      </c>
      <c r="B1" s="30"/>
      <c r="C1" s="30"/>
      <c r="D1" s="30"/>
      <c r="E1" s="30"/>
      <c r="F1" s="30"/>
      <c r="G1" s="30"/>
      <c r="H1" s="31"/>
    </row>
    <row r="2" ht="22.5" spans="1:8">
      <c r="A2" s="32" t="s">
        <v>488</v>
      </c>
      <c r="B2" s="33" t="s">
        <v>489</v>
      </c>
      <c r="C2" s="33"/>
      <c r="D2" s="34" t="s">
        <v>490</v>
      </c>
      <c r="E2" s="34"/>
      <c r="F2" s="34"/>
      <c r="G2" s="34"/>
      <c r="H2" s="31"/>
    </row>
    <row r="3" ht="21.75" spans="1:8">
      <c r="A3" s="35" t="s">
        <v>491</v>
      </c>
      <c r="B3" s="35"/>
      <c r="C3" s="35"/>
      <c r="D3" s="35"/>
      <c r="E3" s="35"/>
      <c r="F3" s="35"/>
      <c r="G3" s="35"/>
      <c r="H3" s="31"/>
    </row>
    <row r="4" ht="19.5" spans="1:8">
      <c r="A4" s="36" t="s">
        <v>227</v>
      </c>
      <c r="B4" s="36" t="s">
        <v>29</v>
      </c>
      <c r="C4" s="37" t="s">
        <v>492</v>
      </c>
      <c r="D4" s="37" t="s">
        <v>2</v>
      </c>
      <c r="E4" s="37" t="s">
        <v>493</v>
      </c>
      <c r="F4" s="37" t="s">
        <v>192</v>
      </c>
      <c r="G4" s="37" t="s">
        <v>208</v>
      </c>
      <c r="H4" s="31"/>
    </row>
    <row r="5" ht="15" spans="1:8">
      <c r="A5" s="38" t="s">
        <v>231</v>
      </c>
      <c r="B5" s="39">
        <v>1</v>
      </c>
      <c r="C5" s="37" t="s">
        <v>494</v>
      </c>
      <c r="D5" s="37" t="s">
        <v>495</v>
      </c>
      <c r="E5" s="37">
        <v>1.85</v>
      </c>
      <c r="F5" s="40">
        <v>6.1</v>
      </c>
      <c r="G5" s="37">
        <f>F5*E5</f>
        <v>11.285</v>
      </c>
      <c r="H5" s="31"/>
    </row>
    <row r="6" ht="15" spans="1:8">
      <c r="A6" s="41"/>
      <c r="B6" s="39">
        <v>2</v>
      </c>
      <c r="C6" s="37" t="s">
        <v>496</v>
      </c>
      <c r="D6" s="37" t="s">
        <v>495</v>
      </c>
      <c r="E6" s="37">
        <v>0.89</v>
      </c>
      <c r="F6" s="40">
        <v>6.1</v>
      </c>
      <c r="G6" s="37">
        <f t="shared" ref="G6:G8" si="0">F6*E6</f>
        <v>5.429</v>
      </c>
      <c r="H6" s="31"/>
    </row>
    <row r="7" ht="15" spans="1:8">
      <c r="A7" s="41"/>
      <c r="B7" s="39">
        <v>3</v>
      </c>
      <c r="C7" s="37" t="s">
        <v>497</v>
      </c>
      <c r="D7" s="37" t="s">
        <v>495</v>
      </c>
      <c r="E7" s="37">
        <v>0.4</v>
      </c>
      <c r="F7" s="40">
        <v>5.5</v>
      </c>
      <c r="G7" s="37">
        <f t="shared" si="0"/>
        <v>2.2</v>
      </c>
      <c r="H7" s="31"/>
    </row>
    <row r="8" ht="15" spans="1:8">
      <c r="A8" s="42"/>
      <c r="B8" s="39">
        <v>4</v>
      </c>
      <c r="C8" s="37" t="s">
        <v>498</v>
      </c>
      <c r="D8" s="37" t="s">
        <v>495</v>
      </c>
      <c r="E8" s="37">
        <v>0.07</v>
      </c>
      <c r="F8" s="40">
        <v>5.5</v>
      </c>
      <c r="G8" s="37">
        <f t="shared" si="0"/>
        <v>0.385</v>
      </c>
      <c r="H8" s="31"/>
    </row>
    <row r="9" ht="15" spans="1:8">
      <c r="A9" s="38" t="s">
        <v>499</v>
      </c>
      <c r="B9" s="39" t="s">
        <v>29</v>
      </c>
      <c r="C9" s="43" t="s">
        <v>500</v>
      </c>
      <c r="D9" s="43" t="s">
        <v>501</v>
      </c>
      <c r="E9" s="43" t="s">
        <v>502</v>
      </c>
      <c r="F9" s="43" t="s">
        <v>503</v>
      </c>
      <c r="G9" s="44" t="s">
        <v>208</v>
      </c>
      <c r="H9" s="31"/>
    </row>
    <row r="10" ht="15" spans="1:8">
      <c r="A10" s="41"/>
      <c r="B10" s="39">
        <v>1</v>
      </c>
      <c r="C10" s="43" t="s">
        <v>172</v>
      </c>
      <c r="D10" s="43"/>
      <c r="E10" s="43"/>
      <c r="F10" s="43"/>
      <c r="G10" s="43">
        <v>1</v>
      </c>
      <c r="H10" s="31"/>
    </row>
    <row r="11" ht="15" spans="1:8">
      <c r="A11" s="41"/>
      <c r="B11" s="39">
        <v>2</v>
      </c>
      <c r="C11" s="37" t="s">
        <v>174</v>
      </c>
      <c r="D11" s="37"/>
      <c r="E11" s="37"/>
      <c r="F11" s="37"/>
      <c r="G11" s="37">
        <v>0.24</v>
      </c>
      <c r="H11" s="31"/>
    </row>
    <row r="12" ht="15" spans="1:8">
      <c r="A12" s="41"/>
      <c r="B12" s="39">
        <v>3</v>
      </c>
      <c r="C12" s="37" t="s">
        <v>462</v>
      </c>
      <c r="D12" s="37"/>
      <c r="E12" s="37"/>
      <c r="F12" s="37"/>
      <c r="G12" s="37">
        <v>0.5</v>
      </c>
      <c r="H12" s="31"/>
    </row>
    <row r="13" ht="15" spans="1:8">
      <c r="A13" s="41"/>
      <c r="B13" s="39">
        <v>4</v>
      </c>
      <c r="C13" s="37" t="s">
        <v>504</v>
      </c>
      <c r="D13" s="37"/>
      <c r="E13" s="37"/>
      <c r="F13" s="37"/>
      <c r="G13" s="37">
        <v>0.5</v>
      </c>
      <c r="H13" s="31"/>
    </row>
    <row r="14" ht="15" spans="1:8">
      <c r="A14" s="41"/>
      <c r="B14" s="39">
        <v>5</v>
      </c>
      <c r="C14" s="37"/>
      <c r="D14" s="37"/>
      <c r="E14" s="37"/>
      <c r="F14" s="37"/>
      <c r="G14" s="37"/>
      <c r="H14" s="31"/>
    </row>
    <row r="15" ht="15" spans="1:8">
      <c r="A15" s="41"/>
      <c r="B15" s="39">
        <v>6</v>
      </c>
      <c r="C15" s="37"/>
      <c r="D15" s="37"/>
      <c r="E15" s="37"/>
      <c r="F15" s="37"/>
      <c r="G15" s="37"/>
      <c r="H15" s="31"/>
    </row>
    <row r="16" ht="15" spans="1:8">
      <c r="A16" s="42"/>
      <c r="B16" s="39">
        <v>7</v>
      </c>
      <c r="C16" s="37"/>
      <c r="D16" s="37"/>
      <c r="E16" s="37"/>
      <c r="F16" s="37"/>
      <c r="G16" s="37"/>
      <c r="H16" s="31"/>
    </row>
    <row r="17" ht="15" spans="1:8">
      <c r="A17" s="38" t="s">
        <v>505</v>
      </c>
      <c r="B17" s="39" t="s">
        <v>29</v>
      </c>
      <c r="C17" s="37" t="s">
        <v>190</v>
      </c>
      <c r="D17" s="37" t="s">
        <v>2</v>
      </c>
      <c r="E17" s="37" t="s">
        <v>493</v>
      </c>
      <c r="F17" s="37" t="s">
        <v>192</v>
      </c>
      <c r="G17" s="37" t="s">
        <v>208</v>
      </c>
      <c r="H17" s="31"/>
    </row>
    <row r="18" ht="15" spans="1:8">
      <c r="A18" s="41"/>
      <c r="B18" s="39">
        <v>1</v>
      </c>
      <c r="C18" s="37" t="s">
        <v>184</v>
      </c>
      <c r="D18" s="37">
        <v>1</v>
      </c>
      <c r="E18" s="37"/>
      <c r="F18" s="37"/>
      <c r="G18" s="37">
        <v>3.5</v>
      </c>
      <c r="H18" s="31"/>
    </row>
    <row r="19" ht="15" spans="1:8">
      <c r="A19" s="41"/>
      <c r="B19" s="39">
        <v>1</v>
      </c>
      <c r="C19" s="37" t="s">
        <v>506</v>
      </c>
      <c r="D19" s="37"/>
      <c r="E19" s="37"/>
      <c r="F19" s="37"/>
      <c r="G19" s="37">
        <v>0.28</v>
      </c>
      <c r="H19" s="31"/>
    </row>
    <row r="20" ht="15" spans="1:8">
      <c r="A20" s="42"/>
      <c r="B20" s="39">
        <v>1</v>
      </c>
      <c r="C20" s="37" t="s">
        <v>507</v>
      </c>
      <c r="D20" s="37"/>
      <c r="E20" s="37"/>
      <c r="F20" s="37"/>
      <c r="G20" s="37">
        <v>1.5</v>
      </c>
      <c r="H20" s="31"/>
    </row>
    <row r="21" ht="15" spans="1:8">
      <c r="A21" s="39" t="s">
        <v>508</v>
      </c>
      <c r="B21" s="45">
        <v>0.09</v>
      </c>
      <c r="C21" s="46"/>
      <c r="D21" s="46"/>
      <c r="E21" s="46"/>
      <c r="F21" s="46"/>
      <c r="G21" s="47"/>
      <c r="H21" s="31"/>
    </row>
    <row r="22" ht="15" spans="1:8">
      <c r="A22" s="39" t="s">
        <v>509</v>
      </c>
      <c r="B22" s="45">
        <v>2.6</v>
      </c>
      <c r="C22" s="46"/>
      <c r="D22" s="46"/>
      <c r="E22" s="46"/>
      <c r="F22" s="46"/>
      <c r="G22" s="47"/>
      <c r="H22" s="31"/>
    </row>
    <row r="23" ht="15" spans="1:8">
      <c r="A23" s="39" t="s">
        <v>510</v>
      </c>
      <c r="B23" s="45">
        <v>1.5</v>
      </c>
      <c r="C23" s="46"/>
      <c r="D23" s="46"/>
      <c r="E23" s="46"/>
      <c r="F23" s="46"/>
      <c r="G23" s="47"/>
      <c r="H23" s="31"/>
    </row>
    <row r="24" ht="15" spans="1:8">
      <c r="A24" s="39" t="s">
        <v>511</v>
      </c>
      <c r="B24" s="45"/>
      <c r="C24" s="46"/>
      <c r="D24" s="46"/>
      <c r="E24" s="46"/>
      <c r="F24" s="46"/>
      <c r="G24" s="47"/>
      <c r="H24" s="31"/>
    </row>
    <row r="25" ht="15" spans="1:8">
      <c r="A25" s="39" t="s">
        <v>512</v>
      </c>
      <c r="B25" s="48">
        <f>B22+B21+G20+G19+G18+G13+G12+G11+G10+G8+G7+G6+G5</f>
        <v>29.509</v>
      </c>
      <c r="C25" s="46"/>
      <c r="D25" s="46"/>
      <c r="E25" s="46"/>
      <c r="F25" s="46"/>
      <c r="G25" s="47"/>
      <c r="H25" s="31"/>
    </row>
    <row r="26" ht="21.75" spans="1:8">
      <c r="A26" s="35" t="s">
        <v>513</v>
      </c>
      <c r="B26" s="35"/>
      <c r="C26" s="35"/>
      <c r="D26" s="35"/>
      <c r="E26" s="35"/>
      <c r="F26" s="35"/>
      <c r="G26" s="35"/>
      <c r="H26" s="31"/>
    </row>
    <row r="27" ht="15" spans="1:8">
      <c r="A27" s="39" t="s">
        <v>514</v>
      </c>
      <c r="B27" s="48">
        <f>B25*0.06</f>
        <v>1.77054</v>
      </c>
      <c r="C27" s="49"/>
      <c r="D27" s="49"/>
      <c r="E27" s="49"/>
      <c r="F27" s="49"/>
      <c r="G27" s="50"/>
      <c r="H27" s="31"/>
    </row>
    <row r="28" ht="15" spans="1:8">
      <c r="A28" s="39" t="s">
        <v>515</v>
      </c>
      <c r="B28" s="48">
        <f>B25*0.035</f>
        <v>1.032815</v>
      </c>
      <c r="C28" s="49"/>
      <c r="D28" s="49"/>
      <c r="E28" s="49"/>
      <c r="F28" s="49"/>
      <c r="G28" s="50"/>
      <c r="H28" s="31"/>
    </row>
    <row r="29" ht="15" spans="1:8">
      <c r="A29" s="39" t="s">
        <v>516</v>
      </c>
      <c r="B29" s="45"/>
      <c r="C29" s="46"/>
      <c r="D29" s="46"/>
      <c r="E29" s="46"/>
      <c r="F29" s="46"/>
      <c r="G29" s="47"/>
      <c r="H29" s="31"/>
    </row>
    <row r="30" ht="15.75" spans="1:8">
      <c r="A30" s="51" t="s">
        <v>106</v>
      </c>
      <c r="B30" s="52"/>
      <c r="C30" s="53"/>
      <c r="D30" s="53"/>
      <c r="E30" s="53"/>
      <c r="F30" s="53"/>
      <c r="G30" s="54"/>
      <c r="H30" s="31"/>
    </row>
    <row r="31" ht="15.75" spans="1:8">
      <c r="A31" s="42" t="s">
        <v>517</v>
      </c>
      <c r="B31" s="55"/>
      <c r="C31" s="56"/>
      <c r="D31" s="56"/>
      <c r="E31" s="56"/>
      <c r="F31" s="56"/>
      <c r="G31" s="57"/>
      <c r="H31" s="31"/>
    </row>
    <row r="32" ht="15" spans="1:8">
      <c r="A32" s="39" t="s">
        <v>518</v>
      </c>
      <c r="B32" s="48">
        <f>B28+B27+B25+B23</f>
        <v>33.812355</v>
      </c>
      <c r="C32" s="46"/>
      <c r="D32" s="46"/>
      <c r="E32" s="47"/>
      <c r="F32" s="39" t="s">
        <v>519</v>
      </c>
      <c r="G32" s="39"/>
      <c r="H32" s="31"/>
    </row>
    <row r="34" spans="4:4">
      <c r="D34" s="29" t="s">
        <v>477</v>
      </c>
    </row>
  </sheetData>
  <mergeCells count="21">
    <mergeCell ref="A1:G1"/>
    <mergeCell ref="B2:C2"/>
    <mergeCell ref="D2:E2"/>
    <mergeCell ref="F2:G2"/>
    <mergeCell ref="A3:G3"/>
    <mergeCell ref="B21:G21"/>
    <mergeCell ref="B22:G22"/>
    <mergeCell ref="B23:G23"/>
    <mergeCell ref="B24:G24"/>
    <mergeCell ref="B25:G25"/>
    <mergeCell ref="A26:G26"/>
    <mergeCell ref="B27:G27"/>
    <mergeCell ref="B28:G28"/>
    <mergeCell ref="B29:G29"/>
    <mergeCell ref="B30:G30"/>
    <mergeCell ref="B31:G31"/>
    <mergeCell ref="B32:E32"/>
    <mergeCell ref="F32:G32"/>
    <mergeCell ref="A5:A8"/>
    <mergeCell ref="A9:A16"/>
    <mergeCell ref="A17:A20"/>
  </mergeCells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opLeftCell="A27" workbookViewId="0">
      <selection activeCell="B30" sqref="B30:G30"/>
    </sheetView>
  </sheetViews>
  <sheetFormatPr defaultColWidth="9" defaultRowHeight="13.5" outlineLevelCol="7"/>
  <sheetData>
    <row r="1" ht="32.25" spans="1:8">
      <c r="A1" s="1" t="s">
        <v>487</v>
      </c>
      <c r="B1" s="1"/>
      <c r="C1" s="1"/>
      <c r="D1" s="1"/>
      <c r="E1" s="1"/>
      <c r="F1" s="1"/>
      <c r="G1" s="1"/>
      <c r="H1" s="2"/>
    </row>
    <row r="2" ht="22.5" spans="1:8">
      <c r="A2" s="3" t="s">
        <v>488</v>
      </c>
      <c r="B2" s="4" t="s">
        <v>520</v>
      </c>
      <c r="C2" s="4"/>
      <c r="D2" s="5" t="s">
        <v>521</v>
      </c>
      <c r="E2" s="5"/>
      <c r="F2" s="3"/>
      <c r="G2" s="3"/>
      <c r="H2" s="2"/>
    </row>
    <row r="3" ht="21.75" spans="1:8">
      <c r="A3" s="6" t="s">
        <v>491</v>
      </c>
      <c r="B3" s="6"/>
      <c r="C3" s="6"/>
      <c r="D3" s="6"/>
      <c r="E3" s="6"/>
      <c r="F3" s="6"/>
      <c r="G3" s="6"/>
      <c r="H3" s="2"/>
    </row>
    <row r="4" ht="19.5" spans="1:8">
      <c r="A4" s="7" t="s">
        <v>227</v>
      </c>
      <c r="B4" s="7" t="s">
        <v>29</v>
      </c>
      <c r="C4" s="8" t="s">
        <v>492</v>
      </c>
      <c r="D4" s="8" t="s">
        <v>2</v>
      </c>
      <c r="E4" s="8" t="s">
        <v>493</v>
      </c>
      <c r="F4" s="8" t="s">
        <v>192</v>
      </c>
      <c r="G4" s="8" t="s">
        <v>208</v>
      </c>
      <c r="H4" s="2"/>
    </row>
    <row r="5" ht="15" spans="1:8">
      <c r="A5" s="9" t="s">
        <v>231</v>
      </c>
      <c r="B5" s="10">
        <v>1</v>
      </c>
      <c r="C5" s="8" t="s">
        <v>522</v>
      </c>
      <c r="D5" s="8" t="s">
        <v>495</v>
      </c>
      <c r="E5" s="8">
        <v>1.8</v>
      </c>
      <c r="F5" s="11">
        <v>6.1</v>
      </c>
      <c r="G5" s="8">
        <f>F5*E5</f>
        <v>10.98</v>
      </c>
      <c r="H5" s="2"/>
    </row>
    <row r="6" ht="15" spans="1:8">
      <c r="A6" s="12"/>
      <c r="B6" s="10">
        <v>2</v>
      </c>
      <c r="C6" s="8" t="s">
        <v>523</v>
      </c>
      <c r="D6" s="8" t="s">
        <v>495</v>
      </c>
      <c r="E6" s="8">
        <v>0.7</v>
      </c>
      <c r="F6" s="11">
        <v>6.1</v>
      </c>
      <c r="G6" s="8">
        <f t="shared" ref="G6:G8" si="0">F6*E6</f>
        <v>4.27</v>
      </c>
      <c r="H6" s="2"/>
    </row>
    <row r="7" ht="15" spans="1:8">
      <c r="A7" s="12"/>
      <c r="B7" s="10">
        <v>3</v>
      </c>
      <c r="C7" s="8" t="s">
        <v>524</v>
      </c>
      <c r="D7" s="8" t="s">
        <v>495</v>
      </c>
      <c r="E7" s="8">
        <v>0.21</v>
      </c>
      <c r="F7" s="11">
        <v>6.8</v>
      </c>
      <c r="G7" s="8">
        <f t="shared" si="0"/>
        <v>1.428</v>
      </c>
      <c r="H7" s="2"/>
    </row>
    <row r="8" ht="15" spans="1:8">
      <c r="A8" s="13"/>
      <c r="B8" s="10">
        <v>4</v>
      </c>
      <c r="C8" s="8" t="s">
        <v>525</v>
      </c>
      <c r="D8" s="8" t="s">
        <v>495</v>
      </c>
      <c r="E8" s="8">
        <v>0.2</v>
      </c>
      <c r="F8" s="11">
        <v>5.5</v>
      </c>
      <c r="G8" s="8">
        <f t="shared" si="0"/>
        <v>1.1</v>
      </c>
      <c r="H8" s="2">
        <f>SUM(G5:G8)</f>
        <v>17.778</v>
      </c>
    </row>
    <row r="9" ht="15" spans="1:8">
      <c r="A9" s="9" t="s">
        <v>499</v>
      </c>
      <c r="B9" s="10" t="s">
        <v>29</v>
      </c>
      <c r="C9" s="14" t="s">
        <v>500</v>
      </c>
      <c r="D9" s="14" t="s">
        <v>501</v>
      </c>
      <c r="E9" s="14" t="s">
        <v>502</v>
      </c>
      <c r="F9" s="14" t="s">
        <v>503</v>
      </c>
      <c r="G9" s="15" t="s">
        <v>208</v>
      </c>
      <c r="H9" s="2"/>
    </row>
    <row r="10" ht="15" spans="1:8">
      <c r="A10" s="12"/>
      <c r="B10" s="10">
        <v>1</v>
      </c>
      <c r="C10" s="14" t="s">
        <v>172</v>
      </c>
      <c r="D10" s="14"/>
      <c r="E10" s="14"/>
      <c r="F10" s="14"/>
      <c r="G10" s="14">
        <v>0.4</v>
      </c>
      <c r="H10" s="2"/>
    </row>
    <row r="11" ht="15" spans="1:8">
      <c r="A11" s="12"/>
      <c r="B11" s="10">
        <v>2</v>
      </c>
      <c r="C11" s="8" t="s">
        <v>272</v>
      </c>
      <c r="D11" s="8"/>
      <c r="E11" s="8"/>
      <c r="F11" s="8"/>
      <c r="G11" s="8">
        <v>0.48</v>
      </c>
      <c r="H11" s="2"/>
    </row>
    <row r="12" ht="15" spans="1:8">
      <c r="A12" s="12"/>
      <c r="B12" s="10">
        <v>3</v>
      </c>
      <c r="C12" s="8" t="s">
        <v>184</v>
      </c>
      <c r="D12" s="8"/>
      <c r="E12" s="8"/>
      <c r="F12" s="8"/>
      <c r="G12" s="8">
        <v>3</v>
      </c>
      <c r="H12" s="2"/>
    </row>
    <row r="13" ht="15" spans="1:8">
      <c r="A13" s="12"/>
      <c r="B13" s="10">
        <v>4</v>
      </c>
      <c r="C13" s="8" t="s">
        <v>526</v>
      </c>
      <c r="D13" s="8"/>
      <c r="E13" s="8"/>
      <c r="F13" s="8"/>
      <c r="G13" s="8">
        <v>0.3</v>
      </c>
      <c r="H13" s="2"/>
    </row>
    <row r="14" ht="15" spans="1:8">
      <c r="A14" s="12"/>
      <c r="B14" s="10">
        <v>5</v>
      </c>
      <c r="C14" s="8" t="s">
        <v>193</v>
      </c>
      <c r="D14" s="8"/>
      <c r="E14" s="8"/>
      <c r="F14" s="8"/>
      <c r="G14" s="8">
        <v>0.16</v>
      </c>
      <c r="H14" s="2"/>
    </row>
    <row r="15" ht="15" spans="1:8">
      <c r="A15" s="12"/>
      <c r="B15" s="10">
        <v>6</v>
      </c>
      <c r="C15" s="8" t="s">
        <v>282</v>
      </c>
      <c r="D15" s="8"/>
      <c r="E15" s="8"/>
      <c r="F15" s="8"/>
      <c r="G15" s="8">
        <v>0.1</v>
      </c>
      <c r="H15" s="2"/>
    </row>
    <row r="16" ht="15" spans="1:8">
      <c r="A16" s="13"/>
      <c r="B16" s="10">
        <v>7</v>
      </c>
      <c r="C16" s="8"/>
      <c r="D16" s="8"/>
      <c r="E16" s="8"/>
      <c r="F16" s="8"/>
      <c r="G16" s="8">
        <f>SUM(G10:G15)</f>
        <v>4.44</v>
      </c>
      <c r="H16" s="2"/>
    </row>
    <row r="17" ht="15" spans="1:8">
      <c r="A17" s="9" t="s">
        <v>505</v>
      </c>
      <c r="B17" s="10" t="s">
        <v>29</v>
      </c>
      <c r="C17" s="8" t="s">
        <v>190</v>
      </c>
      <c r="D17" s="8" t="s">
        <v>2</v>
      </c>
      <c r="E17" s="8" t="s">
        <v>493</v>
      </c>
      <c r="F17" s="8" t="s">
        <v>192</v>
      </c>
      <c r="G17" s="8" t="s">
        <v>208</v>
      </c>
      <c r="H17" s="2"/>
    </row>
    <row r="18" ht="15" spans="1:8">
      <c r="A18" s="12"/>
      <c r="B18" s="10">
        <v>1</v>
      </c>
      <c r="C18" s="8" t="s">
        <v>293</v>
      </c>
      <c r="D18" s="8"/>
      <c r="E18" s="8"/>
      <c r="F18" s="8"/>
      <c r="G18" s="8">
        <v>3</v>
      </c>
      <c r="H18" s="2"/>
    </row>
    <row r="19" ht="15" spans="1:8">
      <c r="A19" s="12"/>
      <c r="B19" s="10">
        <v>2</v>
      </c>
      <c r="C19" s="8" t="s">
        <v>296</v>
      </c>
      <c r="D19" s="8"/>
      <c r="E19" s="8"/>
      <c r="F19" s="8"/>
      <c r="G19" s="8">
        <v>0.9</v>
      </c>
      <c r="H19" s="2"/>
    </row>
    <row r="20" ht="15" spans="1:8">
      <c r="A20" s="12"/>
      <c r="B20" s="10">
        <v>3</v>
      </c>
      <c r="C20" s="8" t="s">
        <v>486</v>
      </c>
      <c r="D20" s="8"/>
      <c r="E20" s="8"/>
      <c r="F20" s="8"/>
      <c r="G20" s="8">
        <v>0.12</v>
      </c>
      <c r="H20" s="2"/>
    </row>
    <row r="21" ht="15" spans="1:8">
      <c r="A21" s="13"/>
      <c r="B21" s="10">
        <v>4</v>
      </c>
      <c r="C21" s="8" t="s">
        <v>507</v>
      </c>
      <c r="D21" s="8"/>
      <c r="E21" s="8"/>
      <c r="F21" s="8"/>
      <c r="G21" s="8">
        <v>2.25</v>
      </c>
      <c r="H21" s="2">
        <f>SUM(G18:G21)</f>
        <v>6.27</v>
      </c>
    </row>
    <row r="22" ht="15" spans="1:8">
      <c r="A22" s="10" t="s">
        <v>508</v>
      </c>
      <c r="B22" s="16"/>
      <c r="C22" s="17"/>
      <c r="D22" s="17"/>
      <c r="E22" s="17"/>
      <c r="F22" s="17"/>
      <c r="G22" s="18"/>
      <c r="H22" s="2"/>
    </row>
    <row r="23" ht="15" spans="1:8">
      <c r="A23" s="10" t="s">
        <v>509</v>
      </c>
      <c r="B23" s="16">
        <v>2.5</v>
      </c>
      <c r="C23" s="17"/>
      <c r="D23" s="17"/>
      <c r="E23" s="17"/>
      <c r="F23" s="17"/>
      <c r="G23" s="18"/>
      <c r="H23" s="2"/>
    </row>
    <row r="24" ht="15" spans="1:8">
      <c r="A24" s="10" t="s">
        <v>510</v>
      </c>
      <c r="B24" s="16">
        <v>1.2</v>
      </c>
      <c r="C24" s="17"/>
      <c r="D24" s="17"/>
      <c r="E24" s="17"/>
      <c r="F24" s="17"/>
      <c r="G24" s="18"/>
      <c r="H24" s="2"/>
    </row>
    <row r="25" ht="15" spans="1:8">
      <c r="A25" s="10" t="s">
        <v>511</v>
      </c>
      <c r="B25" s="16"/>
      <c r="C25" s="17"/>
      <c r="D25" s="17"/>
      <c r="E25" s="17"/>
      <c r="F25" s="17"/>
      <c r="G25" s="18"/>
      <c r="H25" s="2"/>
    </row>
    <row r="26" ht="15" spans="1:8">
      <c r="A26" s="10" t="s">
        <v>512</v>
      </c>
      <c r="B26" s="19">
        <f>B23+H21+G16+H8</f>
        <v>30.988</v>
      </c>
      <c r="C26" s="17"/>
      <c r="D26" s="17"/>
      <c r="E26" s="17"/>
      <c r="F26" s="17"/>
      <c r="G26" s="18"/>
      <c r="H26" s="2"/>
    </row>
    <row r="27" ht="21.75" spans="1:8">
      <c r="A27" s="6" t="s">
        <v>513</v>
      </c>
      <c r="B27" s="6"/>
      <c r="C27" s="6"/>
      <c r="D27" s="6"/>
      <c r="E27" s="6"/>
      <c r="F27" s="6"/>
      <c r="G27" s="6"/>
      <c r="H27" s="2"/>
    </row>
    <row r="28" ht="15" spans="1:8">
      <c r="A28" s="10" t="s">
        <v>514</v>
      </c>
      <c r="B28" s="19">
        <f>B26*0.06</f>
        <v>1.85928</v>
      </c>
      <c r="C28" s="20"/>
      <c r="D28" s="20"/>
      <c r="E28" s="20"/>
      <c r="F28" s="20"/>
      <c r="G28" s="21"/>
      <c r="H28" s="2"/>
    </row>
    <row r="29" ht="15" spans="1:8">
      <c r="A29" s="10" t="s">
        <v>515</v>
      </c>
      <c r="B29" s="19">
        <f>B26*0.04</f>
        <v>1.23952</v>
      </c>
      <c r="C29" s="20"/>
      <c r="D29" s="20"/>
      <c r="E29" s="20"/>
      <c r="F29" s="20"/>
      <c r="G29" s="21"/>
      <c r="H29" s="2"/>
    </row>
    <row r="30" ht="15" spans="1:8">
      <c r="A30" s="10" t="s">
        <v>516</v>
      </c>
      <c r="B30" s="16"/>
      <c r="C30" s="17"/>
      <c r="D30" s="17"/>
      <c r="E30" s="17"/>
      <c r="F30" s="17"/>
      <c r="G30" s="18"/>
      <c r="H30" s="2"/>
    </row>
    <row r="31" ht="15.75" spans="1:8">
      <c r="A31" s="22" t="s">
        <v>106</v>
      </c>
      <c r="B31" s="23"/>
      <c r="C31" s="24"/>
      <c r="D31" s="24"/>
      <c r="E31" s="24"/>
      <c r="F31" s="24"/>
      <c r="G31" s="25"/>
      <c r="H31" s="2"/>
    </row>
    <row r="32" ht="15.75" spans="1:8">
      <c r="A32" s="13" t="s">
        <v>517</v>
      </c>
      <c r="B32" s="26"/>
      <c r="C32" s="27"/>
      <c r="D32" s="27"/>
      <c r="E32" s="27"/>
      <c r="F32" s="27"/>
      <c r="G32" s="28"/>
      <c r="H32" s="2"/>
    </row>
    <row r="33" ht="15" spans="1:7">
      <c r="A33" s="10" t="s">
        <v>518</v>
      </c>
      <c r="B33" s="19">
        <f>B29+B28+B26+B24</f>
        <v>35.2868</v>
      </c>
      <c r="C33" s="17"/>
      <c r="D33" s="17"/>
      <c r="E33" s="18"/>
      <c r="F33" s="10" t="s">
        <v>519</v>
      </c>
      <c r="G33" s="10"/>
    </row>
    <row r="35" spans="5:5">
      <c r="E35" s="29" t="s">
        <v>477</v>
      </c>
    </row>
  </sheetData>
  <mergeCells count="20">
    <mergeCell ref="A1:G1"/>
    <mergeCell ref="B2:C2"/>
    <mergeCell ref="D2:E2"/>
    <mergeCell ref="A3:G3"/>
    <mergeCell ref="B22:G22"/>
    <mergeCell ref="B23:G23"/>
    <mergeCell ref="B24:G24"/>
    <mergeCell ref="B25:G25"/>
    <mergeCell ref="B26:G26"/>
    <mergeCell ref="A27:G27"/>
    <mergeCell ref="B28:G28"/>
    <mergeCell ref="B29:G29"/>
    <mergeCell ref="B30:G30"/>
    <mergeCell ref="B31:G31"/>
    <mergeCell ref="B32:G32"/>
    <mergeCell ref="B33:E33"/>
    <mergeCell ref="F33:G33"/>
    <mergeCell ref="A5:A8"/>
    <mergeCell ref="A9:A16"/>
    <mergeCell ref="A17:A2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opLeftCell="F1" workbookViewId="0">
      <selection activeCell="M12" sqref="M12"/>
    </sheetView>
  </sheetViews>
  <sheetFormatPr defaultColWidth="9" defaultRowHeight="13.5"/>
  <cols>
    <col min="1" max="1" width="6" customWidth="1"/>
    <col min="2" max="2" width="14.375" customWidth="1"/>
    <col min="3" max="3" width="23.75" customWidth="1"/>
    <col min="4" max="6" width="12.875" customWidth="1"/>
    <col min="7" max="7" width="12.125" customWidth="1"/>
    <col min="8" max="9" width="5" customWidth="1"/>
    <col min="10" max="10" width="14.375" customWidth="1"/>
    <col min="11" max="11" width="22" customWidth="1"/>
    <col min="12" max="13" width="15.125" customWidth="1"/>
    <col min="14" max="14" width="13.625" customWidth="1"/>
    <col min="15" max="15" width="12.35" customWidth="1"/>
    <col min="16" max="16" width="12.625"/>
  </cols>
  <sheetData>
    <row r="1" ht="42" customHeight="1" spans="1:7">
      <c r="A1" s="141"/>
      <c r="B1" s="141"/>
      <c r="C1" s="141"/>
      <c r="D1" s="141"/>
      <c r="E1" s="141"/>
      <c r="F1" s="141"/>
      <c r="G1" s="141"/>
    </row>
    <row r="2" ht="22.5" customHeight="1" spans="1:16">
      <c r="A2" s="64" t="s">
        <v>29</v>
      </c>
      <c r="B2" s="64" t="s">
        <v>103</v>
      </c>
      <c r="C2" s="64" t="s">
        <v>30</v>
      </c>
      <c r="D2" s="64" t="s">
        <v>104</v>
      </c>
      <c r="E2" s="64" t="s">
        <v>105</v>
      </c>
      <c r="F2" s="64" t="s">
        <v>106</v>
      </c>
      <c r="G2" s="64" t="s">
        <v>107</v>
      </c>
      <c r="J2" s="64" t="s">
        <v>103</v>
      </c>
      <c r="K2" s="64" t="s">
        <v>30</v>
      </c>
      <c r="L2" s="64" t="s">
        <v>108</v>
      </c>
      <c r="M2" s="146" t="s">
        <v>109</v>
      </c>
      <c r="N2" s="147" t="s">
        <v>110</v>
      </c>
      <c r="O2" s="147" t="s">
        <v>110</v>
      </c>
      <c r="P2" s="146" t="s">
        <v>109</v>
      </c>
    </row>
    <row r="3" ht="22.5" customHeight="1" spans="1:16">
      <c r="A3" s="64">
        <v>1</v>
      </c>
      <c r="B3" s="64" t="s">
        <v>111</v>
      </c>
      <c r="C3" s="64" t="s">
        <v>112</v>
      </c>
      <c r="D3" s="64">
        <v>86.27</v>
      </c>
      <c r="E3" s="64">
        <v>79.09</v>
      </c>
      <c r="F3" s="64">
        <f>E3-D3</f>
        <v>-7.17999999999999</v>
      </c>
      <c r="G3" s="142" t="s">
        <v>113</v>
      </c>
      <c r="J3" s="64" t="s">
        <v>111</v>
      </c>
      <c r="K3" s="148" t="s">
        <v>112</v>
      </c>
      <c r="L3" s="64">
        <v>79.09</v>
      </c>
      <c r="M3" s="64">
        <v>86.27</v>
      </c>
      <c r="N3" s="64">
        <v>87.056</v>
      </c>
      <c r="O3" s="149">
        <f>(N3-L3)/L3</f>
        <v>0.100720697939057</v>
      </c>
      <c r="P3" s="149">
        <f>(M3-L3)/L3</f>
        <v>0.0907826526741686</v>
      </c>
    </row>
    <row r="4" ht="22.5" customHeight="1" spans="1:16">
      <c r="A4" s="64">
        <v>2</v>
      </c>
      <c r="B4" s="64" t="s">
        <v>114</v>
      </c>
      <c r="C4" s="64" t="s">
        <v>115</v>
      </c>
      <c r="D4" s="64">
        <v>102.98</v>
      </c>
      <c r="E4" s="64">
        <v>92.24</v>
      </c>
      <c r="F4" s="64">
        <f t="shared" ref="F4:F22" si="0">E4-D4</f>
        <v>-10.74</v>
      </c>
      <c r="G4" s="143"/>
      <c r="J4" s="64" t="s">
        <v>114</v>
      </c>
      <c r="K4" s="148" t="s">
        <v>115</v>
      </c>
      <c r="L4" s="64">
        <v>92.24</v>
      </c>
      <c r="M4" s="64">
        <v>102.98</v>
      </c>
      <c r="N4" s="64">
        <v>102.22</v>
      </c>
      <c r="O4" s="149">
        <f t="shared" ref="O4:O16" si="1">(N4-L4)/L4</f>
        <v>0.108196010407632</v>
      </c>
      <c r="P4" s="149">
        <f t="shared" ref="P4:P16" si="2">(M4-L4)/L4</f>
        <v>0.116435385949697</v>
      </c>
    </row>
    <row r="5" ht="22.5" customHeight="1" spans="1:16">
      <c r="A5" s="64">
        <v>3</v>
      </c>
      <c r="B5" s="64" t="s">
        <v>116</v>
      </c>
      <c r="C5" s="64" t="s">
        <v>117</v>
      </c>
      <c r="D5" s="64">
        <v>22.5</v>
      </c>
      <c r="E5" s="64">
        <v>18.76</v>
      </c>
      <c r="F5" s="64">
        <f t="shared" si="0"/>
        <v>-3.74</v>
      </c>
      <c r="G5" s="143"/>
      <c r="J5" s="64" t="s">
        <v>116</v>
      </c>
      <c r="K5" s="148" t="s">
        <v>117</v>
      </c>
      <c r="L5" s="64">
        <v>18.76</v>
      </c>
      <c r="M5" s="64">
        <v>22.5</v>
      </c>
      <c r="N5" s="64">
        <v>20.85</v>
      </c>
      <c r="O5" s="149">
        <f t="shared" si="1"/>
        <v>0.111407249466951</v>
      </c>
      <c r="P5" s="149">
        <f t="shared" si="2"/>
        <v>0.199360341151386</v>
      </c>
    </row>
    <row r="6" ht="22.5" customHeight="1" spans="1:16">
      <c r="A6" s="64">
        <v>4</v>
      </c>
      <c r="B6" s="64" t="s">
        <v>118</v>
      </c>
      <c r="C6" s="64" t="s">
        <v>119</v>
      </c>
      <c r="D6" s="64">
        <v>59.15</v>
      </c>
      <c r="E6" s="64">
        <v>51.01</v>
      </c>
      <c r="F6" s="64">
        <f t="shared" si="0"/>
        <v>-8.14</v>
      </c>
      <c r="G6" s="143"/>
      <c r="J6" s="64" t="s">
        <v>118</v>
      </c>
      <c r="K6" s="148" t="s">
        <v>119</v>
      </c>
      <c r="L6" s="64">
        <v>51.01</v>
      </c>
      <c r="M6" s="64">
        <v>59.15</v>
      </c>
      <c r="N6" s="64">
        <v>54.31</v>
      </c>
      <c r="O6" s="149">
        <f t="shared" si="1"/>
        <v>0.0646931974122722</v>
      </c>
      <c r="P6" s="150">
        <f t="shared" si="2"/>
        <v>0.159576553616938</v>
      </c>
    </row>
    <row r="7" ht="22.5" customHeight="1" spans="1:16">
      <c r="A7" s="64">
        <v>5</v>
      </c>
      <c r="B7" s="64" t="s">
        <v>120</v>
      </c>
      <c r="C7" s="64" t="s">
        <v>121</v>
      </c>
      <c r="D7" s="64">
        <v>11.84</v>
      </c>
      <c r="E7" s="64">
        <v>7.55</v>
      </c>
      <c r="F7" s="64">
        <f t="shared" si="0"/>
        <v>-4.29</v>
      </c>
      <c r="G7" s="143"/>
      <c r="J7" s="64" t="s">
        <v>120</v>
      </c>
      <c r="K7" s="148" t="s">
        <v>121</v>
      </c>
      <c r="L7" s="64">
        <v>7.55</v>
      </c>
      <c r="M7" s="64">
        <v>11.84</v>
      </c>
      <c r="N7" s="64">
        <v>8.46</v>
      </c>
      <c r="O7" s="149">
        <f t="shared" si="1"/>
        <v>0.120529801324503</v>
      </c>
      <c r="P7" s="150">
        <f t="shared" si="2"/>
        <v>0.568211920529801</v>
      </c>
    </row>
    <row r="8" ht="22.5" customHeight="1" spans="1:16">
      <c r="A8" s="64">
        <v>6</v>
      </c>
      <c r="B8" s="64" t="s">
        <v>122</v>
      </c>
      <c r="C8" s="64" t="s">
        <v>71</v>
      </c>
      <c r="D8" s="64">
        <v>10.85</v>
      </c>
      <c r="E8" s="64">
        <v>7.55</v>
      </c>
      <c r="F8" s="64">
        <f t="shared" si="0"/>
        <v>-3.3</v>
      </c>
      <c r="G8" s="143"/>
      <c r="J8" s="64" t="s">
        <v>122</v>
      </c>
      <c r="K8" s="148" t="s">
        <v>71</v>
      </c>
      <c r="L8" s="64">
        <v>7.55</v>
      </c>
      <c r="M8" s="64">
        <v>10.85</v>
      </c>
      <c r="N8" s="64">
        <v>8.39</v>
      </c>
      <c r="O8" s="149">
        <f t="shared" si="1"/>
        <v>0.111258278145695</v>
      </c>
      <c r="P8" s="150">
        <f t="shared" si="2"/>
        <v>0.437086092715232</v>
      </c>
    </row>
    <row r="9" ht="22.5" customHeight="1" spans="1:16">
      <c r="A9" s="64">
        <v>8</v>
      </c>
      <c r="B9" s="64" t="s">
        <v>123</v>
      </c>
      <c r="C9" s="64" t="s">
        <v>124</v>
      </c>
      <c r="D9" s="64">
        <v>2.2</v>
      </c>
      <c r="E9" s="64">
        <v>1.5</v>
      </c>
      <c r="F9" s="64">
        <f t="shared" si="0"/>
        <v>-0.7</v>
      </c>
      <c r="G9" s="143"/>
      <c r="J9" s="64" t="s">
        <v>123</v>
      </c>
      <c r="K9" s="148" t="s">
        <v>124</v>
      </c>
      <c r="L9" s="64">
        <v>1.5</v>
      </c>
      <c r="M9" s="64">
        <v>2.2</v>
      </c>
      <c r="N9" s="64">
        <v>1.71</v>
      </c>
      <c r="O9" s="149">
        <f t="shared" si="1"/>
        <v>0.14</v>
      </c>
      <c r="P9" s="150">
        <f t="shared" si="2"/>
        <v>0.466666666666667</v>
      </c>
    </row>
    <row r="10" ht="22.5" customHeight="1" spans="1:16">
      <c r="A10" s="64">
        <v>9</v>
      </c>
      <c r="B10" s="64" t="s">
        <v>125</v>
      </c>
      <c r="C10" s="64" t="s">
        <v>126</v>
      </c>
      <c r="D10" s="64">
        <v>31.26</v>
      </c>
      <c r="E10" s="64">
        <v>24.19</v>
      </c>
      <c r="F10" s="64">
        <f t="shared" si="0"/>
        <v>-7.07</v>
      </c>
      <c r="G10" s="143"/>
      <c r="J10" s="64" t="s">
        <v>125</v>
      </c>
      <c r="K10" s="148" t="s">
        <v>126</v>
      </c>
      <c r="L10" s="64">
        <v>24.19</v>
      </c>
      <c r="M10" s="64">
        <v>31.26</v>
      </c>
      <c r="N10" s="64">
        <v>27.99</v>
      </c>
      <c r="O10" s="149">
        <f t="shared" si="1"/>
        <v>0.157089706490285</v>
      </c>
      <c r="P10" s="150">
        <f t="shared" si="2"/>
        <v>0.29226953286482</v>
      </c>
    </row>
    <row r="11" ht="22.5" customHeight="1" spans="1:16">
      <c r="A11" s="64">
        <v>10</v>
      </c>
      <c r="B11" s="64" t="s">
        <v>127</v>
      </c>
      <c r="C11" s="64" t="s">
        <v>128</v>
      </c>
      <c r="D11" s="64">
        <v>23.42</v>
      </c>
      <c r="E11" s="64">
        <v>19.92</v>
      </c>
      <c r="F11" s="64">
        <f t="shared" si="0"/>
        <v>-3.5</v>
      </c>
      <c r="G11" s="143"/>
      <c r="J11" s="64" t="s">
        <v>127</v>
      </c>
      <c r="K11" s="148" t="s">
        <v>128</v>
      </c>
      <c r="L11" s="64">
        <v>19.92</v>
      </c>
      <c r="M11" s="64">
        <v>23.42</v>
      </c>
      <c r="N11" s="74">
        <v>22.2</v>
      </c>
      <c r="O11" s="149">
        <f t="shared" si="1"/>
        <v>0.114457831325301</v>
      </c>
      <c r="P11" s="150">
        <f t="shared" si="2"/>
        <v>0.17570281124498</v>
      </c>
    </row>
    <row r="12" ht="22.5" customHeight="1" spans="1:16">
      <c r="A12" s="64">
        <v>11</v>
      </c>
      <c r="B12" s="64" t="s">
        <v>129</v>
      </c>
      <c r="C12" s="64" t="s">
        <v>130</v>
      </c>
      <c r="D12" s="64">
        <v>33.81</v>
      </c>
      <c r="E12" s="64">
        <v>22.6</v>
      </c>
      <c r="F12" s="64">
        <f t="shared" si="0"/>
        <v>-11.21</v>
      </c>
      <c r="G12" s="143"/>
      <c r="J12" s="64" t="s">
        <v>131</v>
      </c>
      <c r="K12" s="148" t="s">
        <v>132</v>
      </c>
      <c r="L12" s="64">
        <v>65.55</v>
      </c>
      <c r="M12" s="64">
        <v>73.19</v>
      </c>
      <c r="N12" s="64">
        <v>72.648</v>
      </c>
      <c r="O12" s="149">
        <f t="shared" si="1"/>
        <v>0.108283752860412</v>
      </c>
      <c r="P12" s="149">
        <f t="shared" si="2"/>
        <v>0.116552250190694</v>
      </c>
    </row>
    <row r="13" ht="22.5" customHeight="1" spans="1:16">
      <c r="A13" s="64">
        <v>12</v>
      </c>
      <c r="B13" s="64" t="s">
        <v>133</v>
      </c>
      <c r="C13" s="64" t="s">
        <v>134</v>
      </c>
      <c r="D13" s="64">
        <v>35.29</v>
      </c>
      <c r="E13" s="64">
        <v>22.6</v>
      </c>
      <c r="F13" s="64">
        <f t="shared" si="0"/>
        <v>-12.69</v>
      </c>
      <c r="G13" s="143"/>
      <c r="J13" s="144" t="s">
        <v>135</v>
      </c>
      <c r="K13" s="148" t="s">
        <v>136</v>
      </c>
      <c r="L13" s="144">
        <v>38.53</v>
      </c>
      <c r="M13" s="144">
        <v>44.07</v>
      </c>
      <c r="N13" s="64">
        <v>42.62</v>
      </c>
      <c r="O13" s="149">
        <f t="shared" si="1"/>
        <v>0.10615105112899</v>
      </c>
      <c r="P13" s="149">
        <f t="shared" si="2"/>
        <v>0.14378406436543</v>
      </c>
    </row>
    <row r="14" ht="22.5" customHeight="1" spans="1:16">
      <c r="A14" s="64">
        <v>13</v>
      </c>
      <c r="B14" s="64" t="s">
        <v>131</v>
      </c>
      <c r="C14" s="64" t="s">
        <v>132</v>
      </c>
      <c r="D14" s="64">
        <v>73.19</v>
      </c>
      <c r="E14" s="64">
        <v>65.55</v>
      </c>
      <c r="F14" s="64">
        <f t="shared" si="0"/>
        <v>-7.64</v>
      </c>
      <c r="G14" s="143"/>
      <c r="J14" s="144" t="s">
        <v>137</v>
      </c>
      <c r="K14" s="144" t="s">
        <v>36</v>
      </c>
      <c r="L14" s="144">
        <v>26.22</v>
      </c>
      <c r="M14" s="144"/>
      <c r="N14" s="64"/>
      <c r="O14" s="149"/>
      <c r="P14" s="149"/>
    </row>
    <row r="15" ht="22.5" customHeight="1" spans="1:16">
      <c r="A15" s="64">
        <v>14</v>
      </c>
      <c r="B15" s="144" t="s">
        <v>135</v>
      </c>
      <c r="C15" s="144" t="s">
        <v>136</v>
      </c>
      <c r="D15" s="144">
        <v>44.07</v>
      </c>
      <c r="E15" s="144">
        <v>38.53</v>
      </c>
      <c r="F15" s="144">
        <f t="shared" si="0"/>
        <v>-5.54</v>
      </c>
      <c r="G15" s="143"/>
      <c r="J15" s="144" t="s">
        <v>138</v>
      </c>
      <c r="K15" s="144" t="s">
        <v>139</v>
      </c>
      <c r="L15" s="144">
        <v>29.4</v>
      </c>
      <c r="M15" s="144"/>
      <c r="N15" s="64"/>
      <c r="O15" s="149"/>
      <c r="P15" s="149"/>
    </row>
    <row r="16" ht="22.5" customHeight="1" spans="1:16">
      <c r="A16" s="64">
        <v>15</v>
      </c>
      <c r="B16" s="144" t="s">
        <v>137</v>
      </c>
      <c r="C16" s="144" t="s">
        <v>36</v>
      </c>
      <c r="D16" s="144">
        <v>28.05</v>
      </c>
      <c r="E16" s="144">
        <v>26.22</v>
      </c>
      <c r="F16" s="144">
        <f t="shared" si="0"/>
        <v>-1.83</v>
      </c>
      <c r="G16" s="143"/>
      <c r="J16" s="144" t="s">
        <v>140</v>
      </c>
      <c r="K16" s="144" t="s">
        <v>141</v>
      </c>
      <c r="L16" s="144">
        <v>29.7</v>
      </c>
      <c r="M16" s="144"/>
      <c r="N16" s="64"/>
      <c r="O16" s="149"/>
      <c r="P16" s="149"/>
    </row>
    <row r="17" ht="22.5" customHeight="1" spans="1:7">
      <c r="A17" s="64">
        <v>16</v>
      </c>
      <c r="B17" s="144" t="s">
        <v>138</v>
      </c>
      <c r="C17" s="144" t="s">
        <v>139</v>
      </c>
      <c r="D17" s="144">
        <v>31.44</v>
      </c>
      <c r="E17" s="144">
        <v>29.4</v>
      </c>
      <c r="F17" s="144">
        <f t="shared" si="0"/>
        <v>-2.04</v>
      </c>
      <c r="G17" s="143"/>
    </row>
    <row r="18" ht="22.5" customHeight="1" spans="1:7">
      <c r="A18" s="64">
        <v>17</v>
      </c>
      <c r="B18" s="144" t="s">
        <v>140</v>
      </c>
      <c r="C18" s="144" t="s">
        <v>141</v>
      </c>
      <c r="D18" s="144">
        <v>33.42</v>
      </c>
      <c r="E18" s="144">
        <v>29.7</v>
      </c>
      <c r="F18" s="144">
        <f t="shared" si="0"/>
        <v>-3.72</v>
      </c>
      <c r="G18" s="143"/>
    </row>
    <row r="19" ht="27" customHeight="1" spans="1:7">
      <c r="A19" s="64">
        <v>18</v>
      </c>
      <c r="B19" s="64" t="s">
        <v>142</v>
      </c>
      <c r="C19" s="64" t="s">
        <v>143</v>
      </c>
      <c r="D19" s="64">
        <v>28.11</v>
      </c>
      <c r="E19" s="64">
        <v>22.6</v>
      </c>
      <c r="F19" s="64">
        <f t="shared" si="0"/>
        <v>-5.51</v>
      </c>
      <c r="G19" s="143"/>
    </row>
    <row r="20" ht="23.25" customHeight="1" spans="1:7">
      <c r="A20" s="64">
        <v>19</v>
      </c>
      <c r="B20" s="64" t="s">
        <v>144</v>
      </c>
      <c r="C20" s="64" t="s">
        <v>145</v>
      </c>
      <c r="D20" s="64">
        <v>38.63</v>
      </c>
      <c r="E20" s="64">
        <v>40.5</v>
      </c>
      <c r="F20" s="64">
        <f t="shared" si="0"/>
        <v>1.87</v>
      </c>
      <c r="G20" s="143"/>
    </row>
    <row r="21" ht="23.25" customHeight="1" spans="1:7">
      <c r="A21" s="64">
        <v>20</v>
      </c>
      <c r="B21" s="64" t="s">
        <v>146</v>
      </c>
      <c r="C21" s="64" t="s">
        <v>147</v>
      </c>
      <c r="D21" s="64">
        <v>42.48</v>
      </c>
      <c r="E21" s="64">
        <v>40.06</v>
      </c>
      <c r="F21" s="64">
        <f t="shared" si="0"/>
        <v>-2.41999999999999</v>
      </c>
      <c r="G21" s="145"/>
    </row>
    <row r="22" ht="23.25" customHeight="1" spans="1:7">
      <c r="A22" s="64">
        <v>21</v>
      </c>
      <c r="B22" s="64" t="s">
        <v>148</v>
      </c>
      <c r="C22" s="64" t="s">
        <v>149</v>
      </c>
      <c r="D22" s="64">
        <v>42.32</v>
      </c>
      <c r="E22" s="64">
        <v>35.96</v>
      </c>
      <c r="F22" s="64">
        <f t="shared" si="0"/>
        <v>-6.36</v>
      </c>
      <c r="G22" s="64"/>
    </row>
    <row r="23" ht="23.25" customHeight="1"/>
    <row r="24" ht="23.25" customHeight="1"/>
    <row r="25" ht="23.25" customHeight="1"/>
    <row r="26" s="140" customFormat="1" ht="23.25" customHeight="1"/>
    <row r="27" s="140" customFormat="1" ht="23.25" customHeight="1"/>
  </sheetData>
  <mergeCells count="2">
    <mergeCell ref="A1:G1"/>
    <mergeCell ref="G3:G21"/>
  </mergeCells>
  <pageMargins left="0.7" right="0.7" top="0.393055555555556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S90"/>
  <sheetViews>
    <sheetView topLeftCell="A50" workbookViewId="0">
      <selection activeCell="O92" sqref="O92"/>
    </sheetView>
  </sheetViews>
  <sheetFormatPr defaultColWidth="9" defaultRowHeight="13.5"/>
  <cols>
    <col min="1" max="1" width="4.625" customWidth="1"/>
    <col min="2" max="2" width="16.75" customWidth="1"/>
    <col min="3" max="3" width="9.75" customWidth="1"/>
    <col min="4" max="7" width="10" customWidth="1"/>
    <col min="8" max="11" width="11.375" customWidth="1"/>
    <col min="12" max="12" width="10.375" style="136"/>
    <col min="13" max="13" width="9" style="77"/>
    <col min="14" max="14" width="2.75" customWidth="1"/>
    <col min="15" max="15" width="18" customWidth="1"/>
  </cols>
  <sheetData>
    <row r="1" ht="7" customHeight="1"/>
    <row r="2" ht="17" customHeight="1" spans="1:11">
      <c r="A2" s="137" t="s">
        <v>150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>
      <c r="A3" s="59" t="s">
        <v>29</v>
      </c>
      <c r="B3" s="59" t="s">
        <v>151</v>
      </c>
      <c r="C3" s="59" t="s">
        <v>152</v>
      </c>
      <c r="D3" s="59" t="s">
        <v>153</v>
      </c>
      <c r="E3" s="59" t="s">
        <v>154</v>
      </c>
      <c r="F3" s="59" t="s">
        <v>155</v>
      </c>
      <c r="G3" s="59" t="s">
        <v>156</v>
      </c>
      <c r="H3" s="59" t="s">
        <v>157</v>
      </c>
      <c r="I3" s="59" t="s">
        <v>158</v>
      </c>
      <c r="J3" s="59" t="s">
        <v>159</v>
      </c>
      <c r="K3" s="59" t="s">
        <v>160</v>
      </c>
    </row>
    <row r="4" ht="12" customHeight="1" spans="1:11">
      <c r="A4" s="59">
        <v>1</v>
      </c>
      <c r="B4" s="59" t="s">
        <v>161</v>
      </c>
      <c r="C4" s="59"/>
      <c r="D4" s="59" t="s">
        <v>162</v>
      </c>
      <c r="E4" s="60">
        <v>6.1</v>
      </c>
      <c r="F4" s="60">
        <v>1.22</v>
      </c>
      <c r="G4" s="60">
        <f>F4*E4</f>
        <v>7.442</v>
      </c>
      <c r="H4" s="60"/>
      <c r="I4" s="60">
        <v>0</v>
      </c>
      <c r="J4" s="60">
        <v>0</v>
      </c>
      <c r="K4" s="60">
        <f>G4</f>
        <v>7.442</v>
      </c>
    </row>
    <row r="5" ht="12" customHeight="1" spans="1:11">
      <c r="A5" s="59">
        <v>3</v>
      </c>
      <c r="B5" s="59" t="s">
        <v>163</v>
      </c>
      <c r="C5" s="59"/>
      <c r="D5" s="59" t="s">
        <v>162</v>
      </c>
      <c r="E5" s="60">
        <v>6.1</v>
      </c>
      <c r="F5" s="59">
        <v>0.023</v>
      </c>
      <c r="G5" s="60">
        <f>F5*E5</f>
        <v>0.1403</v>
      </c>
      <c r="H5" s="59"/>
      <c r="I5" s="60">
        <v>0</v>
      </c>
      <c r="J5" s="60">
        <v>0</v>
      </c>
      <c r="K5" s="60">
        <f>G5</f>
        <v>0.1403</v>
      </c>
    </row>
    <row r="6" ht="12" customHeight="1" spans="1:11">
      <c r="A6" s="59">
        <v>4</v>
      </c>
      <c r="B6" s="59" t="s">
        <v>164</v>
      </c>
      <c r="C6" s="59"/>
      <c r="D6" s="59" t="s">
        <v>165</v>
      </c>
      <c r="E6" s="60">
        <v>6.1</v>
      </c>
      <c r="F6" s="59">
        <v>0.32</v>
      </c>
      <c r="G6" s="60">
        <f>F6*E6</f>
        <v>1.952</v>
      </c>
      <c r="H6" s="59"/>
      <c r="I6" s="60">
        <v>0</v>
      </c>
      <c r="J6" s="60"/>
      <c r="K6" s="60">
        <f>G6</f>
        <v>1.952</v>
      </c>
    </row>
    <row r="7" ht="12" customHeight="1" spans="1:11">
      <c r="A7" s="61"/>
      <c r="B7" s="62"/>
      <c r="C7" s="62"/>
      <c r="D7" s="62"/>
      <c r="E7" s="62"/>
      <c r="F7" s="62"/>
      <c r="G7" s="62"/>
      <c r="H7" s="62"/>
      <c r="I7" s="62"/>
      <c r="J7" s="63"/>
      <c r="K7" s="60">
        <f>SUM(K4:K6)</f>
        <v>9.5343</v>
      </c>
    </row>
    <row r="8" ht="12" customHeight="1" spans="1:11">
      <c r="A8" s="59" t="s">
        <v>29</v>
      </c>
      <c r="B8" s="59" t="s">
        <v>151</v>
      </c>
      <c r="C8" s="59" t="s">
        <v>152</v>
      </c>
      <c r="D8" s="59" t="s">
        <v>166</v>
      </c>
      <c r="E8" s="59" t="s">
        <v>167</v>
      </c>
      <c r="F8" s="59" t="s">
        <v>168</v>
      </c>
      <c r="G8" s="59" t="s">
        <v>169</v>
      </c>
      <c r="H8" s="59" t="s">
        <v>170</v>
      </c>
      <c r="I8" s="59" t="s">
        <v>171</v>
      </c>
      <c r="J8" s="61" t="s">
        <v>107</v>
      </c>
      <c r="K8" s="63"/>
    </row>
    <row r="9" ht="12" customHeight="1" spans="1:11">
      <c r="A9" s="59">
        <v>1</v>
      </c>
      <c r="B9" s="59" t="s">
        <v>172</v>
      </c>
      <c r="C9" s="59"/>
      <c r="D9" s="59"/>
      <c r="E9" s="59" t="s">
        <v>173</v>
      </c>
      <c r="F9" s="59"/>
      <c r="G9" s="59">
        <v>4</v>
      </c>
      <c r="H9" s="59">
        <v>0.05</v>
      </c>
      <c r="I9" s="59">
        <v>0.2</v>
      </c>
      <c r="J9" s="61"/>
      <c r="K9" s="63"/>
    </row>
    <row r="10" ht="12" customHeight="1" spans="1:15">
      <c r="A10" s="59">
        <v>2</v>
      </c>
      <c r="B10" s="59" t="s">
        <v>174</v>
      </c>
      <c r="C10" s="59"/>
      <c r="D10" s="59"/>
      <c r="E10" s="59" t="s">
        <v>175</v>
      </c>
      <c r="F10" s="59"/>
      <c r="G10" s="59">
        <v>5</v>
      </c>
      <c r="H10" s="59">
        <v>0.08</v>
      </c>
      <c r="I10" s="59">
        <v>0.4</v>
      </c>
      <c r="J10" s="61"/>
      <c r="K10" s="63"/>
      <c r="O10" s="64" t="s">
        <v>176</v>
      </c>
    </row>
    <row r="11" ht="12" customHeight="1" spans="1:15">
      <c r="A11" s="59">
        <v>3</v>
      </c>
      <c r="B11" s="59" t="s">
        <v>177</v>
      </c>
      <c r="C11" s="59"/>
      <c r="D11" s="64"/>
      <c r="E11" s="59"/>
      <c r="F11" s="59"/>
      <c r="G11" s="59">
        <v>2</v>
      </c>
      <c r="H11" s="59">
        <v>0.15</v>
      </c>
      <c r="I11" s="59">
        <v>0.3</v>
      </c>
      <c r="J11" s="61"/>
      <c r="K11" s="63"/>
      <c r="O11" s="64" t="s">
        <v>178</v>
      </c>
    </row>
    <row r="12" ht="12" customHeight="1" spans="1:11">
      <c r="A12" s="59">
        <v>4</v>
      </c>
      <c r="B12" s="59" t="s">
        <v>179</v>
      </c>
      <c r="C12" s="59"/>
      <c r="D12" s="64"/>
      <c r="E12" s="59"/>
      <c r="F12" s="59"/>
      <c r="G12" s="59"/>
      <c r="H12" s="59"/>
      <c r="I12" s="59">
        <v>0.4</v>
      </c>
      <c r="J12" s="61"/>
      <c r="K12" s="63"/>
    </row>
    <row r="13" ht="12" customHeight="1" spans="1:11">
      <c r="A13" s="59">
        <v>5</v>
      </c>
      <c r="B13" s="59" t="s">
        <v>180</v>
      </c>
      <c r="C13" s="59"/>
      <c r="D13" s="64"/>
      <c r="E13" s="59" t="s">
        <v>181</v>
      </c>
      <c r="F13" s="59"/>
      <c r="G13" s="59">
        <v>1</v>
      </c>
      <c r="H13" s="59">
        <v>0.05</v>
      </c>
      <c r="I13" s="59">
        <v>0.05</v>
      </c>
      <c r="J13" s="61"/>
      <c r="K13" s="63"/>
    </row>
    <row r="14" ht="12" customHeight="1" spans="1:11">
      <c r="A14" s="59"/>
      <c r="B14" s="76"/>
      <c r="C14" s="76"/>
      <c r="D14" s="76"/>
      <c r="E14" s="76"/>
      <c r="F14" s="76"/>
      <c r="G14" s="76"/>
      <c r="H14" s="76"/>
      <c r="I14" s="76"/>
      <c r="J14" s="61"/>
      <c r="K14" s="63"/>
    </row>
    <row r="15" ht="12" customHeight="1" spans="1:11">
      <c r="A15" s="59"/>
      <c r="B15" s="76"/>
      <c r="C15" s="76"/>
      <c r="D15" s="76"/>
      <c r="E15" s="76"/>
      <c r="F15" s="76"/>
      <c r="G15" s="76"/>
      <c r="H15" s="76"/>
      <c r="I15" s="76"/>
      <c r="J15" s="61"/>
      <c r="K15" s="63"/>
    </row>
    <row r="16" ht="12" customHeight="1" spans="1:11">
      <c r="A16" s="61" t="s">
        <v>182</v>
      </c>
      <c r="B16" s="62"/>
      <c r="C16" s="62"/>
      <c r="D16" s="62"/>
      <c r="E16" s="62"/>
      <c r="F16" s="62"/>
      <c r="G16" s="62"/>
      <c r="H16" s="63"/>
      <c r="I16" s="59">
        <v>1.35</v>
      </c>
      <c r="J16" s="59"/>
      <c r="K16" s="59"/>
    </row>
    <row r="17" ht="12" customHeight="1" spans="1:11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3"/>
    </row>
    <row r="18" ht="12" customHeight="1" spans="1:15">
      <c r="A18" s="61" t="s">
        <v>183</v>
      </c>
      <c r="B18" s="62"/>
      <c r="C18" s="62"/>
      <c r="D18" s="62"/>
      <c r="E18" s="63"/>
      <c r="F18" s="59" t="s">
        <v>184</v>
      </c>
      <c r="G18" s="59"/>
      <c r="H18" s="59" t="s">
        <v>185</v>
      </c>
      <c r="I18" s="59" t="s">
        <v>186</v>
      </c>
      <c r="J18" s="59" t="s">
        <v>187</v>
      </c>
      <c r="K18" s="63" t="s">
        <v>107</v>
      </c>
      <c r="M18" s="130" t="s">
        <v>188</v>
      </c>
      <c r="O18" s="130" t="s">
        <v>189</v>
      </c>
    </row>
    <row r="19" ht="12" customHeight="1" spans="1:15">
      <c r="A19" s="59" t="s">
        <v>29</v>
      </c>
      <c r="B19" s="59" t="s">
        <v>190</v>
      </c>
      <c r="C19" s="59" t="s">
        <v>191</v>
      </c>
      <c r="D19" s="59" t="s">
        <v>192</v>
      </c>
      <c r="E19" s="59" t="s">
        <v>171</v>
      </c>
      <c r="F19" s="59" t="s">
        <v>193</v>
      </c>
      <c r="G19" s="59"/>
      <c r="H19" s="79">
        <v>6</v>
      </c>
      <c r="I19" s="59">
        <v>0.05</v>
      </c>
      <c r="J19" s="83">
        <v>0.36</v>
      </c>
      <c r="K19" s="59"/>
      <c r="M19" s="64" t="s">
        <v>194</v>
      </c>
      <c r="O19" s="64" t="s">
        <v>195</v>
      </c>
    </row>
    <row r="20" ht="12" customHeight="1" spans="1:13">
      <c r="A20" s="64">
        <v>1</v>
      </c>
      <c r="B20" s="59" t="s">
        <v>196</v>
      </c>
      <c r="C20" s="59">
        <v>2</v>
      </c>
      <c r="D20" s="59">
        <v>0.15</v>
      </c>
      <c r="E20" s="59">
        <f>D20*C20</f>
        <v>0.3</v>
      </c>
      <c r="F20" s="61" t="s">
        <v>197</v>
      </c>
      <c r="G20" s="63"/>
      <c r="H20" s="79">
        <v>70</v>
      </c>
      <c r="I20" s="59">
        <v>0.05</v>
      </c>
      <c r="J20" s="83">
        <v>4.2</v>
      </c>
      <c r="K20" s="59"/>
      <c r="M20" s="64" t="s">
        <v>198</v>
      </c>
    </row>
    <row r="21" ht="12" customHeight="1" spans="1:13">
      <c r="A21" s="64">
        <v>2</v>
      </c>
      <c r="B21" s="59" t="s">
        <v>199</v>
      </c>
      <c r="C21" s="59">
        <v>2</v>
      </c>
      <c r="D21" s="59">
        <v>0.8</v>
      </c>
      <c r="E21" s="59">
        <f t="shared" ref="E21:E27" si="0">D21*C21</f>
        <v>1.6</v>
      </c>
      <c r="F21" s="61"/>
      <c r="G21" s="63"/>
      <c r="H21" s="59"/>
      <c r="I21" s="59"/>
      <c r="J21" s="78"/>
      <c r="K21" s="59"/>
      <c r="M21" s="64">
        <v>39</v>
      </c>
    </row>
    <row r="22" ht="12" customHeight="1" spans="1:11">
      <c r="A22" s="64">
        <v>3</v>
      </c>
      <c r="B22" s="59" t="s">
        <v>200</v>
      </c>
      <c r="C22" s="59">
        <v>1</v>
      </c>
      <c r="D22" s="59">
        <v>0.57</v>
      </c>
      <c r="E22" s="59">
        <f t="shared" si="0"/>
        <v>0.57</v>
      </c>
      <c r="F22" s="61"/>
      <c r="G22" s="63"/>
      <c r="H22" s="59"/>
      <c r="I22" s="59"/>
      <c r="J22" s="78"/>
      <c r="K22" s="59"/>
    </row>
    <row r="23" ht="12" customHeight="1" spans="1:11">
      <c r="A23" s="64">
        <v>4</v>
      </c>
      <c r="B23" s="59" t="s">
        <v>201</v>
      </c>
      <c r="C23" s="59">
        <v>1</v>
      </c>
      <c r="D23" s="59">
        <v>2.15</v>
      </c>
      <c r="E23" s="59">
        <f t="shared" si="0"/>
        <v>2.15</v>
      </c>
      <c r="F23" s="61"/>
      <c r="G23" s="63"/>
      <c r="H23" s="59"/>
      <c r="I23" s="59"/>
      <c r="J23" s="78"/>
      <c r="K23" s="59"/>
    </row>
    <row r="24" ht="12" customHeight="1" spans="1:11">
      <c r="A24" s="64">
        <v>5</v>
      </c>
      <c r="B24" s="89" t="s">
        <v>202</v>
      </c>
      <c r="C24" s="89">
        <v>1</v>
      </c>
      <c r="D24" s="89">
        <v>1.28</v>
      </c>
      <c r="E24" s="59">
        <f t="shared" si="0"/>
        <v>1.28</v>
      </c>
      <c r="F24" s="61"/>
      <c r="G24" s="63"/>
      <c r="H24" s="127">
        <v>39</v>
      </c>
      <c r="I24" s="127">
        <v>0.05</v>
      </c>
      <c r="J24" s="131">
        <f>H24*I24</f>
        <v>1.95</v>
      </c>
      <c r="K24" s="59"/>
    </row>
    <row r="25" ht="12" customHeight="1" spans="1:11">
      <c r="A25" s="64">
        <v>6</v>
      </c>
      <c r="B25" s="59" t="s">
        <v>203</v>
      </c>
      <c r="C25" s="59">
        <v>4</v>
      </c>
      <c r="D25" s="59">
        <v>0.15</v>
      </c>
      <c r="E25" s="59">
        <f t="shared" si="0"/>
        <v>0.6</v>
      </c>
      <c r="F25" s="61"/>
      <c r="G25" s="63"/>
      <c r="H25" s="59"/>
      <c r="I25" s="59"/>
      <c r="J25" s="78"/>
      <c r="K25" s="59"/>
    </row>
    <row r="26" ht="12" customHeight="1" spans="1:11">
      <c r="A26" s="64">
        <v>7</v>
      </c>
      <c r="B26" s="59" t="s">
        <v>204</v>
      </c>
      <c r="C26" s="59">
        <v>1</v>
      </c>
      <c r="D26" s="59">
        <v>1</v>
      </c>
      <c r="E26" s="59">
        <f t="shared" si="0"/>
        <v>1</v>
      </c>
      <c r="F26" s="61"/>
      <c r="G26" s="63"/>
      <c r="H26" s="59"/>
      <c r="I26" s="59"/>
      <c r="J26" s="78"/>
      <c r="K26" s="59"/>
    </row>
    <row r="27" ht="12" customHeight="1" spans="1:11">
      <c r="A27" s="64">
        <v>8</v>
      </c>
      <c r="B27" s="59" t="s">
        <v>205</v>
      </c>
      <c r="C27" s="59">
        <v>1</v>
      </c>
      <c r="D27" s="59">
        <v>1.1</v>
      </c>
      <c r="E27" s="59">
        <f t="shared" si="0"/>
        <v>1.1</v>
      </c>
      <c r="F27" s="61"/>
      <c r="G27" s="63"/>
      <c r="H27" s="59"/>
      <c r="I27" s="59"/>
      <c r="J27" s="78"/>
      <c r="K27" s="59"/>
    </row>
    <row r="28" ht="12" customHeight="1" spans="1:11">
      <c r="A28" s="64">
        <v>9</v>
      </c>
      <c r="B28" s="59" t="s">
        <v>206</v>
      </c>
      <c r="C28" s="59">
        <v>2</v>
      </c>
      <c r="D28" s="59">
        <v>0.04</v>
      </c>
      <c r="E28" s="59">
        <v>0.16</v>
      </c>
      <c r="F28" s="61"/>
      <c r="G28" s="63"/>
      <c r="H28" s="59"/>
      <c r="I28" s="59"/>
      <c r="J28" s="78"/>
      <c r="K28" s="59"/>
    </row>
    <row r="29" ht="12" customHeight="1" spans="1:18">
      <c r="A29" s="64">
        <v>3</v>
      </c>
      <c r="B29" s="76" t="s">
        <v>207</v>
      </c>
      <c r="C29" s="76" t="s">
        <v>208</v>
      </c>
      <c r="D29" s="76" t="s">
        <v>209</v>
      </c>
      <c r="E29" s="76" t="s">
        <v>210</v>
      </c>
      <c r="F29" s="61"/>
      <c r="G29" s="63"/>
      <c r="H29" s="59"/>
      <c r="I29" s="59"/>
      <c r="J29" s="78"/>
      <c r="K29" s="59"/>
      <c r="P29" s="77" t="s">
        <v>211</v>
      </c>
      <c r="Q29" s="77" t="s">
        <v>212</v>
      </c>
      <c r="R29" s="77" t="s">
        <v>213</v>
      </c>
    </row>
    <row r="30" ht="12" customHeight="1" spans="1:18">
      <c r="A30" s="64">
        <v>4</v>
      </c>
      <c r="B30" s="59" t="s">
        <v>214</v>
      </c>
      <c r="C30" s="59"/>
      <c r="D30" s="59"/>
      <c r="E30" s="78"/>
      <c r="F30" s="61"/>
      <c r="G30" s="63"/>
      <c r="H30" s="59"/>
      <c r="I30" s="59"/>
      <c r="J30" s="78"/>
      <c r="K30" s="59"/>
      <c r="P30" s="77" t="s">
        <v>215</v>
      </c>
      <c r="Q30" s="77" t="s">
        <v>216</v>
      </c>
      <c r="R30" s="77" t="s">
        <v>217</v>
      </c>
    </row>
    <row r="31" ht="12" customHeight="1" spans="1:11">
      <c r="A31" s="64">
        <v>5</v>
      </c>
      <c r="B31" s="76" t="s">
        <v>218</v>
      </c>
      <c r="C31" s="76"/>
      <c r="D31" s="59"/>
      <c r="E31" s="78"/>
      <c r="F31" s="61"/>
      <c r="G31" s="63"/>
      <c r="H31" s="59"/>
      <c r="I31" s="59"/>
      <c r="J31" s="78"/>
      <c r="K31" s="59"/>
    </row>
    <row r="32" ht="12" customHeight="1" spans="1:11">
      <c r="A32" s="64">
        <v>6</v>
      </c>
      <c r="B32" s="59" t="s">
        <v>180</v>
      </c>
      <c r="C32" s="59"/>
      <c r="D32" s="59"/>
      <c r="E32" s="78"/>
      <c r="F32" s="61" t="s">
        <v>182</v>
      </c>
      <c r="G32" s="63"/>
      <c r="H32" s="59"/>
      <c r="I32" s="59"/>
      <c r="J32" s="83">
        <v>4.56</v>
      </c>
      <c r="K32" s="127">
        <f>J24+0.3</f>
        <v>2.25</v>
      </c>
    </row>
    <row r="33" ht="12" customHeight="1" spans="1:18">
      <c r="A33" s="64">
        <v>7</v>
      </c>
      <c r="B33" s="59"/>
      <c r="C33" s="59"/>
      <c r="D33" s="59"/>
      <c r="E33" s="78"/>
      <c r="F33" s="61" t="s">
        <v>219</v>
      </c>
      <c r="G33" s="63"/>
      <c r="H33" s="66" t="s">
        <v>220</v>
      </c>
      <c r="I33" s="66" t="s">
        <v>221</v>
      </c>
      <c r="J33" s="73" t="s">
        <v>187</v>
      </c>
      <c r="K33" s="59" t="s">
        <v>107</v>
      </c>
      <c r="P33" s="64" t="s">
        <v>222</v>
      </c>
      <c r="Q33" s="64" t="s">
        <v>223</v>
      </c>
      <c r="R33" s="64" t="s">
        <v>182</v>
      </c>
    </row>
    <row r="34" ht="12" customHeight="1" spans="1:18">
      <c r="A34" s="64">
        <v>8</v>
      </c>
      <c r="B34" s="59"/>
      <c r="C34" s="59"/>
      <c r="D34" s="59"/>
      <c r="E34" s="78"/>
      <c r="F34" s="61" t="s">
        <v>224</v>
      </c>
      <c r="G34" s="63"/>
      <c r="H34" s="59">
        <v>10</v>
      </c>
      <c r="I34" s="59"/>
      <c r="J34" s="59"/>
      <c r="K34" s="59"/>
      <c r="P34" s="64">
        <v>2.43</v>
      </c>
      <c r="Q34" s="64">
        <v>1.4</v>
      </c>
      <c r="R34" s="64">
        <f>P34*Q34</f>
        <v>3.402</v>
      </c>
    </row>
    <row r="35" ht="12" customHeight="1" spans="1:11">
      <c r="A35" s="64">
        <v>9</v>
      </c>
      <c r="B35" s="59" t="s">
        <v>225</v>
      </c>
      <c r="C35" s="59"/>
      <c r="D35" s="59"/>
      <c r="E35" s="78"/>
      <c r="F35" s="61" t="s">
        <v>226</v>
      </c>
      <c r="G35" s="63"/>
      <c r="H35" s="59">
        <v>16</v>
      </c>
      <c r="I35" s="59"/>
      <c r="J35" s="59"/>
      <c r="K35" s="59"/>
    </row>
    <row r="36" ht="12" customHeight="1" spans="1:5">
      <c r="A36" s="68" t="s">
        <v>182</v>
      </c>
      <c r="B36" s="70"/>
      <c r="C36" s="70"/>
      <c r="D36" s="69"/>
      <c r="E36" s="78"/>
    </row>
    <row r="37" ht="12" customHeight="1" spans="1:18">
      <c r="A37" s="72" t="s">
        <v>227</v>
      </c>
      <c r="B37" s="72"/>
      <c r="C37" s="72" t="s">
        <v>208</v>
      </c>
      <c r="E37" s="73" t="s">
        <v>228</v>
      </c>
      <c r="F37" s="74">
        <f>SUM(C38:C43)</f>
        <v>24.2</v>
      </c>
      <c r="G37" s="74"/>
      <c r="H37" s="74"/>
      <c r="I37" s="74"/>
      <c r="J37" s="74"/>
      <c r="K37" s="74"/>
      <c r="L37" s="139">
        <v>21.89</v>
      </c>
      <c r="P37" s="64" t="s">
        <v>229</v>
      </c>
      <c r="Q37" s="64" t="s">
        <v>230</v>
      </c>
      <c r="R37" s="64" t="s">
        <v>182</v>
      </c>
    </row>
    <row r="38" ht="12" customHeight="1" spans="1:18">
      <c r="A38" s="64" t="s">
        <v>231</v>
      </c>
      <c r="B38" s="64"/>
      <c r="C38" s="75">
        <v>9.53</v>
      </c>
      <c r="D38" s="132">
        <v>9.53</v>
      </c>
      <c r="E38" s="76" t="s">
        <v>232</v>
      </c>
      <c r="F38" s="74">
        <v>0.783405</v>
      </c>
      <c r="G38" s="74"/>
      <c r="H38" s="74"/>
      <c r="I38" s="74"/>
      <c r="J38" s="74"/>
      <c r="K38" s="74"/>
      <c r="L38" s="139">
        <v>0.783405</v>
      </c>
      <c r="P38" s="64">
        <v>26.22</v>
      </c>
      <c r="Q38" s="64">
        <v>3.402</v>
      </c>
      <c r="R38" s="84">
        <f>P38+Q38</f>
        <v>29.622</v>
      </c>
    </row>
    <row r="39" ht="12" customHeight="1" spans="1:12">
      <c r="A39" s="64" t="s">
        <v>233</v>
      </c>
      <c r="B39" s="64"/>
      <c r="C39" s="75">
        <v>1.35</v>
      </c>
      <c r="D39" s="132">
        <v>1.35</v>
      </c>
      <c r="E39" s="76" t="s">
        <v>234</v>
      </c>
      <c r="F39" s="74">
        <v>1.56681</v>
      </c>
      <c r="G39" s="74"/>
      <c r="H39" s="74"/>
      <c r="I39" s="74"/>
      <c r="J39" s="74"/>
      <c r="K39" s="74"/>
      <c r="L39" s="139">
        <v>1.56681</v>
      </c>
    </row>
    <row r="40" ht="12" customHeight="1" spans="1:12">
      <c r="A40" s="64" t="s">
        <v>235</v>
      </c>
      <c r="B40" s="64"/>
      <c r="C40" s="75">
        <f>SUM(E20:E28)</f>
        <v>8.76</v>
      </c>
      <c r="D40" s="132">
        <v>8.76</v>
      </c>
      <c r="E40" s="76" t="s">
        <v>236</v>
      </c>
      <c r="F40" s="74">
        <v>1.5</v>
      </c>
      <c r="G40" s="74"/>
      <c r="H40" s="74"/>
      <c r="I40" s="74"/>
      <c r="J40" s="74"/>
      <c r="K40" s="74"/>
      <c r="L40" s="139">
        <v>1.5</v>
      </c>
    </row>
    <row r="41" ht="12" customHeight="1" spans="1:12">
      <c r="A41" s="68" t="s">
        <v>237</v>
      </c>
      <c r="B41" s="69"/>
      <c r="C41" s="75"/>
      <c r="D41" s="132"/>
      <c r="E41" s="76" t="s">
        <v>106</v>
      </c>
      <c r="F41" s="74"/>
      <c r="G41" s="74"/>
      <c r="H41" s="74"/>
      <c r="I41" s="74"/>
      <c r="J41" s="74"/>
      <c r="K41" s="74"/>
      <c r="L41" s="139"/>
    </row>
    <row r="42" ht="12" customHeight="1" spans="1:12">
      <c r="A42" s="64" t="s">
        <v>238</v>
      </c>
      <c r="B42" s="64"/>
      <c r="C42" s="138">
        <v>4.56</v>
      </c>
      <c r="D42" s="132">
        <v>2.25</v>
      </c>
      <c r="E42" s="76" t="s">
        <v>239</v>
      </c>
      <c r="F42" s="81">
        <f>SUM(F37:K41)</f>
        <v>28.050215</v>
      </c>
      <c r="G42" s="81"/>
      <c r="H42" s="81"/>
      <c r="I42" s="81"/>
      <c r="J42" s="81"/>
      <c r="K42" s="81"/>
      <c r="L42" s="139">
        <f>SUM(L37:L41)</f>
        <v>25.740215</v>
      </c>
    </row>
    <row r="43" ht="12" customHeight="1" spans="1:4">
      <c r="A43" s="64" t="s">
        <v>219</v>
      </c>
      <c r="B43" s="64"/>
      <c r="C43" s="75"/>
      <c r="D43" s="132">
        <f>SUM(D38:D42)</f>
        <v>21.89</v>
      </c>
    </row>
    <row r="44" spans="9:9">
      <c r="I44" t="s">
        <v>240</v>
      </c>
    </row>
    <row r="45" ht="12" customHeight="1"/>
    <row r="46" hidden="1"/>
    <row r="47" ht="18" customHeight="1" spans="1:11">
      <c r="A47" s="137" t="s">
        <v>241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</row>
    <row r="48" ht="12" customHeight="1" spans="1:11">
      <c r="A48" s="59" t="s">
        <v>29</v>
      </c>
      <c r="B48" s="59" t="s">
        <v>151</v>
      </c>
      <c r="C48" s="59" t="s">
        <v>152</v>
      </c>
      <c r="D48" s="59" t="s">
        <v>153</v>
      </c>
      <c r="E48" s="59" t="s">
        <v>154</v>
      </c>
      <c r="F48" s="59" t="s">
        <v>155</v>
      </c>
      <c r="G48" s="59" t="s">
        <v>156</v>
      </c>
      <c r="H48" s="59" t="s">
        <v>157</v>
      </c>
      <c r="I48" s="59" t="s">
        <v>158</v>
      </c>
      <c r="J48" s="59" t="s">
        <v>159</v>
      </c>
      <c r="K48" s="59" t="s">
        <v>160</v>
      </c>
    </row>
    <row r="49" ht="12" customHeight="1" spans="1:11">
      <c r="A49" s="59">
        <v>1</v>
      </c>
      <c r="B49" s="59" t="s">
        <v>242</v>
      </c>
      <c r="C49" s="59"/>
      <c r="D49" s="59" t="s">
        <v>162</v>
      </c>
      <c r="E49" s="60">
        <v>6.1</v>
      </c>
      <c r="F49" s="60">
        <v>1.3</v>
      </c>
      <c r="G49" s="60">
        <f>F49*E49</f>
        <v>7.93</v>
      </c>
      <c r="H49" s="60"/>
      <c r="I49" s="60">
        <v>0</v>
      </c>
      <c r="J49" s="60">
        <v>0</v>
      </c>
      <c r="K49" s="60">
        <f>G49</f>
        <v>7.93</v>
      </c>
    </row>
    <row r="50" ht="12" customHeight="1" spans="1:11">
      <c r="A50" s="59">
        <v>2</v>
      </c>
      <c r="B50" s="59" t="s">
        <v>243</v>
      </c>
      <c r="C50" s="59"/>
      <c r="D50" s="59" t="s">
        <v>162</v>
      </c>
      <c r="E50" s="60">
        <v>6.1</v>
      </c>
      <c r="F50" s="60">
        <v>0.15</v>
      </c>
      <c r="G50" s="60">
        <f>F50*E50</f>
        <v>0.915</v>
      </c>
      <c r="H50" s="60"/>
      <c r="I50" s="60">
        <v>0</v>
      </c>
      <c r="J50" s="60">
        <v>0</v>
      </c>
      <c r="K50" s="60">
        <f>G50</f>
        <v>0.915</v>
      </c>
    </row>
    <row r="51" ht="12" customHeight="1" spans="1:11">
      <c r="A51" s="59">
        <v>3</v>
      </c>
      <c r="B51" s="59" t="s">
        <v>163</v>
      </c>
      <c r="C51" s="59"/>
      <c r="D51" s="59" t="s">
        <v>162</v>
      </c>
      <c r="E51" s="60">
        <v>6.1</v>
      </c>
      <c r="F51" s="59">
        <v>0.023</v>
      </c>
      <c r="G51" s="60">
        <f>F51*E51</f>
        <v>0.1403</v>
      </c>
      <c r="H51" s="59"/>
      <c r="I51" s="60">
        <v>0</v>
      </c>
      <c r="J51" s="60">
        <v>0</v>
      </c>
      <c r="K51" s="60">
        <f>G51</f>
        <v>0.1403</v>
      </c>
    </row>
    <row r="52" ht="12" customHeight="1" spans="1:11">
      <c r="A52" s="59">
        <v>4</v>
      </c>
      <c r="B52" s="59" t="s">
        <v>244</v>
      </c>
      <c r="C52" s="59"/>
      <c r="D52" s="59" t="s">
        <v>165</v>
      </c>
      <c r="E52" s="60">
        <v>6.1</v>
      </c>
      <c r="F52" s="59">
        <v>0.31</v>
      </c>
      <c r="G52" s="60">
        <f>F52*E52</f>
        <v>1.891</v>
      </c>
      <c r="H52" s="59"/>
      <c r="I52" s="60">
        <v>0</v>
      </c>
      <c r="J52" s="60"/>
      <c r="K52" s="60">
        <f>G52</f>
        <v>1.891</v>
      </c>
    </row>
    <row r="53" ht="12" customHeight="1" spans="1:11">
      <c r="A53" s="61" t="s">
        <v>182</v>
      </c>
      <c r="B53" s="62"/>
      <c r="C53" s="62"/>
      <c r="D53" s="62"/>
      <c r="E53" s="62"/>
      <c r="F53" s="62"/>
      <c r="G53" s="62"/>
      <c r="H53" s="62"/>
      <c r="I53" s="62"/>
      <c r="J53" s="63"/>
      <c r="K53" s="60">
        <f>SUM(K49:K52)</f>
        <v>10.8763</v>
      </c>
    </row>
    <row r="54" ht="12" customHeight="1" spans="1:11">
      <c r="A54" s="59" t="s">
        <v>29</v>
      </c>
      <c r="B54" s="59" t="s">
        <v>151</v>
      </c>
      <c r="C54" s="59" t="s">
        <v>152</v>
      </c>
      <c r="D54" s="59" t="s">
        <v>166</v>
      </c>
      <c r="E54" s="59" t="s">
        <v>167</v>
      </c>
      <c r="F54" s="59" t="s">
        <v>168</v>
      </c>
      <c r="G54" s="59" t="s">
        <v>169</v>
      </c>
      <c r="H54" s="59" t="s">
        <v>170</v>
      </c>
      <c r="I54" s="59" t="s">
        <v>171</v>
      </c>
      <c r="J54" s="61" t="s">
        <v>107</v>
      </c>
      <c r="K54" s="63"/>
    </row>
    <row r="55" ht="12" customHeight="1" spans="1:11">
      <c r="A55" s="59">
        <v>1</v>
      </c>
      <c r="B55" s="59" t="s">
        <v>172</v>
      </c>
      <c r="C55" s="59"/>
      <c r="D55" s="59"/>
      <c r="E55" s="59" t="s">
        <v>173</v>
      </c>
      <c r="F55" s="59"/>
      <c r="G55" s="59">
        <v>4</v>
      </c>
      <c r="H55" s="59">
        <v>0.05</v>
      </c>
      <c r="I55" s="59">
        <v>0.2</v>
      </c>
      <c r="J55" s="61"/>
      <c r="K55" s="63"/>
    </row>
    <row r="56" ht="12" customHeight="1" spans="1:11">
      <c r="A56" s="59">
        <v>2</v>
      </c>
      <c r="B56" s="59" t="s">
        <v>174</v>
      </c>
      <c r="C56" s="59"/>
      <c r="D56" s="59"/>
      <c r="E56" s="59" t="s">
        <v>175</v>
      </c>
      <c r="F56" s="59"/>
      <c r="G56" s="59">
        <v>5</v>
      </c>
      <c r="H56" s="59">
        <v>0.08</v>
      </c>
      <c r="I56" s="59">
        <v>0.4</v>
      </c>
      <c r="J56" s="61"/>
      <c r="K56" s="63"/>
    </row>
    <row r="57" ht="12" customHeight="1" spans="1:11">
      <c r="A57" s="59">
        <v>3</v>
      </c>
      <c r="B57" s="59" t="s">
        <v>245</v>
      </c>
      <c r="C57" s="59"/>
      <c r="D57" s="59"/>
      <c r="E57" s="59" t="s">
        <v>246</v>
      </c>
      <c r="F57" s="59"/>
      <c r="G57" s="59">
        <v>1</v>
      </c>
      <c r="H57" s="59">
        <v>0.06</v>
      </c>
      <c r="I57" s="59">
        <v>0.06</v>
      </c>
      <c r="J57" s="61"/>
      <c r="K57" s="63"/>
    </row>
    <row r="58" ht="12" customHeight="1" spans="1:15">
      <c r="A58" s="59">
        <v>4</v>
      </c>
      <c r="B58" s="59" t="s">
        <v>247</v>
      </c>
      <c r="C58" s="59"/>
      <c r="D58" s="64"/>
      <c r="E58" s="59" t="s">
        <v>246</v>
      </c>
      <c r="F58" s="64"/>
      <c r="G58" s="59">
        <v>1</v>
      </c>
      <c r="H58" s="59">
        <v>0.06</v>
      </c>
      <c r="I58" s="59">
        <v>0.06</v>
      </c>
      <c r="J58" s="61"/>
      <c r="K58" s="63"/>
      <c r="O58" s="64" t="s">
        <v>176</v>
      </c>
    </row>
    <row r="59" ht="12" customHeight="1" spans="1:15">
      <c r="A59" s="59">
        <v>5</v>
      </c>
      <c r="B59" s="59" t="s">
        <v>180</v>
      </c>
      <c r="C59" s="59"/>
      <c r="D59" s="64"/>
      <c r="E59" s="59" t="s">
        <v>181</v>
      </c>
      <c r="F59" s="59"/>
      <c r="G59" s="59">
        <v>1</v>
      </c>
      <c r="H59" s="59">
        <v>0.05</v>
      </c>
      <c r="I59" s="59">
        <v>0.05</v>
      </c>
      <c r="J59" s="61"/>
      <c r="K59" s="63"/>
      <c r="O59" s="64" t="s">
        <v>248</v>
      </c>
    </row>
    <row r="60" ht="12" customHeight="1" spans="1:11">
      <c r="A60" s="59"/>
      <c r="B60" s="59" t="s">
        <v>177</v>
      </c>
      <c r="C60" s="59"/>
      <c r="D60" s="64"/>
      <c r="E60" s="59"/>
      <c r="F60" s="59"/>
      <c r="G60" s="59">
        <v>2</v>
      </c>
      <c r="H60" s="59">
        <v>0.15</v>
      </c>
      <c r="I60" s="59">
        <v>0.3</v>
      </c>
      <c r="J60" s="61"/>
      <c r="K60" s="63"/>
    </row>
    <row r="61" ht="12" customHeight="1" spans="1:11">
      <c r="A61" s="59">
        <v>6</v>
      </c>
      <c r="B61" s="59" t="s">
        <v>179</v>
      </c>
      <c r="C61" s="59"/>
      <c r="D61" s="64"/>
      <c r="E61" s="59"/>
      <c r="F61" s="59"/>
      <c r="G61" s="59"/>
      <c r="H61" s="59"/>
      <c r="I61" s="59">
        <v>0.4</v>
      </c>
      <c r="J61" s="61"/>
      <c r="K61" s="63"/>
    </row>
    <row r="62" ht="12" customHeight="1" spans="1:11">
      <c r="A62" s="61" t="s">
        <v>182</v>
      </c>
      <c r="B62" s="62"/>
      <c r="C62" s="62"/>
      <c r="D62" s="62"/>
      <c r="E62" s="62"/>
      <c r="F62" s="62"/>
      <c r="G62" s="62"/>
      <c r="H62" s="63"/>
      <c r="I62" s="59">
        <v>1.47</v>
      </c>
      <c r="J62" s="59"/>
      <c r="K62" s="59"/>
    </row>
    <row r="63" ht="5" customHeight="1" spans="1:11">
      <c r="A63" s="61"/>
      <c r="B63" s="62"/>
      <c r="C63" s="62"/>
      <c r="D63" s="62"/>
      <c r="E63" s="62"/>
      <c r="F63" s="62"/>
      <c r="G63" s="62"/>
      <c r="H63" s="62"/>
      <c r="I63" s="62"/>
      <c r="J63" s="62"/>
      <c r="K63" s="63"/>
    </row>
    <row r="64" ht="12" customHeight="1" spans="1:15">
      <c r="A64" s="61" t="s">
        <v>183</v>
      </c>
      <c r="B64" s="62"/>
      <c r="C64" s="62"/>
      <c r="D64" s="62"/>
      <c r="E64" s="63"/>
      <c r="F64" s="59" t="s">
        <v>184</v>
      </c>
      <c r="G64" s="59"/>
      <c r="H64" s="59" t="s">
        <v>185</v>
      </c>
      <c r="I64" s="59" t="s">
        <v>186</v>
      </c>
      <c r="J64" s="59" t="s">
        <v>187</v>
      </c>
      <c r="K64" s="63" t="s">
        <v>107</v>
      </c>
      <c r="M64" s="130" t="s">
        <v>188</v>
      </c>
      <c r="O64" s="130" t="s">
        <v>189</v>
      </c>
    </row>
    <row r="65" ht="12" customHeight="1" spans="1:15">
      <c r="A65" s="59" t="s">
        <v>29</v>
      </c>
      <c r="B65" s="59" t="s">
        <v>190</v>
      </c>
      <c r="C65" s="59" t="s">
        <v>191</v>
      </c>
      <c r="D65" s="59" t="s">
        <v>192</v>
      </c>
      <c r="E65" s="59" t="s">
        <v>171</v>
      </c>
      <c r="F65" s="59" t="s">
        <v>193</v>
      </c>
      <c r="G65" s="59"/>
      <c r="H65" s="82">
        <v>6</v>
      </c>
      <c r="I65" s="59">
        <v>0.05</v>
      </c>
      <c r="J65" s="83">
        <v>0.36</v>
      </c>
      <c r="K65" s="59"/>
      <c r="M65" s="64" t="s">
        <v>194</v>
      </c>
      <c r="O65" s="64" t="s">
        <v>195</v>
      </c>
    </row>
    <row r="66" ht="12" customHeight="1" spans="1:13">
      <c r="A66" s="64">
        <v>1</v>
      </c>
      <c r="B66" s="59" t="s">
        <v>196</v>
      </c>
      <c r="C66" s="59">
        <v>2</v>
      </c>
      <c r="D66" s="59">
        <v>0.15</v>
      </c>
      <c r="E66" s="59">
        <f>D66*C66</f>
        <v>0.3</v>
      </c>
      <c r="F66" s="61" t="s">
        <v>249</v>
      </c>
      <c r="G66" s="63"/>
      <c r="H66" s="82">
        <v>3</v>
      </c>
      <c r="I66" s="59">
        <v>0.05</v>
      </c>
      <c r="J66" s="83">
        <v>0.18</v>
      </c>
      <c r="K66" s="59"/>
      <c r="M66" s="64" t="s">
        <v>198</v>
      </c>
    </row>
    <row r="67" ht="12" customHeight="1" spans="1:18">
      <c r="A67" s="64">
        <v>2</v>
      </c>
      <c r="B67" s="59" t="s">
        <v>199</v>
      </c>
      <c r="C67" s="59">
        <v>2</v>
      </c>
      <c r="D67" s="59">
        <v>0.8</v>
      </c>
      <c r="E67" s="59">
        <f t="shared" ref="E67:E74" si="1">D67*C67</f>
        <v>1.6</v>
      </c>
      <c r="F67" s="61" t="s">
        <v>197</v>
      </c>
      <c r="G67" s="63"/>
      <c r="H67" s="82">
        <v>67.8</v>
      </c>
      <c r="I67" s="59">
        <v>0.05</v>
      </c>
      <c r="J67" s="83">
        <v>4.068</v>
      </c>
      <c r="K67" s="59"/>
      <c r="M67" s="64">
        <v>40</v>
      </c>
      <c r="P67" s="77" t="s">
        <v>211</v>
      </c>
      <c r="Q67" s="77" t="s">
        <v>212</v>
      </c>
      <c r="R67" s="77" t="s">
        <v>213</v>
      </c>
    </row>
    <row r="68" ht="12" customHeight="1" spans="1:18">
      <c r="A68" s="64"/>
      <c r="B68" s="59" t="s">
        <v>200</v>
      </c>
      <c r="C68" s="59">
        <v>1</v>
      </c>
      <c r="D68" s="59">
        <v>0.57</v>
      </c>
      <c r="E68" s="59">
        <f t="shared" si="1"/>
        <v>0.57</v>
      </c>
      <c r="F68" s="61"/>
      <c r="G68" s="63"/>
      <c r="H68" s="59"/>
      <c r="I68" s="59"/>
      <c r="J68" s="78"/>
      <c r="K68" s="59"/>
      <c r="P68" s="77" t="s">
        <v>215</v>
      </c>
      <c r="Q68" s="77" t="s">
        <v>216</v>
      </c>
      <c r="R68" s="77" t="s">
        <v>217</v>
      </c>
    </row>
    <row r="69" ht="12" customHeight="1" spans="1:11">
      <c r="A69" s="64"/>
      <c r="B69" s="59" t="s">
        <v>250</v>
      </c>
      <c r="C69" s="59">
        <v>1</v>
      </c>
      <c r="D69" s="59">
        <v>4</v>
      </c>
      <c r="E69" s="59">
        <f t="shared" si="1"/>
        <v>4</v>
      </c>
      <c r="F69" s="61"/>
      <c r="G69" s="63"/>
      <c r="H69" s="59"/>
      <c r="I69" s="59"/>
      <c r="J69" s="78"/>
      <c r="K69" s="59"/>
    </row>
    <row r="70" ht="12" customHeight="1" spans="1:11">
      <c r="A70" s="64"/>
      <c r="B70" s="59" t="s">
        <v>251</v>
      </c>
      <c r="C70" s="59">
        <v>1</v>
      </c>
      <c r="D70" s="59">
        <v>0.89</v>
      </c>
      <c r="E70" s="59">
        <f t="shared" si="1"/>
        <v>0.89</v>
      </c>
      <c r="F70" s="61"/>
      <c r="G70" s="63"/>
      <c r="H70" s="127">
        <v>40</v>
      </c>
      <c r="I70" s="127">
        <v>0.05</v>
      </c>
      <c r="J70" s="131">
        <f>H70*I70</f>
        <v>2</v>
      </c>
      <c r="K70" s="59"/>
    </row>
    <row r="71" ht="12" customHeight="1" spans="1:18">
      <c r="A71" s="64"/>
      <c r="B71" s="59" t="s">
        <v>203</v>
      </c>
      <c r="C71" s="59">
        <v>4</v>
      </c>
      <c r="D71" s="59">
        <v>0.15</v>
      </c>
      <c r="E71" s="59">
        <f t="shared" si="1"/>
        <v>0.6</v>
      </c>
      <c r="F71" s="61"/>
      <c r="G71" s="63"/>
      <c r="H71" s="59"/>
      <c r="I71" s="59"/>
      <c r="J71" s="78"/>
      <c r="K71" s="59"/>
      <c r="P71" s="64" t="s">
        <v>222</v>
      </c>
      <c r="Q71" s="64" t="s">
        <v>223</v>
      </c>
      <c r="R71" s="64" t="s">
        <v>182</v>
      </c>
    </row>
    <row r="72" ht="12" customHeight="1" spans="1:18">
      <c r="A72" s="64"/>
      <c r="B72" s="59" t="s">
        <v>204</v>
      </c>
      <c r="C72" s="59">
        <v>1</v>
      </c>
      <c r="D72" s="59">
        <v>1</v>
      </c>
      <c r="E72" s="59">
        <f t="shared" si="1"/>
        <v>1</v>
      </c>
      <c r="F72" s="61"/>
      <c r="G72" s="63"/>
      <c r="H72" s="59"/>
      <c r="I72" s="59"/>
      <c r="J72" s="78"/>
      <c r="K72" s="59"/>
      <c r="P72" s="64">
        <v>2.59</v>
      </c>
      <c r="Q72" s="64">
        <v>1.4</v>
      </c>
      <c r="R72" s="64">
        <f>P72*Q72</f>
        <v>3.626</v>
      </c>
    </row>
    <row r="73" ht="12" customHeight="1" spans="1:11">
      <c r="A73" s="64"/>
      <c r="B73" s="59" t="s">
        <v>205</v>
      </c>
      <c r="C73" s="59">
        <v>1</v>
      </c>
      <c r="D73" s="59">
        <v>1.1</v>
      </c>
      <c r="E73" s="59">
        <f t="shared" si="1"/>
        <v>1.1</v>
      </c>
      <c r="F73" s="61"/>
      <c r="G73" s="63"/>
      <c r="H73" s="59"/>
      <c r="I73" s="59"/>
      <c r="J73" s="78"/>
      <c r="K73" s="59"/>
    </row>
    <row r="74" ht="12" customHeight="1" spans="1:11">
      <c r="A74" s="64"/>
      <c r="B74" s="59" t="s">
        <v>206</v>
      </c>
      <c r="C74" s="59">
        <v>2</v>
      </c>
      <c r="D74" s="59">
        <v>0.04</v>
      </c>
      <c r="E74" s="59">
        <f t="shared" si="1"/>
        <v>0.08</v>
      </c>
      <c r="F74" s="61"/>
      <c r="G74" s="63"/>
      <c r="H74" s="59"/>
      <c r="I74" s="59"/>
      <c r="J74" s="78"/>
      <c r="K74" s="59"/>
    </row>
    <row r="75" spans="1:18">
      <c r="A75" s="64">
        <v>3</v>
      </c>
      <c r="B75" s="76" t="s">
        <v>207</v>
      </c>
      <c r="C75" s="76" t="s">
        <v>208</v>
      </c>
      <c r="D75" s="76" t="s">
        <v>209</v>
      </c>
      <c r="E75" s="76" t="s">
        <v>210</v>
      </c>
      <c r="F75" s="61"/>
      <c r="G75" s="63"/>
      <c r="H75" s="59"/>
      <c r="I75" s="59"/>
      <c r="J75" s="78"/>
      <c r="K75" s="59"/>
      <c r="P75" s="64" t="s">
        <v>229</v>
      </c>
      <c r="Q75" s="64" t="s">
        <v>230</v>
      </c>
      <c r="R75" s="64" t="s">
        <v>182</v>
      </c>
    </row>
    <row r="76" ht="20" customHeight="1" spans="1:19">
      <c r="A76" s="64">
        <v>4</v>
      </c>
      <c r="B76" s="59"/>
      <c r="C76" s="59"/>
      <c r="D76" s="59"/>
      <c r="E76" s="78"/>
      <c r="F76" s="61"/>
      <c r="G76" s="63"/>
      <c r="H76" s="59"/>
      <c r="I76" s="59"/>
      <c r="J76" s="78"/>
      <c r="K76" s="59"/>
      <c r="P76" s="64">
        <v>29.4</v>
      </c>
      <c r="Q76" s="64">
        <v>3.402</v>
      </c>
      <c r="R76" s="84">
        <f>P76+Q76</f>
        <v>32.802</v>
      </c>
      <c r="S76" t="s">
        <v>252</v>
      </c>
    </row>
    <row r="77" ht="9" customHeight="1" spans="1:11">
      <c r="A77" s="64">
        <v>5</v>
      </c>
      <c r="B77" s="76"/>
      <c r="C77" s="76"/>
      <c r="D77" s="59"/>
      <c r="E77" s="78"/>
      <c r="F77" s="61"/>
      <c r="G77" s="63"/>
      <c r="H77" s="59"/>
      <c r="I77" s="59"/>
      <c r="J77" s="78"/>
      <c r="K77" s="59"/>
    </row>
    <row r="78" spans="1:11">
      <c r="A78" s="64">
        <v>6</v>
      </c>
      <c r="B78" s="59"/>
      <c r="C78" s="59"/>
      <c r="D78" s="59"/>
      <c r="E78" s="78"/>
      <c r="F78" s="61" t="s">
        <v>182</v>
      </c>
      <c r="G78" s="63"/>
      <c r="H78" s="59"/>
      <c r="I78" s="59"/>
      <c r="J78" s="78">
        <v>4.608</v>
      </c>
      <c r="K78" s="59">
        <f>K65+K66+K67</f>
        <v>0</v>
      </c>
    </row>
    <row r="79" ht="15" spans="1:11">
      <c r="A79" s="64">
        <v>7</v>
      </c>
      <c r="B79" s="59"/>
      <c r="C79" s="59"/>
      <c r="D79" s="59"/>
      <c r="E79" s="78"/>
      <c r="F79" s="61" t="s">
        <v>219</v>
      </c>
      <c r="G79" s="63"/>
      <c r="H79" s="66" t="s">
        <v>220</v>
      </c>
      <c r="I79" s="66" t="s">
        <v>221</v>
      </c>
      <c r="J79" s="73" t="s">
        <v>187</v>
      </c>
      <c r="K79" s="59" t="s">
        <v>107</v>
      </c>
    </row>
    <row r="80" spans="1:11">
      <c r="A80" s="64">
        <v>8</v>
      </c>
      <c r="B80" s="59"/>
      <c r="C80" s="59"/>
      <c r="D80" s="59"/>
      <c r="E80" s="78"/>
      <c r="F80" s="61" t="s">
        <v>224</v>
      </c>
      <c r="G80" s="63"/>
      <c r="H80" s="59">
        <v>10</v>
      </c>
      <c r="I80" s="59"/>
      <c r="J80" s="59"/>
      <c r="K80" s="59"/>
    </row>
    <row r="81" spans="1:11">
      <c r="A81" s="64">
        <v>9</v>
      </c>
      <c r="B81" s="59"/>
      <c r="C81" s="59"/>
      <c r="D81" s="59"/>
      <c r="E81" s="78"/>
      <c r="F81" s="61" t="s">
        <v>226</v>
      </c>
      <c r="G81" s="63"/>
      <c r="H81" s="59">
        <v>16</v>
      </c>
      <c r="I81" s="59"/>
      <c r="J81" s="59"/>
      <c r="K81" s="59"/>
    </row>
    <row r="82" spans="1:5">
      <c r="A82" s="68" t="s">
        <v>182</v>
      </c>
      <c r="B82" s="70"/>
      <c r="C82" s="70"/>
      <c r="D82" s="69"/>
      <c r="E82" s="78">
        <v>0.616666666666667</v>
      </c>
    </row>
    <row r="83" spans="1:12">
      <c r="A83" s="72" t="s">
        <v>227</v>
      </c>
      <c r="B83" s="72"/>
      <c r="C83" s="72" t="s">
        <v>208</v>
      </c>
      <c r="E83" s="73" t="s">
        <v>228</v>
      </c>
      <c r="F83" s="74">
        <v>27.09</v>
      </c>
      <c r="G83" s="74"/>
      <c r="H83" s="74"/>
      <c r="I83" s="74"/>
      <c r="J83" s="74"/>
      <c r="K83" s="74"/>
      <c r="L83" s="139">
        <v>24.49</v>
      </c>
    </row>
    <row r="84" spans="1:12">
      <c r="A84" s="64" t="s">
        <v>231</v>
      </c>
      <c r="B84" s="64"/>
      <c r="C84" s="80">
        <f>K53</f>
        <v>10.8763</v>
      </c>
      <c r="D84" s="132">
        <v>10.88</v>
      </c>
      <c r="E84" s="76" t="s">
        <v>232</v>
      </c>
      <c r="F84" s="74">
        <v>0.882545</v>
      </c>
      <c r="G84" s="74"/>
      <c r="H84" s="74"/>
      <c r="I84" s="74"/>
      <c r="J84" s="74"/>
      <c r="K84" s="74"/>
      <c r="L84" s="139">
        <v>0.88</v>
      </c>
    </row>
    <row r="85" spans="1:12">
      <c r="A85" s="64" t="s">
        <v>233</v>
      </c>
      <c r="B85" s="64"/>
      <c r="C85" s="80">
        <v>1.47</v>
      </c>
      <c r="D85" s="132">
        <v>1.47</v>
      </c>
      <c r="E85" s="76" t="s">
        <v>234</v>
      </c>
      <c r="F85" s="74">
        <v>1.76509</v>
      </c>
      <c r="G85" s="74"/>
      <c r="H85" s="74"/>
      <c r="I85" s="74"/>
      <c r="J85" s="74"/>
      <c r="K85" s="74"/>
      <c r="L85" s="139">
        <v>1.77</v>
      </c>
    </row>
    <row r="86" spans="1:12">
      <c r="A86" s="64" t="s">
        <v>235</v>
      </c>
      <c r="B86" s="64"/>
      <c r="C86" s="80">
        <f>SUM(E66:E74)</f>
        <v>10.14</v>
      </c>
      <c r="D86" s="132">
        <v>10.14</v>
      </c>
      <c r="E86" s="76" t="s">
        <v>236</v>
      </c>
      <c r="F86" s="74">
        <v>1.7</v>
      </c>
      <c r="G86" s="74"/>
      <c r="H86" s="74"/>
      <c r="I86" s="74"/>
      <c r="J86" s="74"/>
      <c r="K86" s="74"/>
      <c r="L86" s="139">
        <v>1.7</v>
      </c>
    </row>
    <row r="87" spans="1:12">
      <c r="A87" s="68" t="s">
        <v>237</v>
      </c>
      <c r="B87" s="69"/>
      <c r="C87" s="80"/>
      <c r="D87" s="132"/>
      <c r="E87" s="76" t="s">
        <v>106</v>
      </c>
      <c r="F87" s="74"/>
      <c r="G87" s="74"/>
      <c r="H87" s="74"/>
      <c r="I87" s="74"/>
      <c r="J87" s="74"/>
      <c r="K87" s="74"/>
      <c r="L87" s="139"/>
    </row>
    <row r="88" spans="1:12">
      <c r="A88" s="64" t="s">
        <v>238</v>
      </c>
      <c r="B88" s="64"/>
      <c r="C88" s="80">
        <f>J78</f>
        <v>4.608</v>
      </c>
      <c r="D88" s="132">
        <v>2</v>
      </c>
      <c r="E88" s="76" t="s">
        <v>239</v>
      </c>
      <c r="F88" s="74">
        <f>SUM(F83:K87)</f>
        <v>31.437635</v>
      </c>
      <c r="G88" s="74"/>
      <c r="H88" s="74"/>
      <c r="I88" s="74"/>
      <c r="J88" s="74"/>
      <c r="K88" s="74"/>
      <c r="L88" s="139">
        <f>SUM(L83:L87)</f>
        <v>28.84</v>
      </c>
    </row>
    <row r="89" spans="1:4">
      <c r="A89" s="64" t="s">
        <v>219</v>
      </c>
      <c r="B89" s="64"/>
      <c r="C89" s="75"/>
      <c r="D89" s="132">
        <f>SUM(D84:D88)</f>
        <v>24.49</v>
      </c>
    </row>
    <row r="90" spans="8:9">
      <c r="H90" t="s">
        <v>252</v>
      </c>
      <c r="I90" t="s">
        <v>253</v>
      </c>
    </row>
  </sheetData>
  <mergeCells count="72">
    <mergeCell ref="A2:K2"/>
    <mergeCell ref="A7:J7"/>
    <mergeCell ref="J8:K8"/>
    <mergeCell ref="J9:K9"/>
    <mergeCell ref="J10:K10"/>
    <mergeCell ref="J11:K11"/>
    <mergeCell ref="J12:K12"/>
    <mergeCell ref="J13:K13"/>
    <mergeCell ref="A16:H16"/>
    <mergeCell ref="A17:K17"/>
    <mergeCell ref="A18:E18"/>
    <mergeCell ref="F18:G18"/>
    <mergeCell ref="F19:G19"/>
    <mergeCell ref="F20:G20"/>
    <mergeCell ref="F21:G21"/>
    <mergeCell ref="F29:G29"/>
    <mergeCell ref="F30:G30"/>
    <mergeCell ref="F31:G31"/>
    <mergeCell ref="F32:G32"/>
    <mergeCell ref="F33:G33"/>
    <mergeCell ref="F34:G34"/>
    <mergeCell ref="F35:G35"/>
    <mergeCell ref="A36:D36"/>
    <mergeCell ref="A37:B37"/>
    <mergeCell ref="F37:K37"/>
    <mergeCell ref="A38:B38"/>
    <mergeCell ref="F38:K38"/>
    <mergeCell ref="A39:B39"/>
    <mergeCell ref="F39:K39"/>
    <mergeCell ref="A40:B40"/>
    <mergeCell ref="F40:K40"/>
    <mergeCell ref="A41:B41"/>
    <mergeCell ref="F41:K41"/>
    <mergeCell ref="A42:B42"/>
    <mergeCell ref="F42:K42"/>
    <mergeCell ref="A43:B43"/>
    <mergeCell ref="A47:K47"/>
    <mergeCell ref="A53:J53"/>
    <mergeCell ref="J54:K54"/>
    <mergeCell ref="J55:K55"/>
    <mergeCell ref="J56:K56"/>
    <mergeCell ref="J57:K57"/>
    <mergeCell ref="J58:K58"/>
    <mergeCell ref="J59:K59"/>
    <mergeCell ref="A62:H62"/>
    <mergeCell ref="A63:K63"/>
    <mergeCell ref="A64:E64"/>
    <mergeCell ref="F64:G64"/>
    <mergeCell ref="F65:G65"/>
    <mergeCell ref="F66:G66"/>
    <mergeCell ref="F67:G67"/>
    <mergeCell ref="F75:G75"/>
    <mergeCell ref="F76:G76"/>
    <mergeCell ref="F77:G77"/>
    <mergeCell ref="F78:G78"/>
    <mergeCell ref="F79:G79"/>
    <mergeCell ref="F80:G80"/>
    <mergeCell ref="F81:G81"/>
    <mergeCell ref="A82:D82"/>
    <mergeCell ref="A83:B83"/>
    <mergeCell ref="F83:K83"/>
    <mergeCell ref="A84:B84"/>
    <mergeCell ref="F84:K84"/>
    <mergeCell ref="A85:B85"/>
    <mergeCell ref="F85:K85"/>
    <mergeCell ref="A86:B86"/>
    <mergeCell ref="F86:K86"/>
    <mergeCell ref="A87:B87"/>
    <mergeCell ref="F87:K87"/>
    <mergeCell ref="A88:B88"/>
    <mergeCell ref="F88:K88"/>
    <mergeCell ref="A89:B89"/>
  </mergeCells>
  <pageMargins left="0.708661417322835" right="0.708661417322835" top="0.354330708661417" bottom="0.354330708661417" header="0.31496062992126" footer="0.31496062992126"/>
  <pageSetup paperSize="9" orientation="landscape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R66"/>
  <sheetViews>
    <sheetView topLeftCell="A37" workbookViewId="0">
      <selection activeCell="D70" sqref="D70"/>
    </sheetView>
  </sheetViews>
  <sheetFormatPr defaultColWidth="9" defaultRowHeight="13.5"/>
  <cols>
    <col min="1" max="1" width="4.625" customWidth="1"/>
    <col min="2" max="2" width="12.1833333333333" customWidth="1"/>
    <col min="3" max="11" width="10.1" customWidth="1"/>
    <col min="13" max="13" width="9.89166666666667" customWidth="1"/>
    <col min="14" max="14" width="4.69166666666667" customWidth="1"/>
    <col min="15" max="15" width="10.9416666666667" customWidth="1"/>
    <col min="16" max="16" width="4.68333333333333" customWidth="1"/>
  </cols>
  <sheetData>
    <row r="1" spans="1:2">
      <c r="A1" s="77"/>
      <c r="B1" s="77"/>
    </row>
    <row r="2" ht="25.5" spans="1:11">
      <c r="A2" s="58" t="s">
        <v>254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>
      <c r="A3" s="59" t="s">
        <v>29</v>
      </c>
      <c r="B3" s="59" t="s">
        <v>151</v>
      </c>
      <c r="C3" s="59" t="s">
        <v>152</v>
      </c>
      <c r="D3" s="59" t="s">
        <v>153</v>
      </c>
      <c r="E3" s="59" t="s">
        <v>154</v>
      </c>
      <c r="F3" s="59" t="s">
        <v>155</v>
      </c>
      <c r="G3" s="59" t="s">
        <v>156</v>
      </c>
      <c r="H3" s="59" t="s">
        <v>157</v>
      </c>
      <c r="I3" s="59" t="s">
        <v>158</v>
      </c>
      <c r="J3" s="59" t="s">
        <v>159</v>
      </c>
      <c r="K3" s="59" t="s">
        <v>160</v>
      </c>
    </row>
    <row r="4" spans="1:11">
      <c r="A4" s="59">
        <v>1</v>
      </c>
      <c r="B4" s="59" t="s">
        <v>255</v>
      </c>
      <c r="C4" s="59"/>
      <c r="D4" s="59" t="s">
        <v>256</v>
      </c>
      <c r="E4" s="60">
        <v>6.1</v>
      </c>
      <c r="F4" s="60">
        <v>0.72</v>
      </c>
      <c r="G4" s="60">
        <f>E4*F4</f>
        <v>4.392</v>
      </c>
      <c r="H4" s="60">
        <v>0.7</v>
      </c>
      <c r="I4" s="60">
        <v>0</v>
      </c>
      <c r="J4" s="60">
        <f>I4*1.3</f>
        <v>0</v>
      </c>
      <c r="K4" s="60">
        <f>G4-J4</f>
        <v>4.392</v>
      </c>
    </row>
    <row r="5" spans="1:11">
      <c r="A5" s="59">
        <v>2</v>
      </c>
      <c r="B5" s="59" t="s">
        <v>257</v>
      </c>
      <c r="C5" s="59"/>
      <c r="D5" s="59" t="s">
        <v>256</v>
      </c>
      <c r="E5" s="60">
        <v>5.9</v>
      </c>
      <c r="F5" s="60">
        <v>2</v>
      </c>
      <c r="G5" s="60">
        <f t="shared" ref="G5:G9" si="0">E5*F5</f>
        <v>11.8</v>
      </c>
      <c r="H5" s="60">
        <v>1.32</v>
      </c>
      <c r="I5" s="60">
        <f t="shared" ref="I5:I9" si="1">F5-H5</f>
        <v>0.68</v>
      </c>
      <c r="J5" s="60">
        <f t="shared" ref="J5:J9" si="2">I5*1.1</f>
        <v>0.748</v>
      </c>
      <c r="K5" s="60">
        <f t="shared" ref="K5:K9" si="3">G5-J5</f>
        <v>11.052</v>
      </c>
    </row>
    <row r="6" spans="1:11">
      <c r="A6" s="59">
        <v>3</v>
      </c>
      <c r="B6" s="59" t="s">
        <v>258</v>
      </c>
      <c r="C6" s="59"/>
      <c r="D6" s="59" t="s">
        <v>256</v>
      </c>
      <c r="E6" s="60">
        <v>5.9</v>
      </c>
      <c r="F6" s="60">
        <v>0.5</v>
      </c>
      <c r="G6" s="60">
        <f t="shared" si="0"/>
        <v>2.95</v>
      </c>
      <c r="H6" s="60">
        <v>0.4</v>
      </c>
      <c r="I6" s="60">
        <f t="shared" si="1"/>
        <v>0.1</v>
      </c>
      <c r="J6" s="60">
        <f t="shared" si="2"/>
        <v>0.11</v>
      </c>
      <c r="K6" s="60">
        <f t="shared" si="3"/>
        <v>2.84</v>
      </c>
    </row>
    <row r="7" spans="1:11">
      <c r="A7" s="59">
        <v>4</v>
      </c>
      <c r="B7" s="59" t="s">
        <v>259</v>
      </c>
      <c r="C7" s="59"/>
      <c r="D7" s="59" t="s">
        <v>256</v>
      </c>
      <c r="E7" s="60">
        <v>5.9</v>
      </c>
      <c r="F7" s="60">
        <v>0.46</v>
      </c>
      <c r="G7" s="60">
        <f t="shared" si="0"/>
        <v>2.714</v>
      </c>
      <c r="H7" s="60">
        <v>0.16</v>
      </c>
      <c r="I7" s="60">
        <f t="shared" si="1"/>
        <v>0.3</v>
      </c>
      <c r="J7" s="60">
        <f t="shared" si="2"/>
        <v>0.33</v>
      </c>
      <c r="K7" s="60">
        <f t="shared" si="3"/>
        <v>2.384</v>
      </c>
    </row>
    <row r="8" spans="1:11">
      <c r="A8" s="59">
        <v>5</v>
      </c>
      <c r="B8" s="59"/>
      <c r="C8" s="59"/>
      <c r="D8" s="59"/>
      <c r="E8" s="60"/>
      <c r="F8" s="60"/>
      <c r="G8" s="60">
        <f t="shared" si="0"/>
        <v>0</v>
      </c>
      <c r="H8" s="60"/>
      <c r="I8" s="60">
        <f t="shared" si="1"/>
        <v>0</v>
      </c>
      <c r="J8" s="60">
        <f t="shared" si="2"/>
        <v>0</v>
      </c>
      <c r="K8" s="60">
        <f t="shared" si="3"/>
        <v>0</v>
      </c>
    </row>
    <row r="9" spans="1:11">
      <c r="A9" s="59">
        <v>6</v>
      </c>
      <c r="B9" s="59"/>
      <c r="C9" s="59"/>
      <c r="D9" s="59"/>
      <c r="E9" s="60"/>
      <c r="F9" s="59"/>
      <c r="G9" s="60">
        <f t="shared" si="0"/>
        <v>0</v>
      </c>
      <c r="H9" s="59"/>
      <c r="I9" s="60">
        <f t="shared" si="1"/>
        <v>0</v>
      </c>
      <c r="J9" s="60">
        <f t="shared" si="2"/>
        <v>0</v>
      </c>
      <c r="K9" s="60">
        <f t="shared" si="3"/>
        <v>0</v>
      </c>
    </row>
    <row r="10" spans="1:11">
      <c r="A10" s="61" t="s">
        <v>182</v>
      </c>
      <c r="B10" s="62"/>
      <c r="C10" s="62"/>
      <c r="D10" s="62"/>
      <c r="E10" s="62"/>
      <c r="F10" s="62"/>
      <c r="G10" s="62"/>
      <c r="H10" s="62"/>
      <c r="I10" s="62"/>
      <c r="J10" s="63"/>
      <c r="K10" s="60">
        <f>SUM(K4:K9)</f>
        <v>20.668</v>
      </c>
    </row>
    <row r="11" spans="1:11">
      <c r="A11" s="59" t="s">
        <v>29</v>
      </c>
      <c r="B11" s="59" t="s">
        <v>151</v>
      </c>
      <c r="C11" s="59" t="s">
        <v>152</v>
      </c>
      <c r="D11" s="59" t="s">
        <v>166</v>
      </c>
      <c r="E11" s="59" t="s">
        <v>167</v>
      </c>
      <c r="F11" s="59" t="s">
        <v>168</v>
      </c>
      <c r="G11" s="59" t="s">
        <v>169</v>
      </c>
      <c r="H11" s="59" t="s">
        <v>170</v>
      </c>
      <c r="I11" s="59" t="s">
        <v>171</v>
      </c>
      <c r="J11" s="61" t="s">
        <v>107</v>
      </c>
      <c r="K11" s="63"/>
    </row>
    <row r="12" spans="1:11">
      <c r="A12" s="59">
        <v>1</v>
      </c>
      <c r="B12" s="59"/>
      <c r="C12" s="59"/>
      <c r="D12" s="59"/>
      <c r="E12" s="59" t="s">
        <v>260</v>
      </c>
      <c r="F12" s="59" t="s">
        <v>261</v>
      </c>
      <c r="G12" s="59"/>
      <c r="H12" s="59" t="s">
        <v>262</v>
      </c>
      <c r="I12" s="59"/>
      <c r="J12" s="61"/>
      <c r="K12" s="63"/>
    </row>
    <row r="13" spans="1:11">
      <c r="A13" s="59">
        <v>2</v>
      </c>
      <c r="B13" s="59" t="s">
        <v>263</v>
      </c>
      <c r="C13" s="59"/>
      <c r="D13" s="59"/>
      <c r="E13" s="59" t="s">
        <v>260</v>
      </c>
      <c r="F13" s="59" t="s">
        <v>264</v>
      </c>
      <c r="G13" s="59"/>
      <c r="H13" s="59" t="s">
        <v>265</v>
      </c>
      <c r="I13" s="82">
        <v>0.49</v>
      </c>
      <c r="J13" s="61"/>
      <c r="K13" s="63"/>
    </row>
    <row r="14" spans="1:11">
      <c r="A14" s="59">
        <v>3</v>
      </c>
      <c r="B14" s="59"/>
      <c r="C14" s="59"/>
      <c r="D14" s="59"/>
      <c r="E14" s="59" t="s">
        <v>266</v>
      </c>
      <c r="F14" s="59" t="s">
        <v>267</v>
      </c>
      <c r="G14" s="59"/>
      <c r="H14" s="59">
        <v>0.5</v>
      </c>
      <c r="I14" s="82">
        <f>G14*H14</f>
        <v>0</v>
      </c>
      <c r="J14" s="61"/>
      <c r="K14" s="63"/>
    </row>
    <row r="15" spans="1:11">
      <c r="A15" s="59">
        <v>4</v>
      </c>
      <c r="B15" s="59"/>
      <c r="C15" s="59"/>
      <c r="D15" s="59"/>
      <c r="E15" s="59" t="s">
        <v>266</v>
      </c>
      <c r="F15" s="59" t="s">
        <v>268</v>
      </c>
      <c r="G15" s="59"/>
      <c r="H15" s="59">
        <v>0.3</v>
      </c>
      <c r="I15" s="82">
        <f t="shared" ref="I15:I29" si="4">G15*H15</f>
        <v>0</v>
      </c>
      <c r="J15" s="61"/>
      <c r="K15" s="63"/>
    </row>
    <row r="16" spans="1:11">
      <c r="A16" s="59">
        <v>5</v>
      </c>
      <c r="B16" s="59" t="s">
        <v>263</v>
      </c>
      <c r="C16" s="59"/>
      <c r="D16" s="59" t="s">
        <v>269</v>
      </c>
      <c r="E16" s="59" t="s">
        <v>270</v>
      </c>
      <c r="F16" s="59" t="s">
        <v>271</v>
      </c>
      <c r="G16" s="59">
        <v>3</v>
      </c>
      <c r="H16" s="59">
        <v>0.15</v>
      </c>
      <c r="I16" s="82">
        <f t="shared" si="4"/>
        <v>0.45</v>
      </c>
      <c r="J16" s="61"/>
      <c r="K16" s="63"/>
    </row>
    <row r="17" spans="1:11">
      <c r="A17" s="59">
        <v>6</v>
      </c>
      <c r="B17" s="59" t="s">
        <v>263</v>
      </c>
      <c r="C17" s="59"/>
      <c r="D17" s="59" t="s">
        <v>272</v>
      </c>
      <c r="E17" s="59" t="s">
        <v>270</v>
      </c>
      <c r="F17" s="59" t="s">
        <v>273</v>
      </c>
      <c r="G17" s="59">
        <v>3</v>
      </c>
      <c r="H17" s="59">
        <v>0.15</v>
      </c>
      <c r="I17" s="82">
        <f t="shared" si="4"/>
        <v>0.45</v>
      </c>
      <c r="J17" s="61"/>
      <c r="K17" s="63"/>
    </row>
    <row r="18" spans="1:11">
      <c r="A18" s="59">
        <v>7</v>
      </c>
      <c r="B18" s="59" t="s">
        <v>274</v>
      </c>
      <c r="C18" s="59"/>
      <c r="D18" s="59" t="s">
        <v>275</v>
      </c>
      <c r="E18" s="59" t="s">
        <v>270</v>
      </c>
      <c r="F18" s="59" t="s">
        <v>276</v>
      </c>
      <c r="G18" s="59">
        <v>3</v>
      </c>
      <c r="H18" s="59">
        <v>0.08</v>
      </c>
      <c r="I18" s="82">
        <f t="shared" si="4"/>
        <v>0.24</v>
      </c>
      <c r="J18" s="61"/>
      <c r="K18" s="63"/>
    </row>
    <row r="19" spans="1:11">
      <c r="A19" s="59">
        <v>8</v>
      </c>
      <c r="B19" s="71">
        <v>2</v>
      </c>
      <c r="C19" s="59"/>
      <c r="D19" s="59" t="s">
        <v>272</v>
      </c>
      <c r="E19" s="59" t="s">
        <v>270</v>
      </c>
      <c r="F19" s="59" t="s">
        <v>277</v>
      </c>
      <c r="G19" s="59"/>
      <c r="H19" s="59">
        <v>0.08</v>
      </c>
      <c r="I19" s="82">
        <f t="shared" si="4"/>
        <v>0</v>
      </c>
      <c r="J19" s="61"/>
      <c r="K19" s="63"/>
    </row>
    <row r="20" spans="1:11">
      <c r="A20" s="59">
        <v>9</v>
      </c>
      <c r="C20" s="59"/>
      <c r="D20" s="59" t="s">
        <v>275</v>
      </c>
      <c r="E20" s="59" t="s">
        <v>270</v>
      </c>
      <c r="F20" s="59" t="s">
        <v>278</v>
      </c>
      <c r="G20" s="59"/>
      <c r="H20" s="59">
        <v>0.05</v>
      </c>
      <c r="I20" s="82">
        <f t="shared" si="4"/>
        <v>0</v>
      </c>
      <c r="J20" s="61"/>
      <c r="K20" s="63"/>
    </row>
    <row r="21" spans="1:18">
      <c r="A21" s="59">
        <v>10</v>
      </c>
      <c r="B21" s="59">
        <v>1</v>
      </c>
      <c r="C21" s="59"/>
      <c r="D21" s="59" t="s">
        <v>279</v>
      </c>
      <c r="E21" s="59"/>
      <c r="F21" s="59"/>
      <c r="G21" s="59">
        <v>1</v>
      </c>
      <c r="H21" s="59"/>
      <c r="I21" s="82">
        <f t="shared" si="4"/>
        <v>0</v>
      </c>
      <c r="J21" s="61" t="s">
        <v>280</v>
      </c>
      <c r="K21" s="63"/>
      <c r="O21" s="92"/>
      <c r="P21" s="94"/>
      <c r="Q21" s="94"/>
      <c r="R21" s="92"/>
    </row>
    <row r="22" spans="1:18">
      <c r="A22" s="59">
        <v>11</v>
      </c>
      <c r="B22" s="59">
        <v>1</v>
      </c>
      <c r="C22" s="59"/>
      <c r="D22" s="59" t="s">
        <v>174</v>
      </c>
      <c r="E22" s="59"/>
      <c r="F22" s="59"/>
      <c r="G22" s="59">
        <v>1</v>
      </c>
      <c r="H22" s="59">
        <v>0.08</v>
      </c>
      <c r="I22" s="82">
        <f t="shared" si="4"/>
        <v>0.08</v>
      </c>
      <c r="J22" s="61"/>
      <c r="K22" s="63"/>
      <c r="O22" s="92"/>
      <c r="P22" s="94"/>
      <c r="Q22" s="94"/>
      <c r="R22" s="92"/>
    </row>
    <row r="23" spans="1:11">
      <c r="A23" s="59">
        <v>12</v>
      </c>
      <c r="B23" s="59">
        <v>1</v>
      </c>
      <c r="C23" s="59"/>
      <c r="D23" s="59" t="s">
        <v>281</v>
      </c>
      <c r="E23" s="59"/>
      <c r="F23" s="59"/>
      <c r="G23" s="59">
        <v>1</v>
      </c>
      <c r="H23" s="59">
        <v>0.08</v>
      </c>
      <c r="I23" s="82">
        <f t="shared" si="4"/>
        <v>0.08</v>
      </c>
      <c r="J23" s="61"/>
      <c r="K23" s="63"/>
    </row>
    <row r="24" spans="1:11">
      <c r="A24" s="59">
        <v>13</v>
      </c>
      <c r="B24" s="59"/>
      <c r="C24" s="59"/>
      <c r="D24" s="59" t="s">
        <v>282</v>
      </c>
      <c r="E24" s="59"/>
      <c r="F24" s="59"/>
      <c r="G24" s="59"/>
      <c r="H24" s="59">
        <v>0.08</v>
      </c>
      <c r="I24" s="82">
        <f t="shared" si="4"/>
        <v>0</v>
      </c>
      <c r="J24" s="61"/>
      <c r="K24" s="63"/>
    </row>
    <row r="25" spans="1:11">
      <c r="A25" s="59">
        <v>14</v>
      </c>
      <c r="B25" s="59"/>
      <c r="C25" s="59"/>
      <c r="D25" s="59" t="s">
        <v>283</v>
      </c>
      <c r="E25" s="59"/>
      <c r="F25" s="59"/>
      <c r="G25" s="59"/>
      <c r="H25" s="59">
        <v>0.08</v>
      </c>
      <c r="I25" s="82">
        <f t="shared" si="4"/>
        <v>0</v>
      </c>
      <c r="J25" s="61"/>
      <c r="K25" s="63"/>
    </row>
    <row r="26" spans="1:11">
      <c r="A26" s="59">
        <v>15</v>
      </c>
      <c r="B26" s="59"/>
      <c r="C26" s="59"/>
      <c r="D26" s="59" t="s">
        <v>284</v>
      </c>
      <c r="E26" s="59"/>
      <c r="F26" s="59"/>
      <c r="G26" s="59"/>
      <c r="H26" s="59">
        <v>0.08</v>
      </c>
      <c r="I26" s="82">
        <f t="shared" si="4"/>
        <v>0</v>
      </c>
      <c r="J26" s="61"/>
      <c r="K26" s="63"/>
    </row>
    <row r="27" spans="1:11">
      <c r="A27" s="59">
        <v>15</v>
      </c>
      <c r="B27" s="59">
        <v>2</v>
      </c>
      <c r="C27" s="59"/>
      <c r="D27" s="59" t="s">
        <v>275</v>
      </c>
      <c r="E27" s="59"/>
      <c r="F27" s="59"/>
      <c r="G27" s="59">
        <v>1</v>
      </c>
      <c r="H27" s="59">
        <v>0.08</v>
      </c>
      <c r="I27" s="82">
        <f t="shared" si="4"/>
        <v>0.08</v>
      </c>
      <c r="J27" s="61"/>
      <c r="K27" s="63"/>
    </row>
    <row r="28" spans="1:11">
      <c r="A28" s="59">
        <v>15</v>
      </c>
      <c r="B28" s="59">
        <v>2</v>
      </c>
      <c r="C28" s="59"/>
      <c r="D28" s="59" t="s">
        <v>285</v>
      </c>
      <c r="E28" s="59"/>
      <c r="F28" s="59"/>
      <c r="G28" s="59">
        <v>1</v>
      </c>
      <c r="H28" s="59">
        <v>0.08</v>
      </c>
      <c r="I28" s="82">
        <f t="shared" si="4"/>
        <v>0.08</v>
      </c>
      <c r="J28" s="61"/>
      <c r="K28" s="63"/>
    </row>
    <row r="29" spans="1:11">
      <c r="A29" s="59">
        <v>15</v>
      </c>
      <c r="B29" s="59">
        <v>2</v>
      </c>
      <c r="C29" s="59"/>
      <c r="D29" s="59" t="s">
        <v>286</v>
      </c>
      <c r="E29" s="59"/>
      <c r="F29" s="59"/>
      <c r="G29" s="59">
        <v>1</v>
      </c>
      <c r="H29" s="59">
        <v>0.08</v>
      </c>
      <c r="I29" s="82">
        <f t="shared" si="4"/>
        <v>0.08</v>
      </c>
      <c r="J29" s="61"/>
      <c r="K29" s="63"/>
    </row>
    <row r="30" spans="1:11">
      <c r="A30" s="59">
        <v>15</v>
      </c>
      <c r="B30" s="59"/>
      <c r="C30" s="59"/>
      <c r="D30" s="59" t="s">
        <v>287</v>
      </c>
      <c r="E30" s="59"/>
      <c r="F30" s="59"/>
      <c r="G30" s="59"/>
      <c r="H30" s="59"/>
      <c r="I30" s="82">
        <v>0.4</v>
      </c>
      <c r="J30" s="61" t="s">
        <v>288</v>
      </c>
      <c r="K30" s="63"/>
    </row>
    <row r="31" spans="1:11">
      <c r="A31" s="59"/>
      <c r="B31" s="59"/>
      <c r="C31" s="59"/>
      <c r="D31" s="61" t="s">
        <v>289</v>
      </c>
      <c r="E31" s="62"/>
      <c r="F31" s="62"/>
      <c r="G31" s="62"/>
      <c r="H31" s="63"/>
      <c r="I31" s="82">
        <v>0.3</v>
      </c>
      <c r="J31" s="61"/>
      <c r="K31" s="63"/>
    </row>
    <row r="32" spans="1:11">
      <c r="A32" s="61" t="s">
        <v>182</v>
      </c>
      <c r="B32" s="62"/>
      <c r="C32" s="62"/>
      <c r="D32" s="62"/>
      <c r="E32" s="62"/>
      <c r="F32" s="62"/>
      <c r="G32" s="62"/>
      <c r="H32" s="63"/>
      <c r="I32" s="59">
        <f>SUM(I12:I31)</f>
        <v>2.73</v>
      </c>
      <c r="J32" s="59"/>
      <c r="K32" s="59"/>
    </row>
    <row r="33" spans="1:11">
      <c r="A33" s="61"/>
      <c r="B33" s="62"/>
      <c r="C33" s="62"/>
      <c r="D33" s="62"/>
      <c r="E33" s="62"/>
      <c r="F33" s="62"/>
      <c r="G33" s="62"/>
      <c r="H33" s="62"/>
      <c r="I33" s="62"/>
      <c r="J33" s="62"/>
      <c r="K33" s="63"/>
    </row>
    <row r="34" spans="1:17">
      <c r="A34" s="61" t="s">
        <v>183</v>
      </c>
      <c r="B34" s="62"/>
      <c r="C34" s="62"/>
      <c r="D34" s="62"/>
      <c r="E34" s="63"/>
      <c r="F34" s="59" t="s">
        <v>184</v>
      </c>
      <c r="G34" s="59"/>
      <c r="H34" s="59" t="s">
        <v>185</v>
      </c>
      <c r="I34" s="59" t="s">
        <v>186</v>
      </c>
      <c r="J34" s="59" t="s">
        <v>187</v>
      </c>
      <c r="K34" s="63" t="s">
        <v>107</v>
      </c>
      <c r="M34" s="130" t="s">
        <v>188</v>
      </c>
      <c r="O34" s="130" t="s">
        <v>189</v>
      </c>
      <c r="Q34" s="130" t="s">
        <v>290</v>
      </c>
    </row>
    <row r="35" spans="1:17">
      <c r="A35" s="59" t="s">
        <v>29</v>
      </c>
      <c r="B35" s="59" t="s">
        <v>190</v>
      </c>
      <c r="C35" s="59" t="s">
        <v>191</v>
      </c>
      <c r="D35" s="59" t="s">
        <v>192</v>
      </c>
      <c r="E35" s="59" t="s">
        <v>171</v>
      </c>
      <c r="F35" s="59" t="s">
        <v>291</v>
      </c>
      <c r="G35" s="59"/>
      <c r="H35" s="82">
        <v>75</v>
      </c>
      <c r="I35" s="59">
        <v>0.05</v>
      </c>
      <c r="J35" s="78">
        <f>I35*H35</f>
        <v>3.75</v>
      </c>
      <c r="K35" s="59"/>
      <c r="M35" s="64" t="s">
        <v>194</v>
      </c>
      <c r="O35" s="64" t="s">
        <v>194</v>
      </c>
      <c r="Q35" s="133" t="s">
        <v>292</v>
      </c>
    </row>
    <row r="36" spans="1:17">
      <c r="A36" s="64">
        <v>1</v>
      </c>
      <c r="B36" s="59" t="s">
        <v>293</v>
      </c>
      <c r="C36" s="59">
        <v>3</v>
      </c>
      <c r="D36" s="59">
        <v>1</v>
      </c>
      <c r="E36" s="59">
        <f>D36*C36</f>
        <v>3</v>
      </c>
      <c r="F36" s="61" t="s">
        <v>294</v>
      </c>
      <c r="G36" s="63"/>
      <c r="H36" s="82">
        <v>6</v>
      </c>
      <c r="I36" s="59">
        <v>0.05</v>
      </c>
      <c r="J36" s="78">
        <f t="shared" ref="J36:J38" si="5">I36*H36</f>
        <v>0.3</v>
      </c>
      <c r="K36" s="59"/>
      <c r="M36" s="64" t="s">
        <v>198</v>
      </c>
      <c r="O36" s="76" t="s">
        <v>295</v>
      </c>
      <c r="Q36" s="134"/>
    </row>
    <row r="37" spans="1:17">
      <c r="A37" s="64">
        <v>2</v>
      </c>
      <c r="B37" s="59" t="s">
        <v>296</v>
      </c>
      <c r="C37" s="59">
        <v>6</v>
      </c>
      <c r="D37" s="59">
        <v>0.3</v>
      </c>
      <c r="E37" s="59">
        <f t="shared" ref="E37:E44" si="6">D37*C37</f>
        <v>1.8</v>
      </c>
      <c r="F37" s="61"/>
      <c r="G37" s="63"/>
      <c r="H37" s="59"/>
      <c r="I37" s="59"/>
      <c r="J37" s="78">
        <f t="shared" si="5"/>
        <v>0</v>
      </c>
      <c r="K37" s="59"/>
      <c r="M37" s="64">
        <v>45</v>
      </c>
      <c r="O37" s="64">
        <v>1.5</v>
      </c>
      <c r="Q37" s="135"/>
    </row>
    <row r="38" spans="1:11">
      <c r="A38" s="64">
        <v>3</v>
      </c>
      <c r="B38" s="59" t="s">
        <v>297</v>
      </c>
      <c r="C38" s="59">
        <v>1</v>
      </c>
      <c r="D38" s="59">
        <v>0.6</v>
      </c>
      <c r="E38" s="59">
        <f t="shared" si="6"/>
        <v>0.6</v>
      </c>
      <c r="F38" s="61"/>
      <c r="G38" s="63"/>
      <c r="H38" s="127">
        <v>45</v>
      </c>
      <c r="I38" s="127">
        <v>0.05</v>
      </c>
      <c r="J38" s="131"/>
      <c r="K38" s="131">
        <f>H38*I38</f>
        <v>2.25</v>
      </c>
    </row>
    <row r="39" spans="1:11">
      <c r="A39" s="64">
        <v>4</v>
      </c>
      <c r="B39" s="59" t="s">
        <v>298</v>
      </c>
      <c r="C39" s="59">
        <v>2</v>
      </c>
      <c r="D39" s="59">
        <v>0.1</v>
      </c>
      <c r="E39" s="59">
        <f t="shared" si="6"/>
        <v>0.2</v>
      </c>
      <c r="F39" s="61"/>
      <c r="G39" s="63"/>
      <c r="H39" s="59"/>
      <c r="I39" s="59"/>
      <c r="J39" s="78"/>
      <c r="K39" s="59"/>
    </row>
    <row r="40" spans="1:15">
      <c r="A40" s="64">
        <v>5</v>
      </c>
      <c r="B40" s="59" t="s">
        <v>299</v>
      </c>
      <c r="C40" s="59">
        <v>2</v>
      </c>
      <c r="D40" s="59">
        <v>0.5</v>
      </c>
      <c r="E40" s="59">
        <f t="shared" si="6"/>
        <v>1</v>
      </c>
      <c r="F40" s="61"/>
      <c r="G40" s="63"/>
      <c r="H40" s="59"/>
      <c r="I40" s="59"/>
      <c r="J40" s="78"/>
      <c r="K40" s="59"/>
      <c r="O40" s="77" t="s">
        <v>300</v>
      </c>
    </row>
    <row r="41" spans="1:15">
      <c r="A41" s="64">
        <v>6</v>
      </c>
      <c r="B41" s="59"/>
      <c r="C41" s="59"/>
      <c r="D41" s="59"/>
      <c r="E41" s="59">
        <f t="shared" si="6"/>
        <v>0</v>
      </c>
      <c r="F41" s="61" t="s">
        <v>182</v>
      </c>
      <c r="G41" s="63"/>
      <c r="H41" s="59"/>
      <c r="I41" s="59"/>
      <c r="J41" s="83">
        <f>SUM(J35:J40)</f>
        <v>4.05</v>
      </c>
      <c r="K41" s="59"/>
      <c r="O41" s="64" t="s">
        <v>176</v>
      </c>
    </row>
    <row r="42" ht="15" spans="1:15">
      <c r="A42" s="64">
        <v>7</v>
      </c>
      <c r="B42" s="59"/>
      <c r="C42" s="59"/>
      <c r="D42" s="59"/>
      <c r="E42" s="59">
        <f t="shared" si="6"/>
        <v>0</v>
      </c>
      <c r="F42" s="61" t="s">
        <v>219</v>
      </c>
      <c r="G42" s="63"/>
      <c r="H42" s="66" t="s">
        <v>301</v>
      </c>
      <c r="I42" s="66" t="s">
        <v>302</v>
      </c>
      <c r="J42" s="73" t="s">
        <v>187</v>
      </c>
      <c r="K42" s="59" t="s">
        <v>107</v>
      </c>
      <c r="O42" s="64" t="s">
        <v>303</v>
      </c>
    </row>
    <row r="43" spans="1:11">
      <c r="A43" s="64">
        <v>8</v>
      </c>
      <c r="B43" s="59"/>
      <c r="C43" s="59"/>
      <c r="D43" s="59"/>
      <c r="E43" s="59">
        <f t="shared" si="6"/>
        <v>0</v>
      </c>
      <c r="F43" s="61" t="s">
        <v>224</v>
      </c>
      <c r="G43" s="63"/>
      <c r="H43" s="59">
        <v>10</v>
      </c>
      <c r="I43" s="59"/>
      <c r="J43" s="59">
        <f>I43*H43</f>
        <v>0</v>
      </c>
      <c r="K43" s="59"/>
    </row>
    <row r="44" spans="1:11">
      <c r="A44" s="64">
        <v>9</v>
      </c>
      <c r="B44" s="59"/>
      <c r="C44" s="59"/>
      <c r="D44" s="59"/>
      <c r="E44" s="59">
        <f t="shared" si="6"/>
        <v>0</v>
      </c>
      <c r="F44" s="61" t="s">
        <v>226</v>
      </c>
      <c r="G44" s="63"/>
      <c r="H44" s="59">
        <v>10</v>
      </c>
      <c r="I44" s="59">
        <v>0.45</v>
      </c>
      <c r="J44" s="59">
        <f>I44*H44</f>
        <v>4.5</v>
      </c>
      <c r="K44" s="59"/>
    </row>
    <row r="45" spans="1:5">
      <c r="A45" s="68" t="s">
        <v>182</v>
      </c>
      <c r="B45" s="70"/>
      <c r="C45" s="70"/>
      <c r="D45" s="69"/>
      <c r="E45" s="71">
        <f>SUM(E36:E44)</f>
        <v>6.6</v>
      </c>
    </row>
    <row r="46" spans="1:12">
      <c r="A46" s="72" t="s">
        <v>227</v>
      </c>
      <c r="B46" s="72"/>
      <c r="C46" s="72" t="s">
        <v>208</v>
      </c>
      <c r="E46" s="73" t="s">
        <v>228</v>
      </c>
      <c r="F46" s="74">
        <f>C51+C50+C49+C48+C47</f>
        <v>39.7006</v>
      </c>
      <c r="G46" s="74"/>
      <c r="H46" s="74"/>
      <c r="I46" s="74"/>
      <c r="J46" s="74"/>
      <c r="K46" s="74"/>
      <c r="L46" s="132">
        <v>36.75</v>
      </c>
    </row>
    <row r="47" spans="1:12">
      <c r="A47" s="64" t="s">
        <v>231</v>
      </c>
      <c r="B47" s="64"/>
      <c r="C47" s="75">
        <f>K10</f>
        <v>20.668</v>
      </c>
      <c r="D47" s="128">
        <v>20.67</v>
      </c>
      <c r="E47" s="76" t="s">
        <v>232</v>
      </c>
      <c r="F47" s="74">
        <f>F46*0.03</f>
        <v>1.191018</v>
      </c>
      <c r="G47" s="74"/>
      <c r="H47" s="74"/>
      <c r="I47" s="74"/>
      <c r="J47" s="74"/>
      <c r="K47" s="74"/>
      <c r="L47" s="132">
        <v>1.19</v>
      </c>
    </row>
    <row r="48" spans="1:12">
      <c r="A48" s="64" t="s">
        <v>233</v>
      </c>
      <c r="B48" s="64"/>
      <c r="C48" s="75">
        <f>I32*1.17</f>
        <v>3.1941</v>
      </c>
      <c r="D48" s="128">
        <v>2.73</v>
      </c>
      <c r="E48" s="76" t="s">
        <v>234</v>
      </c>
      <c r="F48" s="74">
        <f>F46*0.06</f>
        <v>2.382036</v>
      </c>
      <c r="G48" s="74"/>
      <c r="H48" s="74"/>
      <c r="I48" s="74"/>
      <c r="J48" s="74"/>
      <c r="K48" s="74"/>
      <c r="L48" s="132">
        <v>1.38</v>
      </c>
    </row>
    <row r="49" spans="1:12">
      <c r="A49" s="64" t="s">
        <v>235</v>
      </c>
      <c r="B49" s="64"/>
      <c r="C49" s="75">
        <f>E45</f>
        <v>6.6</v>
      </c>
      <c r="D49" s="128">
        <v>6.6</v>
      </c>
      <c r="E49" s="76" t="s">
        <v>236</v>
      </c>
      <c r="F49" s="74">
        <f>F46*0.02</f>
        <v>0.794012</v>
      </c>
      <c r="G49" s="74"/>
      <c r="H49" s="74"/>
      <c r="I49" s="74"/>
      <c r="J49" s="74"/>
      <c r="K49" s="74"/>
      <c r="L49" s="132">
        <v>0.79</v>
      </c>
    </row>
    <row r="50" spans="1:12">
      <c r="A50" s="64" t="s">
        <v>238</v>
      </c>
      <c r="B50" s="64"/>
      <c r="C50" s="75">
        <f>J41*1.17</f>
        <v>4.7385</v>
      </c>
      <c r="D50" s="128">
        <v>2.25</v>
      </c>
      <c r="E50" s="76" t="s">
        <v>106</v>
      </c>
      <c r="F50" s="74"/>
      <c r="G50" s="74"/>
      <c r="H50" s="74"/>
      <c r="I50" s="74"/>
      <c r="J50" s="74"/>
      <c r="K50" s="74"/>
      <c r="L50" s="132"/>
    </row>
    <row r="51" spans="1:12">
      <c r="A51" s="64" t="s">
        <v>219</v>
      </c>
      <c r="B51" s="64"/>
      <c r="C51" s="75">
        <f>J43+J44</f>
        <v>4.5</v>
      </c>
      <c r="D51" s="128">
        <v>4.5</v>
      </c>
      <c r="E51" s="76" t="s">
        <v>239</v>
      </c>
      <c r="F51" s="81">
        <f>F50+F49+F48+F47+F46</f>
        <v>44.067666</v>
      </c>
      <c r="G51" s="81"/>
      <c r="H51" s="81"/>
      <c r="I51" s="81"/>
      <c r="J51" s="81"/>
      <c r="K51" s="81"/>
      <c r="L51" s="132">
        <f>SUM(L46:L50)</f>
        <v>40.11</v>
      </c>
    </row>
    <row r="52" spans="4:15">
      <c r="D52" s="129">
        <f>SUM(D47:D51)</f>
        <v>36.75</v>
      </c>
      <c r="H52" t="s">
        <v>252</v>
      </c>
      <c r="I52" t="s">
        <v>304</v>
      </c>
      <c r="O52" s="77" t="s">
        <v>305</v>
      </c>
    </row>
    <row r="53" spans="8:15">
      <c r="H53" t="s">
        <v>252</v>
      </c>
      <c r="I53" t="s">
        <v>306</v>
      </c>
      <c r="O53" s="64" t="s">
        <v>176</v>
      </c>
    </row>
    <row r="54" spans="15:15">
      <c r="O54" s="64" t="s">
        <v>307</v>
      </c>
    </row>
    <row r="57" spans="5:12">
      <c r="E57" s="77" t="s">
        <v>211</v>
      </c>
      <c r="F57" s="77" t="s">
        <v>212</v>
      </c>
      <c r="G57" s="77" t="s">
        <v>213</v>
      </c>
      <c r="J57" s="77" t="s">
        <v>211</v>
      </c>
      <c r="K57" s="77" t="s">
        <v>212</v>
      </c>
      <c r="L57" s="77" t="s">
        <v>213</v>
      </c>
    </row>
    <row r="58" spans="5:12">
      <c r="E58" s="77" t="s">
        <v>215</v>
      </c>
      <c r="F58" s="77" t="s">
        <v>216</v>
      </c>
      <c r="G58" s="77" t="s">
        <v>217</v>
      </c>
      <c r="J58" s="77" t="s">
        <v>215</v>
      </c>
      <c r="K58" s="77" t="s">
        <v>216</v>
      </c>
      <c r="L58" s="77" t="s">
        <v>217</v>
      </c>
    </row>
    <row r="61" spans="4:12">
      <c r="D61" s="77" t="s">
        <v>300</v>
      </c>
      <c r="E61" s="64" t="s">
        <v>222</v>
      </c>
      <c r="F61" s="64" t="s">
        <v>223</v>
      </c>
      <c r="G61" s="64" t="s">
        <v>182</v>
      </c>
      <c r="I61" s="77" t="s">
        <v>305</v>
      </c>
      <c r="J61" s="64" t="s">
        <v>222</v>
      </c>
      <c r="K61" s="64" t="s">
        <v>223</v>
      </c>
      <c r="L61" s="64" t="s">
        <v>182</v>
      </c>
    </row>
    <row r="62" spans="5:12">
      <c r="E62" s="64">
        <v>2.92</v>
      </c>
      <c r="F62" s="64">
        <v>1.4</v>
      </c>
      <c r="G62" s="64">
        <f>E62*F62</f>
        <v>4.088</v>
      </c>
      <c r="J62" s="64">
        <v>2.77</v>
      </c>
      <c r="K62" s="64">
        <v>1.4</v>
      </c>
      <c r="L62" s="64">
        <f>J62*K62</f>
        <v>3.878</v>
      </c>
    </row>
    <row r="65" spans="4:12">
      <c r="D65" s="77" t="s">
        <v>300</v>
      </c>
      <c r="E65" s="64" t="s">
        <v>229</v>
      </c>
      <c r="F65" s="64" t="s">
        <v>230</v>
      </c>
      <c r="G65" s="64" t="s">
        <v>182</v>
      </c>
      <c r="I65" s="77" t="s">
        <v>305</v>
      </c>
      <c r="J65" s="64" t="s">
        <v>229</v>
      </c>
      <c r="K65" s="64" t="s">
        <v>230</v>
      </c>
      <c r="L65" s="64" t="s">
        <v>182</v>
      </c>
    </row>
    <row r="66" spans="5:13">
      <c r="E66" s="64">
        <v>38.53</v>
      </c>
      <c r="F66" s="64">
        <v>4.088</v>
      </c>
      <c r="G66" s="84">
        <f>E66+F66</f>
        <v>42.618</v>
      </c>
      <c r="H66" t="s">
        <v>252</v>
      </c>
      <c r="J66" s="64">
        <v>38.53</v>
      </c>
      <c r="K66" s="64">
        <v>3.878</v>
      </c>
      <c r="L66" s="84">
        <f>J66+K66</f>
        <v>42.408</v>
      </c>
      <c r="M66" t="s">
        <v>252</v>
      </c>
    </row>
  </sheetData>
  <mergeCells count="51">
    <mergeCell ref="A1:B1"/>
    <mergeCell ref="A2:K2"/>
    <mergeCell ref="A10:J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8:K28"/>
    <mergeCell ref="J29:K29"/>
    <mergeCell ref="J30:K30"/>
    <mergeCell ref="D31:H31"/>
    <mergeCell ref="A32:H32"/>
    <mergeCell ref="A33:K33"/>
    <mergeCell ref="A34:E34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A45:D45"/>
    <mergeCell ref="A46:B46"/>
    <mergeCell ref="F46:K46"/>
    <mergeCell ref="A47:B47"/>
    <mergeCell ref="F47:K47"/>
    <mergeCell ref="A48:B48"/>
    <mergeCell ref="F48:K48"/>
    <mergeCell ref="A49:B49"/>
    <mergeCell ref="F49:K49"/>
    <mergeCell ref="A50:B50"/>
    <mergeCell ref="F50:K50"/>
    <mergeCell ref="A51:B51"/>
    <mergeCell ref="F51:K51"/>
    <mergeCell ref="Q35:Q37"/>
  </mergeCells>
  <pageMargins left="0.708661417322835" right="0.708661417322835" top="0.354330708661417" bottom="0.354330708661417" header="0.31496062992126" footer="0.31496062992126"/>
  <pageSetup paperSize="9" scale="74" orientation="landscape" horizontalDpi="2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50"/>
  <sheetViews>
    <sheetView topLeftCell="A22" workbookViewId="0">
      <selection activeCell="Q47" sqref="Q47"/>
    </sheetView>
  </sheetViews>
  <sheetFormatPr defaultColWidth="9" defaultRowHeight="13.5"/>
  <cols>
    <col min="1" max="1" width="5.875" customWidth="1"/>
    <col min="2" max="2" width="18.875" customWidth="1"/>
    <col min="5" max="5" width="12" customWidth="1"/>
    <col min="8" max="8" width="13" customWidth="1"/>
    <col min="9" max="9" width="15.125" customWidth="1"/>
    <col min="10" max="10" width="12.875" customWidth="1"/>
    <col min="11" max="11" width="15.5" customWidth="1"/>
  </cols>
  <sheetData>
    <row r="1" ht="25.5" spans="1:11">
      <c r="A1" s="96" t="s">
        <v>308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25.5" spans="1:11">
      <c r="A2" s="98" t="s">
        <v>309</v>
      </c>
      <c r="B2" s="98"/>
      <c r="C2" s="98"/>
      <c r="D2" s="98"/>
      <c r="E2" s="98"/>
      <c r="F2" s="96"/>
      <c r="G2" s="96"/>
      <c r="H2" s="98" t="s">
        <v>310</v>
      </c>
      <c r="I2" s="98"/>
      <c r="J2" s="121" t="s">
        <v>311</v>
      </c>
      <c r="K2" s="121"/>
    </row>
    <row r="3" spans="1:11">
      <c r="A3" s="99" t="s">
        <v>29</v>
      </c>
      <c r="B3" s="99" t="s">
        <v>151</v>
      </c>
      <c r="C3" s="99" t="s">
        <v>152</v>
      </c>
      <c r="D3" s="99" t="s">
        <v>153</v>
      </c>
      <c r="E3" s="99" t="s">
        <v>154</v>
      </c>
      <c r="F3" s="99" t="s">
        <v>155</v>
      </c>
      <c r="G3" s="99" t="s">
        <v>156</v>
      </c>
      <c r="H3" s="99" t="s">
        <v>157</v>
      </c>
      <c r="I3" s="99" t="s">
        <v>158</v>
      </c>
      <c r="J3" s="99" t="s">
        <v>159</v>
      </c>
      <c r="K3" s="99" t="s">
        <v>160</v>
      </c>
    </row>
    <row r="4" spans="1:11">
      <c r="A4" s="99">
        <v>1</v>
      </c>
      <c r="B4" s="99" t="s">
        <v>312</v>
      </c>
      <c r="C4" s="99"/>
      <c r="D4" s="99" t="s">
        <v>313</v>
      </c>
      <c r="E4" s="100">
        <v>6.1</v>
      </c>
      <c r="F4" s="100">
        <v>1.52</v>
      </c>
      <c r="G4" s="100">
        <f>F4*E4</f>
        <v>9.272</v>
      </c>
      <c r="H4" s="100">
        <v>1.5</v>
      </c>
      <c r="I4" s="100">
        <f>F4-H4</f>
        <v>0.02</v>
      </c>
      <c r="J4" s="100">
        <f>I4*2.2</f>
        <v>0.044</v>
      </c>
      <c r="K4" s="100">
        <f>G4-J4</f>
        <v>9.228</v>
      </c>
    </row>
    <row r="5" spans="1:11">
      <c r="A5" s="99">
        <v>2</v>
      </c>
      <c r="B5" s="99" t="s">
        <v>314</v>
      </c>
      <c r="C5" s="99"/>
      <c r="D5" s="99" t="s">
        <v>313</v>
      </c>
      <c r="E5" s="100">
        <v>6.1</v>
      </c>
      <c r="F5" s="100">
        <v>0.3</v>
      </c>
      <c r="G5" s="100">
        <f>F5*E5</f>
        <v>1.83</v>
      </c>
      <c r="H5" s="100">
        <v>0.3</v>
      </c>
      <c r="I5" s="100">
        <f>F5-H5</f>
        <v>0</v>
      </c>
      <c r="J5" s="100">
        <f>I5*2.2</f>
        <v>0</v>
      </c>
      <c r="K5" s="100">
        <f>G5-J5</f>
        <v>1.83</v>
      </c>
    </row>
    <row r="6" spans="1:11">
      <c r="A6" s="99">
        <v>3</v>
      </c>
      <c r="B6" s="99"/>
      <c r="C6" s="99"/>
      <c r="D6" s="99"/>
      <c r="E6" s="100"/>
      <c r="F6" s="100"/>
      <c r="G6" s="100"/>
      <c r="H6" s="100"/>
      <c r="I6" s="100"/>
      <c r="J6" s="100"/>
      <c r="K6" s="100"/>
    </row>
    <row r="7" spans="1:11">
      <c r="A7" s="101" t="s">
        <v>182</v>
      </c>
      <c r="B7" s="102"/>
      <c r="C7" s="102"/>
      <c r="D7" s="102"/>
      <c r="E7" s="102"/>
      <c r="F7" s="102"/>
      <c r="G7" s="102"/>
      <c r="H7" s="102"/>
      <c r="I7" s="102"/>
      <c r="J7" s="104"/>
      <c r="K7" s="100">
        <f>SUM(K4:K6)</f>
        <v>11.058</v>
      </c>
    </row>
    <row r="8" spans="1:11">
      <c r="A8" s="99" t="s">
        <v>29</v>
      </c>
      <c r="B8" s="99" t="s">
        <v>151</v>
      </c>
      <c r="C8" s="99" t="s">
        <v>152</v>
      </c>
      <c r="D8" s="99" t="s">
        <v>166</v>
      </c>
      <c r="E8" s="99" t="s">
        <v>167</v>
      </c>
      <c r="F8" s="99" t="s">
        <v>168</v>
      </c>
      <c r="G8" s="99" t="s">
        <v>169</v>
      </c>
      <c r="H8" s="99" t="s">
        <v>170</v>
      </c>
      <c r="I8" s="99" t="s">
        <v>171</v>
      </c>
      <c r="J8" s="101" t="s">
        <v>107</v>
      </c>
      <c r="K8" s="104"/>
    </row>
    <row r="9" spans="1:11">
      <c r="A9" s="99">
        <v>1</v>
      </c>
      <c r="B9" s="99"/>
      <c r="C9" s="99"/>
      <c r="D9" s="99"/>
      <c r="E9" s="99" t="s">
        <v>260</v>
      </c>
      <c r="F9" s="99" t="s">
        <v>261</v>
      </c>
      <c r="G9" s="99"/>
      <c r="H9" s="99" t="s">
        <v>262</v>
      </c>
      <c r="I9" s="99"/>
      <c r="J9" s="101"/>
      <c r="K9" s="104"/>
    </row>
    <row r="10" spans="1:11">
      <c r="A10" s="99">
        <v>2</v>
      </c>
      <c r="B10" s="99"/>
      <c r="C10" s="99"/>
      <c r="D10" s="99"/>
      <c r="E10" s="99" t="s">
        <v>260</v>
      </c>
      <c r="F10" s="99" t="s">
        <v>264</v>
      </c>
      <c r="G10" s="99"/>
      <c r="H10" s="99" t="s">
        <v>265</v>
      </c>
      <c r="I10" s="99"/>
      <c r="J10" s="101"/>
      <c r="K10" s="104"/>
    </row>
    <row r="11" spans="1:11">
      <c r="A11" s="99">
        <v>3</v>
      </c>
      <c r="B11" s="99"/>
      <c r="C11" s="99"/>
      <c r="D11" s="99"/>
      <c r="E11" s="99" t="s">
        <v>266</v>
      </c>
      <c r="F11" s="99" t="s">
        <v>267</v>
      </c>
      <c r="G11" s="99"/>
      <c r="H11" s="99">
        <v>0.5</v>
      </c>
      <c r="I11" s="99">
        <v>0</v>
      </c>
      <c r="J11" s="101"/>
      <c r="K11" s="104"/>
    </row>
    <row r="12" spans="1:11">
      <c r="A12" s="99">
        <v>4</v>
      </c>
      <c r="B12" s="99"/>
      <c r="C12" s="99"/>
      <c r="D12" s="99"/>
      <c r="E12" s="99" t="s">
        <v>266</v>
      </c>
      <c r="F12" s="99" t="s">
        <v>268</v>
      </c>
      <c r="G12" s="99"/>
      <c r="H12" s="99">
        <v>0.3</v>
      </c>
      <c r="I12" s="99">
        <v>0</v>
      </c>
      <c r="J12" s="101"/>
      <c r="K12" s="104"/>
    </row>
    <row r="13" spans="1:11">
      <c r="A13" s="99">
        <v>5</v>
      </c>
      <c r="B13" s="99"/>
      <c r="C13" s="99"/>
      <c r="D13" s="99"/>
      <c r="E13" s="99" t="s">
        <v>270</v>
      </c>
      <c r="F13" s="99" t="s">
        <v>271</v>
      </c>
      <c r="G13" s="99"/>
      <c r="H13" s="99">
        <v>0.15</v>
      </c>
      <c r="I13" s="99">
        <v>0</v>
      </c>
      <c r="J13" s="101"/>
      <c r="K13" s="104"/>
    </row>
    <row r="14" spans="1:11">
      <c r="A14" s="99">
        <v>6</v>
      </c>
      <c r="B14" s="99"/>
      <c r="C14" s="99"/>
      <c r="D14" s="99"/>
      <c r="E14" s="99" t="s">
        <v>270</v>
      </c>
      <c r="F14" s="99" t="s">
        <v>273</v>
      </c>
      <c r="G14" s="99"/>
      <c r="H14" s="99">
        <v>0.15</v>
      </c>
      <c r="I14" s="99">
        <v>0</v>
      </c>
      <c r="J14" s="101"/>
      <c r="K14" s="104"/>
    </row>
    <row r="15" spans="1:11">
      <c r="A15" s="99">
        <v>7</v>
      </c>
      <c r="B15" s="99"/>
      <c r="C15" s="99"/>
      <c r="D15" s="99" t="s">
        <v>315</v>
      </c>
      <c r="E15" s="99" t="s">
        <v>270</v>
      </c>
      <c r="F15" s="99" t="s">
        <v>276</v>
      </c>
      <c r="G15" s="99"/>
      <c r="H15" s="99">
        <v>0.08</v>
      </c>
      <c r="I15" s="99"/>
      <c r="J15" s="101"/>
      <c r="K15" s="104"/>
    </row>
    <row r="16" spans="1:14">
      <c r="A16" s="99">
        <v>8</v>
      </c>
      <c r="B16" s="99"/>
      <c r="C16" s="99"/>
      <c r="D16" s="99" t="s">
        <v>315</v>
      </c>
      <c r="E16" s="99" t="s">
        <v>270</v>
      </c>
      <c r="F16" s="99" t="s">
        <v>277</v>
      </c>
      <c r="G16" s="99"/>
      <c r="H16" s="99">
        <v>0.08</v>
      </c>
      <c r="I16" s="99"/>
      <c r="J16" s="101"/>
      <c r="K16" s="104"/>
      <c r="N16" s="64" t="s">
        <v>176</v>
      </c>
    </row>
    <row r="17" spans="1:14">
      <c r="A17" s="99">
        <v>9</v>
      </c>
      <c r="B17" s="99"/>
      <c r="C17" s="99"/>
      <c r="D17" s="99" t="s">
        <v>316</v>
      </c>
      <c r="E17" s="99" t="s">
        <v>270</v>
      </c>
      <c r="F17" s="99" t="s">
        <v>278</v>
      </c>
      <c r="G17" s="99"/>
      <c r="H17" s="99">
        <v>0.05</v>
      </c>
      <c r="I17" s="99"/>
      <c r="J17" s="101"/>
      <c r="K17" s="104"/>
      <c r="N17" s="64" t="s">
        <v>317</v>
      </c>
    </row>
    <row r="18" spans="1:11">
      <c r="A18" s="99">
        <v>10</v>
      </c>
      <c r="B18" s="99" t="s">
        <v>318</v>
      </c>
      <c r="C18" s="99"/>
      <c r="D18" s="99" t="s">
        <v>279</v>
      </c>
      <c r="E18" s="99"/>
      <c r="F18" s="99"/>
      <c r="G18" s="99">
        <v>2</v>
      </c>
      <c r="H18" s="99">
        <v>0.08</v>
      </c>
      <c r="I18" s="99">
        <f t="shared" ref="I18:I21" si="0">H18*G18</f>
        <v>0.16</v>
      </c>
      <c r="J18" s="101" t="s">
        <v>280</v>
      </c>
      <c r="K18" s="104"/>
    </row>
    <row r="19" spans="1:11">
      <c r="A19" s="99">
        <v>11</v>
      </c>
      <c r="B19" s="103" t="s">
        <v>319</v>
      </c>
      <c r="C19" s="99"/>
      <c r="D19" s="99" t="s">
        <v>174</v>
      </c>
      <c r="E19" s="99"/>
      <c r="F19" s="99"/>
      <c r="G19" s="99">
        <v>4</v>
      </c>
      <c r="H19" s="99">
        <v>0.08</v>
      </c>
      <c r="I19" s="99">
        <f t="shared" si="0"/>
        <v>0.32</v>
      </c>
      <c r="J19" s="101"/>
      <c r="K19" s="104"/>
    </row>
    <row r="20" spans="1:11">
      <c r="A20" s="99">
        <v>12</v>
      </c>
      <c r="B20" s="99" t="s">
        <v>320</v>
      </c>
      <c r="C20" s="99"/>
      <c r="D20" s="99" t="s">
        <v>321</v>
      </c>
      <c r="E20" s="99"/>
      <c r="F20" s="99"/>
      <c r="G20" s="99">
        <v>2</v>
      </c>
      <c r="H20" s="99">
        <v>0.08</v>
      </c>
      <c r="I20" s="99">
        <f t="shared" si="0"/>
        <v>0.16</v>
      </c>
      <c r="J20" s="101"/>
      <c r="K20" s="104"/>
    </row>
    <row r="21" spans="1:11">
      <c r="A21" s="99">
        <v>13</v>
      </c>
      <c r="B21" s="99" t="s">
        <v>319</v>
      </c>
      <c r="C21" s="99"/>
      <c r="D21" s="99" t="s">
        <v>180</v>
      </c>
      <c r="E21" s="99"/>
      <c r="F21" s="99"/>
      <c r="G21" s="99">
        <v>1</v>
      </c>
      <c r="H21" s="99">
        <v>0.08</v>
      </c>
      <c r="I21" s="99">
        <f t="shared" si="0"/>
        <v>0.08</v>
      </c>
      <c r="J21" s="101"/>
      <c r="K21" s="104"/>
    </row>
    <row r="22" spans="1:11">
      <c r="A22" s="99">
        <v>14</v>
      </c>
      <c r="B22" s="99"/>
      <c r="C22" s="99"/>
      <c r="D22" s="99" t="s">
        <v>283</v>
      </c>
      <c r="E22" s="99"/>
      <c r="F22" s="99"/>
      <c r="G22" s="99"/>
      <c r="H22" s="99">
        <v>0.08</v>
      </c>
      <c r="I22" s="99"/>
      <c r="J22" s="101"/>
      <c r="K22" s="104"/>
    </row>
    <row r="23" spans="1:11">
      <c r="A23" s="99">
        <v>15</v>
      </c>
      <c r="B23" s="99"/>
      <c r="C23" s="99"/>
      <c r="D23" s="99" t="s">
        <v>284</v>
      </c>
      <c r="E23" s="99"/>
      <c r="F23" s="99"/>
      <c r="G23" s="99"/>
      <c r="H23" s="99">
        <v>0.08</v>
      </c>
      <c r="I23" s="99">
        <v>0</v>
      </c>
      <c r="J23" s="101"/>
      <c r="K23" s="104"/>
    </row>
    <row r="24" spans="1:11">
      <c r="A24" s="99">
        <v>15</v>
      </c>
      <c r="B24" s="99"/>
      <c r="C24" s="99"/>
      <c r="D24" s="99" t="s">
        <v>275</v>
      </c>
      <c r="E24" s="99"/>
      <c r="F24" s="99"/>
      <c r="G24" s="99"/>
      <c r="H24" s="99">
        <v>0.08</v>
      </c>
      <c r="I24" s="99">
        <v>0</v>
      </c>
      <c r="J24" s="101"/>
      <c r="K24" s="105"/>
    </row>
    <row r="25" spans="1:11">
      <c r="A25" s="99">
        <v>15</v>
      </c>
      <c r="B25" s="99"/>
      <c r="C25" s="99"/>
      <c r="D25" s="99" t="s">
        <v>285</v>
      </c>
      <c r="E25" s="99"/>
      <c r="F25" s="99"/>
      <c r="G25" s="99"/>
      <c r="H25" s="99">
        <v>0.08</v>
      </c>
      <c r="I25" s="99">
        <v>0</v>
      </c>
      <c r="J25" s="101"/>
      <c r="K25" s="104"/>
    </row>
    <row r="26" spans="1:11">
      <c r="A26" s="99">
        <v>15</v>
      </c>
      <c r="B26" s="99"/>
      <c r="C26" s="99"/>
      <c r="D26" s="99" t="s">
        <v>286</v>
      </c>
      <c r="E26" s="99"/>
      <c r="F26" s="99"/>
      <c r="G26" s="99"/>
      <c r="H26" s="99">
        <v>0.08</v>
      </c>
      <c r="I26" s="99">
        <v>0</v>
      </c>
      <c r="J26" s="101"/>
      <c r="K26" s="104"/>
    </row>
    <row r="27" spans="1:11">
      <c r="A27" s="99">
        <v>15</v>
      </c>
      <c r="B27" s="99"/>
      <c r="C27" s="99"/>
      <c r="D27" s="99" t="s">
        <v>287</v>
      </c>
      <c r="E27" s="99"/>
      <c r="F27" s="99"/>
      <c r="G27" s="99"/>
      <c r="H27" s="99"/>
      <c r="I27" s="99">
        <v>0.4</v>
      </c>
      <c r="J27" s="101" t="s">
        <v>288</v>
      </c>
      <c r="K27" s="104"/>
    </row>
    <row r="28" spans="1:11">
      <c r="A28" s="99"/>
      <c r="B28" s="99"/>
      <c r="C28" s="99"/>
      <c r="D28" s="101" t="s">
        <v>322</v>
      </c>
      <c r="E28" s="102"/>
      <c r="F28" s="102"/>
      <c r="G28" s="102"/>
      <c r="H28" s="104"/>
      <c r="I28" s="99"/>
      <c r="J28" s="101"/>
      <c r="K28" s="105"/>
    </row>
    <row r="29" spans="1:11">
      <c r="A29" s="101" t="s">
        <v>182</v>
      </c>
      <c r="B29" s="102"/>
      <c r="C29" s="102"/>
      <c r="D29" s="102"/>
      <c r="E29" s="102"/>
      <c r="F29" s="102"/>
      <c r="G29" s="102"/>
      <c r="H29" s="104"/>
      <c r="I29" s="99">
        <f>SUM(I18:I27)</f>
        <v>1.12</v>
      </c>
      <c r="J29" s="99"/>
      <c r="K29" s="99"/>
    </row>
    <row r="30" spans="1:11">
      <c r="A30" s="101"/>
      <c r="B30" s="102"/>
      <c r="C30" s="102"/>
      <c r="D30" s="102"/>
      <c r="E30" s="102"/>
      <c r="F30" s="102"/>
      <c r="G30" s="102"/>
      <c r="H30" s="102"/>
      <c r="I30" s="102"/>
      <c r="J30" s="102"/>
      <c r="K30" s="104"/>
    </row>
    <row r="31" spans="1:11">
      <c r="A31" s="101" t="s">
        <v>183</v>
      </c>
      <c r="B31" s="102"/>
      <c r="C31" s="102"/>
      <c r="D31" s="102"/>
      <c r="E31" s="104"/>
      <c r="F31" s="101" t="s">
        <v>184</v>
      </c>
      <c r="G31" s="105"/>
      <c r="H31" s="99" t="s">
        <v>185</v>
      </c>
      <c r="I31" s="99" t="s">
        <v>186</v>
      </c>
      <c r="J31" s="99" t="s">
        <v>187</v>
      </c>
      <c r="K31" s="105" t="s">
        <v>107</v>
      </c>
    </row>
    <row r="32" spans="1:14">
      <c r="A32" s="99" t="s">
        <v>29</v>
      </c>
      <c r="B32" s="99" t="s">
        <v>190</v>
      </c>
      <c r="C32" s="99" t="s">
        <v>191</v>
      </c>
      <c r="D32" s="99" t="s">
        <v>192</v>
      </c>
      <c r="E32" s="99" t="s">
        <v>171</v>
      </c>
      <c r="F32" s="101"/>
      <c r="G32" s="105"/>
      <c r="H32" s="99"/>
      <c r="I32" s="99"/>
      <c r="J32" s="122">
        <v>0</v>
      </c>
      <c r="K32" s="99"/>
      <c r="N32" s="64" t="s">
        <v>198</v>
      </c>
    </row>
    <row r="33" spans="1:14">
      <c r="A33" s="106">
        <v>1</v>
      </c>
      <c r="B33" s="99" t="s">
        <v>250</v>
      </c>
      <c r="C33" s="99">
        <v>1</v>
      </c>
      <c r="D33" s="99">
        <v>2.15</v>
      </c>
      <c r="E33" s="99">
        <f t="shared" ref="E33:E39" si="1">D33*C33</f>
        <v>2.15</v>
      </c>
      <c r="F33" s="101" t="s">
        <v>323</v>
      </c>
      <c r="G33" s="104"/>
      <c r="H33" s="99">
        <v>6</v>
      </c>
      <c r="I33" s="99">
        <v>0.04</v>
      </c>
      <c r="J33" s="122">
        <f>I33*H33</f>
        <v>0.24</v>
      </c>
      <c r="K33" s="99"/>
      <c r="N33" s="64" t="s">
        <v>324</v>
      </c>
    </row>
    <row r="34" spans="1:11">
      <c r="A34" s="106">
        <v>2</v>
      </c>
      <c r="B34" s="99" t="s">
        <v>325</v>
      </c>
      <c r="C34" s="99">
        <v>1</v>
      </c>
      <c r="D34" s="99">
        <v>1.28</v>
      </c>
      <c r="E34" s="99">
        <f t="shared" si="1"/>
        <v>1.28</v>
      </c>
      <c r="F34" s="101" t="s">
        <v>291</v>
      </c>
      <c r="G34" s="104"/>
      <c r="H34" s="99">
        <v>100</v>
      </c>
      <c r="I34" s="99">
        <v>0.04</v>
      </c>
      <c r="J34" s="122">
        <f>I34*H34</f>
        <v>4</v>
      </c>
      <c r="K34" s="99"/>
    </row>
    <row r="35" spans="1:11">
      <c r="A35" s="106">
        <v>3</v>
      </c>
      <c r="B35" s="99" t="s">
        <v>326</v>
      </c>
      <c r="C35" s="99">
        <v>2</v>
      </c>
      <c r="D35" s="99">
        <v>0.72</v>
      </c>
      <c r="E35" s="99">
        <f t="shared" si="1"/>
        <v>1.44</v>
      </c>
      <c r="F35" s="101"/>
      <c r="G35" s="104"/>
      <c r="H35" s="99"/>
      <c r="I35" s="99">
        <v>0.05</v>
      </c>
      <c r="J35" s="122">
        <v>0</v>
      </c>
      <c r="K35" s="99"/>
    </row>
    <row r="36" spans="1:11">
      <c r="A36" s="106">
        <v>4</v>
      </c>
      <c r="B36" s="99" t="s">
        <v>327</v>
      </c>
      <c r="C36" s="99">
        <v>1</v>
      </c>
      <c r="D36" s="99">
        <v>0.56</v>
      </c>
      <c r="E36" s="99">
        <f t="shared" si="1"/>
        <v>0.56</v>
      </c>
      <c r="F36" s="101"/>
      <c r="G36" s="104"/>
      <c r="H36" s="99"/>
      <c r="I36" s="99"/>
      <c r="J36" s="122"/>
      <c r="K36" s="99"/>
    </row>
    <row r="37" spans="1:11">
      <c r="A37" s="106">
        <v>5</v>
      </c>
      <c r="B37" s="99" t="s">
        <v>328</v>
      </c>
      <c r="C37" s="99">
        <v>1</v>
      </c>
      <c r="D37" s="99">
        <v>2.25</v>
      </c>
      <c r="E37" s="99">
        <f t="shared" si="1"/>
        <v>2.25</v>
      </c>
      <c r="F37" s="101"/>
      <c r="G37" s="104"/>
      <c r="H37" s="99"/>
      <c r="I37" s="99"/>
      <c r="J37" s="122"/>
      <c r="K37" s="99"/>
    </row>
    <row r="38" spans="1:16">
      <c r="A38" s="106">
        <v>6</v>
      </c>
      <c r="B38" s="99" t="s">
        <v>329</v>
      </c>
      <c r="C38" s="99">
        <v>2</v>
      </c>
      <c r="D38" s="99">
        <v>0.08</v>
      </c>
      <c r="E38" s="99">
        <f t="shared" si="1"/>
        <v>0.16</v>
      </c>
      <c r="F38" s="101" t="s">
        <v>182</v>
      </c>
      <c r="G38" s="104"/>
      <c r="H38" s="99"/>
      <c r="I38" s="99"/>
      <c r="J38" s="122">
        <f>SUM(J32:J37)</f>
        <v>4.24</v>
      </c>
      <c r="K38" s="99"/>
      <c r="N38" s="77" t="s">
        <v>211</v>
      </c>
      <c r="O38" s="77" t="s">
        <v>212</v>
      </c>
      <c r="P38" s="77" t="s">
        <v>213</v>
      </c>
    </row>
    <row r="39" ht="15" spans="1:16">
      <c r="A39" s="106">
        <v>7</v>
      </c>
      <c r="B39" s="99" t="s">
        <v>299</v>
      </c>
      <c r="C39" s="99">
        <v>2</v>
      </c>
      <c r="D39" s="99">
        <v>0.58</v>
      </c>
      <c r="E39" s="99">
        <f t="shared" si="1"/>
        <v>1.16</v>
      </c>
      <c r="F39" s="101" t="s">
        <v>219</v>
      </c>
      <c r="G39" s="104"/>
      <c r="H39" s="107" t="s">
        <v>221</v>
      </c>
      <c r="I39" s="99" t="s">
        <v>330</v>
      </c>
      <c r="J39" s="114" t="s">
        <v>187</v>
      </c>
      <c r="K39" s="99" t="s">
        <v>107</v>
      </c>
      <c r="N39" s="77" t="s">
        <v>215</v>
      </c>
      <c r="O39" s="77" t="s">
        <v>216</v>
      </c>
      <c r="P39" s="77" t="s">
        <v>217</v>
      </c>
    </row>
    <row r="40" ht="14.25" spans="1:11">
      <c r="A40" s="106">
        <v>8</v>
      </c>
      <c r="B40" s="99"/>
      <c r="C40" s="99"/>
      <c r="D40" s="99"/>
      <c r="E40" s="99">
        <v>0</v>
      </c>
      <c r="F40" s="101" t="s">
        <v>224</v>
      </c>
      <c r="G40" s="104"/>
      <c r="H40" s="108"/>
      <c r="I40" s="99">
        <v>10</v>
      </c>
      <c r="J40" s="99">
        <v>0</v>
      </c>
      <c r="K40" s="99"/>
    </row>
    <row r="41" ht="14.25" spans="1:11">
      <c r="A41" s="106">
        <v>9</v>
      </c>
      <c r="B41" s="99"/>
      <c r="C41" s="99"/>
      <c r="D41" s="99"/>
      <c r="E41" s="99">
        <v>0</v>
      </c>
      <c r="F41" s="101" t="s">
        <v>226</v>
      </c>
      <c r="G41" s="104"/>
      <c r="H41" s="108">
        <v>0.3</v>
      </c>
      <c r="I41" s="123">
        <v>12</v>
      </c>
      <c r="J41" s="99">
        <f>I41*H41</f>
        <v>3.6</v>
      </c>
      <c r="K41" s="99"/>
    </row>
    <row r="42" spans="1:16">
      <c r="A42" s="109" t="s">
        <v>182</v>
      </c>
      <c r="B42" s="102"/>
      <c r="C42" s="102"/>
      <c r="D42" s="104"/>
      <c r="E42" s="110">
        <f>SUM(E33:E41)</f>
        <v>9</v>
      </c>
      <c r="F42" s="111"/>
      <c r="G42" s="111"/>
      <c r="H42" s="111"/>
      <c r="I42" s="111"/>
      <c r="J42" s="111"/>
      <c r="K42" s="111"/>
      <c r="N42" s="64" t="s">
        <v>222</v>
      </c>
      <c r="O42" s="64" t="s">
        <v>223</v>
      </c>
      <c r="P42" s="64" t="s">
        <v>182</v>
      </c>
    </row>
    <row r="43" spans="1:16">
      <c r="A43" s="109" t="s">
        <v>227</v>
      </c>
      <c r="B43" s="112"/>
      <c r="C43" s="113" t="s">
        <v>208</v>
      </c>
      <c r="D43" s="111"/>
      <c r="E43" s="114" t="s">
        <v>228</v>
      </c>
      <c r="F43" s="115">
        <f>SUM(C44:C48)</f>
        <v>29.018</v>
      </c>
      <c r="G43" s="116"/>
      <c r="H43" s="116"/>
      <c r="I43" s="116"/>
      <c r="J43" s="116"/>
      <c r="K43" s="124"/>
      <c r="N43" s="64">
        <v>2.2</v>
      </c>
      <c r="O43" s="64">
        <v>1.4</v>
      </c>
      <c r="P43" s="64">
        <f>N43*O43</f>
        <v>3.08</v>
      </c>
    </row>
    <row r="44" spans="1:11">
      <c r="A44" s="109" t="s">
        <v>231</v>
      </c>
      <c r="B44" s="112"/>
      <c r="C44" s="117">
        <f>K7</f>
        <v>11.058</v>
      </c>
      <c r="D44" s="111"/>
      <c r="E44" s="118" t="s">
        <v>232</v>
      </c>
      <c r="F44" s="115">
        <f>F43*0.06</f>
        <v>1.74108</v>
      </c>
      <c r="G44" s="116"/>
      <c r="H44" s="116"/>
      <c r="I44" s="116"/>
      <c r="J44" s="116"/>
      <c r="K44" s="124"/>
    </row>
    <row r="45" spans="1:11">
      <c r="A45" s="109" t="s">
        <v>233</v>
      </c>
      <c r="B45" s="112"/>
      <c r="C45" s="117">
        <f>I29</f>
        <v>1.12</v>
      </c>
      <c r="D45" s="111"/>
      <c r="E45" s="118" t="s">
        <v>234</v>
      </c>
      <c r="F45" s="115">
        <f>F43*0.04</f>
        <v>1.16072</v>
      </c>
      <c r="G45" s="116"/>
      <c r="H45" s="116"/>
      <c r="I45" s="116"/>
      <c r="J45" s="116"/>
      <c r="K45" s="124"/>
    </row>
    <row r="46" spans="1:16">
      <c r="A46" s="109" t="s">
        <v>235</v>
      </c>
      <c r="B46" s="112"/>
      <c r="C46" s="117">
        <f>E42</f>
        <v>9</v>
      </c>
      <c r="D46" s="111"/>
      <c r="E46" s="118" t="s">
        <v>236</v>
      </c>
      <c r="F46" s="115">
        <v>1.5</v>
      </c>
      <c r="G46" s="116"/>
      <c r="H46" s="116"/>
      <c r="I46" s="116"/>
      <c r="J46" s="116"/>
      <c r="K46" s="124"/>
      <c r="N46" s="64" t="s">
        <v>229</v>
      </c>
      <c r="O46" s="64" t="s">
        <v>230</v>
      </c>
      <c r="P46" s="64" t="s">
        <v>182</v>
      </c>
    </row>
    <row r="47" spans="1:17">
      <c r="A47" s="109" t="s">
        <v>238</v>
      </c>
      <c r="B47" s="112"/>
      <c r="C47" s="117">
        <f>J38</f>
        <v>4.24</v>
      </c>
      <c r="D47" s="111"/>
      <c r="E47" s="118" t="s">
        <v>106</v>
      </c>
      <c r="F47" s="115"/>
      <c r="G47" s="116"/>
      <c r="H47" s="116"/>
      <c r="I47" s="116"/>
      <c r="J47" s="116"/>
      <c r="K47" s="124"/>
      <c r="N47" s="64">
        <v>26.42</v>
      </c>
      <c r="O47" s="64">
        <v>3.08</v>
      </c>
      <c r="P47" s="84">
        <f>N47+O47</f>
        <v>29.5</v>
      </c>
      <c r="Q47" t="s">
        <v>252</v>
      </c>
    </row>
    <row r="48" spans="1:11">
      <c r="A48" s="109" t="s">
        <v>219</v>
      </c>
      <c r="B48" s="112"/>
      <c r="C48" s="117">
        <f>J41</f>
        <v>3.6</v>
      </c>
      <c r="D48" s="111"/>
      <c r="E48" s="118" t="s">
        <v>239</v>
      </c>
      <c r="F48" s="119">
        <f>SUM(F43:K47)</f>
        <v>33.4198</v>
      </c>
      <c r="G48" s="120"/>
      <c r="H48" s="120"/>
      <c r="I48" s="120"/>
      <c r="J48" s="120"/>
      <c r="K48" s="125"/>
    </row>
    <row r="50" spans="9:10">
      <c r="I50" t="s">
        <v>252</v>
      </c>
      <c r="J50" s="126">
        <v>29.69</v>
      </c>
    </row>
  </sheetData>
  <mergeCells count="53">
    <mergeCell ref="A1:K1"/>
    <mergeCell ref="A2:B2"/>
    <mergeCell ref="C2:E2"/>
    <mergeCell ref="H2:I2"/>
    <mergeCell ref="J2:K2"/>
    <mergeCell ref="A7:J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5:K25"/>
    <mergeCell ref="J26:K26"/>
    <mergeCell ref="J27:K27"/>
    <mergeCell ref="D28:H28"/>
    <mergeCell ref="A29:H29"/>
    <mergeCell ref="A30:K30"/>
    <mergeCell ref="A31:E31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A42:D42"/>
    <mergeCell ref="A43:B43"/>
    <mergeCell ref="F43:K43"/>
    <mergeCell ref="A44:B44"/>
    <mergeCell ref="F44:K44"/>
    <mergeCell ref="A45:B45"/>
    <mergeCell ref="F45:K45"/>
    <mergeCell ref="A46:B46"/>
    <mergeCell ref="F46:K46"/>
    <mergeCell ref="A47:B47"/>
    <mergeCell ref="F47:K47"/>
    <mergeCell ref="A48:B48"/>
    <mergeCell ref="F48:K4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3:U219"/>
  <sheetViews>
    <sheetView workbookViewId="0">
      <selection activeCell="M12" sqref="M12"/>
    </sheetView>
  </sheetViews>
  <sheetFormatPr defaultColWidth="9" defaultRowHeight="13.5"/>
  <cols>
    <col min="1" max="1" width="4.625" customWidth="1"/>
    <col min="2" max="2" width="10.375" customWidth="1"/>
    <col min="3" max="3" width="9.75" customWidth="1"/>
    <col min="4" max="4" width="5.625" customWidth="1"/>
    <col min="5" max="5" width="5.75" customWidth="1"/>
    <col min="6" max="11" width="14.5" customWidth="1"/>
  </cols>
  <sheetData>
    <row r="3" ht="25.5" spans="1:11">
      <c r="A3" s="58" t="s">
        <v>331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>
      <c r="A4" s="59" t="s">
        <v>29</v>
      </c>
      <c r="B4" s="59" t="s">
        <v>151</v>
      </c>
      <c r="C4" s="59" t="s">
        <v>152</v>
      </c>
      <c r="D4" s="59" t="s">
        <v>153</v>
      </c>
      <c r="E4" s="59" t="s">
        <v>154</v>
      </c>
      <c r="F4" s="59" t="s">
        <v>155</v>
      </c>
      <c r="G4" s="59" t="s">
        <v>156</v>
      </c>
      <c r="H4" s="59" t="s">
        <v>157</v>
      </c>
      <c r="I4" s="59" t="s">
        <v>158</v>
      </c>
      <c r="J4" s="59" t="s">
        <v>159</v>
      </c>
      <c r="K4" s="59" t="s">
        <v>160</v>
      </c>
    </row>
    <row r="5" spans="1:11">
      <c r="A5" s="59">
        <v>1</v>
      </c>
      <c r="B5" s="59" t="s">
        <v>332</v>
      </c>
      <c r="C5" s="59"/>
      <c r="D5" s="59" t="s">
        <v>333</v>
      </c>
      <c r="E5" s="60">
        <v>5.9</v>
      </c>
      <c r="F5" s="60">
        <v>1.49</v>
      </c>
      <c r="G5" s="60">
        <f>E5*F5</f>
        <v>8.791</v>
      </c>
      <c r="H5" s="60">
        <v>0.7</v>
      </c>
      <c r="I5" s="60">
        <f>F5-H5</f>
        <v>0.79</v>
      </c>
      <c r="J5" s="60">
        <f>I5*1.3</f>
        <v>1.027</v>
      </c>
      <c r="K5" s="60">
        <f>G5-J5</f>
        <v>7.764</v>
      </c>
    </row>
    <row r="6" spans="1:11">
      <c r="A6" s="59">
        <v>2</v>
      </c>
      <c r="B6" s="59"/>
      <c r="C6" s="59"/>
      <c r="D6" s="59"/>
      <c r="E6" s="60"/>
      <c r="F6" s="60"/>
      <c r="G6" s="60">
        <f t="shared" ref="G6:G10" si="0">E6*F6</f>
        <v>0</v>
      </c>
      <c r="H6" s="60"/>
      <c r="I6" s="60">
        <f t="shared" ref="I6:I10" si="1">F6-H6</f>
        <v>0</v>
      </c>
      <c r="J6" s="60">
        <f t="shared" ref="J6:J10" si="2">I6*1.1</f>
        <v>0</v>
      </c>
      <c r="K6" s="60">
        <f t="shared" ref="K6:K10" si="3">G6-J6</f>
        <v>0</v>
      </c>
    </row>
    <row r="7" spans="1:11">
      <c r="A7" s="59">
        <v>3</v>
      </c>
      <c r="B7" s="59"/>
      <c r="C7" s="59"/>
      <c r="D7" s="59"/>
      <c r="E7" s="60"/>
      <c r="F7" s="60"/>
      <c r="G7" s="60">
        <f t="shared" si="0"/>
        <v>0</v>
      </c>
      <c r="H7" s="60"/>
      <c r="I7" s="60">
        <f t="shared" si="1"/>
        <v>0</v>
      </c>
      <c r="J7" s="60">
        <f t="shared" si="2"/>
        <v>0</v>
      </c>
      <c r="K7" s="60">
        <f t="shared" si="3"/>
        <v>0</v>
      </c>
    </row>
    <row r="8" spans="1:11">
      <c r="A8" s="59">
        <v>4</v>
      </c>
      <c r="B8" s="59"/>
      <c r="C8" s="59"/>
      <c r="D8" s="59"/>
      <c r="E8" s="60"/>
      <c r="F8" s="60"/>
      <c r="G8" s="60">
        <f t="shared" si="0"/>
        <v>0</v>
      </c>
      <c r="H8" s="60"/>
      <c r="I8" s="60">
        <f t="shared" si="1"/>
        <v>0</v>
      </c>
      <c r="J8" s="60">
        <f t="shared" si="2"/>
        <v>0</v>
      </c>
      <c r="K8" s="60">
        <f t="shared" si="3"/>
        <v>0</v>
      </c>
    </row>
    <row r="9" spans="1:11">
      <c r="A9" s="59">
        <v>5</v>
      </c>
      <c r="B9" s="59"/>
      <c r="C9" s="59"/>
      <c r="D9" s="59"/>
      <c r="E9" s="60"/>
      <c r="F9" s="60"/>
      <c r="G9" s="60">
        <f t="shared" si="0"/>
        <v>0</v>
      </c>
      <c r="H9" s="60"/>
      <c r="I9" s="60">
        <f t="shared" si="1"/>
        <v>0</v>
      </c>
      <c r="J9" s="60">
        <f t="shared" si="2"/>
        <v>0</v>
      </c>
      <c r="K9" s="60">
        <f t="shared" si="3"/>
        <v>0</v>
      </c>
    </row>
    <row r="10" spans="1:11">
      <c r="A10" s="59">
        <v>6</v>
      </c>
      <c r="B10" s="59"/>
      <c r="C10" s="59"/>
      <c r="D10" s="59"/>
      <c r="E10" s="60"/>
      <c r="F10" s="59"/>
      <c r="G10" s="60">
        <f t="shared" si="0"/>
        <v>0</v>
      </c>
      <c r="H10" s="59"/>
      <c r="I10" s="60">
        <f t="shared" si="1"/>
        <v>0</v>
      </c>
      <c r="J10" s="60">
        <f t="shared" si="2"/>
        <v>0</v>
      </c>
      <c r="K10" s="60">
        <f t="shared" si="3"/>
        <v>0</v>
      </c>
    </row>
    <row r="11" spans="1:11">
      <c r="A11" s="61" t="s">
        <v>182</v>
      </c>
      <c r="B11" s="62"/>
      <c r="C11" s="62"/>
      <c r="D11" s="62"/>
      <c r="E11" s="62"/>
      <c r="F11" s="62"/>
      <c r="G11" s="62"/>
      <c r="H11" s="62"/>
      <c r="I11" s="62"/>
      <c r="J11" s="63"/>
      <c r="K11" s="60">
        <f>SUM(K5:K10)</f>
        <v>7.764</v>
      </c>
    </row>
    <row r="12" spans="1:11">
      <c r="A12" s="59" t="s">
        <v>29</v>
      </c>
      <c r="B12" s="59" t="s">
        <v>151</v>
      </c>
      <c r="C12" s="59" t="s">
        <v>152</v>
      </c>
      <c r="D12" s="59" t="s">
        <v>166</v>
      </c>
      <c r="E12" s="59" t="s">
        <v>167</v>
      </c>
      <c r="F12" s="59" t="s">
        <v>168</v>
      </c>
      <c r="G12" s="59" t="s">
        <v>169</v>
      </c>
      <c r="H12" s="59" t="s">
        <v>170</v>
      </c>
      <c r="I12" s="59" t="s">
        <v>171</v>
      </c>
      <c r="J12" s="61" t="s">
        <v>107</v>
      </c>
      <c r="K12" s="63"/>
    </row>
    <row r="13" spans="1:11">
      <c r="A13" s="59">
        <v>1</v>
      </c>
      <c r="B13" s="59"/>
      <c r="C13" s="59"/>
      <c r="D13" s="59"/>
      <c r="E13" s="59" t="s">
        <v>260</v>
      </c>
      <c r="F13" s="59" t="s">
        <v>261</v>
      </c>
      <c r="G13" s="59"/>
      <c r="H13" s="59" t="s">
        <v>262</v>
      </c>
      <c r="I13" s="59"/>
      <c r="J13" s="61"/>
      <c r="K13" s="63"/>
    </row>
    <row r="14" spans="1:11">
      <c r="A14" s="59">
        <v>2</v>
      </c>
      <c r="B14" s="59" t="s">
        <v>332</v>
      </c>
      <c r="C14" s="59"/>
      <c r="D14" s="59"/>
      <c r="E14" s="59" t="s">
        <v>260</v>
      </c>
      <c r="F14" s="59" t="s">
        <v>264</v>
      </c>
      <c r="G14" s="59"/>
      <c r="H14" s="59" t="s">
        <v>265</v>
      </c>
      <c r="I14" s="59">
        <v>0.447</v>
      </c>
      <c r="J14" s="61"/>
      <c r="K14" s="63"/>
    </row>
    <row r="15" spans="1:11">
      <c r="A15" s="59">
        <v>3</v>
      </c>
      <c r="B15" s="59"/>
      <c r="C15" s="59"/>
      <c r="D15" s="59"/>
      <c r="E15" s="59" t="s">
        <v>266</v>
      </c>
      <c r="F15" s="59" t="s">
        <v>267</v>
      </c>
      <c r="G15" s="59"/>
      <c r="H15" s="59">
        <v>0.5</v>
      </c>
      <c r="I15" s="59">
        <f>G15*H15</f>
        <v>0</v>
      </c>
      <c r="J15" s="61"/>
      <c r="K15" s="63"/>
    </row>
    <row r="16" spans="1:11">
      <c r="A16" s="59">
        <v>4</v>
      </c>
      <c r="B16" s="59"/>
      <c r="C16" s="59"/>
      <c r="D16" s="59"/>
      <c r="E16" s="59" t="s">
        <v>266</v>
      </c>
      <c r="F16" s="59" t="s">
        <v>268</v>
      </c>
      <c r="G16" s="59"/>
      <c r="H16" s="59">
        <v>0.3</v>
      </c>
      <c r="I16" s="59">
        <f t="shared" ref="I16:I21" si="4">G16*H16</f>
        <v>0</v>
      </c>
      <c r="J16" s="61"/>
      <c r="K16" s="63"/>
    </row>
    <row r="17" spans="1:11">
      <c r="A17" s="59">
        <v>5</v>
      </c>
      <c r="B17" s="59" t="s">
        <v>332</v>
      </c>
      <c r="C17" s="59"/>
      <c r="D17" s="59" t="s">
        <v>269</v>
      </c>
      <c r="E17" s="59" t="s">
        <v>270</v>
      </c>
      <c r="F17" s="59" t="s">
        <v>271</v>
      </c>
      <c r="G17" s="59">
        <v>1</v>
      </c>
      <c r="H17" s="59">
        <v>0.15</v>
      </c>
      <c r="I17" s="59">
        <f t="shared" si="4"/>
        <v>0.15</v>
      </c>
      <c r="J17" s="61"/>
      <c r="K17" s="63"/>
    </row>
    <row r="18" spans="1:11">
      <c r="A18" s="59">
        <v>6</v>
      </c>
      <c r="B18" s="59" t="s">
        <v>332</v>
      </c>
      <c r="C18" s="59"/>
      <c r="D18" s="59" t="s">
        <v>272</v>
      </c>
      <c r="E18" s="59" t="s">
        <v>270</v>
      </c>
      <c r="F18" s="59" t="s">
        <v>273</v>
      </c>
      <c r="G18" s="59">
        <v>1</v>
      </c>
      <c r="H18" s="59">
        <v>0.15</v>
      </c>
      <c r="I18" s="59">
        <f t="shared" si="4"/>
        <v>0.15</v>
      </c>
      <c r="J18" s="61"/>
      <c r="K18" s="63"/>
    </row>
    <row r="19" spans="1:11">
      <c r="A19" s="59">
        <v>7</v>
      </c>
      <c r="B19" s="59" t="s">
        <v>332</v>
      </c>
      <c r="C19" s="59"/>
      <c r="D19" s="59" t="s">
        <v>275</v>
      </c>
      <c r="E19" s="59" t="s">
        <v>270</v>
      </c>
      <c r="F19" s="59" t="s">
        <v>276</v>
      </c>
      <c r="G19" s="59">
        <v>1</v>
      </c>
      <c r="H19" s="59">
        <v>0.08</v>
      </c>
      <c r="I19" s="59">
        <f t="shared" si="4"/>
        <v>0.08</v>
      </c>
      <c r="J19" s="61"/>
      <c r="K19" s="63"/>
    </row>
    <row r="20" spans="1:11">
      <c r="A20" s="59">
        <v>8</v>
      </c>
      <c r="C20" s="59"/>
      <c r="D20" s="59" t="s">
        <v>272</v>
      </c>
      <c r="E20" s="59" t="s">
        <v>270</v>
      </c>
      <c r="F20" s="59" t="s">
        <v>277</v>
      </c>
      <c r="G20" s="59"/>
      <c r="H20" s="59">
        <v>0.08</v>
      </c>
      <c r="I20" s="59">
        <f t="shared" si="4"/>
        <v>0</v>
      </c>
      <c r="J20" s="61"/>
      <c r="K20" s="63"/>
    </row>
    <row r="21" spans="1:11">
      <c r="A21" s="59">
        <v>9</v>
      </c>
      <c r="C21" s="59"/>
      <c r="D21" s="59" t="s">
        <v>275</v>
      </c>
      <c r="E21" s="59" t="s">
        <v>270</v>
      </c>
      <c r="F21" s="59" t="s">
        <v>278</v>
      </c>
      <c r="G21" s="59"/>
      <c r="H21" s="59">
        <v>0.05</v>
      </c>
      <c r="I21" s="59">
        <f t="shared" si="4"/>
        <v>0</v>
      </c>
      <c r="J21" s="61"/>
      <c r="K21" s="63"/>
    </row>
    <row r="22" spans="1:11">
      <c r="A22" s="59">
        <v>10</v>
      </c>
      <c r="B22" s="59"/>
      <c r="C22" s="59"/>
      <c r="D22" s="59" t="s">
        <v>279</v>
      </c>
      <c r="E22" s="59"/>
      <c r="F22" s="59"/>
      <c r="G22" s="59"/>
      <c r="H22" s="59"/>
      <c r="I22" s="59"/>
      <c r="J22" s="61" t="s">
        <v>280</v>
      </c>
      <c r="K22" s="63"/>
    </row>
    <row r="23" spans="1:11">
      <c r="A23" s="59">
        <v>11</v>
      </c>
      <c r="B23" s="59"/>
      <c r="C23" s="59"/>
      <c r="D23" s="59" t="s">
        <v>174</v>
      </c>
      <c r="E23" s="59"/>
      <c r="F23" s="59"/>
      <c r="G23" s="59"/>
      <c r="H23" s="59">
        <v>0.08</v>
      </c>
      <c r="I23" s="59"/>
      <c r="J23" s="61"/>
      <c r="K23" s="63"/>
    </row>
    <row r="24" spans="1:11">
      <c r="A24" s="59">
        <v>12</v>
      </c>
      <c r="B24" s="59"/>
      <c r="C24" s="59"/>
      <c r="D24" s="59" t="s">
        <v>321</v>
      </c>
      <c r="E24" s="59"/>
      <c r="F24" s="59"/>
      <c r="G24" s="59"/>
      <c r="H24" s="59">
        <v>0.08</v>
      </c>
      <c r="I24" s="59">
        <f t="shared" ref="I24:I30" si="5">G24*H24</f>
        <v>0</v>
      </c>
      <c r="J24" s="61"/>
      <c r="K24" s="63"/>
    </row>
    <row r="25" spans="1:11">
      <c r="A25" s="59">
        <v>13</v>
      </c>
      <c r="B25" s="59"/>
      <c r="C25" s="59"/>
      <c r="D25" s="59" t="s">
        <v>282</v>
      </c>
      <c r="E25" s="59"/>
      <c r="F25" s="59"/>
      <c r="G25" s="59"/>
      <c r="H25" s="59">
        <v>0.08</v>
      </c>
      <c r="I25" s="59">
        <f t="shared" si="5"/>
        <v>0</v>
      </c>
      <c r="J25" s="61"/>
      <c r="K25" s="63"/>
    </row>
    <row r="26" spans="1:11">
      <c r="A26" s="59">
        <v>14</v>
      </c>
      <c r="B26" s="59" t="s">
        <v>332</v>
      </c>
      <c r="C26" s="59"/>
      <c r="D26" s="59" t="s">
        <v>283</v>
      </c>
      <c r="E26" s="59"/>
      <c r="F26" s="59"/>
      <c r="G26" s="59">
        <v>1</v>
      </c>
      <c r="H26" s="59">
        <v>0.08</v>
      </c>
      <c r="I26" s="59">
        <f t="shared" si="5"/>
        <v>0.08</v>
      </c>
      <c r="J26" s="61"/>
      <c r="K26" s="63"/>
    </row>
    <row r="27" spans="1:11">
      <c r="A27" s="59">
        <v>15</v>
      </c>
      <c r="B27" s="59"/>
      <c r="C27" s="59"/>
      <c r="D27" s="59" t="s">
        <v>284</v>
      </c>
      <c r="E27" s="59"/>
      <c r="F27" s="59"/>
      <c r="G27" s="59"/>
      <c r="H27" s="59">
        <v>0.08</v>
      </c>
      <c r="I27" s="59">
        <f t="shared" si="5"/>
        <v>0</v>
      </c>
      <c r="J27" s="61"/>
      <c r="K27" s="63"/>
    </row>
    <row r="28" spans="1:11">
      <c r="A28" s="59">
        <v>15</v>
      </c>
      <c r="B28" s="59"/>
      <c r="C28" s="59"/>
      <c r="D28" s="59" t="s">
        <v>275</v>
      </c>
      <c r="E28" s="59"/>
      <c r="F28" s="59"/>
      <c r="G28" s="59"/>
      <c r="H28" s="59">
        <v>0.08</v>
      </c>
      <c r="I28" s="59">
        <f t="shared" si="5"/>
        <v>0</v>
      </c>
      <c r="J28" s="61"/>
      <c r="K28" s="63"/>
    </row>
    <row r="29" spans="1:11">
      <c r="A29" s="59">
        <v>15</v>
      </c>
      <c r="B29" s="59"/>
      <c r="C29" s="59"/>
      <c r="D29" s="59" t="s">
        <v>285</v>
      </c>
      <c r="E29" s="59"/>
      <c r="F29" s="59"/>
      <c r="G29" s="59"/>
      <c r="H29" s="59">
        <v>0.08</v>
      </c>
      <c r="I29" s="59">
        <f t="shared" si="5"/>
        <v>0</v>
      </c>
      <c r="J29" s="61"/>
      <c r="K29" s="63"/>
    </row>
    <row r="30" spans="1:11">
      <c r="A30" s="59">
        <v>15</v>
      </c>
      <c r="B30" s="59"/>
      <c r="C30" s="59"/>
      <c r="D30" s="59" t="s">
        <v>286</v>
      </c>
      <c r="E30" s="59"/>
      <c r="F30" s="59"/>
      <c r="G30" s="59"/>
      <c r="H30" s="59">
        <v>0.08</v>
      </c>
      <c r="I30" s="59">
        <f t="shared" si="5"/>
        <v>0</v>
      </c>
      <c r="J30" s="61"/>
      <c r="K30" s="63"/>
    </row>
    <row r="31" spans="1:11">
      <c r="A31" s="59">
        <v>15</v>
      </c>
      <c r="B31" s="59"/>
      <c r="C31" s="59"/>
      <c r="D31" s="59" t="s">
        <v>287</v>
      </c>
      <c r="E31" s="59"/>
      <c r="F31" s="59"/>
      <c r="G31" s="59"/>
      <c r="H31" s="59"/>
      <c r="I31" s="59"/>
      <c r="J31" s="61" t="s">
        <v>288</v>
      </c>
      <c r="K31" s="63"/>
    </row>
    <row r="32" spans="1:11">
      <c r="A32" s="59"/>
      <c r="B32" s="59"/>
      <c r="C32" s="59"/>
      <c r="D32" s="61" t="s">
        <v>334</v>
      </c>
      <c r="E32" s="62"/>
      <c r="F32" s="62"/>
      <c r="G32" s="62"/>
      <c r="H32" s="63"/>
      <c r="I32" s="59"/>
      <c r="J32" s="61"/>
      <c r="K32" s="63"/>
    </row>
    <row r="33" spans="1:11">
      <c r="A33" s="61" t="s">
        <v>182</v>
      </c>
      <c r="B33" s="62"/>
      <c r="C33" s="62"/>
      <c r="D33" s="62"/>
      <c r="E33" s="62"/>
      <c r="F33" s="62"/>
      <c r="G33" s="62"/>
      <c r="H33" s="63"/>
      <c r="I33" s="82">
        <f>SUM(I13:I32)</f>
        <v>0.907</v>
      </c>
      <c r="J33" s="59"/>
      <c r="K33" s="59"/>
    </row>
    <row r="34" spans="1:11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>
      <c r="A35" s="61" t="s">
        <v>183</v>
      </c>
      <c r="B35" s="62"/>
      <c r="C35" s="62"/>
      <c r="D35" s="62"/>
      <c r="E35" s="63"/>
      <c r="F35" s="59" t="s">
        <v>184</v>
      </c>
      <c r="G35" s="59"/>
      <c r="H35" s="59" t="s">
        <v>185</v>
      </c>
      <c r="I35" s="59" t="s">
        <v>186</v>
      </c>
      <c r="J35" s="59" t="s">
        <v>187</v>
      </c>
      <c r="K35" s="63" t="s">
        <v>107</v>
      </c>
    </row>
    <row r="36" spans="1:11">
      <c r="A36" s="59" t="s">
        <v>29</v>
      </c>
      <c r="B36" s="59" t="s">
        <v>190</v>
      </c>
      <c r="C36" s="59" t="s">
        <v>191</v>
      </c>
      <c r="D36" s="59" t="s">
        <v>192</v>
      </c>
      <c r="E36" s="59" t="s">
        <v>171</v>
      </c>
      <c r="F36" s="59" t="s">
        <v>193</v>
      </c>
      <c r="G36" s="59"/>
      <c r="H36" s="59">
        <v>3</v>
      </c>
      <c r="I36" s="59">
        <v>0.05</v>
      </c>
      <c r="J36" s="78">
        <f>I36*H36</f>
        <v>0.15</v>
      </c>
      <c r="K36" s="59"/>
    </row>
    <row r="37" spans="1:11">
      <c r="A37" s="64">
        <v>1</v>
      </c>
      <c r="B37" s="59" t="s">
        <v>335</v>
      </c>
      <c r="C37" s="59">
        <v>1</v>
      </c>
      <c r="D37" s="59">
        <v>0.08</v>
      </c>
      <c r="E37" s="59">
        <f>D37*C37</f>
        <v>0.08</v>
      </c>
      <c r="F37" s="61"/>
      <c r="G37" s="63"/>
      <c r="H37" s="59"/>
      <c r="I37" s="59"/>
      <c r="J37" s="78">
        <f t="shared" ref="J37:J39" si="6">I37*H37</f>
        <v>0</v>
      </c>
      <c r="K37" s="59"/>
    </row>
    <row r="38" spans="1:11">
      <c r="A38" s="64">
        <v>2</v>
      </c>
      <c r="B38" s="59"/>
      <c r="C38" s="59"/>
      <c r="D38" s="59"/>
      <c r="E38" s="59">
        <f t="shared" ref="E38:E45" si="7">D38*C38</f>
        <v>0</v>
      </c>
      <c r="F38" s="61"/>
      <c r="G38" s="63"/>
      <c r="H38" s="59"/>
      <c r="I38" s="59"/>
      <c r="J38" s="78">
        <f t="shared" si="6"/>
        <v>0</v>
      </c>
      <c r="K38" s="59"/>
    </row>
    <row r="39" spans="1:11">
      <c r="A39" s="64">
        <v>3</v>
      </c>
      <c r="B39" s="59"/>
      <c r="C39" s="59"/>
      <c r="D39" s="59"/>
      <c r="E39" s="59">
        <f t="shared" si="7"/>
        <v>0</v>
      </c>
      <c r="F39" s="61"/>
      <c r="G39" s="63"/>
      <c r="H39" s="59"/>
      <c r="I39" s="59"/>
      <c r="J39" s="78">
        <f t="shared" si="6"/>
        <v>0</v>
      </c>
      <c r="K39" s="59"/>
    </row>
    <row r="40" spans="1:11">
      <c r="A40" s="64">
        <v>4</v>
      </c>
      <c r="B40" s="59"/>
      <c r="C40" s="59"/>
      <c r="D40" s="59"/>
      <c r="E40" s="59">
        <f t="shared" si="7"/>
        <v>0</v>
      </c>
      <c r="F40" s="61"/>
      <c r="G40" s="63"/>
      <c r="H40" s="59"/>
      <c r="I40" s="59"/>
      <c r="J40" s="78"/>
      <c r="K40" s="59"/>
    </row>
    <row r="41" spans="1:11">
      <c r="A41" s="64">
        <v>5</v>
      </c>
      <c r="B41" s="59"/>
      <c r="C41" s="59"/>
      <c r="D41" s="59"/>
      <c r="E41" s="59">
        <f t="shared" si="7"/>
        <v>0</v>
      </c>
      <c r="F41" s="61"/>
      <c r="G41" s="63"/>
      <c r="H41" s="59"/>
      <c r="I41" s="59"/>
      <c r="J41" s="78"/>
      <c r="K41" s="59"/>
    </row>
    <row r="42" spans="1:11">
      <c r="A42" s="64">
        <v>6</v>
      </c>
      <c r="B42" s="59"/>
      <c r="C42" s="59"/>
      <c r="D42" s="59"/>
      <c r="E42" s="59">
        <f t="shared" si="7"/>
        <v>0</v>
      </c>
      <c r="F42" s="61" t="s">
        <v>182</v>
      </c>
      <c r="G42" s="63"/>
      <c r="H42" s="59"/>
      <c r="I42" s="59"/>
      <c r="J42" s="83">
        <f>SUM(J36:J41)</f>
        <v>0.15</v>
      </c>
      <c r="K42" s="59"/>
    </row>
    <row r="43" ht="15" spans="1:15">
      <c r="A43" s="64">
        <v>7</v>
      </c>
      <c r="B43" s="59"/>
      <c r="C43" s="59"/>
      <c r="D43" s="59"/>
      <c r="E43" s="59">
        <f t="shared" si="7"/>
        <v>0</v>
      </c>
      <c r="F43" s="61" t="s">
        <v>219</v>
      </c>
      <c r="G43" s="63"/>
      <c r="H43" s="66" t="s">
        <v>301</v>
      </c>
      <c r="I43" s="66" t="s">
        <v>302</v>
      </c>
      <c r="J43" s="73" t="s">
        <v>187</v>
      </c>
      <c r="K43" s="59" t="s">
        <v>107</v>
      </c>
      <c r="M43" s="77" t="s">
        <v>211</v>
      </c>
      <c r="N43" s="77" t="s">
        <v>212</v>
      </c>
      <c r="O43" s="77" t="s">
        <v>213</v>
      </c>
    </row>
    <row r="44" spans="1:15">
      <c r="A44" s="64">
        <v>8</v>
      </c>
      <c r="B44" s="59"/>
      <c r="C44" s="59"/>
      <c r="D44" s="59"/>
      <c r="E44" s="59">
        <f t="shared" si="7"/>
        <v>0</v>
      </c>
      <c r="F44" s="61" t="s">
        <v>224</v>
      </c>
      <c r="G44" s="63"/>
      <c r="H44" s="59">
        <v>10</v>
      </c>
      <c r="I44" s="59"/>
      <c r="J44" s="59">
        <f>I44*H44</f>
        <v>0</v>
      </c>
      <c r="K44" s="59"/>
      <c r="M44" s="77" t="s">
        <v>215</v>
      </c>
      <c r="N44" s="77" t="s">
        <v>216</v>
      </c>
      <c r="O44" s="77" t="s">
        <v>217</v>
      </c>
    </row>
    <row r="45" spans="1:11">
      <c r="A45" s="64">
        <v>9</v>
      </c>
      <c r="B45" s="59"/>
      <c r="C45" s="59"/>
      <c r="D45" s="59"/>
      <c r="E45" s="59">
        <f t="shared" si="7"/>
        <v>0</v>
      </c>
      <c r="F45" s="61" t="s">
        <v>226</v>
      </c>
      <c r="G45" s="63"/>
      <c r="H45" s="59">
        <v>12</v>
      </c>
      <c r="I45" s="59">
        <v>0.11</v>
      </c>
      <c r="J45" s="59">
        <f>I45*H45</f>
        <v>1.32</v>
      </c>
      <c r="K45" s="59"/>
    </row>
    <row r="46" spans="1:5">
      <c r="A46" s="68" t="s">
        <v>182</v>
      </c>
      <c r="B46" s="70"/>
      <c r="C46" s="70"/>
      <c r="D46" s="69"/>
      <c r="E46" s="71">
        <f>SUM(E37:E45)</f>
        <v>0.08</v>
      </c>
    </row>
    <row r="47" spans="1:15">
      <c r="A47" s="72" t="s">
        <v>227</v>
      </c>
      <c r="B47" s="72"/>
      <c r="C47" s="72" t="s">
        <v>208</v>
      </c>
      <c r="E47" s="73" t="s">
        <v>228</v>
      </c>
      <c r="F47" s="74">
        <f>C52+C51+C50+C49+C48</f>
        <v>10.40069</v>
      </c>
      <c r="G47" s="74"/>
      <c r="H47" s="74"/>
      <c r="I47" s="74"/>
      <c r="J47" s="74"/>
      <c r="K47" s="74"/>
      <c r="M47" s="64" t="s">
        <v>222</v>
      </c>
      <c r="N47" s="64" t="s">
        <v>223</v>
      </c>
      <c r="O47" s="64" t="s">
        <v>182</v>
      </c>
    </row>
    <row r="48" spans="1:15">
      <c r="A48" s="64" t="s">
        <v>231</v>
      </c>
      <c r="B48" s="64"/>
      <c r="C48" s="75">
        <f>K11</f>
        <v>7.764</v>
      </c>
      <c r="E48" s="76" t="s">
        <v>232</v>
      </c>
      <c r="F48" s="74">
        <f>F47*0.03</f>
        <v>0.3120207</v>
      </c>
      <c r="G48" s="74"/>
      <c r="H48" s="74"/>
      <c r="I48" s="74"/>
      <c r="J48" s="74"/>
      <c r="K48" s="74"/>
      <c r="M48" s="64">
        <v>0.67</v>
      </c>
      <c r="N48" s="64">
        <v>1.4</v>
      </c>
      <c r="O48" s="64">
        <f>M48*N48</f>
        <v>0.938</v>
      </c>
    </row>
    <row r="49" spans="1:11">
      <c r="A49" s="64" t="s">
        <v>233</v>
      </c>
      <c r="B49" s="64"/>
      <c r="C49" s="80">
        <f>I33*1.17</f>
        <v>1.06119</v>
      </c>
      <c r="E49" s="76" t="s">
        <v>234</v>
      </c>
      <c r="F49" s="74">
        <f>F47*0.06</f>
        <v>0.6240414</v>
      </c>
      <c r="G49" s="74"/>
      <c r="H49" s="74"/>
      <c r="I49" s="74"/>
      <c r="J49" s="74"/>
      <c r="K49" s="74"/>
    </row>
    <row r="50" spans="1:11">
      <c r="A50" s="64" t="s">
        <v>235</v>
      </c>
      <c r="B50" s="64"/>
      <c r="C50" s="75">
        <f>E46</f>
        <v>0.08</v>
      </c>
      <c r="E50" s="76" t="s">
        <v>236</v>
      </c>
      <c r="F50" s="74">
        <f>F47*0.02</f>
        <v>0.2080138</v>
      </c>
      <c r="G50" s="74"/>
      <c r="H50" s="74"/>
      <c r="I50" s="74"/>
      <c r="J50" s="74"/>
      <c r="K50" s="74"/>
    </row>
    <row r="51" spans="1:15">
      <c r="A51" s="64" t="s">
        <v>238</v>
      </c>
      <c r="B51" s="64"/>
      <c r="C51" s="80">
        <f>J42*1.17</f>
        <v>0.1755</v>
      </c>
      <c r="E51" s="76" t="s">
        <v>106</v>
      </c>
      <c r="F51" s="74"/>
      <c r="G51" s="74"/>
      <c r="H51" s="74"/>
      <c r="I51" s="74"/>
      <c r="J51" s="74"/>
      <c r="K51" s="74"/>
      <c r="M51" s="64" t="s">
        <v>229</v>
      </c>
      <c r="N51" s="64" t="s">
        <v>230</v>
      </c>
      <c r="O51" s="64" t="s">
        <v>182</v>
      </c>
    </row>
    <row r="52" spans="1:15">
      <c r="A52" s="64" t="s">
        <v>219</v>
      </c>
      <c r="B52" s="64"/>
      <c r="C52" s="75">
        <f>J44+J45</f>
        <v>1.32</v>
      </c>
      <c r="E52" s="76" t="s">
        <v>239</v>
      </c>
      <c r="F52" s="81">
        <f>F51+F50+F49+F48+F47</f>
        <v>11.5447659</v>
      </c>
      <c r="G52" s="81"/>
      <c r="H52" s="81"/>
      <c r="I52" s="81"/>
      <c r="J52" s="81"/>
      <c r="K52" s="81"/>
      <c r="M52" s="64">
        <v>7.53</v>
      </c>
      <c r="N52" s="64">
        <v>0.938</v>
      </c>
      <c r="O52" s="84">
        <f>M52+N52</f>
        <v>8.468</v>
      </c>
    </row>
    <row r="53" customFormat="1" spans="1:11">
      <c r="A53" s="92"/>
      <c r="B53" s="92"/>
      <c r="C53" s="93"/>
      <c r="E53" s="94"/>
      <c r="F53" s="95"/>
      <c r="G53" s="95"/>
      <c r="H53" s="95"/>
      <c r="I53" s="95"/>
      <c r="J53" s="95"/>
      <c r="K53" s="95"/>
    </row>
    <row r="54" customFormat="1" spans="1:11">
      <c r="A54" s="92"/>
      <c r="B54" s="92"/>
      <c r="C54" s="93"/>
      <c r="E54" s="94"/>
      <c r="F54" s="95"/>
      <c r="G54" s="95"/>
      <c r="H54" s="95"/>
      <c r="I54" s="95"/>
      <c r="J54" s="95"/>
      <c r="K54" s="95"/>
    </row>
    <row r="55" spans="1:9">
      <c r="A55" s="77"/>
      <c r="B55" s="77"/>
      <c r="I55" t="s">
        <v>336</v>
      </c>
    </row>
    <row r="56" spans="1:2">
      <c r="A56" s="77"/>
      <c r="B56" s="77"/>
    </row>
    <row r="57" ht="25.5" spans="1:11">
      <c r="A57" s="58" t="s">
        <v>337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</row>
    <row r="58" spans="1:11">
      <c r="A58" s="59" t="s">
        <v>29</v>
      </c>
      <c r="B58" s="59" t="s">
        <v>151</v>
      </c>
      <c r="C58" s="59" t="s">
        <v>152</v>
      </c>
      <c r="D58" s="59" t="s">
        <v>153</v>
      </c>
      <c r="E58" s="59" t="s">
        <v>154</v>
      </c>
      <c r="F58" s="59" t="s">
        <v>155</v>
      </c>
      <c r="G58" s="59" t="s">
        <v>156</v>
      </c>
      <c r="H58" s="59" t="s">
        <v>157</v>
      </c>
      <c r="I58" s="59" t="s">
        <v>158</v>
      </c>
      <c r="J58" s="59" t="s">
        <v>159</v>
      </c>
      <c r="K58" s="59" t="s">
        <v>160</v>
      </c>
    </row>
    <row r="59" spans="1:11">
      <c r="A59" s="59">
        <v>1</v>
      </c>
      <c r="B59" s="59" t="s">
        <v>338</v>
      </c>
      <c r="C59" s="59"/>
      <c r="D59" s="59" t="s">
        <v>333</v>
      </c>
      <c r="E59" s="60">
        <v>5.9</v>
      </c>
      <c r="F59" s="60">
        <v>1.38</v>
      </c>
      <c r="G59" s="60">
        <f>E59*F59</f>
        <v>8.142</v>
      </c>
      <c r="H59" s="60">
        <v>0.7</v>
      </c>
      <c r="I59" s="60">
        <f>F59-H59</f>
        <v>0.68</v>
      </c>
      <c r="J59" s="60">
        <f>I59*1.3</f>
        <v>0.884</v>
      </c>
      <c r="K59" s="60">
        <f>G59-J59</f>
        <v>7.258</v>
      </c>
    </row>
    <row r="60" spans="1:11">
      <c r="A60" s="59">
        <v>2</v>
      </c>
      <c r="B60" s="59"/>
      <c r="C60" s="59"/>
      <c r="D60" s="59"/>
      <c r="E60" s="60"/>
      <c r="F60" s="60"/>
      <c r="G60" s="60">
        <f t="shared" ref="G60:G64" si="8">E60*F60</f>
        <v>0</v>
      </c>
      <c r="H60" s="60"/>
      <c r="I60" s="60">
        <f t="shared" ref="I60:I64" si="9">F60-H60</f>
        <v>0</v>
      </c>
      <c r="J60" s="60">
        <f t="shared" ref="J60:J64" si="10">I60*1.1</f>
        <v>0</v>
      </c>
      <c r="K60" s="60">
        <f t="shared" ref="K60:K64" si="11">G60-J60</f>
        <v>0</v>
      </c>
    </row>
    <row r="61" spans="1:11">
      <c r="A61" s="59">
        <v>3</v>
      </c>
      <c r="B61" s="59"/>
      <c r="C61" s="59"/>
      <c r="D61" s="59"/>
      <c r="E61" s="60"/>
      <c r="F61" s="60"/>
      <c r="G61" s="60">
        <f t="shared" si="8"/>
        <v>0</v>
      </c>
      <c r="H61" s="60"/>
      <c r="I61" s="60">
        <f t="shared" si="9"/>
        <v>0</v>
      </c>
      <c r="J61" s="60">
        <f t="shared" si="10"/>
        <v>0</v>
      </c>
      <c r="K61" s="60">
        <f t="shared" si="11"/>
        <v>0</v>
      </c>
    </row>
    <row r="62" spans="1:11">
      <c r="A62" s="59">
        <v>4</v>
      </c>
      <c r="B62" s="59"/>
      <c r="C62" s="59"/>
      <c r="D62" s="59"/>
      <c r="E62" s="60"/>
      <c r="F62" s="60"/>
      <c r="G62" s="60">
        <f t="shared" si="8"/>
        <v>0</v>
      </c>
      <c r="H62" s="60"/>
      <c r="I62" s="60">
        <f t="shared" si="9"/>
        <v>0</v>
      </c>
      <c r="J62" s="60">
        <f t="shared" si="10"/>
        <v>0</v>
      </c>
      <c r="K62" s="60">
        <f t="shared" si="11"/>
        <v>0</v>
      </c>
    </row>
    <row r="63" spans="1:11">
      <c r="A63" s="59">
        <v>5</v>
      </c>
      <c r="B63" s="59"/>
      <c r="C63" s="59"/>
      <c r="D63" s="59"/>
      <c r="E63" s="60"/>
      <c r="F63" s="60"/>
      <c r="G63" s="60">
        <f t="shared" si="8"/>
        <v>0</v>
      </c>
      <c r="H63" s="60"/>
      <c r="I63" s="60">
        <f t="shared" si="9"/>
        <v>0</v>
      </c>
      <c r="J63" s="60">
        <f t="shared" si="10"/>
        <v>0</v>
      </c>
      <c r="K63" s="60">
        <f t="shared" si="11"/>
        <v>0</v>
      </c>
    </row>
    <row r="64" spans="1:11">
      <c r="A64" s="59">
        <v>6</v>
      </c>
      <c r="B64" s="59"/>
      <c r="C64" s="59"/>
      <c r="D64" s="59"/>
      <c r="E64" s="60"/>
      <c r="F64" s="59"/>
      <c r="G64" s="60">
        <f t="shared" si="8"/>
        <v>0</v>
      </c>
      <c r="H64" s="59"/>
      <c r="I64" s="60">
        <f t="shared" si="9"/>
        <v>0</v>
      </c>
      <c r="J64" s="60">
        <f t="shared" si="10"/>
        <v>0</v>
      </c>
      <c r="K64" s="60">
        <f t="shared" si="11"/>
        <v>0</v>
      </c>
    </row>
    <row r="65" spans="1:11">
      <c r="A65" s="61" t="s">
        <v>182</v>
      </c>
      <c r="B65" s="62"/>
      <c r="C65" s="62"/>
      <c r="D65" s="62"/>
      <c r="E65" s="62"/>
      <c r="F65" s="62"/>
      <c r="G65" s="62"/>
      <c r="H65" s="62"/>
      <c r="I65" s="62"/>
      <c r="J65" s="63"/>
      <c r="K65" s="60">
        <f>SUM(K59:K64)</f>
        <v>7.258</v>
      </c>
    </row>
    <row r="66" spans="1:11">
      <c r="A66" s="59" t="s">
        <v>29</v>
      </c>
      <c r="B66" s="59" t="s">
        <v>151</v>
      </c>
      <c r="C66" s="59" t="s">
        <v>152</v>
      </c>
      <c r="D66" s="59" t="s">
        <v>166</v>
      </c>
      <c r="E66" s="59" t="s">
        <v>167</v>
      </c>
      <c r="F66" s="59" t="s">
        <v>168</v>
      </c>
      <c r="G66" s="59" t="s">
        <v>169</v>
      </c>
      <c r="H66" s="59" t="s">
        <v>170</v>
      </c>
      <c r="I66" s="59" t="s">
        <v>171</v>
      </c>
      <c r="J66" s="61" t="s">
        <v>107</v>
      </c>
      <c r="K66" s="63"/>
    </row>
    <row r="67" spans="1:11">
      <c r="A67" s="59">
        <v>1</v>
      </c>
      <c r="B67" s="59"/>
      <c r="C67" s="59"/>
      <c r="D67" s="59"/>
      <c r="E67" s="59" t="s">
        <v>260</v>
      </c>
      <c r="F67" s="59" t="s">
        <v>261</v>
      </c>
      <c r="G67" s="59"/>
      <c r="H67" s="59" t="s">
        <v>262</v>
      </c>
      <c r="I67" s="59"/>
      <c r="J67" s="61"/>
      <c r="K67" s="63"/>
    </row>
    <row r="68" spans="1:11">
      <c r="A68" s="59">
        <v>2</v>
      </c>
      <c r="B68" s="59" t="s">
        <v>338</v>
      </c>
      <c r="C68" s="59"/>
      <c r="D68" s="59"/>
      <c r="E68" s="59" t="s">
        <v>260</v>
      </c>
      <c r="F68" s="59" t="s">
        <v>264</v>
      </c>
      <c r="G68" s="59"/>
      <c r="H68" s="59" t="s">
        <v>265</v>
      </c>
      <c r="I68" s="59">
        <v>0.447</v>
      </c>
      <c r="J68" s="61"/>
      <c r="K68" s="63"/>
    </row>
    <row r="69" spans="1:11">
      <c r="A69" s="59">
        <v>3</v>
      </c>
      <c r="B69" s="59"/>
      <c r="C69" s="59"/>
      <c r="D69" s="59"/>
      <c r="E69" s="59" t="s">
        <v>266</v>
      </c>
      <c r="F69" s="59" t="s">
        <v>267</v>
      </c>
      <c r="G69" s="59"/>
      <c r="H69" s="59">
        <v>0.5</v>
      </c>
      <c r="I69" s="59">
        <f>G69*H69</f>
        <v>0</v>
      </c>
      <c r="J69" s="61"/>
      <c r="K69" s="63"/>
    </row>
    <row r="70" spans="1:11">
      <c r="A70" s="59">
        <v>4</v>
      </c>
      <c r="B70" s="59"/>
      <c r="C70" s="59"/>
      <c r="D70" s="59"/>
      <c r="E70" s="59" t="s">
        <v>266</v>
      </c>
      <c r="F70" s="59" t="s">
        <v>268</v>
      </c>
      <c r="G70" s="59"/>
      <c r="H70" s="59">
        <v>0.3</v>
      </c>
      <c r="I70" s="59">
        <f t="shared" ref="I70:I75" si="12">G70*H70</f>
        <v>0</v>
      </c>
      <c r="J70" s="61"/>
      <c r="K70" s="63"/>
    </row>
    <row r="71" spans="1:11">
      <c r="A71" s="59">
        <v>5</v>
      </c>
      <c r="B71" s="59" t="s">
        <v>338</v>
      </c>
      <c r="C71" s="59"/>
      <c r="D71" s="59" t="s">
        <v>269</v>
      </c>
      <c r="E71" s="59" t="s">
        <v>270</v>
      </c>
      <c r="F71" s="59" t="s">
        <v>271</v>
      </c>
      <c r="G71" s="59">
        <v>1</v>
      </c>
      <c r="H71" s="59">
        <v>0.15</v>
      </c>
      <c r="I71" s="59">
        <f t="shared" si="12"/>
        <v>0.15</v>
      </c>
      <c r="J71" s="61"/>
      <c r="K71" s="63"/>
    </row>
    <row r="72" spans="1:11">
      <c r="A72" s="59">
        <v>6</v>
      </c>
      <c r="B72" s="59" t="s">
        <v>338</v>
      </c>
      <c r="C72" s="59"/>
      <c r="D72" s="59" t="s">
        <v>272</v>
      </c>
      <c r="E72" s="59" t="s">
        <v>270</v>
      </c>
      <c r="F72" s="59" t="s">
        <v>273</v>
      </c>
      <c r="G72" s="59">
        <v>1</v>
      </c>
      <c r="H72" s="59">
        <v>0.15</v>
      </c>
      <c r="I72" s="59">
        <f t="shared" si="12"/>
        <v>0.15</v>
      </c>
      <c r="J72" s="61"/>
      <c r="K72" s="63"/>
    </row>
    <row r="73" spans="1:11">
      <c r="A73" s="59">
        <v>7</v>
      </c>
      <c r="B73" s="59" t="s">
        <v>338</v>
      </c>
      <c r="C73" s="59"/>
      <c r="D73" s="59" t="s">
        <v>275</v>
      </c>
      <c r="E73" s="59" t="s">
        <v>270</v>
      </c>
      <c r="F73" s="59" t="s">
        <v>276</v>
      </c>
      <c r="G73" s="59">
        <v>1</v>
      </c>
      <c r="H73" s="59">
        <v>0.08</v>
      </c>
      <c r="I73" s="59">
        <f t="shared" si="12"/>
        <v>0.08</v>
      </c>
      <c r="J73" s="61"/>
      <c r="K73" s="63"/>
    </row>
    <row r="74" spans="1:11">
      <c r="A74" s="59">
        <v>8</v>
      </c>
      <c r="C74" s="59"/>
      <c r="D74" s="59" t="s">
        <v>272</v>
      </c>
      <c r="E74" s="59" t="s">
        <v>270</v>
      </c>
      <c r="F74" s="59" t="s">
        <v>277</v>
      </c>
      <c r="G74" s="59"/>
      <c r="H74" s="59">
        <v>0.08</v>
      </c>
      <c r="I74" s="59">
        <f t="shared" si="12"/>
        <v>0</v>
      </c>
      <c r="J74" s="61"/>
      <c r="K74" s="63"/>
    </row>
    <row r="75" spans="1:11">
      <c r="A75" s="59">
        <v>9</v>
      </c>
      <c r="C75" s="59"/>
      <c r="D75" s="59" t="s">
        <v>275</v>
      </c>
      <c r="E75" s="59" t="s">
        <v>270</v>
      </c>
      <c r="F75" s="59" t="s">
        <v>278</v>
      </c>
      <c r="G75" s="59"/>
      <c r="H75" s="59">
        <v>0.05</v>
      </c>
      <c r="I75" s="59">
        <f t="shared" si="12"/>
        <v>0</v>
      </c>
      <c r="J75" s="61"/>
      <c r="K75" s="63"/>
    </row>
    <row r="76" spans="1:11">
      <c r="A76" s="59">
        <v>10</v>
      </c>
      <c r="B76" s="59"/>
      <c r="C76" s="59"/>
      <c r="D76" s="59" t="s">
        <v>279</v>
      </c>
      <c r="E76" s="59"/>
      <c r="F76" s="59"/>
      <c r="G76" s="59"/>
      <c r="H76" s="59"/>
      <c r="I76" s="59"/>
      <c r="J76" s="61" t="s">
        <v>280</v>
      </c>
      <c r="K76" s="63"/>
    </row>
    <row r="77" spans="1:11">
      <c r="A77" s="59">
        <v>11</v>
      </c>
      <c r="B77" s="59"/>
      <c r="C77" s="59"/>
      <c r="D77" s="59" t="s">
        <v>174</v>
      </c>
      <c r="E77" s="59"/>
      <c r="F77" s="59"/>
      <c r="G77" s="59"/>
      <c r="H77" s="59">
        <v>0.08</v>
      </c>
      <c r="I77" s="59"/>
      <c r="J77" s="61"/>
      <c r="K77" s="63"/>
    </row>
    <row r="78" spans="1:11">
      <c r="A78" s="59">
        <v>12</v>
      </c>
      <c r="B78" s="59"/>
      <c r="C78" s="59"/>
      <c r="D78" s="59" t="s">
        <v>321</v>
      </c>
      <c r="E78" s="59"/>
      <c r="F78" s="59"/>
      <c r="G78" s="59"/>
      <c r="H78" s="59">
        <v>0.08</v>
      </c>
      <c r="I78" s="59">
        <f t="shared" ref="I78:I84" si="13">G78*H78</f>
        <v>0</v>
      </c>
      <c r="J78" s="61"/>
      <c r="K78" s="63"/>
    </row>
    <row r="79" spans="1:11">
      <c r="A79" s="59">
        <v>13</v>
      </c>
      <c r="B79" s="59"/>
      <c r="C79" s="59"/>
      <c r="D79" s="59" t="s">
        <v>282</v>
      </c>
      <c r="E79" s="59"/>
      <c r="F79" s="59"/>
      <c r="G79" s="59"/>
      <c r="H79" s="59">
        <v>0.08</v>
      </c>
      <c r="I79" s="59">
        <f t="shared" si="13"/>
        <v>0</v>
      </c>
      <c r="J79" s="61"/>
      <c r="K79" s="63"/>
    </row>
    <row r="80" spans="1:11">
      <c r="A80" s="59">
        <v>14</v>
      </c>
      <c r="B80" s="59" t="s">
        <v>338</v>
      </c>
      <c r="C80" s="59"/>
      <c r="D80" s="59" t="s">
        <v>283</v>
      </c>
      <c r="E80" s="59"/>
      <c r="F80" s="59"/>
      <c r="G80" s="59">
        <v>1</v>
      </c>
      <c r="H80" s="59">
        <v>0.08</v>
      </c>
      <c r="I80" s="59">
        <f t="shared" si="13"/>
        <v>0.08</v>
      </c>
      <c r="J80" s="61"/>
      <c r="K80" s="63"/>
    </row>
    <row r="81" spans="1:11">
      <c r="A81" s="59">
        <v>15</v>
      </c>
      <c r="B81" s="59"/>
      <c r="C81" s="59"/>
      <c r="D81" s="59" t="s">
        <v>284</v>
      </c>
      <c r="E81" s="59"/>
      <c r="F81" s="59"/>
      <c r="G81" s="59"/>
      <c r="H81" s="59">
        <v>0.08</v>
      </c>
      <c r="I81" s="59">
        <f t="shared" si="13"/>
        <v>0</v>
      </c>
      <c r="J81" s="61"/>
      <c r="K81" s="63"/>
    </row>
    <row r="82" spans="1:11">
      <c r="A82" s="59">
        <v>15</v>
      </c>
      <c r="B82" s="59"/>
      <c r="C82" s="59"/>
      <c r="D82" s="59" t="s">
        <v>275</v>
      </c>
      <c r="E82" s="59"/>
      <c r="F82" s="59"/>
      <c r="G82" s="59"/>
      <c r="H82" s="59">
        <v>0.08</v>
      </c>
      <c r="I82" s="59">
        <f t="shared" si="13"/>
        <v>0</v>
      </c>
      <c r="J82" s="61"/>
      <c r="K82" s="63"/>
    </row>
    <row r="83" spans="1:11">
      <c r="A83" s="59">
        <v>15</v>
      </c>
      <c r="B83" s="59"/>
      <c r="C83" s="59"/>
      <c r="D83" s="59" t="s">
        <v>285</v>
      </c>
      <c r="E83" s="59"/>
      <c r="F83" s="59"/>
      <c r="G83" s="59"/>
      <c r="H83" s="59">
        <v>0.08</v>
      </c>
      <c r="I83" s="59">
        <f t="shared" si="13"/>
        <v>0</v>
      </c>
      <c r="J83" s="61"/>
      <c r="K83" s="63"/>
    </row>
    <row r="84" spans="1:11">
      <c r="A84" s="59">
        <v>15</v>
      </c>
      <c r="B84" s="59"/>
      <c r="C84" s="59"/>
      <c r="D84" s="59" t="s">
        <v>286</v>
      </c>
      <c r="E84" s="59"/>
      <c r="F84" s="59"/>
      <c r="G84" s="59"/>
      <c r="H84" s="59">
        <v>0.08</v>
      </c>
      <c r="I84" s="59">
        <f t="shared" si="13"/>
        <v>0</v>
      </c>
      <c r="J84" s="61"/>
      <c r="K84" s="63"/>
    </row>
    <row r="85" spans="1:11">
      <c r="A85" s="59">
        <v>15</v>
      </c>
      <c r="B85" s="59"/>
      <c r="C85" s="59"/>
      <c r="D85" s="59" t="s">
        <v>287</v>
      </c>
      <c r="E85" s="59"/>
      <c r="F85" s="59"/>
      <c r="G85" s="59"/>
      <c r="H85" s="59"/>
      <c r="I85" s="59"/>
      <c r="J85" s="61" t="s">
        <v>288</v>
      </c>
      <c r="K85" s="63"/>
    </row>
    <row r="86" spans="1:11">
      <c r="A86" s="59"/>
      <c r="B86" s="59"/>
      <c r="C86" s="59"/>
      <c r="D86" s="61" t="s">
        <v>334</v>
      </c>
      <c r="E86" s="62"/>
      <c r="F86" s="62"/>
      <c r="G86" s="62"/>
      <c r="H86" s="63"/>
      <c r="I86" s="59"/>
      <c r="J86" s="61"/>
      <c r="K86" s="63"/>
    </row>
    <row r="87" spans="1:11">
      <c r="A87" s="61" t="s">
        <v>182</v>
      </c>
      <c r="B87" s="62"/>
      <c r="C87" s="62"/>
      <c r="D87" s="62"/>
      <c r="E87" s="62"/>
      <c r="F87" s="62"/>
      <c r="G87" s="62"/>
      <c r="H87" s="63"/>
      <c r="I87" s="82">
        <f>SUM(I67:I86)</f>
        <v>0.907</v>
      </c>
      <c r="J87" s="59"/>
      <c r="K87" s="59"/>
    </row>
    <row r="88" spans="1:11">
      <c r="A88" s="61"/>
      <c r="B88" s="62"/>
      <c r="C88" s="62"/>
      <c r="D88" s="62"/>
      <c r="E88" s="62"/>
      <c r="F88" s="62"/>
      <c r="G88" s="62"/>
      <c r="H88" s="62"/>
      <c r="I88" s="62"/>
      <c r="J88" s="62"/>
      <c r="K88" s="63"/>
    </row>
    <row r="89" spans="1:11">
      <c r="A89" s="61" t="s">
        <v>183</v>
      </c>
      <c r="B89" s="62"/>
      <c r="C89" s="62"/>
      <c r="D89" s="62"/>
      <c r="E89" s="63"/>
      <c r="F89" s="59" t="s">
        <v>184</v>
      </c>
      <c r="G89" s="59"/>
      <c r="H89" s="59" t="s">
        <v>185</v>
      </c>
      <c r="I89" s="59" t="s">
        <v>186</v>
      </c>
      <c r="J89" s="59" t="s">
        <v>187</v>
      </c>
      <c r="K89" s="63" t="s">
        <v>107</v>
      </c>
    </row>
    <row r="90" spans="1:11">
      <c r="A90" s="59" t="s">
        <v>29</v>
      </c>
      <c r="B90" s="59" t="s">
        <v>190</v>
      </c>
      <c r="C90" s="59" t="s">
        <v>191</v>
      </c>
      <c r="D90" s="59" t="s">
        <v>192</v>
      </c>
      <c r="E90" s="59" t="s">
        <v>171</v>
      </c>
      <c r="F90" s="59" t="s">
        <v>193</v>
      </c>
      <c r="G90" s="59"/>
      <c r="H90" s="59">
        <v>3</v>
      </c>
      <c r="I90" s="59">
        <v>0.05</v>
      </c>
      <c r="J90" s="78">
        <f>I90*H90</f>
        <v>0.15</v>
      </c>
      <c r="K90" s="59"/>
    </row>
    <row r="91" spans="1:11">
      <c r="A91" s="64">
        <v>1</v>
      </c>
      <c r="B91" s="59" t="s">
        <v>335</v>
      </c>
      <c r="C91" s="59">
        <v>1</v>
      </c>
      <c r="D91" s="59">
        <v>0.08</v>
      </c>
      <c r="E91" s="59">
        <f>D91*C91</f>
        <v>0.08</v>
      </c>
      <c r="F91" s="61"/>
      <c r="G91" s="63"/>
      <c r="H91" s="59"/>
      <c r="I91" s="59"/>
      <c r="J91" s="78">
        <f t="shared" ref="J91:J93" si="14">I91*H91</f>
        <v>0</v>
      </c>
      <c r="K91" s="59"/>
    </row>
    <row r="92" spans="1:11">
      <c r="A92" s="64">
        <v>2</v>
      </c>
      <c r="B92" s="59"/>
      <c r="C92" s="59"/>
      <c r="D92" s="59"/>
      <c r="E92" s="59">
        <f t="shared" ref="E92:E99" si="15">D92*C92</f>
        <v>0</v>
      </c>
      <c r="F92" s="61"/>
      <c r="G92" s="63"/>
      <c r="H92" s="59"/>
      <c r="I92" s="59"/>
      <c r="J92" s="78">
        <f t="shared" si="14"/>
        <v>0</v>
      </c>
      <c r="K92" s="59"/>
    </row>
    <row r="93" spans="1:11">
      <c r="A93" s="64">
        <v>3</v>
      </c>
      <c r="B93" s="59"/>
      <c r="C93" s="59"/>
      <c r="D93" s="59"/>
      <c r="E93" s="59">
        <f t="shared" si="15"/>
        <v>0</v>
      </c>
      <c r="F93" s="61"/>
      <c r="G93" s="63"/>
      <c r="H93" s="59"/>
      <c r="I93" s="59"/>
      <c r="J93" s="78">
        <f t="shared" si="14"/>
        <v>0</v>
      </c>
      <c r="K93" s="59"/>
    </row>
    <row r="94" spans="1:11">
      <c r="A94" s="64">
        <v>4</v>
      </c>
      <c r="B94" s="59"/>
      <c r="C94" s="59"/>
      <c r="D94" s="59"/>
      <c r="E94" s="59">
        <f t="shared" si="15"/>
        <v>0</v>
      </c>
      <c r="F94" s="61"/>
      <c r="G94" s="63"/>
      <c r="H94" s="59"/>
      <c r="I94" s="59"/>
      <c r="J94" s="78"/>
      <c r="K94" s="59"/>
    </row>
    <row r="95" spans="1:11">
      <c r="A95" s="64">
        <v>5</v>
      </c>
      <c r="B95" s="59"/>
      <c r="C95" s="59"/>
      <c r="D95" s="59"/>
      <c r="E95" s="59">
        <f t="shared" si="15"/>
        <v>0</v>
      </c>
      <c r="F95" s="61"/>
      <c r="G95" s="63"/>
      <c r="H95" s="59"/>
      <c r="I95" s="59"/>
      <c r="J95" s="78"/>
      <c r="K95" s="59"/>
    </row>
    <row r="96" spans="1:11">
      <c r="A96" s="64">
        <v>6</v>
      </c>
      <c r="B96" s="59"/>
      <c r="C96" s="59"/>
      <c r="D96" s="59"/>
      <c r="E96" s="59">
        <f t="shared" si="15"/>
        <v>0</v>
      </c>
      <c r="F96" s="61" t="s">
        <v>182</v>
      </c>
      <c r="G96" s="63"/>
      <c r="H96" s="59"/>
      <c r="I96" s="59"/>
      <c r="J96" s="83">
        <f>SUM(J90:J95)</f>
        <v>0.15</v>
      </c>
      <c r="K96" s="59"/>
    </row>
    <row r="97" ht="15" spans="1:15">
      <c r="A97" s="64">
        <v>7</v>
      </c>
      <c r="B97" s="59"/>
      <c r="C97" s="59"/>
      <c r="D97" s="59"/>
      <c r="E97" s="59">
        <f t="shared" si="15"/>
        <v>0</v>
      </c>
      <c r="F97" s="61" t="s">
        <v>219</v>
      </c>
      <c r="G97" s="63"/>
      <c r="H97" s="66" t="s">
        <v>301</v>
      </c>
      <c r="I97" s="66" t="s">
        <v>302</v>
      </c>
      <c r="J97" s="73" t="s">
        <v>187</v>
      </c>
      <c r="K97" s="59" t="s">
        <v>107</v>
      </c>
      <c r="M97" s="77" t="s">
        <v>211</v>
      </c>
      <c r="N97" s="77" t="s">
        <v>212</v>
      </c>
      <c r="O97" s="77" t="s">
        <v>213</v>
      </c>
    </row>
    <row r="98" spans="1:15">
      <c r="A98" s="64">
        <v>8</v>
      </c>
      <c r="B98" s="59"/>
      <c r="C98" s="59"/>
      <c r="D98" s="59"/>
      <c r="E98" s="59">
        <f t="shared" si="15"/>
        <v>0</v>
      </c>
      <c r="F98" s="61" t="s">
        <v>224</v>
      </c>
      <c r="G98" s="63"/>
      <c r="H98" s="59">
        <v>10</v>
      </c>
      <c r="I98" s="59"/>
      <c r="J98" s="59">
        <f>I98*H98</f>
        <v>0</v>
      </c>
      <c r="K98" s="59"/>
      <c r="M98" s="77" t="s">
        <v>215</v>
      </c>
      <c r="N98" s="77" t="s">
        <v>216</v>
      </c>
      <c r="O98" s="77" t="s">
        <v>217</v>
      </c>
    </row>
    <row r="99" spans="1:11">
      <c r="A99" s="64">
        <v>9</v>
      </c>
      <c r="B99" s="59"/>
      <c r="C99" s="59"/>
      <c r="D99" s="59"/>
      <c r="E99" s="59">
        <f t="shared" si="15"/>
        <v>0</v>
      </c>
      <c r="F99" s="61" t="s">
        <v>226</v>
      </c>
      <c r="G99" s="63"/>
      <c r="H99" s="59">
        <v>12</v>
      </c>
      <c r="I99" s="59">
        <v>0.1</v>
      </c>
      <c r="J99" s="59">
        <f>I99*H99</f>
        <v>1.2</v>
      </c>
      <c r="K99" s="59"/>
    </row>
    <row r="100" spans="1:5">
      <c r="A100" s="68" t="s">
        <v>182</v>
      </c>
      <c r="B100" s="70"/>
      <c r="C100" s="70"/>
      <c r="D100" s="69"/>
      <c r="E100" s="71">
        <f>SUM(E91:E99)</f>
        <v>0.08</v>
      </c>
    </row>
    <row r="101" spans="1:15">
      <c r="A101" s="72" t="s">
        <v>227</v>
      </c>
      <c r="B101" s="72"/>
      <c r="C101" s="72" t="s">
        <v>208</v>
      </c>
      <c r="E101" s="73" t="s">
        <v>228</v>
      </c>
      <c r="F101" s="74">
        <f>C106+C105+C104+C103+C102</f>
        <v>9.77469</v>
      </c>
      <c r="G101" s="74"/>
      <c r="H101" s="74"/>
      <c r="I101" s="74"/>
      <c r="J101" s="74"/>
      <c r="K101" s="74"/>
      <c r="M101" s="64" t="s">
        <v>222</v>
      </c>
      <c r="N101" s="64" t="s">
        <v>223</v>
      </c>
      <c r="O101" s="64" t="s">
        <v>182</v>
      </c>
    </row>
    <row r="102" spans="1:15">
      <c r="A102" s="64" t="s">
        <v>231</v>
      </c>
      <c r="B102" s="64"/>
      <c r="C102" s="75">
        <f>K65</f>
        <v>7.258</v>
      </c>
      <c r="E102" s="76" t="s">
        <v>232</v>
      </c>
      <c r="F102" s="74">
        <f>F101*0.03</f>
        <v>0.2932407</v>
      </c>
      <c r="G102" s="74"/>
      <c r="H102" s="74"/>
      <c r="I102" s="74"/>
      <c r="J102" s="74"/>
      <c r="K102" s="74"/>
      <c r="M102" s="64">
        <v>0.62</v>
      </c>
      <c r="N102" s="64">
        <v>1.4</v>
      </c>
      <c r="O102" s="64">
        <f>M102*N102</f>
        <v>0.868</v>
      </c>
    </row>
    <row r="103" spans="1:11">
      <c r="A103" s="64" t="s">
        <v>233</v>
      </c>
      <c r="B103" s="64"/>
      <c r="C103" s="80">
        <f>I87*1.17</f>
        <v>1.06119</v>
      </c>
      <c r="E103" s="76" t="s">
        <v>234</v>
      </c>
      <c r="F103" s="74">
        <f>F101*0.06</f>
        <v>0.5864814</v>
      </c>
      <c r="G103" s="74"/>
      <c r="H103" s="74"/>
      <c r="I103" s="74"/>
      <c r="J103" s="74"/>
      <c r="K103" s="74"/>
    </row>
    <row r="104" spans="1:11">
      <c r="A104" s="64" t="s">
        <v>235</v>
      </c>
      <c r="B104" s="64"/>
      <c r="C104" s="75">
        <f>E100</f>
        <v>0.08</v>
      </c>
      <c r="E104" s="76" t="s">
        <v>236</v>
      </c>
      <c r="F104" s="74">
        <f>F101*0.02</f>
        <v>0.1954938</v>
      </c>
      <c r="G104" s="74"/>
      <c r="H104" s="74"/>
      <c r="I104" s="74"/>
      <c r="J104" s="74"/>
      <c r="K104" s="74"/>
    </row>
    <row r="105" spans="1:15">
      <c r="A105" s="64" t="s">
        <v>238</v>
      </c>
      <c r="B105" s="64"/>
      <c r="C105" s="80">
        <f>J96*1.17</f>
        <v>0.1755</v>
      </c>
      <c r="E105" s="76" t="s">
        <v>106</v>
      </c>
      <c r="F105" s="74"/>
      <c r="G105" s="74"/>
      <c r="H105" s="74"/>
      <c r="I105" s="74"/>
      <c r="J105" s="74"/>
      <c r="K105" s="74"/>
      <c r="M105" s="64" t="s">
        <v>229</v>
      </c>
      <c r="N105" s="64" t="s">
        <v>230</v>
      </c>
      <c r="O105" s="64" t="s">
        <v>182</v>
      </c>
    </row>
    <row r="106" spans="1:16">
      <c r="A106" s="64" t="s">
        <v>219</v>
      </c>
      <c r="B106" s="64"/>
      <c r="C106" s="75">
        <f>J98+J99</f>
        <v>1.2</v>
      </c>
      <c r="E106" s="76" t="s">
        <v>239</v>
      </c>
      <c r="F106" s="81">
        <f>F105+F104+F103+F102+F101</f>
        <v>10.8499059</v>
      </c>
      <c r="G106" s="81"/>
      <c r="H106" s="81"/>
      <c r="I106" s="81"/>
      <c r="J106" s="81"/>
      <c r="K106" s="81"/>
      <c r="M106" s="64">
        <v>7.53</v>
      </c>
      <c r="N106" s="64">
        <v>0.868</v>
      </c>
      <c r="O106" s="84">
        <f>M106+N106</f>
        <v>8.398</v>
      </c>
      <c r="P106" t="s">
        <v>252</v>
      </c>
    </row>
    <row r="107" spans="8:9">
      <c r="H107" t="s">
        <v>252</v>
      </c>
      <c r="I107" t="s">
        <v>339</v>
      </c>
    </row>
    <row r="114" ht="25.5" spans="1:11">
      <c r="A114" s="58" t="s">
        <v>340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</row>
    <row r="115" spans="1:11">
      <c r="A115" s="59" t="s">
        <v>29</v>
      </c>
      <c r="B115" s="59" t="s">
        <v>151</v>
      </c>
      <c r="C115" s="59" t="s">
        <v>152</v>
      </c>
      <c r="D115" s="59" t="s">
        <v>153</v>
      </c>
      <c r="E115" s="59" t="s">
        <v>154</v>
      </c>
      <c r="F115" s="59" t="s">
        <v>155</v>
      </c>
      <c r="G115" s="59" t="s">
        <v>156</v>
      </c>
      <c r="H115" s="59" t="s">
        <v>157</v>
      </c>
      <c r="I115" s="59" t="s">
        <v>158</v>
      </c>
      <c r="J115" s="59" t="s">
        <v>159</v>
      </c>
      <c r="K115" s="59" t="s">
        <v>160</v>
      </c>
    </row>
    <row r="116" spans="1:11">
      <c r="A116" s="59">
        <v>1</v>
      </c>
      <c r="B116" s="59" t="s">
        <v>341</v>
      </c>
      <c r="C116" s="59"/>
      <c r="D116" s="59" t="s">
        <v>333</v>
      </c>
      <c r="E116" s="60">
        <v>5.9</v>
      </c>
      <c r="F116" s="60">
        <v>0.79</v>
      </c>
      <c r="G116" s="60">
        <f>E116*F116</f>
        <v>4.661</v>
      </c>
      <c r="H116" s="60">
        <v>0.6</v>
      </c>
      <c r="I116" s="60">
        <f>F116-H116</f>
        <v>0.19</v>
      </c>
      <c r="J116" s="60">
        <f>I116*1.3</f>
        <v>0.247</v>
      </c>
      <c r="K116" s="60">
        <f>G116-J116</f>
        <v>4.414</v>
      </c>
    </row>
    <row r="117" spans="1:11">
      <c r="A117" s="59">
        <v>2</v>
      </c>
      <c r="B117" s="59"/>
      <c r="C117" s="59"/>
      <c r="D117" s="59"/>
      <c r="E117" s="60"/>
      <c r="F117" s="60"/>
      <c r="G117" s="60">
        <f t="shared" ref="G117:G121" si="16">E117*F117</f>
        <v>0</v>
      </c>
      <c r="H117" s="60"/>
      <c r="I117" s="60">
        <f t="shared" ref="I117:I121" si="17">F117-H117</f>
        <v>0</v>
      </c>
      <c r="J117" s="60">
        <f t="shared" ref="J117:J121" si="18">I117*1.1</f>
        <v>0</v>
      </c>
      <c r="K117" s="60">
        <f t="shared" ref="K117:K121" si="19">G117-J117</f>
        <v>0</v>
      </c>
    </row>
    <row r="118" spans="1:11">
      <c r="A118" s="59">
        <v>3</v>
      </c>
      <c r="B118" s="59"/>
      <c r="C118" s="59"/>
      <c r="D118" s="59"/>
      <c r="E118" s="60"/>
      <c r="F118" s="60"/>
      <c r="G118" s="60">
        <f t="shared" si="16"/>
        <v>0</v>
      </c>
      <c r="H118" s="60"/>
      <c r="I118" s="60">
        <f t="shared" si="17"/>
        <v>0</v>
      </c>
      <c r="J118" s="60">
        <f t="shared" si="18"/>
        <v>0</v>
      </c>
      <c r="K118" s="60">
        <f t="shared" si="19"/>
        <v>0</v>
      </c>
    </row>
    <row r="119" spans="1:11">
      <c r="A119" s="59">
        <v>4</v>
      </c>
      <c r="B119" s="59"/>
      <c r="C119" s="59"/>
      <c r="D119" s="59"/>
      <c r="E119" s="60"/>
      <c r="F119" s="60"/>
      <c r="G119" s="60">
        <f t="shared" si="16"/>
        <v>0</v>
      </c>
      <c r="H119" s="60"/>
      <c r="I119" s="60">
        <f t="shared" si="17"/>
        <v>0</v>
      </c>
      <c r="J119" s="60">
        <f t="shared" si="18"/>
        <v>0</v>
      </c>
      <c r="K119" s="60">
        <f t="shared" si="19"/>
        <v>0</v>
      </c>
    </row>
    <row r="120" spans="1:11">
      <c r="A120" s="59">
        <v>5</v>
      </c>
      <c r="B120" s="59"/>
      <c r="C120" s="59"/>
      <c r="D120" s="59"/>
      <c r="E120" s="60"/>
      <c r="F120" s="60"/>
      <c r="G120" s="60">
        <f t="shared" si="16"/>
        <v>0</v>
      </c>
      <c r="H120" s="60"/>
      <c r="I120" s="60">
        <f t="shared" si="17"/>
        <v>0</v>
      </c>
      <c r="J120" s="60">
        <f t="shared" si="18"/>
        <v>0</v>
      </c>
      <c r="K120" s="60">
        <f t="shared" si="19"/>
        <v>0</v>
      </c>
    </row>
    <row r="121" spans="1:11">
      <c r="A121" s="59">
        <v>6</v>
      </c>
      <c r="B121" s="59"/>
      <c r="C121" s="59"/>
      <c r="D121" s="59"/>
      <c r="E121" s="60"/>
      <c r="F121" s="59"/>
      <c r="G121" s="60">
        <f t="shared" si="16"/>
        <v>0</v>
      </c>
      <c r="H121" s="59"/>
      <c r="I121" s="60">
        <f t="shared" si="17"/>
        <v>0</v>
      </c>
      <c r="J121" s="60">
        <f t="shared" si="18"/>
        <v>0</v>
      </c>
      <c r="K121" s="60">
        <f t="shared" si="19"/>
        <v>0</v>
      </c>
    </row>
    <row r="122" spans="1:11">
      <c r="A122" s="61" t="s">
        <v>182</v>
      </c>
      <c r="B122" s="62"/>
      <c r="C122" s="62"/>
      <c r="D122" s="62"/>
      <c r="E122" s="62"/>
      <c r="F122" s="62"/>
      <c r="G122" s="62"/>
      <c r="H122" s="62"/>
      <c r="I122" s="62"/>
      <c r="J122" s="63"/>
      <c r="K122" s="60">
        <f>SUM(K116:K121)</f>
        <v>4.414</v>
      </c>
    </row>
    <row r="123" spans="1:11">
      <c r="A123" s="59" t="s">
        <v>29</v>
      </c>
      <c r="B123" s="59" t="s">
        <v>151</v>
      </c>
      <c r="C123" s="59" t="s">
        <v>152</v>
      </c>
      <c r="D123" s="59" t="s">
        <v>166</v>
      </c>
      <c r="E123" s="59" t="s">
        <v>167</v>
      </c>
      <c r="F123" s="59" t="s">
        <v>168</v>
      </c>
      <c r="G123" s="59" t="s">
        <v>169</v>
      </c>
      <c r="H123" s="59" t="s">
        <v>170</v>
      </c>
      <c r="I123" s="59" t="s">
        <v>171</v>
      </c>
      <c r="J123" s="61" t="s">
        <v>107</v>
      </c>
      <c r="K123" s="63"/>
    </row>
    <row r="124" spans="1:11">
      <c r="A124" s="59">
        <v>1</v>
      </c>
      <c r="B124" s="59"/>
      <c r="C124" s="59"/>
      <c r="D124" s="59"/>
      <c r="E124" s="59" t="s">
        <v>260</v>
      </c>
      <c r="F124" s="59" t="s">
        <v>261</v>
      </c>
      <c r="G124" s="59"/>
      <c r="H124" s="59" t="s">
        <v>262</v>
      </c>
      <c r="I124" s="59"/>
      <c r="J124" s="61"/>
      <c r="K124" s="63"/>
    </row>
    <row r="125" spans="1:11">
      <c r="A125" s="59">
        <v>2</v>
      </c>
      <c r="B125" s="59" t="s">
        <v>341</v>
      </c>
      <c r="C125" s="59"/>
      <c r="D125" s="59"/>
      <c r="E125" s="59" t="s">
        <v>260</v>
      </c>
      <c r="F125" s="59" t="s">
        <v>264</v>
      </c>
      <c r="G125" s="59"/>
      <c r="H125" s="59" t="s">
        <v>265</v>
      </c>
      <c r="I125" s="59">
        <v>0.23</v>
      </c>
      <c r="J125" s="61"/>
      <c r="K125" s="63"/>
    </row>
    <row r="126" spans="1:11">
      <c r="A126" s="59">
        <v>3</v>
      </c>
      <c r="B126" s="59"/>
      <c r="C126" s="59"/>
      <c r="D126" s="59"/>
      <c r="E126" s="59" t="s">
        <v>266</v>
      </c>
      <c r="F126" s="59" t="s">
        <v>267</v>
      </c>
      <c r="G126" s="59"/>
      <c r="H126" s="59">
        <v>0.5</v>
      </c>
      <c r="I126" s="59">
        <f>G126*H126</f>
        <v>0</v>
      </c>
      <c r="J126" s="61"/>
      <c r="K126" s="63"/>
    </row>
    <row r="127" spans="1:11">
      <c r="A127" s="59">
        <v>4</v>
      </c>
      <c r="B127" s="59"/>
      <c r="C127" s="59"/>
      <c r="D127" s="59"/>
      <c r="E127" s="59" t="s">
        <v>266</v>
      </c>
      <c r="F127" s="59" t="s">
        <v>268</v>
      </c>
      <c r="G127" s="59"/>
      <c r="H127" s="59">
        <v>0.3</v>
      </c>
      <c r="I127" s="59">
        <f t="shared" ref="I127:I132" si="20">G127*H127</f>
        <v>0</v>
      </c>
      <c r="J127" s="61"/>
      <c r="K127" s="63"/>
    </row>
    <row r="128" spans="1:11">
      <c r="A128" s="59">
        <v>5</v>
      </c>
      <c r="B128" s="59" t="s">
        <v>341</v>
      </c>
      <c r="C128" s="59"/>
      <c r="D128" s="59" t="s">
        <v>269</v>
      </c>
      <c r="E128" s="59" t="s">
        <v>270</v>
      </c>
      <c r="F128" s="59" t="s">
        <v>271</v>
      </c>
      <c r="G128" s="59">
        <v>1</v>
      </c>
      <c r="H128" s="59">
        <v>0.15</v>
      </c>
      <c r="I128" s="59">
        <f t="shared" si="20"/>
        <v>0.15</v>
      </c>
      <c r="J128" s="61"/>
      <c r="K128" s="63"/>
    </row>
    <row r="129" spans="1:11">
      <c r="A129" s="59">
        <v>6</v>
      </c>
      <c r="B129" s="59" t="s">
        <v>341</v>
      </c>
      <c r="C129" s="59"/>
      <c r="D129" s="59" t="s">
        <v>272</v>
      </c>
      <c r="E129" s="59" t="s">
        <v>270</v>
      </c>
      <c r="F129" s="59" t="s">
        <v>273</v>
      </c>
      <c r="G129" s="59">
        <v>1</v>
      </c>
      <c r="H129" s="59">
        <v>0.15</v>
      </c>
      <c r="I129" s="59">
        <f t="shared" si="20"/>
        <v>0.15</v>
      </c>
      <c r="J129" s="61"/>
      <c r="K129" s="63"/>
    </row>
    <row r="130" spans="1:11">
      <c r="A130" s="59">
        <v>7</v>
      </c>
      <c r="B130" s="59" t="s">
        <v>341</v>
      </c>
      <c r="C130" s="59"/>
      <c r="D130" s="59" t="s">
        <v>275</v>
      </c>
      <c r="E130" s="59" t="s">
        <v>270</v>
      </c>
      <c r="F130" s="59" t="s">
        <v>276</v>
      </c>
      <c r="G130" s="59">
        <v>1</v>
      </c>
      <c r="H130" s="59">
        <v>0.08</v>
      </c>
      <c r="I130" s="59">
        <f t="shared" si="20"/>
        <v>0.08</v>
      </c>
      <c r="J130" s="61"/>
      <c r="K130" s="63"/>
    </row>
    <row r="131" spans="1:11">
      <c r="A131" s="59">
        <v>8</v>
      </c>
      <c r="C131" s="59"/>
      <c r="D131" s="59" t="s">
        <v>272</v>
      </c>
      <c r="E131" s="59" t="s">
        <v>270</v>
      </c>
      <c r="F131" s="59" t="s">
        <v>277</v>
      </c>
      <c r="G131" s="59"/>
      <c r="H131" s="59">
        <v>0.08</v>
      </c>
      <c r="I131" s="59">
        <f t="shared" si="20"/>
        <v>0</v>
      </c>
      <c r="J131" s="61"/>
      <c r="K131" s="63"/>
    </row>
    <row r="132" spans="1:11">
      <c r="A132" s="59">
        <v>9</v>
      </c>
      <c r="C132" s="59"/>
      <c r="D132" s="59" t="s">
        <v>275</v>
      </c>
      <c r="E132" s="59" t="s">
        <v>270</v>
      </c>
      <c r="F132" s="59" t="s">
        <v>278</v>
      </c>
      <c r="G132" s="59"/>
      <c r="H132" s="59">
        <v>0.05</v>
      </c>
      <c r="I132" s="59">
        <f t="shared" si="20"/>
        <v>0</v>
      </c>
      <c r="J132" s="61"/>
      <c r="K132" s="63"/>
    </row>
    <row r="133" spans="1:11">
      <c r="A133" s="59">
        <v>10</v>
      </c>
      <c r="B133" s="59"/>
      <c r="C133" s="59"/>
      <c r="D133" s="59" t="s">
        <v>279</v>
      </c>
      <c r="E133" s="59"/>
      <c r="F133" s="59"/>
      <c r="G133" s="59"/>
      <c r="H133" s="59"/>
      <c r="I133" s="59"/>
      <c r="J133" s="61" t="s">
        <v>280</v>
      </c>
      <c r="K133" s="63"/>
    </row>
    <row r="134" spans="1:11">
      <c r="A134" s="59">
        <v>11</v>
      </c>
      <c r="B134" s="59"/>
      <c r="C134" s="59"/>
      <c r="D134" s="59" t="s">
        <v>174</v>
      </c>
      <c r="E134" s="59"/>
      <c r="F134" s="59"/>
      <c r="G134" s="59"/>
      <c r="H134" s="59">
        <v>0.08</v>
      </c>
      <c r="I134" s="59"/>
      <c r="J134" s="61"/>
      <c r="K134" s="63"/>
    </row>
    <row r="135" spans="1:11">
      <c r="A135" s="59">
        <v>12</v>
      </c>
      <c r="B135" s="59"/>
      <c r="C135" s="59"/>
      <c r="D135" s="59" t="s">
        <v>321</v>
      </c>
      <c r="E135" s="59"/>
      <c r="F135" s="59"/>
      <c r="G135" s="59"/>
      <c r="H135" s="59">
        <v>0.08</v>
      </c>
      <c r="I135" s="59">
        <f t="shared" ref="I135:I141" si="21">G135*H135</f>
        <v>0</v>
      </c>
      <c r="J135" s="61"/>
      <c r="K135" s="63"/>
    </row>
    <row r="136" spans="1:11">
      <c r="A136" s="59">
        <v>13</v>
      </c>
      <c r="B136" s="59"/>
      <c r="C136" s="59"/>
      <c r="D136" s="59" t="s">
        <v>282</v>
      </c>
      <c r="E136" s="59"/>
      <c r="F136" s="59"/>
      <c r="G136" s="59"/>
      <c r="H136" s="59">
        <v>0.08</v>
      </c>
      <c r="I136" s="59">
        <f t="shared" si="21"/>
        <v>0</v>
      </c>
      <c r="J136" s="61"/>
      <c r="K136" s="63"/>
    </row>
    <row r="137" spans="1:11">
      <c r="A137" s="59">
        <v>14</v>
      </c>
      <c r="B137" s="59" t="s">
        <v>341</v>
      </c>
      <c r="C137" s="59"/>
      <c r="D137" s="59" t="s">
        <v>283</v>
      </c>
      <c r="E137" s="59"/>
      <c r="F137" s="59"/>
      <c r="G137" s="59">
        <v>1</v>
      </c>
      <c r="H137" s="59">
        <v>0.08</v>
      </c>
      <c r="I137" s="59">
        <f t="shared" si="21"/>
        <v>0.08</v>
      </c>
      <c r="J137" s="61"/>
      <c r="K137" s="63"/>
    </row>
    <row r="138" spans="1:11">
      <c r="A138" s="59">
        <v>15</v>
      </c>
      <c r="B138" s="59"/>
      <c r="C138" s="59"/>
      <c r="D138" s="59" t="s">
        <v>284</v>
      </c>
      <c r="E138" s="59"/>
      <c r="F138" s="59"/>
      <c r="G138" s="59"/>
      <c r="H138" s="59">
        <v>0.08</v>
      </c>
      <c r="I138" s="59">
        <f t="shared" si="21"/>
        <v>0</v>
      </c>
      <c r="J138" s="61"/>
      <c r="K138" s="63"/>
    </row>
    <row r="139" spans="1:11">
      <c r="A139" s="59">
        <v>15</v>
      </c>
      <c r="B139" s="59"/>
      <c r="C139" s="59"/>
      <c r="D139" s="59" t="s">
        <v>275</v>
      </c>
      <c r="E139" s="59"/>
      <c r="F139" s="59"/>
      <c r="G139" s="59"/>
      <c r="H139" s="59">
        <v>0.08</v>
      </c>
      <c r="I139" s="59">
        <f t="shared" si="21"/>
        <v>0</v>
      </c>
      <c r="J139" s="61"/>
      <c r="K139" s="63"/>
    </row>
    <row r="140" spans="1:11">
      <c r="A140" s="59">
        <v>15</v>
      </c>
      <c r="B140" s="59"/>
      <c r="C140" s="59"/>
      <c r="D140" s="59" t="s">
        <v>285</v>
      </c>
      <c r="E140" s="59"/>
      <c r="F140" s="59"/>
      <c r="G140" s="59"/>
      <c r="H140" s="59">
        <v>0.08</v>
      </c>
      <c r="I140" s="59">
        <f t="shared" si="21"/>
        <v>0</v>
      </c>
      <c r="J140" s="61"/>
      <c r="K140" s="63"/>
    </row>
    <row r="141" spans="1:11">
      <c r="A141" s="59">
        <v>15</v>
      </c>
      <c r="B141" s="59"/>
      <c r="C141" s="59"/>
      <c r="D141" s="59" t="s">
        <v>286</v>
      </c>
      <c r="E141" s="59"/>
      <c r="F141" s="59"/>
      <c r="G141" s="59"/>
      <c r="H141" s="59">
        <v>0.08</v>
      </c>
      <c r="I141" s="59">
        <f t="shared" si="21"/>
        <v>0</v>
      </c>
      <c r="J141" s="61"/>
      <c r="K141" s="63"/>
    </row>
    <row r="142" spans="1:11">
      <c r="A142" s="59">
        <v>15</v>
      </c>
      <c r="B142" s="59"/>
      <c r="C142" s="59"/>
      <c r="D142" s="59" t="s">
        <v>287</v>
      </c>
      <c r="E142" s="59"/>
      <c r="F142" s="59"/>
      <c r="G142" s="59"/>
      <c r="H142" s="59"/>
      <c r="I142" s="59"/>
      <c r="J142" s="61" t="s">
        <v>288</v>
      </c>
      <c r="K142" s="63"/>
    </row>
    <row r="143" spans="1:11">
      <c r="A143" s="59"/>
      <c r="B143" s="59"/>
      <c r="C143" s="59"/>
      <c r="D143" s="61" t="s">
        <v>334</v>
      </c>
      <c r="E143" s="62"/>
      <c r="F143" s="62"/>
      <c r="G143" s="62"/>
      <c r="H143" s="63"/>
      <c r="I143" s="59"/>
      <c r="J143" s="61"/>
      <c r="K143" s="63"/>
    </row>
    <row r="144" spans="1:11">
      <c r="A144" s="61" t="s">
        <v>182</v>
      </c>
      <c r="B144" s="62"/>
      <c r="C144" s="62"/>
      <c r="D144" s="62"/>
      <c r="E144" s="62"/>
      <c r="F144" s="62"/>
      <c r="G144" s="62"/>
      <c r="H144" s="63"/>
      <c r="I144" s="82">
        <f>SUM(I124:I143)</f>
        <v>0.69</v>
      </c>
      <c r="J144" s="59"/>
      <c r="K144" s="59"/>
    </row>
    <row r="145" spans="1:11">
      <c r="A145" s="61"/>
      <c r="B145" s="62"/>
      <c r="C145" s="62"/>
      <c r="D145" s="62"/>
      <c r="E145" s="62"/>
      <c r="F145" s="62"/>
      <c r="G145" s="62"/>
      <c r="H145" s="62"/>
      <c r="I145" s="62"/>
      <c r="J145" s="62"/>
      <c r="K145" s="63"/>
    </row>
    <row r="146" spans="1:11">
      <c r="A146" s="61" t="s">
        <v>183</v>
      </c>
      <c r="B146" s="62"/>
      <c r="C146" s="62"/>
      <c r="D146" s="62"/>
      <c r="E146" s="63"/>
      <c r="F146" s="59" t="s">
        <v>184</v>
      </c>
      <c r="G146" s="59"/>
      <c r="H146" s="59" t="s">
        <v>185</v>
      </c>
      <c r="I146" s="59" t="s">
        <v>186</v>
      </c>
      <c r="J146" s="59" t="s">
        <v>187</v>
      </c>
      <c r="K146" s="63" t="s">
        <v>107</v>
      </c>
    </row>
    <row r="147" spans="1:11">
      <c r="A147" s="59" t="s">
        <v>29</v>
      </c>
      <c r="B147" s="59" t="s">
        <v>190</v>
      </c>
      <c r="C147" s="59" t="s">
        <v>191</v>
      </c>
      <c r="D147" s="59" t="s">
        <v>192</v>
      </c>
      <c r="E147" s="59" t="s">
        <v>171</v>
      </c>
      <c r="F147" s="59" t="s">
        <v>193</v>
      </c>
      <c r="G147" s="59"/>
      <c r="H147" s="59">
        <v>3</v>
      </c>
      <c r="I147" s="59">
        <v>0.05</v>
      </c>
      <c r="J147" s="78">
        <f>I147*H147</f>
        <v>0.15</v>
      </c>
      <c r="K147" s="59"/>
    </row>
    <row r="148" spans="1:11">
      <c r="A148" s="64">
        <v>1</v>
      </c>
      <c r="B148" s="59" t="s">
        <v>335</v>
      </c>
      <c r="C148" s="59">
        <v>1</v>
      </c>
      <c r="D148" s="59">
        <v>0.04</v>
      </c>
      <c r="E148" s="59">
        <f>D148*C148</f>
        <v>0.04</v>
      </c>
      <c r="F148" s="61"/>
      <c r="G148" s="63"/>
      <c r="H148" s="59"/>
      <c r="I148" s="59"/>
      <c r="J148" s="78">
        <f t="shared" ref="J148:J150" si="22">I148*H148</f>
        <v>0</v>
      </c>
      <c r="K148" s="59"/>
    </row>
    <row r="149" spans="1:11">
      <c r="A149" s="64">
        <v>2</v>
      </c>
      <c r="B149" s="59"/>
      <c r="C149" s="59"/>
      <c r="D149" s="59"/>
      <c r="E149" s="59">
        <f t="shared" ref="E149:E156" si="23">D149*C149</f>
        <v>0</v>
      </c>
      <c r="F149" s="61"/>
      <c r="G149" s="63"/>
      <c r="H149" s="59"/>
      <c r="I149" s="59"/>
      <c r="J149" s="78">
        <f t="shared" si="22"/>
        <v>0</v>
      </c>
      <c r="K149" s="59"/>
    </row>
    <row r="150" spans="1:11">
      <c r="A150" s="64">
        <v>3</v>
      </c>
      <c r="B150" s="59"/>
      <c r="C150" s="59"/>
      <c r="D150" s="59"/>
      <c r="E150" s="59">
        <f t="shared" si="23"/>
        <v>0</v>
      </c>
      <c r="F150" s="61"/>
      <c r="G150" s="63"/>
      <c r="H150" s="59"/>
      <c r="I150" s="59"/>
      <c r="J150" s="78">
        <f t="shared" si="22"/>
        <v>0</v>
      </c>
      <c r="K150" s="59"/>
    </row>
    <row r="151" spans="1:11">
      <c r="A151" s="64">
        <v>4</v>
      </c>
      <c r="B151" s="59"/>
      <c r="C151" s="59"/>
      <c r="D151" s="59"/>
      <c r="E151" s="59">
        <f t="shared" si="23"/>
        <v>0</v>
      </c>
      <c r="F151" s="61"/>
      <c r="G151" s="63"/>
      <c r="H151" s="59"/>
      <c r="I151" s="59"/>
      <c r="J151" s="78"/>
      <c r="K151" s="59"/>
    </row>
    <row r="152" spans="1:11">
      <c r="A152" s="64">
        <v>5</v>
      </c>
      <c r="B152" s="59"/>
      <c r="C152" s="59"/>
      <c r="D152" s="59"/>
      <c r="E152" s="59">
        <f t="shared" si="23"/>
        <v>0</v>
      </c>
      <c r="F152" s="61"/>
      <c r="G152" s="63"/>
      <c r="H152" s="59"/>
      <c r="I152" s="59"/>
      <c r="J152" s="78"/>
      <c r="K152" s="59"/>
    </row>
    <row r="153" spans="1:11">
      <c r="A153" s="64">
        <v>6</v>
      </c>
      <c r="B153" s="59"/>
      <c r="C153" s="59"/>
      <c r="D153" s="59"/>
      <c r="E153" s="59">
        <f t="shared" si="23"/>
        <v>0</v>
      </c>
      <c r="F153" s="61" t="s">
        <v>182</v>
      </c>
      <c r="G153" s="63"/>
      <c r="H153" s="59"/>
      <c r="I153" s="59"/>
      <c r="J153" s="83">
        <f>SUM(J147:J152)</f>
        <v>0.15</v>
      </c>
      <c r="K153" s="59"/>
    </row>
    <row r="154" ht="15" spans="1:11">
      <c r="A154" s="64">
        <v>7</v>
      </c>
      <c r="B154" s="59"/>
      <c r="C154" s="59"/>
      <c r="D154" s="59"/>
      <c r="E154" s="59">
        <f t="shared" si="23"/>
        <v>0</v>
      </c>
      <c r="F154" s="61" t="s">
        <v>219</v>
      </c>
      <c r="G154" s="63"/>
      <c r="H154" s="66" t="s">
        <v>301</v>
      </c>
      <c r="I154" s="66" t="s">
        <v>302</v>
      </c>
      <c r="J154" s="73" t="s">
        <v>187</v>
      </c>
      <c r="K154" s="59" t="s">
        <v>107</v>
      </c>
    </row>
    <row r="155" spans="1:20">
      <c r="A155" s="64">
        <v>8</v>
      </c>
      <c r="B155" s="59"/>
      <c r="C155" s="59"/>
      <c r="D155" s="59"/>
      <c r="E155" s="59">
        <f t="shared" si="23"/>
        <v>0</v>
      </c>
      <c r="F155" s="61" t="s">
        <v>224</v>
      </c>
      <c r="G155" s="63"/>
      <c r="H155" s="59">
        <v>10</v>
      </c>
      <c r="I155" s="59"/>
      <c r="J155" s="59">
        <f>I155*H155</f>
        <v>0</v>
      </c>
      <c r="K155" s="59"/>
      <c r="M155" s="77" t="s">
        <v>211</v>
      </c>
      <c r="N155" s="77" t="s">
        <v>212</v>
      </c>
      <c r="O155" s="77" t="s">
        <v>213</v>
      </c>
      <c r="R155" s="77" t="s">
        <v>211</v>
      </c>
      <c r="S155" s="77" t="s">
        <v>212</v>
      </c>
      <c r="T155" s="77" t="s">
        <v>213</v>
      </c>
    </row>
    <row r="156" spans="1:20">
      <c r="A156" s="64">
        <v>9</v>
      </c>
      <c r="B156" s="59"/>
      <c r="C156" s="59"/>
      <c r="D156" s="59"/>
      <c r="E156" s="59">
        <f t="shared" si="23"/>
        <v>0</v>
      </c>
      <c r="F156" s="61" t="s">
        <v>226</v>
      </c>
      <c r="G156" s="63"/>
      <c r="H156" s="59">
        <v>12</v>
      </c>
      <c r="I156" s="59">
        <v>0.05</v>
      </c>
      <c r="J156" s="59">
        <f>I156*H156</f>
        <v>0.6</v>
      </c>
      <c r="K156" s="59"/>
      <c r="M156" s="77" t="s">
        <v>215</v>
      </c>
      <c r="N156" s="77" t="s">
        <v>216</v>
      </c>
      <c r="O156" s="77" t="s">
        <v>217</v>
      </c>
      <c r="R156" s="77" t="s">
        <v>215</v>
      </c>
      <c r="S156" s="77" t="s">
        <v>216</v>
      </c>
      <c r="T156" s="77" t="s">
        <v>217</v>
      </c>
    </row>
    <row r="157" spans="1:5">
      <c r="A157" s="68" t="s">
        <v>182</v>
      </c>
      <c r="B157" s="70"/>
      <c r="C157" s="70"/>
      <c r="D157" s="69"/>
      <c r="E157" s="71">
        <f>SUM(E148:E156)</f>
        <v>0.04</v>
      </c>
    </row>
    <row r="158" spans="1:11">
      <c r="A158" s="72" t="s">
        <v>227</v>
      </c>
      <c r="B158" s="72"/>
      <c r="C158" s="72" t="s">
        <v>208</v>
      </c>
      <c r="E158" s="73" t="s">
        <v>228</v>
      </c>
      <c r="F158" s="74">
        <f>C163+C162+C161+C160+C159</f>
        <v>6.0368</v>
      </c>
      <c r="G158" s="74"/>
      <c r="H158" s="74"/>
      <c r="I158" s="74"/>
      <c r="J158" s="74"/>
      <c r="K158" s="74"/>
    </row>
    <row r="159" spans="1:20">
      <c r="A159" s="64" t="s">
        <v>231</v>
      </c>
      <c r="B159" s="64"/>
      <c r="C159" s="75">
        <f>K122</f>
        <v>4.414</v>
      </c>
      <c r="E159" s="76" t="s">
        <v>232</v>
      </c>
      <c r="F159" s="74">
        <f>F158*0.03</f>
        <v>0.181104</v>
      </c>
      <c r="G159" s="74"/>
      <c r="H159" s="74"/>
      <c r="I159" s="74"/>
      <c r="J159" s="74"/>
      <c r="K159" s="74"/>
      <c r="M159" s="64" t="s">
        <v>222</v>
      </c>
      <c r="N159" s="64" t="s">
        <v>223</v>
      </c>
      <c r="O159" s="64" t="s">
        <v>182</v>
      </c>
      <c r="R159" s="64" t="s">
        <v>222</v>
      </c>
      <c r="S159" s="64" t="s">
        <v>223</v>
      </c>
      <c r="T159" s="64" t="s">
        <v>182</v>
      </c>
    </row>
    <row r="160" spans="1:20">
      <c r="A160" s="64" t="s">
        <v>233</v>
      </c>
      <c r="B160" s="64"/>
      <c r="C160" s="80">
        <f>I144*1.17</f>
        <v>0.8073</v>
      </c>
      <c r="E160" s="76" t="s">
        <v>234</v>
      </c>
      <c r="F160" s="74">
        <f>F158*0.06</f>
        <v>0.362208</v>
      </c>
      <c r="G160" s="74"/>
      <c r="H160" s="74"/>
      <c r="I160" s="74"/>
      <c r="J160" s="74"/>
      <c r="K160" s="74"/>
      <c r="L160" s="77" t="s">
        <v>342</v>
      </c>
      <c r="M160" s="64">
        <v>0.54</v>
      </c>
      <c r="N160" s="64">
        <v>1.4</v>
      </c>
      <c r="O160" s="64">
        <f>M160*N160</f>
        <v>0.756</v>
      </c>
      <c r="Q160" t="s">
        <v>343</v>
      </c>
      <c r="R160" s="64">
        <v>0.42</v>
      </c>
      <c r="S160" s="64">
        <v>1.4</v>
      </c>
      <c r="T160" s="64">
        <f>R160*S160</f>
        <v>0.588</v>
      </c>
    </row>
    <row r="161" spans="1:11">
      <c r="A161" s="64" t="s">
        <v>235</v>
      </c>
      <c r="B161" s="64"/>
      <c r="C161" s="75">
        <f>E157</f>
        <v>0.04</v>
      </c>
      <c r="E161" s="76" t="s">
        <v>236</v>
      </c>
      <c r="F161" s="74">
        <f>F158*0.02</f>
        <v>0.120736</v>
      </c>
      <c r="G161" s="74"/>
      <c r="H161" s="74"/>
      <c r="I161" s="74"/>
      <c r="J161" s="74"/>
      <c r="K161" s="74"/>
    </row>
    <row r="162" spans="1:11">
      <c r="A162" s="64" t="s">
        <v>238</v>
      </c>
      <c r="B162" s="64"/>
      <c r="C162" s="80">
        <f>J153*1.17</f>
        <v>0.1755</v>
      </c>
      <c r="E162" s="76" t="s">
        <v>106</v>
      </c>
      <c r="F162" s="74"/>
      <c r="G162" s="74"/>
      <c r="H162" s="74"/>
      <c r="I162" s="74"/>
      <c r="J162" s="74"/>
      <c r="K162" s="74"/>
    </row>
    <row r="163" spans="1:20">
      <c r="A163" s="64" t="s">
        <v>219</v>
      </c>
      <c r="B163" s="64"/>
      <c r="C163" s="75">
        <f>J155+J156</f>
        <v>0.6</v>
      </c>
      <c r="E163" s="76" t="s">
        <v>239</v>
      </c>
      <c r="F163" s="74">
        <f>F162+F161+F160+F159+F158</f>
        <v>6.700848</v>
      </c>
      <c r="G163" s="74"/>
      <c r="H163" s="74"/>
      <c r="I163" s="74"/>
      <c r="J163" s="74"/>
      <c r="K163" s="74"/>
      <c r="M163" s="64" t="s">
        <v>229</v>
      </c>
      <c r="N163" s="64" t="s">
        <v>230</v>
      </c>
      <c r="O163" s="64" t="s">
        <v>182</v>
      </c>
      <c r="R163" s="64" t="s">
        <v>229</v>
      </c>
      <c r="S163" s="64" t="s">
        <v>230</v>
      </c>
      <c r="T163" s="64" t="s">
        <v>182</v>
      </c>
    </row>
    <row r="164" spans="8:21">
      <c r="H164" t="s">
        <v>252</v>
      </c>
      <c r="I164" t="s">
        <v>344</v>
      </c>
      <c r="M164" s="64">
        <v>4.31</v>
      </c>
      <c r="N164" s="64">
        <v>0.756</v>
      </c>
      <c r="O164" s="84">
        <f>M164+N164</f>
        <v>5.066</v>
      </c>
      <c r="P164" t="s">
        <v>252</v>
      </c>
      <c r="R164" s="64">
        <v>4.31</v>
      </c>
      <c r="S164" s="64">
        <v>0.588</v>
      </c>
      <c r="T164" s="84">
        <f>R164+S164</f>
        <v>4.898</v>
      </c>
      <c r="U164" t="s">
        <v>252</v>
      </c>
    </row>
    <row r="165" ht="19.5" customHeight="1"/>
    <row r="166" ht="19.5" customHeight="1"/>
    <row r="169" ht="25.5" spans="1:11">
      <c r="A169" s="58" t="s">
        <v>345</v>
      </c>
      <c r="B169" s="58"/>
      <c r="C169" s="58"/>
      <c r="D169" s="58"/>
      <c r="E169" s="58"/>
      <c r="F169" s="58"/>
      <c r="G169" s="58"/>
      <c r="H169" s="58"/>
      <c r="I169" s="58"/>
      <c r="J169" s="58"/>
      <c r="K169" s="58"/>
    </row>
    <row r="170" spans="1:11">
      <c r="A170" s="59" t="s">
        <v>29</v>
      </c>
      <c r="B170" s="59" t="s">
        <v>151</v>
      </c>
      <c r="C170" s="59" t="s">
        <v>152</v>
      </c>
      <c r="D170" s="59" t="s">
        <v>153</v>
      </c>
      <c r="E170" s="59" t="s">
        <v>154</v>
      </c>
      <c r="F170" s="59" t="s">
        <v>155</v>
      </c>
      <c r="G170" s="59" t="s">
        <v>156</v>
      </c>
      <c r="H170" s="59" t="s">
        <v>157</v>
      </c>
      <c r="I170" s="59" t="s">
        <v>158</v>
      </c>
      <c r="J170" s="59" t="s">
        <v>159</v>
      </c>
      <c r="K170" s="59" t="s">
        <v>160</v>
      </c>
    </row>
    <row r="171" spans="1:11">
      <c r="A171" s="59">
        <v>1</v>
      </c>
      <c r="B171" s="59" t="s">
        <v>346</v>
      </c>
      <c r="C171" s="59"/>
      <c r="D171" s="59" t="s">
        <v>333</v>
      </c>
      <c r="E171" s="60">
        <v>5.9</v>
      </c>
      <c r="F171" s="60">
        <v>0.17</v>
      </c>
      <c r="G171" s="60">
        <f>E171*F171</f>
        <v>1.003</v>
      </c>
      <c r="H171" s="60">
        <v>0.15</v>
      </c>
      <c r="I171" s="60">
        <f>F171-H171</f>
        <v>0.02</v>
      </c>
      <c r="J171" s="60">
        <f>I171*1.3</f>
        <v>0.026</v>
      </c>
      <c r="K171" s="60">
        <f>G171-J171</f>
        <v>0.977</v>
      </c>
    </row>
    <row r="172" spans="1:11">
      <c r="A172" s="59">
        <v>2</v>
      </c>
      <c r="B172" s="59"/>
      <c r="C172" s="59"/>
      <c r="D172" s="59"/>
      <c r="E172" s="60"/>
      <c r="F172" s="60"/>
      <c r="G172" s="60">
        <f t="shared" ref="G172:G176" si="24">E172*F172</f>
        <v>0</v>
      </c>
      <c r="H172" s="60"/>
      <c r="I172" s="60">
        <f t="shared" ref="I172:I176" si="25">F172-H172</f>
        <v>0</v>
      </c>
      <c r="J172" s="60">
        <f t="shared" ref="J172:J176" si="26">I172*1.1</f>
        <v>0</v>
      </c>
      <c r="K172" s="60">
        <f t="shared" ref="K172:K176" si="27">G172-J172</f>
        <v>0</v>
      </c>
    </row>
    <row r="173" spans="1:11">
      <c r="A173" s="59">
        <v>3</v>
      </c>
      <c r="B173" s="59"/>
      <c r="C173" s="59"/>
      <c r="D173" s="59"/>
      <c r="E173" s="60"/>
      <c r="F173" s="60"/>
      <c r="G173" s="60">
        <f t="shared" si="24"/>
        <v>0</v>
      </c>
      <c r="H173" s="60"/>
      <c r="I173" s="60">
        <f t="shared" si="25"/>
        <v>0</v>
      </c>
      <c r="J173" s="60">
        <f t="shared" si="26"/>
        <v>0</v>
      </c>
      <c r="K173" s="60">
        <f t="shared" si="27"/>
        <v>0</v>
      </c>
    </row>
    <row r="174" spans="1:11">
      <c r="A174" s="59">
        <v>4</v>
      </c>
      <c r="B174" s="59"/>
      <c r="C174" s="59"/>
      <c r="D174" s="59"/>
      <c r="E174" s="60"/>
      <c r="F174" s="60"/>
      <c r="G174" s="60">
        <f t="shared" si="24"/>
        <v>0</v>
      </c>
      <c r="H174" s="60"/>
      <c r="I174" s="60">
        <f t="shared" si="25"/>
        <v>0</v>
      </c>
      <c r="J174" s="60">
        <f t="shared" si="26"/>
        <v>0</v>
      </c>
      <c r="K174" s="60">
        <f t="shared" si="27"/>
        <v>0</v>
      </c>
    </row>
    <row r="175" spans="1:11">
      <c r="A175" s="59">
        <v>5</v>
      </c>
      <c r="B175" s="59"/>
      <c r="C175" s="59"/>
      <c r="D175" s="59"/>
      <c r="E175" s="60"/>
      <c r="F175" s="60"/>
      <c r="G175" s="60">
        <f t="shared" si="24"/>
        <v>0</v>
      </c>
      <c r="H175" s="60"/>
      <c r="I175" s="60">
        <f t="shared" si="25"/>
        <v>0</v>
      </c>
      <c r="J175" s="60">
        <f t="shared" si="26"/>
        <v>0</v>
      </c>
      <c r="K175" s="60">
        <f t="shared" si="27"/>
        <v>0</v>
      </c>
    </row>
    <row r="176" spans="1:11">
      <c r="A176" s="59">
        <v>6</v>
      </c>
      <c r="B176" s="59"/>
      <c r="C176" s="59"/>
      <c r="D176" s="59"/>
      <c r="E176" s="60"/>
      <c r="F176" s="59"/>
      <c r="G176" s="60">
        <f t="shared" si="24"/>
        <v>0</v>
      </c>
      <c r="H176" s="59"/>
      <c r="I176" s="60">
        <f t="shared" si="25"/>
        <v>0</v>
      </c>
      <c r="J176" s="60">
        <f t="shared" si="26"/>
        <v>0</v>
      </c>
      <c r="K176" s="60">
        <f t="shared" si="27"/>
        <v>0</v>
      </c>
    </row>
    <row r="177" spans="1:11">
      <c r="A177" s="61" t="s">
        <v>182</v>
      </c>
      <c r="B177" s="62"/>
      <c r="C177" s="62"/>
      <c r="D177" s="62"/>
      <c r="E177" s="62"/>
      <c r="F177" s="62"/>
      <c r="G177" s="62"/>
      <c r="H177" s="62"/>
      <c r="I177" s="62"/>
      <c r="J177" s="63"/>
      <c r="K177" s="60">
        <f>SUM(K171:K176)</f>
        <v>0.977</v>
      </c>
    </row>
    <row r="178" spans="1:11">
      <c r="A178" s="59" t="s">
        <v>29</v>
      </c>
      <c r="B178" s="59" t="s">
        <v>151</v>
      </c>
      <c r="C178" s="59" t="s">
        <v>152</v>
      </c>
      <c r="D178" s="59" t="s">
        <v>166</v>
      </c>
      <c r="E178" s="59" t="s">
        <v>167</v>
      </c>
      <c r="F178" s="59" t="s">
        <v>168</v>
      </c>
      <c r="G178" s="59" t="s">
        <v>169</v>
      </c>
      <c r="H178" s="59" t="s">
        <v>170</v>
      </c>
      <c r="I178" s="59" t="s">
        <v>171</v>
      </c>
      <c r="J178" s="61" t="s">
        <v>107</v>
      </c>
      <c r="K178" s="63"/>
    </row>
    <row r="179" spans="1:11">
      <c r="A179" s="59">
        <v>1</v>
      </c>
      <c r="B179" s="59"/>
      <c r="C179" s="59"/>
      <c r="D179" s="59"/>
      <c r="E179" s="59" t="s">
        <v>260</v>
      </c>
      <c r="F179" s="59" t="s">
        <v>261</v>
      </c>
      <c r="G179" s="59"/>
      <c r="H179" s="59" t="s">
        <v>262</v>
      </c>
      <c r="I179" s="59"/>
      <c r="J179" s="61"/>
      <c r="K179" s="63"/>
    </row>
    <row r="180" spans="1:11">
      <c r="A180" s="59">
        <v>2</v>
      </c>
      <c r="B180" s="59">
        <v>1</v>
      </c>
      <c r="C180" s="59"/>
      <c r="D180" s="59"/>
      <c r="E180" s="59" t="s">
        <v>260</v>
      </c>
      <c r="F180" s="59" t="s">
        <v>264</v>
      </c>
      <c r="G180" s="59"/>
      <c r="H180" s="59" t="s">
        <v>265</v>
      </c>
      <c r="I180" s="59">
        <v>0.05</v>
      </c>
      <c r="J180" s="61"/>
      <c r="K180" s="63"/>
    </row>
    <row r="181" spans="1:11">
      <c r="A181" s="59">
        <v>3</v>
      </c>
      <c r="B181" s="59"/>
      <c r="C181" s="59"/>
      <c r="D181" s="59"/>
      <c r="E181" s="59" t="s">
        <v>266</v>
      </c>
      <c r="F181" s="59" t="s">
        <v>267</v>
      </c>
      <c r="G181" s="59"/>
      <c r="H181" s="59">
        <v>0.5</v>
      </c>
      <c r="I181" s="59">
        <f>G181*H181</f>
        <v>0</v>
      </c>
      <c r="J181" s="61"/>
      <c r="K181" s="63"/>
    </row>
    <row r="182" spans="1:11">
      <c r="A182" s="59">
        <v>4</v>
      </c>
      <c r="B182" s="59"/>
      <c r="C182" s="59"/>
      <c r="D182" s="59"/>
      <c r="E182" s="59" t="s">
        <v>266</v>
      </c>
      <c r="F182" s="59" t="s">
        <v>268</v>
      </c>
      <c r="G182" s="59"/>
      <c r="H182" s="59">
        <v>0.3</v>
      </c>
      <c r="I182" s="59">
        <f t="shared" ref="I182:I187" si="28">G182*H182</f>
        <v>0</v>
      </c>
      <c r="J182" s="61"/>
      <c r="K182" s="63"/>
    </row>
    <row r="183" spans="1:11">
      <c r="A183" s="59">
        <v>5</v>
      </c>
      <c r="B183" s="59">
        <v>1</v>
      </c>
      <c r="C183" s="59"/>
      <c r="D183" s="59" t="s">
        <v>269</v>
      </c>
      <c r="E183" s="59" t="s">
        <v>270</v>
      </c>
      <c r="F183" s="59" t="s">
        <v>271</v>
      </c>
      <c r="G183" s="59">
        <v>1</v>
      </c>
      <c r="H183" s="59">
        <v>0.08</v>
      </c>
      <c r="I183" s="59">
        <f t="shared" si="28"/>
        <v>0.08</v>
      </c>
      <c r="J183" s="61"/>
      <c r="K183" s="63"/>
    </row>
    <row r="184" spans="1:11">
      <c r="A184" s="59">
        <v>6</v>
      </c>
      <c r="B184" s="59">
        <v>1</v>
      </c>
      <c r="C184" s="59"/>
      <c r="D184" s="59" t="s">
        <v>272</v>
      </c>
      <c r="E184" s="59" t="s">
        <v>270</v>
      </c>
      <c r="F184" s="59" t="s">
        <v>273</v>
      </c>
      <c r="G184" s="59">
        <v>1</v>
      </c>
      <c r="H184" s="59">
        <v>0.08</v>
      </c>
      <c r="I184" s="59">
        <f t="shared" si="28"/>
        <v>0.08</v>
      </c>
      <c r="J184" s="61"/>
      <c r="K184" s="63"/>
    </row>
    <row r="185" spans="1:11">
      <c r="A185" s="59">
        <v>7</v>
      </c>
      <c r="B185" s="59">
        <v>1</v>
      </c>
      <c r="C185" s="59"/>
      <c r="D185" s="59" t="s">
        <v>275</v>
      </c>
      <c r="E185" s="59" t="s">
        <v>270</v>
      </c>
      <c r="F185" s="59" t="s">
        <v>276</v>
      </c>
      <c r="G185" s="59">
        <v>1</v>
      </c>
      <c r="H185" s="59">
        <v>0.08</v>
      </c>
      <c r="I185" s="59">
        <f t="shared" si="28"/>
        <v>0.08</v>
      </c>
      <c r="J185" s="61"/>
      <c r="K185" s="63"/>
    </row>
    <row r="186" spans="1:11">
      <c r="A186" s="59">
        <v>8</v>
      </c>
      <c r="C186" s="59"/>
      <c r="D186" s="59" t="s">
        <v>272</v>
      </c>
      <c r="E186" s="59" t="s">
        <v>270</v>
      </c>
      <c r="F186" s="59" t="s">
        <v>277</v>
      </c>
      <c r="G186" s="59"/>
      <c r="H186" s="59">
        <v>0.08</v>
      </c>
      <c r="I186" s="59">
        <f t="shared" si="28"/>
        <v>0</v>
      </c>
      <c r="J186" s="61"/>
      <c r="K186" s="63"/>
    </row>
    <row r="187" spans="1:11">
      <c r="A187" s="59">
        <v>9</v>
      </c>
      <c r="C187" s="59"/>
      <c r="D187" s="59" t="s">
        <v>275</v>
      </c>
      <c r="E187" s="59" t="s">
        <v>270</v>
      </c>
      <c r="F187" s="59" t="s">
        <v>278</v>
      </c>
      <c r="G187" s="59"/>
      <c r="H187" s="59">
        <v>0.05</v>
      </c>
      <c r="I187" s="59">
        <f t="shared" si="28"/>
        <v>0</v>
      </c>
      <c r="J187" s="61"/>
      <c r="K187" s="63"/>
    </row>
    <row r="188" spans="1:11">
      <c r="A188" s="59">
        <v>10</v>
      </c>
      <c r="B188" s="59"/>
      <c r="C188" s="59"/>
      <c r="D188" s="59" t="s">
        <v>279</v>
      </c>
      <c r="E188" s="59"/>
      <c r="F188" s="59"/>
      <c r="G188" s="59"/>
      <c r="H188" s="59"/>
      <c r="I188" s="59"/>
      <c r="J188" s="61" t="s">
        <v>280</v>
      </c>
      <c r="K188" s="63"/>
    </row>
    <row r="189" spans="1:11">
      <c r="A189" s="59">
        <v>11</v>
      </c>
      <c r="B189" s="59"/>
      <c r="C189" s="59"/>
      <c r="D189" s="59" t="s">
        <v>174</v>
      </c>
      <c r="E189" s="59"/>
      <c r="F189" s="59"/>
      <c r="G189" s="59"/>
      <c r="H189" s="59">
        <v>0.08</v>
      </c>
      <c r="I189" s="59"/>
      <c r="J189" s="61"/>
      <c r="K189" s="63"/>
    </row>
    <row r="190" spans="1:11">
      <c r="A190" s="59">
        <v>12</v>
      </c>
      <c r="B190" s="59"/>
      <c r="C190" s="59"/>
      <c r="D190" s="59" t="s">
        <v>321</v>
      </c>
      <c r="E190" s="59"/>
      <c r="F190" s="59"/>
      <c r="G190" s="59"/>
      <c r="H190" s="59">
        <v>0.08</v>
      </c>
      <c r="I190" s="59">
        <f t="shared" ref="I190:I196" si="29">G190*H190</f>
        <v>0</v>
      </c>
      <c r="J190" s="61"/>
      <c r="K190" s="63"/>
    </row>
    <row r="191" spans="1:11">
      <c r="A191" s="59">
        <v>13</v>
      </c>
      <c r="B191" s="59"/>
      <c r="C191" s="59"/>
      <c r="D191" s="59" t="s">
        <v>282</v>
      </c>
      <c r="E191" s="59"/>
      <c r="F191" s="59"/>
      <c r="G191" s="59"/>
      <c r="H191" s="59">
        <v>0.08</v>
      </c>
      <c r="I191" s="59">
        <f t="shared" si="29"/>
        <v>0</v>
      </c>
      <c r="J191" s="61"/>
      <c r="K191" s="63"/>
    </row>
    <row r="192" spans="1:11">
      <c r="A192" s="59">
        <v>14</v>
      </c>
      <c r="B192" s="59">
        <v>1</v>
      </c>
      <c r="C192" s="59"/>
      <c r="D192" s="59" t="s">
        <v>283</v>
      </c>
      <c r="E192" s="59"/>
      <c r="F192" s="59"/>
      <c r="G192" s="59">
        <v>1</v>
      </c>
      <c r="H192" s="59">
        <v>0.08</v>
      </c>
      <c r="I192" s="59">
        <f t="shared" si="29"/>
        <v>0.08</v>
      </c>
      <c r="J192" s="61"/>
      <c r="K192" s="63"/>
    </row>
    <row r="193" spans="1:11">
      <c r="A193" s="59">
        <v>15</v>
      </c>
      <c r="B193" s="59"/>
      <c r="C193" s="59"/>
      <c r="D193" s="59" t="s">
        <v>284</v>
      </c>
      <c r="E193" s="59"/>
      <c r="F193" s="59"/>
      <c r="G193" s="59"/>
      <c r="H193" s="59">
        <v>0.08</v>
      </c>
      <c r="I193" s="59">
        <f t="shared" si="29"/>
        <v>0</v>
      </c>
      <c r="J193" s="61"/>
      <c r="K193" s="63"/>
    </row>
    <row r="194" spans="1:11">
      <c r="A194" s="59">
        <v>15</v>
      </c>
      <c r="B194" s="59"/>
      <c r="C194" s="59"/>
      <c r="D194" s="59" t="s">
        <v>275</v>
      </c>
      <c r="E194" s="59"/>
      <c r="F194" s="59"/>
      <c r="G194" s="59"/>
      <c r="H194" s="59">
        <v>0.08</v>
      </c>
      <c r="I194" s="59">
        <f t="shared" si="29"/>
        <v>0</v>
      </c>
      <c r="J194" s="61"/>
      <c r="K194" s="63"/>
    </row>
    <row r="195" spans="1:11">
      <c r="A195" s="59">
        <v>15</v>
      </c>
      <c r="B195" s="59"/>
      <c r="C195" s="59"/>
      <c r="D195" s="59" t="s">
        <v>285</v>
      </c>
      <c r="E195" s="59"/>
      <c r="F195" s="59"/>
      <c r="G195" s="59"/>
      <c r="H195" s="59">
        <v>0.08</v>
      </c>
      <c r="I195" s="59">
        <f t="shared" si="29"/>
        <v>0</v>
      </c>
      <c r="J195" s="61"/>
      <c r="K195" s="63"/>
    </row>
    <row r="196" spans="1:11">
      <c r="A196" s="59">
        <v>15</v>
      </c>
      <c r="B196" s="59"/>
      <c r="C196" s="59"/>
      <c r="D196" s="59" t="s">
        <v>286</v>
      </c>
      <c r="E196" s="59"/>
      <c r="F196" s="59"/>
      <c r="G196" s="59"/>
      <c r="H196" s="59">
        <v>0.08</v>
      </c>
      <c r="I196" s="59">
        <f t="shared" si="29"/>
        <v>0</v>
      </c>
      <c r="J196" s="61"/>
      <c r="K196" s="63"/>
    </row>
    <row r="197" spans="1:11">
      <c r="A197" s="59">
        <v>15</v>
      </c>
      <c r="B197" s="59"/>
      <c r="C197" s="59"/>
      <c r="D197" s="59" t="s">
        <v>287</v>
      </c>
      <c r="E197" s="59"/>
      <c r="F197" s="59"/>
      <c r="G197" s="59"/>
      <c r="H197" s="59"/>
      <c r="I197" s="59"/>
      <c r="J197" s="61" t="s">
        <v>288</v>
      </c>
      <c r="K197" s="63"/>
    </row>
    <row r="198" spans="1:11">
      <c r="A198" s="59"/>
      <c r="B198" s="59"/>
      <c r="C198" s="59"/>
      <c r="D198" s="61" t="s">
        <v>334</v>
      </c>
      <c r="E198" s="62"/>
      <c r="F198" s="62"/>
      <c r="G198" s="62"/>
      <c r="H198" s="63"/>
      <c r="I198" s="59"/>
      <c r="J198" s="61"/>
      <c r="K198" s="63"/>
    </row>
    <row r="199" spans="1:11">
      <c r="A199" s="61" t="s">
        <v>182</v>
      </c>
      <c r="B199" s="62"/>
      <c r="C199" s="62"/>
      <c r="D199" s="62"/>
      <c r="E199" s="62"/>
      <c r="F199" s="62"/>
      <c r="G199" s="62"/>
      <c r="H199" s="63"/>
      <c r="I199" s="82">
        <f>SUM(I179:I198)</f>
        <v>0.37</v>
      </c>
      <c r="J199" s="59"/>
      <c r="K199" s="59"/>
    </row>
    <row r="200" spans="1:11">
      <c r="A200" s="61"/>
      <c r="B200" s="62"/>
      <c r="C200" s="62"/>
      <c r="D200" s="62"/>
      <c r="E200" s="62"/>
      <c r="F200" s="62"/>
      <c r="G200" s="62"/>
      <c r="H200" s="62"/>
      <c r="I200" s="62"/>
      <c r="J200" s="62"/>
      <c r="K200" s="63"/>
    </row>
    <row r="201" spans="1:11">
      <c r="A201" s="61" t="s">
        <v>183</v>
      </c>
      <c r="B201" s="62"/>
      <c r="C201" s="62"/>
      <c r="D201" s="62"/>
      <c r="E201" s="63"/>
      <c r="F201" s="59" t="s">
        <v>184</v>
      </c>
      <c r="G201" s="59"/>
      <c r="H201" s="59" t="s">
        <v>185</v>
      </c>
      <c r="I201" s="59" t="s">
        <v>186</v>
      </c>
      <c r="J201" s="59" t="s">
        <v>187</v>
      </c>
      <c r="K201" s="63" t="s">
        <v>107</v>
      </c>
    </row>
    <row r="202" spans="1:11">
      <c r="A202" s="59" t="s">
        <v>29</v>
      </c>
      <c r="B202" s="59" t="s">
        <v>190</v>
      </c>
      <c r="C202" s="59" t="s">
        <v>191</v>
      </c>
      <c r="D202" s="59" t="s">
        <v>192</v>
      </c>
      <c r="E202" s="59" t="s">
        <v>171</v>
      </c>
      <c r="F202" s="59" t="s">
        <v>193</v>
      </c>
      <c r="G202" s="59"/>
      <c r="H202" s="59">
        <v>3</v>
      </c>
      <c r="I202" s="59">
        <v>0.05</v>
      </c>
      <c r="J202" s="78">
        <f>I202*H202</f>
        <v>0.15</v>
      </c>
      <c r="K202" s="59"/>
    </row>
    <row r="203" spans="1:11">
      <c r="A203" s="64">
        <v>1</v>
      </c>
      <c r="B203" s="59" t="s">
        <v>335</v>
      </c>
      <c r="C203" s="59">
        <v>1</v>
      </c>
      <c r="D203" s="59">
        <v>0.04</v>
      </c>
      <c r="E203" s="59">
        <f>D203*C203</f>
        <v>0.04</v>
      </c>
      <c r="F203" s="61"/>
      <c r="G203" s="63"/>
      <c r="H203" s="59"/>
      <c r="I203" s="59"/>
      <c r="J203" s="78">
        <f t="shared" ref="J203:J205" si="30">I203*H203</f>
        <v>0</v>
      </c>
      <c r="K203" s="59"/>
    </row>
    <row r="204" spans="1:11">
      <c r="A204" s="64">
        <v>2</v>
      </c>
      <c r="B204" s="59"/>
      <c r="C204" s="59"/>
      <c r="D204" s="59"/>
      <c r="E204" s="59">
        <f t="shared" ref="E204:E211" si="31">D204*C204</f>
        <v>0</v>
      </c>
      <c r="F204" s="61"/>
      <c r="G204" s="63"/>
      <c r="H204" s="59"/>
      <c r="I204" s="59"/>
      <c r="J204" s="78">
        <f t="shared" si="30"/>
        <v>0</v>
      </c>
      <c r="K204" s="59"/>
    </row>
    <row r="205" spans="1:11">
      <c r="A205" s="64">
        <v>3</v>
      </c>
      <c r="B205" s="59"/>
      <c r="C205" s="59"/>
      <c r="D205" s="59"/>
      <c r="E205" s="59">
        <f t="shared" si="31"/>
        <v>0</v>
      </c>
      <c r="F205" s="61"/>
      <c r="G205" s="63"/>
      <c r="H205" s="59"/>
      <c r="I205" s="59"/>
      <c r="J205" s="78">
        <f t="shared" si="30"/>
        <v>0</v>
      </c>
      <c r="K205" s="59"/>
    </row>
    <row r="206" spans="1:11">
      <c r="A206" s="64">
        <v>4</v>
      </c>
      <c r="B206" s="59"/>
      <c r="C206" s="59"/>
      <c r="D206" s="59"/>
      <c r="E206" s="59">
        <f t="shared" si="31"/>
        <v>0</v>
      </c>
      <c r="F206" s="61"/>
      <c r="G206" s="63"/>
      <c r="H206" s="59"/>
      <c r="I206" s="59"/>
      <c r="J206" s="78"/>
      <c r="K206" s="59"/>
    </row>
    <row r="207" spans="1:11">
      <c r="A207" s="64">
        <v>5</v>
      </c>
      <c r="B207" s="59"/>
      <c r="C207" s="59"/>
      <c r="D207" s="59"/>
      <c r="E207" s="59">
        <f t="shared" si="31"/>
        <v>0</v>
      </c>
      <c r="F207" s="61"/>
      <c r="G207" s="63"/>
      <c r="H207" s="59"/>
      <c r="I207" s="59"/>
      <c r="J207" s="78"/>
      <c r="K207" s="59"/>
    </row>
    <row r="208" spans="1:11">
      <c r="A208" s="64">
        <v>6</v>
      </c>
      <c r="B208" s="59"/>
      <c r="C208" s="59"/>
      <c r="D208" s="59"/>
      <c r="E208" s="59">
        <f t="shared" si="31"/>
        <v>0</v>
      </c>
      <c r="F208" s="61" t="s">
        <v>182</v>
      </c>
      <c r="G208" s="63"/>
      <c r="H208" s="59"/>
      <c r="I208" s="59"/>
      <c r="J208" s="83">
        <f>SUM(J202:J207)</f>
        <v>0.15</v>
      </c>
      <c r="K208" s="59"/>
    </row>
    <row r="209" ht="15" spans="1:20">
      <c r="A209" s="64">
        <v>7</v>
      </c>
      <c r="B209" s="59"/>
      <c r="C209" s="59"/>
      <c r="D209" s="59"/>
      <c r="E209" s="59">
        <f t="shared" si="31"/>
        <v>0</v>
      </c>
      <c r="F209" s="61" t="s">
        <v>219</v>
      </c>
      <c r="G209" s="63"/>
      <c r="H209" s="66" t="s">
        <v>301</v>
      </c>
      <c r="I209" s="66" t="s">
        <v>302</v>
      </c>
      <c r="J209" s="73" t="s">
        <v>187</v>
      </c>
      <c r="K209" s="59" t="s">
        <v>107</v>
      </c>
      <c r="M209" s="77" t="s">
        <v>211</v>
      </c>
      <c r="N209" s="77" t="s">
        <v>212</v>
      </c>
      <c r="O209" s="77" t="s">
        <v>213</v>
      </c>
      <c r="R209" s="77" t="s">
        <v>211</v>
      </c>
      <c r="S209" s="77" t="s">
        <v>212</v>
      </c>
      <c r="T209" s="77" t="s">
        <v>213</v>
      </c>
    </row>
    <row r="210" spans="1:20">
      <c r="A210" s="64">
        <v>8</v>
      </c>
      <c r="B210" s="59"/>
      <c r="C210" s="59"/>
      <c r="D210" s="59"/>
      <c r="E210" s="59">
        <f t="shared" si="31"/>
        <v>0</v>
      </c>
      <c r="F210" s="61" t="s">
        <v>224</v>
      </c>
      <c r="G210" s="63"/>
      <c r="H210" s="59">
        <v>10</v>
      </c>
      <c r="I210" s="59"/>
      <c r="J210" s="59">
        <f>I210*H210</f>
        <v>0</v>
      </c>
      <c r="K210" s="59"/>
      <c r="M210" s="77" t="s">
        <v>215</v>
      </c>
      <c r="N210" s="77" t="s">
        <v>216</v>
      </c>
      <c r="O210" s="77" t="s">
        <v>217</v>
      </c>
      <c r="R210" s="77" t="s">
        <v>215</v>
      </c>
      <c r="S210" s="77" t="s">
        <v>216</v>
      </c>
      <c r="T210" s="77" t="s">
        <v>217</v>
      </c>
    </row>
    <row r="211" spans="1:11">
      <c r="A211" s="64">
        <v>9</v>
      </c>
      <c r="B211" s="59"/>
      <c r="C211" s="59"/>
      <c r="D211" s="59"/>
      <c r="E211" s="59">
        <f t="shared" si="31"/>
        <v>0</v>
      </c>
      <c r="F211" s="61" t="s">
        <v>226</v>
      </c>
      <c r="G211" s="63"/>
      <c r="H211" s="59">
        <v>12</v>
      </c>
      <c r="I211" s="59">
        <v>0.03</v>
      </c>
      <c r="J211" s="59">
        <f>I211*H211</f>
        <v>0.36</v>
      </c>
      <c r="K211" s="59"/>
    </row>
    <row r="212" spans="1:5">
      <c r="A212" s="68" t="s">
        <v>182</v>
      </c>
      <c r="B212" s="70"/>
      <c r="C212" s="70"/>
      <c r="D212" s="69"/>
      <c r="E212" s="71">
        <f>SUM(E203:E211)</f>
        <v>0.04</v>
      </c>
    </row>
    <row r="213" spans="1:20">
      <c r="A213" s="72" t="s">
        <v>227</v>
      </c>
      <c r="B213" s="72"/>
      <c r="C213" s="72" t="s">
        <v>208</v>
      </c>
      <c r="E213" s="73" t="s">
        <v>228</v>
      </c>
      <c r="F213" s="74">
        <f>C218+C217+C216+C215+C214</f>
        <v>1.9854</v>
      </c>
      <c r="G213" s="74"/>
      <c r="H213" s="74"/>
      <c r="I213" s="74"/>
      <c r="J213" s="74"/>
      <c r="K213" s="74"/>
      <c r="M213" s="64" t="s">
        <v>222</v>
      </c>
      <c r="N213" s="64" t="s">
        <v>223</v>
      </c>
      <c r="O213" s="64" t="s">
        <v>182</v>
      </c>
      <c r="R213" s="64" t="s">
        <v>222</v>
      </c>
      <c r="S213" s="64" t="s">
        <v>223</v>
      </c>
      <c r="T213" s="64" t="s">
        <v>182</v>
      </c>
    </row>
    <row r="214" spans="1:20">
      <c r="A214" s="64" t="s">
        <v>231</v>
      </c>
      <c r="B214" s="64"/>
      <c r="C214" s="75">
        <f>K177</f>
        <v>0.977</v>
      </c>
      <c r="E214" s="76" t="s">
        <v>232</v>
      </c>
      <c r="F214" s="74">
        <f>F213*0.03</f>
        <v>0.059562</v>
      </c>
      <c r="G214" s="74"/>
      <c r="H214" s="74"/>
      <c r="I214" s="74"/>
      <c r="J214" s="74"/>
      <c r="K214" s="74"/>
      <c r="L214" s="77" t="s">
        <v>342</v>
      </c>
      <c r="M214" s="64">
        <v>0.15</v>
      </c>
      <c r="N214" s="64">
        <v>1.4</v>
      </c>
      <c r="O214" s="64">
        <f>M214*N214</f>
        <v>0.21</v>
      </c>
      <c r="Q214" t="s">
        <v>343</v>
      </c>
      <c r="R214" s="64">
        <v>0.19</v>
      </c>
      <c r="S214" s="64">
        <v>1.4</v>
      </c>
      <c r="T214" s="64">
        <f>R214*S214</f>
        <v>0.266</v>
      </c>
    </row>
    <row r="215" spans="1:11">
      <c r="A215" s="64" t="s">
        <v>233</v>
      </c>
      <c r="B215" s="64"/>
      <c r="C215" s="80">
        <f>I199*1.17</f>
        <v>0.4329</v>
      </c>
      <c r="E215" s="76" t="s">
        <v>234</v>
      </c>
      <c r="F215" s="74">
        <f>F213*0.06</f>
        <v>0.119124</v>
      </c>
      <c r="G215" s="74"/>
      <c r="H215" s="74"/>
      <c r="I215" s="74"/>
      <c r="J215" s="74"/>
      <c r="K215" s="74"/>
    </row>
    <row r="216" spans="1:11">
      <c r="A216" s="64" t="s">
        <v>235</v>
      </c>
      <c r="B216" s="64"/>
      <c r="C216" s="75">
        <f>E212</f>
        <v>0.04</v>
      </c>
      <c r="E216" s="76" t="s">
        <v>236</v>
      </c>
      <c r="F216" s="74">
        <f>F213*0.02</f>
        <v>0.039708</v>
      </c>
      <c r="G216" s="74"/>
      <c r="H216" s="74"/>
      <c r="I216" s="74"/>
      <c r="J216" s="74"/>
      <c r="K216" s="74"/>
    </row>
    <row r="217" spans="1:20">
      <c r="A217" s="64" t="s">
        <v>238</v>
      </c>
      <c r="B217" s="64"/>
      <c r="C217" s="80">
        <f>J208*1.17</f>
        <v>0.1755</v>
      </c>
      <c r="E217" s="76" t="s">
        <v>106</v>
      </c>
      <c r="F217" s="74"/>
      <c r="G217" s="74"/>
      <c r="H217" s="74"/>
      <c r="I217" s="74"/>
      <c r="J217" s="74"/>
      <c r="K217" s="74"/>
      <c r="M217" s="64" t="s">
        <v>229</v>
      </c>
      <c r="N217" s="64" t="s">
        <v>230</v>
      </c>
      <c r="O217" s="64" t="s">
        <v>182</v>
      </c>
      <c r="R217" s="64" t="s">
        <v>229</v>
      </c>
      <c r="S217" s="64" t="s">
        <v>230</v>
      </c>
      <c r="T217" s="64" t="s">
        <v>182</v>
      </c>
    </row>
    <row r="218" spans="1:21">
      <c r="A218" s="64" t="s">
        <v>219</v>
      </c>
      <c r="B218" s="64"/>
      <c r="C218" s="75">
        <f>J210+J211</f>
        <v>0.36</v>
      </c>
      <c r="E218" s="76" t="s">
        <v>239</v>
      </c>
      <c r="F218" s="81">
        <f>F217+F216+F215+F214+F213</f>
        <v>2.203794</v>
      </c>
      <c r="G218" s="81"/>
      <c r="H218" s="81"/>
      <c r="I218" s="81"/>
      <c r="J218" s="81"/>
      <c r="K218" s="81"/>
      <c r="M218" s="64">
        <v>1.5</v>
      </c>
      <c r="N218" s="64">
        <v>0.21</v>
      </c>
      <c r="O218" s="84">
        <f>M218+N218</f>
        <v>1.71</v>
      </c>
      <c r="P218" t="s">
        <v>252</v>
      </c>
      <c r="R218" s="64">
        <v>1.5</v>
      </c>
      <c r="S218" s="64">
        <v>0.266</v>
      </c>
      <c r="T218" s="84">
        <f>R218+S218</f>
        <v>1.766</v>
      </c>
      <c r="U218" t="s">
        <v>252</v>
      </c>
    </row>
    <row r="219" spans="8:9">
      <c r="H219" t="s">
        <v>252</v>
      </c>
      <c r="I219" t="s">
        <v>347</v>
      </c>
    </row>
  </sheetData>
  <mergeCells count="198">
    <mergeCell ref="A3:K3"/>
    <mergeCell ref="A11:J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9:K29"/>
    <mergeCell ref="J30:K30"/>
    <mergeCell ref="J31:K31"/>
    <mergeCell ref="D32:H32"/>
    <mergeCell ref="A33:H33"/>
    <mergeCell ref="A34:K34"/>
    <mergeCell ref="A35:E35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A46:D46"/>
    <mergeCell ref="A47:B47"/>
    <mergeCell ref="F47:K47"/>
    <mergeCell ref="A48:B48"/>
    <mergeCell ref="F48:K48"/>
    <mergeCell ref="A49:B49"/>
    <mergeCell ref="F49:K49"/>
    <mergeCell ref="A50:B50"/>
    <mergeCell ref="F50:K50"/>
    <mergeCell ref="A51:B51"/>
    <mergeCell ref="F51:K51"/>
    <mergeCell ref="A52:B52"/>
    <mergeCell ref="F52:K52"/>
    <mergeCell ref="A55:B55"/>
    <mergeCell ref="A56:B56"/>
    <mergeCell ref="A57:K57"/>
    <mergeCell ref="A65:J65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80:K80"/>
    <mergeCell ref="J81:K81"/>
    <mergeCell ref="J83:K83"/>
    <mergeCell ref="J84:K84"/>
    <mergeCell ref="J85:K85"/>
    <mergeCell ref="D86:H86"/>
    <mergeCell ref="A87:H87"/>
    <mergeCell ref="A88:K88"/>
    <mergeCell ref="A89:E89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A100:D100"/>
    <mergeCell ref="A101:B101"/>
    <mergeCell ref="F101:K101"/>
    <mergeCell ref="A102:B102"/>
    <mergeCell ref="F102:K102"/>
    <mergeCell ref="A103:B103"/>
    <mergeCell ref="F103:K103"/>
    <mergeCell ref="A104:B104"/>
    <mergeCell ref="F104:K104"/>
    <mergeCell ref="A105:B105"/>
    <mergeCell ref="F105:K105"/>
    <mergeCell ref="A106:B106"/>
    <mergeCell ref="F106:K106"/>
    <mergeCell ref="A114:K114"/>
    <mergeCell ref="A122:J12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J131:K131"/>
    <mergeCell ref="J132:K132"/>
    <mergeCell ref="J133:K133"/>
    <mergeCell ref="J134:K134"/>
    <mergeCell ref="J135:K135"/>
    <mergeCell ref="J136:K136"/>
    <mergeCell ref="J137:K137"/>
    <mergeCell ref="J138:K138"/>
    <mergeCell ref="J140:K140"/>
    <mergeCell ref="J141:K141"/>
    <mergeCell ref="J142:K142"/>
    <mergeCell ref="D143:H143"/>
    <mergeCell ref="A144:H144"/>
    <mergeCell ref="A145:K145"/>
    <mergeCell ref="A146:E146"/>
    <mergeCell ref="F146:G146"/>
    <mergeCell ref="F147:G147"/>
    <mergeCell ref="F148:G148"/>
    <mergeCell ref="F149:G149"/>
    <mergeCell ref="F150:G150"/>
    <mergeCell ref="F151:G151"/>
    <mergeCell ref="F152:G152"/>
    <mergeCell ref="F153:G153"/>
    <mergeCell ref="F154:G154"/>
    <mergeCell ref="F155:G155"/>
    <mergeCell ref="F156:G156"/>
    <mergeCell ref="A157:D157"/>
    <mergeCell ref="A158:B158"/>
    <mergeCell ref="F158:K158"/>
    <mergeCell ref="A159:B159"/>
    <mergeCell ref="F159:K159"/>
    <mergeCell ref="A160:B160"/>
    <mergeCell ref="F160:K160"/>
    <mergeCell ref="A161:B161"/>
    <mergeCell ref="F161:K161"/>
    <mergeCell ref="A162:B162"/>
    <mergeCell ref="F162:K162"/>
    <mergeCell ref="A163:B163"/>
    <mergeCell ref="F163:K163"/>
    <mergeCell ref="A169:K169"/>
    <mergeCell ref="A177:J177"/>
    <mergeCell ref="J178:K178"/>
    <mergeCell ref="J179:K179"/>
    <mergeCell ref="J180:K180"/>
    <mergeCell ref="J181:K181"/>
    <mergeCell ref="J182:K182"/>
    <mergeCell ref="J183:K183"/>
    <mergeCell ref="J184:K184"/>
    <mergeCell ref="J185:K185"/>
    <mergeCell ref="J186:K186"/>
    <mergeCell ref="J187:K187"/>
    <mergeCell ref="J188:K188"/>
    <mergeCell ref="J189:K189"/>
    <mergeCell ref="J190:K190"/>
    <mergeCell ref="J191:K191"/>
    <mergeCell ref="J192:K192"/>
    <mergeCell ref="J193:K193"/>
    <mergeCell ref="J195:K195"/>
    <mergeCell ref="J196:K196"/>
    <mergeCell ref="J197:K197"/>
    <mergeCell ref="D198:H198"/>
    <mergeCell ref="A199:H199"/>
    <mergeCell ref="A200:K200"/>
    <mergeCell ref="A201:E201"/>
    <mergeCell ref="F201:G201"/>
    <mergeCell ref="F202:G202"/>
    <mergeCell ref="F203:G203"/>
    <mergeCell ref="F204:G204"/>
    <mergeCell ref="F205:G205"/>
    <mergeCell ref="F206:G206"/>
    <mergeCell ref="F207:G207"/>
    <mergeCell ref="F208:G208"/>
    <mergeCell ref="F209:G209"/>
    <mergeCell ref="F210:G210"/>
    <mergeCell ref="F211:G211"/>
    <mergeCell ref="A212:D212"/>
    <mergeCell ref="A213:B213"/>
    <mergeCell ref="F213:K213"/>
    <mergeCell ref="A214:B214"/>
    <mergeCell ref="F214:K214"/>
    <mergeCell ref="A215:B215"/>
    <mergeCell ref="F215:K215"/>
    <mergeCell ref="A216:B216"/>
    <mergeCell ref="F216:K216"/>
    <mergeCell ref="A217:B217"/>
    <mergeCell ref="F217:K217"/>
    <mergeCell ref="A218:B218"/>
    <mergeCell ref="F218:K218"/>
  </mergeCells>
  <pageMargins left="0.708661417322835" right="0.708661417322835" top="0.354330708661417" bottom="0.354330708661417" header="0.31496062992126" footer="0.31496062992126"/>
  <pageSetup paperSize="9" orientation="portrait" horizontalDpi="2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Q55"/>
  <sheetViews>
    <sheetView topLeftCell="A16" workbookViewId="0">
      <selection activeCell="N33" sqref="N33"/>
    </sheetView>
  </sheetViews>
  <sheetFormatPr defaultColWidth="9" defaultRowHeight="13.5"/>
  <cols>
    <col min="1" max="1" width="3.5" customWidth="1"/>
    <col min="2" max="2" width="9.25" customWidth="1"/>
    <col min="3" max="3" width="8" customWidth="1"/>
    <col min="4" max="4" width="7.875" customWidth="1"/>
    <col min="5" max="5" width="5.875" customWidth="1"/>
    <col min="6" max="6" width="6.5" customWidth="1"/>
    <col min="7" max="7" width="7.125" customWidth="1"/>
    <col min="8" max="8" width="10.125" customWidth="1"/>
    <col min="9" max="9" width="9" customWidth="1"/>
    <col min="10" max="10" width="8.375" customWidth="1"/>
    <col min="11" max="11" width="11.875" customWidth="1"/>
    <col min="14" max="14" width="11.25" customWidth="1"/>
  </cols>
  <sheetData>
    <row r="1" ht="21.75" customHeight="1" spans="1:11">
      <c r="A1" s="58" t="s">
        <v>348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customHeight="1" spans="1:11">
      <c r="A2" s="59" t="s">
        <v>29</v>
      </c>
      <c r="B2" s="59" t="s">
        <v>151</v>
      </c>
      <c r="C2" s="59" t="s">
        <v>152</v>
      </c>
      <c r="D2" s="59" t="s">
        <v>153</v>
      </c>
      <c r="E2" s="59" t="s">
        <v>154</v>
      </c>
      <c r="F2" s="59" t="s">
        <v>155</v>
      </c>
      <c r="G2" s="59" t="s">
        <v>156</v>
      </c>
      <c r="H2" s="59" t="s">
        <v>157</v>
      </c>
      <c r="I2" s="59" t="s">
        <v>158</v>
      </c>
      <c r="J2" s="59" t="s">
        <v>159</v>
      </c>
      <c r="K2" s="59" t="s">
        <v>160</v>
      </c>
    </row>
    <row r="3" customHeight="1" spans="1:11">
      <c r="A3" s="59">
        <v>1</v>
      </c>
      <c r="B3" s="59" t="s">
        <v>349</v>
      </c>
      <c r="C3" s="59"/>
      <c r="D3" s="59" t="s">
        <v>313</v>
      </c>
      <c r="E3" s="60">
        <v>6.1</v>
      </c>
      <c r="F3" s="60">
        <v>0.86</v>
      </c>
      <c r="G3" s="60">
        <f>E3*F3</f>
        <v>5.246</v>
      </c>
      <c r="H3" s="60">
        <v>0.86</v>
      </c>
      <c r="I3" s="60">
        <f>F3-H3</f>
        <v>0</v>
      </c>
      <c r="J3" s="60">
        <f>I3*1.1</f>
        <v>0</v>
      </c>
      <c r="K3" s="60">
        <f>G3-J3</f>
        <v>5.246</v>
      </c>
    </row>
    <row r="4" customHeight="1" spans="1:11">
      <c r="A4" s="59">
        <v>2</v>
      </c>
      <c r="B4" s="59" t="s">
        <v>350</v>
      </c>
      <c r="C4" s="59"/>
      <c r="D4" s="59" t="s">
        <v>313</v>
      </c>
      <c r="E4" s="60">
        <v>6.1</v>
      </c>
      <c r="F4" s="60">
        <v>0.65</v>
      </c>
      <c r="G4" s="60">
        <f t="shared" ref="G4:G10" si="0">E4*F4</f>
        <v>3.965</v>
      </c>
      <c r="H4" s="60">
        <v>0.65</v>
      </c>
      <c r="I4" s="60">
        <f t="shared" ref="I4:I10" si="1">F4-H4</f>
        <v>0</v>
      </c>
      <c r="J4" s="60">
        <f t="shared" ref="J4:J10" si="2">I4*1.1</f>
        <v>0</v>
      </c>
      <c r="K4" s="60">
        <f t="shared" ref="K4:K10" si="3">G4-J4</f>
        <v>3.965</v>
      </c>
    </row>
    <row r="5" customHeight="1" spans="1:11">
      <c r="A5" s="59">
        <v>3</v>
      </c>
      <c r="B5" s="59"/>
      <c r="C5" s="59"/>
      <c r="D5" s="59"/>
      <c r="E5" s="60"/>
      <c r="F5" s="60"/>
      <c r="G5" s="60">
        <f t="shared" si="0"/>
        <v>0</v>
      </c>
      <c r="H5" s="60"/>
      <c r="I5" s="60">
        <f t="shared" si="1"/>
        <v>0</v>
      </c>
      <c r="J5" s="60">
        <f t="shared" si="2"/>
        <v>0</v>
      </c>
      <c r="K5" s="60">
        <f t="shared" si="3"/>
        <v>0</v>
      </c>
    </row>
    <row r="6" customHeight="1" spans="1:11">
      <c r="A6" s="59">
        <v>4</v>
      </c>
      <c r="B6" s="59"/>
      <c r="C6" s="59"/>
      <c r="D6" s="59"/>
      <c r="E6" s="60"/>
      <c r="F6" s="60"/>
      <c r="G6" s="60">
        <f t="shared" si="0"/>
        <v>0</v>
      </c>
      <c r="H6" s="60"/>
      <c r="I6" s="60">
        <f t="shared" si="1"/>
        <v>0</v>
      </c>
      <c r="J6" s="60">
        <f t="shared" si="2"/>
        <v>0</v>
      </c>
      <c r="K6" s="60">
        <f t="shared" si="3"/>
        <v>0</v>
      </c>
    </row>
    <row r="7" customHeight="1" spans="1:11">
      <c r="A7" s="59">
        <v>5</v>
      </c>
      <c r="B7" s="59"/>
      <c r="C7" s="59"/>
      <c r="D7" s="59"/>
      <c r="E7" s="60"/>
      <c r="F7" s="60"/>
      <c r="G7" s="60">
        <f t="shared" si="0"/>
        <v>0</v>
      </c>
      <c r="H7" s="60"/>
      <c r="I7" s="60">
        <f t="shared" si="1"/>
        <v>0</v>
      </c>
      <c r="J7" s="60">
        <f t="shared" si="2"/>
        <v>0</v>
      </c>
      <c r="K7" s="60">
        <f t="shared" si="3"/>
        <v>0</v>
      </c>
    </row>
    <row r="8" customHeight="1" spans="1:11">
      <c r="A8" s="59">
        <v>6</v>
      </c>
      <c r="B8" s="59"/>
      <c r="C8" s="59"/>
      <c r="D8" s="59"/>
      <c r="E8" s="60"/>
      <c r="F8" s="59"/>
      <c r="G8" s="60">
        <f t="shared" si="0"/>
        <v>0</v>
      </c>
      <c r="H8" s="59"/>
      <c r="I8" s="60">
        <f t="shared" si="1"/>
        <v>0</v>
      </c>
      <c r="J8" s="60">
        <f t="shared" si="2"/>
        <v>0</v>
      </c>
      <c r="K8" s="60">
        <f t="shared" si="3"/>
        <v>0</v>
      </c>
    </row>
    <row r="9" customHeight="1" spans="1:11">
      <c r="A9" s="59">
        <v>7</v>
      </c>
      <c r="B9" s="59"/>
      <c r="C9" s="59"/>
      <c r="D9" s="59"/>
      <c r="E9" s="59"/>
      <c r="F9" s="59"/>
      <c r="G9" s="60">
        <f t="shared" si="0"/>
        <v>0</v>
      </c>
      <c r="H9" s="59"/>
      <c r="I9" s="60">
        <f t="shared" si="1"/>
        <v>0</v>
      </c>
      <c r="J9" s="60">
        <f t="shared" si="2"/>
        <v>0</v>
      </c>
      <c r="K9" s="60">
        <f t="shared" si="3"/>
        <v>0</v>
      </c>
    </row>
    <row r="10" customHeight="1" spans="1:11">
      <c r="A10" s="59">
        <v>8</v>
      </c>
      <c r="B10" s="59"/>
      <c r="C10" s="59"/>
      <c r="D10" s="59"/>
      <c r="E10" s="59"/>
      <c r="F10" s="59"/>
      <c r="G10" s="60">
        <f t="shared" si="0"/>
        <v>0</v>
      </c>
      <c r="H10" s="59"/>
      <c r="I10" s="60">
        <f t="shared" si="1"/>
        <v>0</v>
      </c>
      <c r="J10" s="60">
        <f t="shared" si="2"/>
        <v>0</v>
      </c>
      <c r="K10" s="60">
        <f t="shared" si="3"/>
        <v>0</v>
      </c>
    </row>
    <row r="11" customHeight="1" spans="1:11">
      <c r="A11" s="61" t="s">
        <v>182</v>
      </c>
      <c r="B11" s="62"/>
      <c r="C11" s="62"/>
      <c r="D11" s="62"/>
      <c r="E11" s="62"/>
      <c r="F11" s="62"/>
      <c r="G11" s="62"/>
      <c r="H11" s="62"/>
      <c r="I11" s="62"/>
      <c r="J11" s="63"/>
      <c r="K11" s="60">
        <f>SUM(K3:K10)</f>
        <v>9.211</v>
      </c>
    </row>
    <row r="12" customHeight="1" spans="1:11">
      <c r="A12" s="59" t="s">
        <v>29</v>
      </c>
      <c r="B12" s="59" t="s">
        <v>151</v>
      </c>
      <c r="C12" s="59" t="s">
        <v>152</v>
      </c>
      <c r="D12" s="59" t="s">
        <v>166</v>
      </c>
      <c r="E12" s="59" t="s">
        <v>167</v>
      </c>
      <c r="F12" s="59" t="s">
        <v>168</v>
      </c>
      <c r="G12" s="59" t="s">
        <v>169</v>
      </c>
      <c r="H12" s="59" t="s">
        <v>170</v>
      </c>
      <c r="I12" s="59" t="s">
        <v>171</v>
      </c>
      <c r="J12" s="61" t="s">
        <v>107</v>
      </c>
      <c r="K12" s="63"/>
    </row>
    <row r="13" customHeight="1" spans="1:11">
      <c r="A13" s="59">
        <v>1</v>
      </c>
      <c r="B13" s="59"/>
      <c r="C13" s="59"/>
      <c r="D13" s="59"/>
      <c r="E13" s="59" t="s">
        <v>260</v>
      </c>
      <c r="F13" s="59" t="s">
        <v>261</v>
      </c>
      <c r="G13" s="59"/>
      <c r="H13" s="59" t="s">
        <v>262</v>
      </c>
      <c r="I13" s="59"/>
      <c r="J13" s="61"/>
      <c r="K13" s="63"/>
    </row>
    <row r="14" customHeight="1" spans="1:11">
      <c r="A14" s="59">
        <v>2</v>
      </c>
      <c r="B14" s="59"/>
      <c r="C14" s="59"/>
      <c r="D14" s="59"/>
      <c r="E14" s="59" t="s">
        <v>260</v>
      </c>
      <c r="F14" s="59" t="s">
        <v>264</v>
      </c>
      <c r="G14" s="59"/>
      <c r="H14" s="59" t="s">
        <v>265</v>
      </c>
      <c r="I14" s="59"/>
      <c r="J14" s="61"/>
      <c r="K14" s="63"/>
    </row>
    <row r="15" customHeight="1" spans="1:11">
      <c r="A15" s="59">
        <v>3</v>
      </c>
      <c r="B15" s="59"/>
      <c r="C15" s="59"/>
      <c r="D15" s="59"/>
      <c r="E15" s="59" t="s">
        <v>266</v>
      </c>
      <c r="F15" s="59" t="s">
        <v>267</v>
      </c>
      <c r="G15" s="59"/>
      <c r="H15" s="59">
        <v>0.5</v>
      </c>
      <c r="I15" s="59">
        <f>G15*H15</f>
        <v>0</v>
      </c>
      <c r="J15" s="61"/>
      <c r="K15" s="63"/>
    </row>
    <row r="16" customHeight="1" spans="1:11">
      <c r="A16" s="59">
        <v>4</v>
      </c>
      <c r="B16" s="59"/>
      <c r="C16" s="59"/>
      <c r="D16" s="59"/>
      <c r="E16" s="59" t="s">
        <v>266</v>
      </c>
      <c r="F16" s="59" t="s">
        <v>268</v>
      </c>
      <c r="G16" s="59"/>
      <c r="H16" s="59">
        <v>0.3</v>
      </c>
      <c r="I16" s="59">
        <f t="shared" ref="I16:I30" si="4">G16*H16</f>
        <v>0</v>
      </c>
      <c r="J16" s="61"/>
      <c r="K16" s="63"/>
    </row>
    <row r="17" customHeight="1" spans="1:11">
      <c r="A17" s="59">
        <v>5</v>
      </c>
      <c r="B17" s="59"/>
      <c r="C17" s="59"/>
      <c r="D17" s="59"/>
      <c r="E17" s="59" t="s">
        <v>270</v>
      </c>
      <c r="F17" s="59" t="s">
        <v>271</v>
      </c>
      <c r="G17" s="59"/>
      <c r="H17" s="59">
        <v>0.15</v>
      </c>
      <c r="I17" s="59">
        <f t="shared" si="4"/>
        <v>0</v>
      </c>
      <c r="J17" s="61"/>
      <c r="K17" s="63"/>
    </row>
    <row r="18" customHeight="1" spans="1:11">
      <c r="A18" s="59">
        <v>6</v>
      </c>
      <c r="B18" s="59"/>
      <c r="C18" s="59"/>
      <c r="D18" s="59"/>
      <c r="E18" s="59" t="s">
        <v>270</v>
      </c>
      <c r="F18" s="59" t="s">
        <v>273</v>
      </c>
      <c r="G18" s="59"/>
      <c r="H18" s="59">
        <v>0.15</v>
      </c>
      <c r="I18" s="59">
        <f t="shared" si="4"/>
        <v>0</v>
      </c>
      <c r="J18" s="61"/>
      <c r="K18" s="63"/>
    </row>
    <row r="19" customHeight="1" spans="1:11">
      <c r="A19" s="59">
        <v>7</v>
      </c>
      <c r="B19" s="59"/>
      <c r="C19" s="59"/>
      <c r="D19" s="59"/>
      <c r="E19" s="59" t="s">
        <v>270</v>
      </c>
      <c r="F19" s="59" t="s">
        <v>276</v>
      </c>
      <c r="G19" s="59"/>
      <c r="H19" s="59">
        <v>0.08</v>
      </c>
      <c r="I19" s="59">
        <f t="shared" si="4"/>
        <v>0</v>
      </c>
      <c r="J19" s="61"/>
      <c r="K19" s="63"/>
    </row>
    <row r="20" customHeight="1" spans="1:11">
      <c r="A20" s="59">
        <v>8</v>
      </c>
      <c r="B20" s="59"/>
      <c r="C20" s="59"/>
      <c r="D20" s="59"/>
      <c r="E20" s="59" t="s">
        <v>270</v>
      </c>
      <c r="F20" s="59" t="s">
        <v>277</v>
      </c>
      <c r="G20" s="59"/>
      <c r="H20" s="59">
        <v>0.08</v>
      </c>
      <c r="I20" s="59">
        <f t="shared" si="4"/>
        <v>0</v>
      </c>
      <c r="J20" s="61"/>
      <c r="K20" s="63"/>
    </row>
    <row r="21" customHeight="1" spans="1:11">
      <c r="A21" s="59">
        <v>9</v>
      </c>
      <c r="B21" s="59"/>
      <c r="C21" s="59"/>
      <c r="D21" s="59"/>
      <c r="E21" s="59" t="s">
        <v>270</v>
      </c>
      <c r="F21" s="59" t="s">
        <v>278</v>
      </c>
      <c r="G21" s="59"/>
      <c r="H21" s="59">
        <v>0.05</v>
      </c>
      <c r="I21" s="59">
        <f t="shared" si="4"/>
        <v>0</v>
      </c>
      <c r="J21" s="61"/>
      <c r="K21" s="63"/>
    </row>
    <row r="22" customHeight="1" spans="1:11">
      <c r="A22" s="59">
        <v>10</v>
      </c>
      <c r="B22" s="59" t="s">
        <v>351</v>
      </c>
      <c r="C22" s="59" t="s">
        <v>352</v>
      </c>
      <c r="D22" s="59" t="s">
        <v>279</v>
      </c>
      <c r="E22" s="59"/>
      <c r="F22" s="59"/>
      <c r="G22" s="59"/>
      <c r="H22" s="59">
        <v>0.08</v>
      </c>
      <c r="I22" s="59">
        <v>0.16</v>
      </c>
      <c r="J22" s="61" t="s">
        <v>280</v>
      </c>
      <c r="K22" s="63"/>
    </row>
    <row r="23" customHeight="1" spans="1:11">
      <c r="A23" s="59">
        <v>11</v>
      </c>
      <c r="B23" s="59" t="s">
        <v>349</v>
      </c>
      <c r="C23" s="59"/>
      <c r="D23" s="59" t="s">
        <v>174</v>
      </c>
      <c r="E23" s="59"/>
      <c r="F23" s="59"/>
      <c r="G23" s="59">
        <v>4</v>
      </c>
      <c r="H23" s="59">
        <v>0.08</v>
      </c>
      <c r="I23" s="59">
        <f t="shared" si="4"/>
        <v>0.32</v>
      </c>
      <c r="J23" s="61"/>
      <c r="K23" s="63"/>
    </row>
    <row r="24" customHeight="1" spans="1:11">
      <c r="A24" s="59">
        <v>12</v>
      </c>
      <c r="B24" s="59"/>
      <c r="C24" s="59"/>
      <c r="D24" s="59" t="s">
        <v>321</v>
      </c>
      <c r="E24" s="59"/>
      <c r="F24" s="59"/>
      <c r="G24" s="59"/>
      <c r="H24" s="59">
        <v>0.08</v>
      </c>
      <c r="I24" s="59">
        <f t="shared" si="4"/>
        <v>0</v>
      </c>
      <c r="J24" s="61"/>
      <c r="K24" s="63"/>
    </row>
    <row r="25" customHeight="1" spans="1:11">
      <c r="A25" s="59">
        <v>13</v>
      </c>
      <c r="B25" s="59"/>
      <c r="C25" s="59"/>
      <c r="D25" s="59" t="s">
        <v>282</v>
      </c>
      <c r="E25" s="59"/>
      <c r="F25" s="59"/>
      <c r="G25" s="59"/>
      <c r="H25" s="59">
        <v>0.08</v>
      </c>
      <c r="I25" s="59">
        <f t="shared" si="4"/>
        <v>0</v>
      </c>
      <c r="J25" s="61"/>
      <c r="K25" s="63"/>
    </row>
    <row r="26" customHeight="1" spans="1:11">
      <c r="A26" s="59">
        <v>14</v>
      </c>
      <c r="B26" s="59" t="s">
        <v>353</v>
      </c>
      <c r="C26" s="59"/>
      <c r="D26" s="59" t="s">
        <v>283</v>
      </c>
      <c r="E26" s="59"/>
      <c r="F26" s="59"/>
      <c r="G26" s="59">
        <v>4</v>
      </c>
      <c r="H26" s="59">
        <v>0.08</v>
      </c>
      <c r="I26" s="59">
        <f t="shared" si="4"/>
        <v>0.32</v>
      </c>
      <c r="J26" s="61"/>
      <c r="K26" s="63"/>
    </row>
    <row r="27" customHeight="1" spans="1:11">
      <c r="A27" s="59">
        <v>15</v>
      </c>
      <c r="B27" s="59"/>
      <c r="C27" s="59"/>
      <c r="D27" s="59" t="s">
        <v>284</v>
      </c>
      <c r="E27" s="59"/>
      <c r="F27" s="59"/>
      <c r="G27" s="59"/>
      <c r="H27" s="59">
        <v>0.08</v>
      </c>
      <c r="I27" s="59">
        <f t="shared" si="4"/>
        <v>0</v>
      </c>
      <c r="J27" s="61"/>
      <c r="K27" s="63"/>
    </row>
    <row r="28" customHeight="1" spans="1:11">
      <c r="A28" s="59">
        <v>16</v>
      </c>
      <c r="B28" s="59"/>
      <c r="C28" s="59"/>
      <c r="D28" s="59" t="s">
        <v>275</v>
      </c>
      <c r="E28" s="59"/>
      <c r="F28" s="59"/>
      <c r="G28" s="59"/>
      <c r="H28" s="59">
        <v>0.08</v>
      </c>
      <c r="I28" s="59">
        <f t="shared" si="4"/>
        <v>0</v>
      </c>
      <c r="J28" s="61"/>
      <c r="K28" s="63"/>
    </row>
    <row r="29" customHeight="1" spans="1:11">
      <c r="A29" s="59">
        <v>17</v>
      </c>
      <c r="B29" s="59"/>
      <c r="C29" s="59"/>
      <c r="D29" s="59" t="s">
        <v>285</v>
      </c>
      <c r="E29" s="59"/>
      <c r="F29" s="59"/>
      <c r="G29" s="59"/>
      <c r="H29" s="59">
        <v>0.08</v>
      </c>
      <c r="I29" s="59">
        <f t="shared" si="4"/>
        <v>0</v>
      </c>
      <c r="J29" s="61"/>
      <c r="K29" s="63"/>
    </row>
    <row r="30" customHeight="1" spans="1:11">
      <c r="A30" s="59">
        <v>18</v>
      </c>
      <c r="B30" s="59"/>
      <c r="C30" s="59"/>
      <c r="D30" s="59" t="s">
        <v>286</v>
      </c>
      <c r="E30" s="59"/>
      <c r="F30" s="59"/>
      <c r="G30" s="59"/>
      <c r="H30" s="59">
        <v>0.08</v>
      </c>
      <c r="I30" s="59">
        <f t="shared" si="4"/>
        <v>0</v>
      </c>
      <c r="J30" s="61"/>
      <c r="K30" s="63"/>
    </row>
    <row r="31" customHeight="1" spans="1:11">
      <c r="A31" s="59">
        <v>19</v>
      </c>
      <c r="B31" s="59"/>
      <c r="C31" s="59"/>
      <c r="D31" s="59" t="s">
        <v>287</v>
      </c>
      <c r="E31" s="59"/>
      <c r="F31" s="59"/>
      <c r="G31" s="59"/>
      <c r="H31" s="59"/>
      <c r="I31" s="59">
        <v>0.2</v>
      </c>
      <c r="J31" s="61" t="s">
        <v>288</v>
      </c>
      <c r="K31" s="63"/>
    </row>
    <row r="32" customHeight="1" spans="1:11">
      <c r="A32" s="59"/>
      <c r="B32" s="59"/>
      <c r="C32" s="59"/>
      <c r="D32" s="61"/>
      <c r="E32" s="62"/>
      <c r="F32" s="62"/>
      <c r="G32" s="62"/>
      <c r="H32" s="63"/>
      <c r="I32" s="59"/>
      <c r="J32" s="61"/>
      <c r="K32" s="63"/>
    </row>
    <row r="33" customHeight="1" spans="1:11">
      <c r="A33" s="61" t="s">
        <v>182</v>
      </c>
      <c r="B33" s="62"/>
      <c r="C33" s="62"/>
      <c r="D33" s="62"/>
      <c r="E33" s="62"/>
      <c r="F33" s="62"/>
      <c r="G33" s="62"/>
      <c r="H33" s="63"/>
      <c r="I33" s="82">
        <f>SUM(I13:I32)</f>
        <v>1</v>
      </c>
      <c r="J33" s="59"/>
      <c r="K33" s="59"/>
    </row>
    <row r="34" customHeight="1" spans="1:11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customHeight="1" spans="1:11">
      <c r="A35" s="61" t="s">
        <v>183</v>
      </c>
      <c r="B35" s="62"/>
      <c r="C35" s="62"/>
      <c r="D35" s="62"/>
      <c r="E35" s="63"/>
      <c r="F35" s="59" t="s">
        <v>184</v>
      </c>
      <c r="G35" s="59"/>
      <c r="H35" s="59" t="s">
        <v>185</v>
      </c>
      <c r="I35" s="59" t="s">
        <v>186</v>
      </c>
      <c r="J35" s="59" t="s">
        <v>187</v>
      </c>
      <c r="K35" s="63" t="s">
        <v>107</v>
      </c>
    </row>
    <row r="36" customHeight="1" spans="1:11">
      <c r="A36" s="59" t="s">
        <v>29</v>
      </c>
      <c r="B36" s="59" t="s">
        <v>190</v>
      </c>
      <c r="C36" s="59" t="s">
        <v>191</v>
      </c>
      <c r="D36" s="59" t="s">
        <v>192</v>
      </c>
      <c r="E36" s="59" t="s">
        <v>171</v>
      </c>
      <c r="F36" s="59" t="s">
        <v>354</v>
      </c>
      <c r="G36" s="59"/>
      <c r="H36" s="59">
        <v>4</v>
      </c>
      <c r="I36" s="59">
        <v>0.06</v>
      </c>
      <c r="J36" s="78">
        <f>I36*H36</f>
        <v>0.24</v>
      </c>
      <c r="K36" s="59"/>
    </row>
    <row r="37" customHeight="1" spans="1:16">
      <c r="A37" s="64">
        <v>1</v>
      </c>
      <c r="B37" s="59" t="s">
        <v>335</v>
      </c>
      <c r="C37" s="59">
        <v>2</v>
      </c>
      <c r="D37" s="59">
        <v>0.04</v>
      </c>
      <c r="E37" s="59">
        <f>D37*C37</f>
        <v>0.08</v>
      </c>
      <c r="F37" s="61" t="s">
        <v>355</v>
      </c>
      <c r="G37" s="63"/>
      <c r="H37" s="59">
        <v>6</v>
      </c>
      <c r="I37" s="59">
        <v>0.06</v>
      </c>
      <c r="J37" s="78">
        <f t="shared" ref="J37:J39" si="5">I37*H37</f>
        <v>0.36</v>
      </c>
      <c r="K37" s="59"/>
      <c r="N37" s="77" t="s">
        <v>211</v>
      </c>
      <c r="O37" s="77" t="s">
        <v>212</v>
      </c>
      <c r="P37" s="77" t="s">
        <v>213</v>
      </c>
    </row>
    <row r="38" customHeight="1" spans="1:16">
      <c r="A38" s="64">
        <v>2</v>
      </c>
      <c r="B38" s="59" t="s">
        <v>356</v>
      </c>
      <c r="C38" s="59">
        <v>2</v>
      </c>
      <c r="D38" s="59">
        <v>1.3</v>
      </c>
      <c r="E38" s="59">
        <f t="shared" ref="E38:E45" si="6">D38*C38</f>
        <v>2.6</v>
      </c>
      <c r="F38" s="61" t="s">
        <v>357</v>
      </c>
      <c r="G38" s="63"/>
      <c r="H38" s="59">
        <v>4</v>
      </c>
      <c r="I38" s="59">
        <v>0.06</v>
      </c>
      <c r="J38" s="78">
        <f t="shared" si="5"/>
        <v>0.24</v>
      </c>
      <c r="K38" s="59"/>
      <c r="N38" s="77" t="s">
        <v>215</v>
      </c>
      <c r="O38" s="77" t="s">
        <v>216</v>
      </c>
      <c r="P38" s="77" t="s">
        <v>217</v>
      </c>
    </row>
    <row r="39" customHeight="1" spans="1:11">
      <c r="A39" s="64">
        <v>3</v>
      </c>
      <c r="B39" s="59" t="s">
        <v>358</v>
      </c>
      <c r="C39" s="59">
        <v>2</v>
      </c>
      <c r="D39" s="59">
        <v>1.05</v>
      </c>
      <c r="E39" s="59">
        <f t="shared" si="6"/>
        <v>2.1</v>
      </c>
      <c r="F39" s="61" t="s">
        <v>291</v>
      </c>
      <c r="G39" s="63"/>
      <c r="H39" s="59">
        <v>20</v>
      </c>
      <c r="I39" s="59">
        <v>0.06</v>
      </c>
      <c r="J39" s="78">
        <f t="shared" si="5"/>
        <v>1.2</v>
      </c>
      <c r="K39" s="59"/>
    </row>
    <row r="40" customHeight="1" spans="1:11">
      <c r="A40" s="64">
        <v>4</v>
      </c>
      <c r="B40" s="59" t="s">
        <v>359</v>
      </c>
      <c r="C40" s="59">
        <v>2</v>
      </c>
      <c r="D40" s="59">
        <v>0.46</v>
      </c>
      <c r="E40" s="59">
        <f t="shared" si="6"/>
        <v>0.92</v>
      </c>
      <c r="F40" s="61"/>
      <c r="G40" s="63"/>
      <c r="H40" s="59"/>
      <c r="I40" s="59"/>
      <c r="J40" s="78"/>
      <c r="K40" s="59"/>
    </row>
    <row r="41" customHeight="1" spans="1:16">
      <c r="A41" s="64">
        <v>5</v>
      </c>
      <c r="B41" s="59" t="s">
        <v>360</v>
      </c>
      <c r="C41" s="59">
        <v>2</v>
      </c>
      <c r="D41" s="59">
        <v>0.2</v>
      </c>
      <c r="E41" s="59">
        <f t="shared" si="6"/>
        <v>0.4</v>
      </c>
      <c r="F41" s="61"/>
      <c r="G41" s="63"/>
      <c r="H41" s="59"/>
      <c r="I41" s="59"/>
      <c r="J41" s="78"/>
      <c r="K41" s="59"/>
      <c r="N41" s="64" t="s">
        <v>222</v>
      </c>
      <c r="O41" s="64" t="s">
        <v>223</v>
      </c>
      <c r="P41" s="64" t="s">
        <v>182</v>
      </c>
    </row>
    <row r="42" customHeight="1" spans="1:16">
      <c r="A42" s="64">
        <v>6</v>
      </c>
      <c r="B42" s="59" t="s">
        <v>361</v>
      </c>
      <c r="C42" s="59">
        <v>2</v>
      </c>
      <c r="D42" s="59">
        <v>0.04</v>
      </c>
      <c r="E42" s="59">
        <f t="shared" si="6"/>
        <v>0.08</v>
      </c>
      <c r="F42" s="61" t="s">
        <v>182</v>
      </c>
      <c r="G42" s="63"/>
      <c r="H42" s="59"/>
      <c r="I42" s="59"/>
      <c r="J42" s="83">
        <f>SUM(J36:J41)</f>
        <v>2.04</v>
      </c>
      <c r="K42" s="59"/>
      <c r="N42" s="64">
        <v>1.49</v>
      </c>
      <c r="O42" s="64">
        <v>1.4</v>
      </c>
      <c r="P42" s="64">
        <f>N42*O42</f>
        <v>2.086</v>
      </c>
    </row>
    <row r="43" customHeight="1" spans="1:11">
      <c r="A43" s="64">
        <v>7</v>
      </c>
      <c r="B43" s="59"/>
      <c r="C43" s="59"/>
      <c r="D43" s="59"/>
      <c r="E43" s="59">
        <f t="shared" si="6"/>
        <v>0</v>
      </c>
      <c r="F43" s="61" t="s">
        <v>219</v>
      </c>
      <c r="G43" s="63"/>
      <c r="H43" s="66" t="s">
        <v>301</v>
      </c>
      <c r="I43" s="66" t="s">
        <v>302</v>
      </c>
      <c r="J43" s="73" t="s">
        <v>187</v>
      </c>
      <c r="K43" s="59" t="s">
        <v>107</v>
      </c>
    </row>
    <row r="44" customHeight="1" spans="1:11">
      <c r="A44" s="64">
        <v>8</v>
      </c>
      <c r="B44" s="59"/>
      <c r="C44" s="59"/>
      <c r="D44" s="59"/>
      <c r="E44" s="59">
        <f t="shared" si="6"/>
        <v>0</v>
      </c>
      <c r="F44" s="61" t="s">
        <v>224</v>
      </c>
      <c r="G44" s="63"/>
      <c r="H44" s="59">
        <v>10</v>
      </c>
      <c r="I44" s="59"/>
      <c r="J44" s="59">
        <f>I44*H44</f>
        <v>0</v>
      </c>
      <c r="K44" s="59"/>
    </row>
    <row r="45" customHeight="1" spans="1:16">
      <c r="A45" s="64">
        <v>9</v>
      </c>
      <c r="B45" s="59"/>
      <c r="C45" s="59"/>
      <c r="D45" s="59"/>
      <c r="E45" s="59">
        <f t="shared" si="6"/>
        <v>0</v>
      </c>
      <c r="F45" s="61" t="s">
        <v>226</v>
      </c>
      <c r="G45" s="63"/>
      <c r="H45" s="59">
        <v>12</v>
      </c>
      <c r="I45" s="59">
        <v>0.11</v>
      </c>
      <c r="J45" s="59">
        <f>I45*H45</f>
        <v>1.32</v>
      </c>
      <c r="K45" s="59"/>
      <c r="N45" s="64" t="s">
        <v>229</v>
      </c>
      <c r="O45" s="64" t="s">
        <v>230</v>
      </c>
      <c r="P45" s="64" t="s">
        <v>182</v>
      </c>
    </row>
    <row r="46" customHeight="1" spans="1:17">
      <c r="A46" s="68" t="s">
        <v>182</v>
      </c>
      <c r="B46" s="70"/>
      <c r="C46" s="70"/>
      <c r="D46" s="69"/>
      <c r="E46" s="71">
        <f>SUM(E37:E45)</f>
        <v>6.18</v>
      </c>
      <c r="N46" s="64">
        <v>18.76</v>
      </c>
      <c r="O46" s="64">
        <v>2.086</v>
      </c>
      <c r="P46" s="84">
        <f>N46+O46</f>
        <v>20.846</v>
      </c>
      <c r="Q46" t="s">
        <v>252</v>
      </c>
    </row>
    <row r="47" customHeight="1" spans="1:11">
      <c r="A47" s="72" t="s">
        <v>227</v>
      </c>
      <c r="B47" s="72"/>
      <c r="C47" s="72" t="s">
        <v>208</v>
      </c>
      <c r="E47" s="73" t="s">
        <v>228</v>
      </c>
      <c r="F47" s="74">
        <f>C52+C51+C50+C49+C48</f>
        <v>20.2678</v>
      </c>
      <c r="G47" s="74"/>
      <c r="H47" s="74"/>
      <c r="I47" s="74"/>
      <c r="J47" s="74"/>
      <c r="K47" s="74"/>
    </row>
    <row r="48" customHeight="1" spans="1:11">
      <c r="A48" s="64" t="s">
        <v>231</v>
      </c>
      <c r="B48" s="64"/>
      <c r="C48" s="75">
        <f>K11</f>
        <v>9.211</v>
      </c>
      <c r="E48" s="76" t="s">
        <v>232</v>
      </c>
      <c r="F48" s="74">
        <f>F47*0.03</f>
        <v>0.608034</v>
      </c>
      <c r="G48" s="74"/>
      <c r="H48" s="74"/>
      <c r="I48" s="74"/>
      <c r="J48" s="74"/>
      <c r="K48" s="74"/>
    </row>
    <row r="49" customHeight="1" spans="1:11">
      <c r="A49" s="64" t="s">
        <v>233</v>
      </c>
      <c r="B49" s="64"/>
      <c r="C49" s="80">
        <f>I33*1.17</f>
        <v>1.17</v>
      </c>
      <c r="E49" s="76" t="s">
        <v>234</v>
      </c>
      <c r="F49" s="74">
        <f>F47*0.06</f>
        <v>1.216068</v>
      </c>
      <c r="G49" s="74"/>
      <c r="H49" s="74"/>
      <c r="I49" s="74"/>
      <c r="J49" s="74"/>
      <c r="K49" s="74"/>
    </row>
    <row r="50" customHeight="1" spans="1:11">
      <c r="A50" s="64" t="s">
        <v>235</v>
      </c>
      <c r="B50" s="64"/>
      <c r="C50" s="75">
        <f>E46</f>
        <v>6.18</v>
      </c>
      <c r="E50" s="76" t="s">
        <v>236</v>
      </c>
      <c r="F50" s="74">
        <f>F47*0.02</f>
        <v>0.405356</v>
      </c>
      <c r="G50" s="74"/>
      <c r="H50" s="74"/>
      <c r="I50" s="74"/>
      <c r="J50" s="74"/>
      <c r="K50" s="74"/>
    </row>
    <row r="51" customHeight="1" spans="1:11">
      <c r="A51" s="64" t="s">
        <v>238</v>
      </c>
      <c r="B51" s="64"/>
      <c r="C51" s="80">
        <f>J42*1.17</f>
        <v>2.3868</v>
      </c>
      <c r="E51" s="76" t="s">
        <v>106</v>
      </c>
      <c r="F51" s="74"/>
      <c r="G51" s="74"/>
      <c r="H51" s="74"/>
      <c r="I51" s="74"/>
      <c r="J51" s="74"/>
      <c r="K51" s="74"/>
    </row>
    <row r="52" customHeight="1" spans="1:11">
      <c r="A52" s="64" t="s">
        <v>219</v>
      </c>
      <c r="B52" s="64"/>
      <c r="C52" s="75">
        <f>J44+J45</f>
        <v>1.32</v>
      </c>
      <c r="E52" s="76" t="s">
        <v>239</v>
      </c>
      <c r="F52" s="81">
        <f>F51+F50+F49+F48+F47</f>
        <v>22.497258</v>
      </c>
      <c r="G52" s="81"/>
      <c r="H52" s="81"/>
      <c r="I52" s="81"/>
      <c r="J52" s="81"/>
      <c r="K52" s="81"/>
    </row>
    <row r="53" spans="1:9">
      <c r="A53" s="77"/>
      <c r="B53" s="77"/>
      <c r="H53" t="s">
        <v>252</v>
      </c>
      <c r="I53" t="s">
        <v>362</v>
      </c>
    </row>
    <row r="54" spans="1:2">
      <c r="A54" s="77"/>
      <c r="B54" s="77"/>
    </row>
    <row r="55" spans="1:2">
      <c r="A55" s="77"/>
      <c r="B55" s="77"/>
    </row>
  </sheetData>
  <mergeCells count="52">
    <mergeCell ref="A1:K1"/>
    <mergeCell ref="A11:J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9:K29"/>
    <mergeCell ref="J30:K30"/>
    <mergeCell ref="J31:K31"/>
    <mergeCell ref="D32:H32"/>
    <mergeCell ref="A33:H33"/>
    <mergeCell ref="A34:K34"/>
    <mergeCell ref="A35:E35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A46:D46"/>
    <mergeCell ref="A47:B47"/>
    <mergeCell ref="F47:K47"/>
    <mergeCell ref="A48:B48"/>
    <mergeCell ref="F48:K48"/>
    <mergeCell ref="A49:B49"/>
    <mergeCell ref="F49:K49"/>
    <mergeCell ref="A50:B50"/>
    <mergeCell ref="F50:K50"/>
    <mergeCell ref="A51:B51"/>
    <mergeCell ref="F51:K51"/>
    <mergeCell ref="A52:B52"/>
    <mergeCell ref="F52:K52"/>
    <mergeCell ref="A53:B53"/>
    <mergeCell ref="A54:B54"/>
    <mergeCell ref="A55:B55"/>
  </mergeCells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Q55"/>
  <sheetViews>
    <sheetView topLeftCell="A31" workbookViewId="0">
      <selection activeCell="I33" sqref="I33"/>
    </sheetView>
  </sheetViews>
  <sheetFormatPr defaultColWidth="9" defaultRowHeight="13.5"/>
  <cols>
    <col min="1" max="1" width="4.625" customWidth="1"/>
    <col min="2" max="2" width="11.375" customWidth="1"/>
    <col min="3" max="3" width="13" customWidth="1"/>
    <col min="4" max="4" width="7.625" customWidth="1"/>
    <col min="5" max="10" width="10.1" customWidth="1"/>
    <col min="11" max="11" width="11.875" customWidth="1"/>
    <col min="12" max="12" width="1.75" customWidth="1"/>
  </cols>
  <sheetData>
    <row r="1" ht="39" customHeight="1" spans="1:11">
      <c r="A1" s="58" t="s">
        <v>363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ht="18" customHeight="1" spans="1:11">
      <c r="A2" s="59" t="s">
        <v>29</v>
      </c>
      <c r="B2" s="59" t="s">
        <v>151</v>
      </c>
      <c r="C2" s="59" t="s">
        <v>152</v>
      </c>
      <c r="D2" s="59" t="s">
        <v>153</v>
      </c>
      <c r="E2" s="59" t="s">
        <v>154</v>
      </c>
      <c r="F2" s="59" t="s">
        <v>155</v>
      </c>
      <c r="G2" s="59" t="s">
        <v>156</v>
      </c>
      <c r="H2" s="59" t="s">
        <v>157</v>
      </c>
      <c r="I2" s="59" t="s">
        <v>158</v>
      </c>
      <c r="J2" s="59" t="s">
        <v>159</v>
      </c>
      <c r="K2" s="59" t="s">
        <v>160</v>
      </c>
    </row>
    <row r="3" ht="12.75" customHeight="1" spans="1:11">
      <c r="A3" s="59">
        <v>1</v>
      </c>
      <c r="B3" s="87" t="s">
        <v>364</v>
      </c>
      <c r="C3" s="88" t="s">
        <v>365</v>
      </c>
      <c r="D3" s="59" t="s">
        <v>313</v>
      </c>
      <c r="E3" s="60">
        <v>6.1</v>
      </c>
      <c r="F3" s="60">
        <v>0.86</v>
      </c>
      <c r="G3" s="60">
        <f>E3*F3</f>
        <v>5.246</v>
      </c>
      <c r="H3" s="60">
        <v>0.86</v>
      </c>
      <c r="I3" s="60">
        <f>F3-H3</f>
        <v>0</v>
      </c>
      <c r="J3" s="60">
        <f>I3*1.1</f>
        <v>0</v>
      </c>
      <c r="K3" s="60">
        <f>G3-J3</f>
        <v>5.246</v>
      </c>
    </row>
    <row r="4" ht="12.75" customHeight="1" spans="1:11">
      <c r="A4" s="59">
        <v>2</v>
      </c>
      <c r="B4" s="87" t="s">
        <v>366</v>
      </c>
      <c r="C4" s="88" t="s">
        <v>367</v>
      </c>
      <c r="D4" s="59" t="s">
        <v>313</v>
      </c>
      <c r="E4" s="60">
        <v>6.1</v>
      </c>
      <c r="F4" s="60">
        <v>0.33</v>
      </c>
      <c r="G4" s="60">
        <f t="shared" ref="G4:G7" si="0">E4*F4</f>
        <v>2.013</v>
      </c>
      <c r="H4" s="60">
        <v>0.33</v>
      </c>
      <c r="I4" s="60">
        <f t="shared" ref="I4:I5" si="1">F4-H4</f>
        <v>0</v>
      </c>
      <c r="J4" s="60">
        <f t="shared" ref="J4:J5" si="2">I4*1.1</f>
        <v>0</v>
      </c>
      <c r="K4" s="60">
        <f t="shared" ref="K4:K7" si="3">G4-J4</f>
        <v>2.013</v>
      </c>
    </row>
    <row r="5" ht="12.75" customHeight="1" spans="1:11">
      <c r="A5" s="59">
        <v>3</v>
      </c>
      <c r="B5" s="91" t="s">
        <v>368</v>
      </c>
      <c r="C5" s="88" t="s">
        <v>369</v>
      </c>
      <c r="D5" s="59" t="s">
        <v>313</v>
      </c>
      <c r="E5" s="60">
        <v>6.1</v>
      </c>
      <c r="F5" s="60">
        <v>0.5</v>
      </c>
      <c r="G5" s="60">
        <f t="shared" si="0"/>
        <v>3.05</v>
      </c>
      <c r="H5" s="60">
        <v>0.5</v>
      </c>
      <c r="I5" s="60">
        <f t="shared" si="1"/>
        <v>0</v>
      </c>
      <c r="J5" s="60">
        <f t="shared" si="2"/>
        <v>0</v>
      </c>
      <c r="K5" s="60">
        <f t="shared" si="3"/>
        <v>3.05</v>
      </c>
    </row>
    <row r="6" ht="12.75" customHeight="1" spans="1:11">
      <c r="A6" s="59">
        <v>4</v>
      </c>
      <c r="B6" s="91" t="s">
        <v>370</v>
      </c>
      <c r="C6" s="88" t="s">
        <v>371</v>
      </c>
      <c r="D6" s="59" t="s">
        <v>313</v>
      </c>
      <c r="E6" s="60">
        <v>6.1</v>
      </c>
      <c r="F6" s="60">
        <v>0.74</v>
      </c>
      <c r="G6" s="60">
        <f t="shared" si="0"/>
        <v>4.514</v>
      </c>
      <c r="H6" s="60">
        <v>0.74</v>
      </c>
      <c r="I6" s="60">
        <f t="shared" ref="I6:I7" si="4">F6-H6</f>
        <v>0</v>
      </c>
      <c r="J6" s="60">
        <f t="shared" ref="J6:J7" si="5">I6*1.1</f>
        <v>0</v>
      </c>
      <c r="K6" s="60">
        <f t="shared" si="3"/>
        <v>4.514</v>
      </c>
    </row>
    <row r="7" ht="12.75" customHeight="1" spans="1:11">
      <c r="A7" s="59">
        <v>5</v>
      </c>
      <c r="B7" s="59" t="s">
        <v>372</v>
      </c>
      <c r="C7" s="59" t="s">
        <v>373</v>
      </c>
      <c r="D7" s="59" t="s">
        <v>313</v>
      </c>
      <c r="E7" s="60">
        <v>6.1</v>
      </c>
      <c r="F7" s="59">
        <v>0.25</v>
      </c>
      <c r="G7" s="60">
        <f t="shared" si="0"/>
        <v>1.525</v>
      </c>
      <c r="H7" s="59">
        <v>0.25</v>
      </c>
      <c r="I7" s="60">
        <f t="shared" si="4"/>
        <v>0</v>
      </c>
      <c r="J7" s="60">
        <f t="shared" si="5"/>
        <v>0</v>
      </c>
      <c r="K7" s="60">
        <f t="shared" si="3"/>
        <v>1.525</v>
      </c>
    </row>
    <row r="8" ht="12.75" customHeight="1" spans="1:11">
      <c r="A8" s="59">
        <v>6</v>
      </c>
      <c r="B8" s="59"/>
      <c r="C8" s="59"/>
      <c r="D8" s="59"/>
      <c r="E8" s="60"/>
      <c r="F8" s="59"/>
      <c r="G8" s="60"/>
      <c r="H8" s="59"/>
      <c r="I8" s="60"/>
      <c r="J8" s="60"/>
      <c r="K8" s="60"/>
    </row>
    <row r="9" ht="12.75" customHeight="1" spans="1:11">
      <c r="A9" s="59">
        <v>7</v>
      </c>
      <c r="B9" s="59"/>
      <c r="C9" s="59"/>
      <c r="D9" s="59"/>
      <c r="E9" s="60"/>
      <c r="F9" s="59"/>
      <c r="G9" s="60"/>
      <c r="H9" s="59"/>
      <c r="I9" s="60"/>
      <c r="J9" s="60"/>
      <c r="K9" s="60"/>
    </row>
    <row r="10" ht="12.75" customHeight="1" spans="1:11">
      <c r="A10" s="59">
        <v>8</v>
      </c>
      <c r="B10" s="59"/>
      <c r="C10" s="59"/>
      <c r="D10" s="59"/>
      <c r="E10" s="59"/>
      <c r="F10" s="59"/>
      <c r="G10" s="60"/>
      <c r="H10" s="59"/>
      <c r="I10" s="60"/>
      <c r="J10" s="60"/>
      <c r="K10" s="60"/>
    </row>
    <row r="11" ht="12.75" customHeight="1" spans="1:11">
      <c r="A11" s="61" t="s">
        <v>182</v>
      </c>
      <c r="B11" s="62"/>
      <c r="C11" s="62"/>
      <c r="D11" s="62"/>
      <c r="E11" s="62"/>
      <c r="F11" s="62"/>
      <c r="G11" s="62"/>
      <c r="H11" s="62"/>
      <c r="I11" s="62"/>
      <c r="J11" s="63"/>
      <c r="K11" s="60">
        <f>SUM(K3:K10)</f>
        <v>16.348</v>
      </c>
    </row>
    <row r="12" ht="12.75" customHeight="1" spans="1:11">
      <c r="A12" s="59" t="s">
        <v>29</v>
      </c>
      <c r="B12" s="59" t="s">
        <v>151</v>
      </c>
      <c r="C12" s="59" t="s">
        <v>152</v>
      </c>
      <c r="D12" s="59" t="s">
        <v>166</v>
      </c>
      <c r="E12" s="59" t="s">
        <v>167</v>
      </c>
      <c r="F12" s="59" t="s">
        <v>168</v>
      </c>
      <c r="G12" s="59" t="s">
        <v>169</v>
      </c>
      <c r="H12" s="59" t="s">
        <v>170</v>
      </c>
      <c r="I12" s="59" t="s">
        <v>171</v>
      </c>
      <c r="J12" s="61" t="s">
        <v>107</v>
      </c>
      <c r="K12" s="63"/>
    </row>
    <row r="13" ht="12.75" customHeight="1" spans="1:11">
      <c r="A13" s="59">
        <v>1</v>
      </c>
      <c r="B13" s="59"/>
      <c r="C13" s="59"/>
      <c r="D13" s="59"/>
      <c r="E13" s="59" t="s">
        <v>260</v>
      </c>
      <c r="F13" s="59" t="s">
        <v>261</v>
      </c>
      <c r="G13" s="59"/>
      <c r="H13" s="59" t="s">
        <v>262</v>
      </c>
      <c r="I13" s="59"/>
      <c r="J13" s="61"/>
      <c r="K13" s="63"/>
    </row>
    <row r="14" ht="12.75" customHeight="1" spans="1:11">
      <c r="A14" s="59">
        <v>2</v>
      </c>
      <c r="B14" s="59"/>
      <c r="C14" s="59"/>
      <c r="D14" s="59"/>
      <c r="E14" s="59" t="s">
        <v>260</v>
      </c>
      <c r="F14" s="59" t="s">
        <v>264</v>
      </c>
      <c r="G14" s="59"/>
      <c r="H14" s="59" t="s">
        <v>265</v>
      </c>
      <c r="I14" s="59"/>
      <c r="J14" s="61"/>
      <c r="K14" s="63"/>
    </row>
    <row r="15" ht="12.75" customHeight="1" spans="1:11">
      <c r="A15" s="59">
        <v>3</v>
      </c>
      <c r="B15" s="59"/>
      <c r="C15" s="59"/>
      <c r="D15" s="59"/>
      <c r="E15" s="59" t="s">
        <v>266</v>
      </c>
      <c r="F15" s="59" t="s">
        <v>267</v>
      </c>
      <c r="G15" s="59"/>
      <c r="H15" s="59">
        <v>0.5</v>
      </c>
      <c r="I15" s="59">
        <f>G15*H15</f>
        <v>0</v>
      </c>
      <c r="J15" s="61"/>
      <c r="K15" s="63"/>
    </row>
    <row r="16" ht="12.75" customHeight="1" spans="1:11">
      <c r="A16" s="59">
        <v>4</v>
      </c>
      <c r="B16" s="59"/>
      <c r="C16" s="59"/>
      <c r="D16" s="59"/>
      <c r="E16" s="59" t="s">
        <v>266</v>
      </c>
      <c r="F16" s="59" t="s">
        <v>268</v>
      </c>
      <c r="G16" s="59"/>
      <c r="H16" s="59">
        <v>0.3</v>
      </c>
      <c r="I16" s="59">
        <f t="shared" ref="I16:I30" si="6">G16*H16</f>
        <v>0</v>
      </c>
      <c r="J16" s="61"/>
      <c r="K16" s="63"/>
    </row>
    <row r="17" ht="12.75" customHeight="1" spans="1:11">
      <c r="A17" s="59">
        <v>5</v>
      </c>
      <c r="B17" s="59"/>
      <c r="C17" s="59"/>
      <c r="D17" s="59"/>
      <c r="E17" s="59" t="s">
        <v>270</v>
      </c>
      <c r="F17" s="59" t="s">
        <v>271</v>
      </c>
      <c r="G17" s="59"/>
      <c r="H17" s="59">
        <v>0.15</v>
      </c>
      <c r="I17" s="59">
        <f t="shared" si="6"/>
        <v>0</v>
      </c>
      <c r="J17" s="61"/>
      <c r="K17" s="63"/>
    </row>
    <row r="18" ht="12.75" customHeight="1" spans="1:11">
      <c r="A18" s="59">
        <v>6</v>
      </c>
      <c r="B18" s="59"/>
      <c r="C18" s="59"/>
      <c r="D18" s="59"/>
      <c r="E18" s="59" t="s">
        <v>270</v>
      </c>
      <c r="F18" s="59" t="s">
        <v>273</v>
      </c>
      <c r="G18" s="59"/>
      <c r="H18" s="59">
        <v>0.15</v>
      </c>
      <c r="I18" s="59">
        <f t="shared" si="6"/>
        <v>0</v>
      </c>
      <c r="J18" s="61"/>
      <c r="K18" s="63"/>
    </row>
    <row r="19" ht="12.75" customHeight="1" spans="1:11">
      <c r="A19" s="59">
        <v>7</v>
      </c>
      <c r="B19" s="59"/>
      <c r="C19" s="59"/>
      <c r="D19" s="59" t="s">
        <v>374</v>
      </c>
      <c r="E19" s="59" t="s">
        <v>270</v>
      </c>
      <c r="F19" s="59" t="s">
        <v>276</v>
      </c>
      <c r="G19" s="59"/>
      <c r="H19" s="59">
        <v>0.08</v>
      </c>
      <c r="I19" s="59">
        <f t="shared" si="6"/>
        <v>0</v>
      </c>
      <c r="J19" s="61"/>
      <c r="K19" s="63"/>
    </row>
    <row r="20" ht="12.75" customHeight="1" spans="1:11">
      <c r="A20" s="59">
        <v>8</v>
      </c>
      <c r="B20" s="59"/>
      <c r="C20" s="59"/>
      <c r="D20" s="59" t="s">
        <v>375</v>
      </c>
      <c r="E20" s="59" t="s">
        <v>270</v>
      </c>
      <c r="F20" s="59" t="s">
        <v>277</v>
      </c>
      <c r="G20" s="59"/>
      <c r="H20" s="59">
        <v>0.08</v>
      </c>
      <c r="I20" s="59">
        <f t="shared" si="6"/>
        <v>0</v>
      </c>
      <c r="J20" s="61"/>
      <c r="K20" s="63"/>
    </row>
    <row r="21" ht="12.75" customHeight="1" spans="1:11">
      <c r="A21" s="59">
        <v>9</v>
      </c>
      <c r="B21" s="59"/>
      <c r="C21" s="59"/>
      <c r="D21" s="59" t="s">
        <v>376</v>
      </c>
      <c r="E21" s="59" t="s">
        <v>270</v>
      </c>
      <c r="F21" s="59" t="s">
        <v>278</v>
      </c>
      <c r="G21" s="59"/>
      <c r="H21" s="59">
        <v>0.05</v>
      </c>
      <c r="I21" s="59">
        <f t="shared" si="6"/>
        <v>0</v>
      </c>
      <c r="J21" s="61"/>
      <c r="K21" s="63"/>
    </row>
    <row r="22" ht="12.75" customHeight="1" spans="1:11">
      <c r="A22" s="59">
        <v>10</v>
      </c>
      <c r="B22" s="59" t="s">
        <v>377</v>
      </c>
      <c r="C22" s="59"/>
      <c r="D22" s="59" t="s">
        <v>279</v>
      </c>
      <c r="E22" s="59"/>
      <c r="F22" s="59"/>
      <c r="G22" s="59"/>
      <c r="H22" s="59">
        <v>0.08</v>
      </c>
      <c r="I22" s="59">
        <v>0.7</v>
      </c>
      <c r="J22" s="61" t="s">
        <v>280</v>
      </c>
      <c r="K22" s="63"/>
    </row>
    <row r="23" ht="12.75" customHeight="1" spans="1:11">
      <c r="A23" s="59">
        <v>11</v>
      </c>
      <c r="B23" s="89"/>
      <c r="C23" s="59"/>
      <c r="D23" s="59" t="s">
        <v>174</v>
      </c>
      <c r="E23" s="59"/>
      <c r="F23" s="59"/>
      <c r="G23" s="59"/>
      <c r="H23" s="59">
        <v>0.08</v>
      </c>
      <c r="I23" s="59">
        <f t="shared" si="6"/>
        <v>0</v>
      </c>
      <c r="J23" s="61"/>
      <c r="K23" s="63"/>
    </row>
    <row r="24" ht="12.75" customHeight="1" spans="1:11">
      <c r="A24" s="59">
        <v>12</v>
      </c>
      <c r="B24" s="59"/>
      <c r="C24" s="59"/>
      <c r="D24" s="59" t="s">
        <v>321</v>
      </c>
      <c r="E24" s="59"/>
      <c r="F24" s="59"/>
      <c r="G24" s="59"/>
      <c r="H24" s="59">
        <v>0.08</v>
      </c>
      <c r="I24" s="59">
        <f t="shared" si="6"/>
        <v>0</v>
      </c>
      <c r="J24" s="61"/>
      <c r="K24" s="63"/>
    </row>
    <row r="25" ht="12.75" customHeight="1" spans="1:11">
      <c r="A25" s="59">
        <v>13</v>
      </c>
      <c r="B25" s="59"/>
      <c r="C25" s="59"/>
      <c r="D25" s="59" t="s">
        <v>282</v>
      </c>
      <c r="E25" s="59"/>
      <c r="F25" s="59"/>
      <c r="G25" s="59"/>
      <c r="H25" s="59">
        <v>0.08</v>
      </c>
      <c r="I25" s="59">
        <f t="shared" si="6"/>
        <v>0</v>
      </c>
      <c r="J25" s="61"/>
      <c r="K25" s="63"/>
    </row>
    <row r="26" ht="12.75" customHeight="1" spans="1:11">
      <c r="A26" s="59">
        <v>14</v>
      </c>
      <c r="B26" s="59"/>
      <c r="C26" s="59"/>
      <c r="D26" s="59" t="s">
        <v>283</v>
      </c>
      <c r="E26" s="59"/>
      <c r="F26" s="59"/>
      <c r="G26" s="59"/>
      <c r="H26" s="59">
        <v>0.08</v>
      </c>
      <c r="I26" s="59">
        <f t="shared" si="6"/>
        <v>0</v>
      </c>
      <c r="J26" s="61"/>
      <c r="K26" s="63"/>
    </row>
    <row r="27" ht="12.75" customHeight="1" spans="1:11">
      <c r="A27" s="59">
        <v>15</v>
      </c>
      <c r="B27" s="59"/>
      <c r="C27" s="59"/>
      <c r="D27" s="59" t="s">
        <v>284</v>
      </c>
      <c r="E27" s="59"/>
      <c r="F27" s="59"/>
      <c r="G27" s="59"/>
      <c r="H27" s="59">
        <v>0.08</v>
      </c>
      <c r="I27" s="59">
        <f t="shared" si="6"/>
        <v>0</v>
      </c>
      <c r="J27" s="61"/>
      <c r="K27" s="63"/>
    </row>
    <row r="28" ht="12.75" customHeight="1" spans="1:11">
      <c r="A28" s="59">
        <v>16</v>
      </c>
      <c r="B28" s="59" t="s">
        <v>378</v>
      </c>
      <c r="C28" s="59"/>
      <c r="D28" s="59" t="s">
        <v>275</v>
      </c>
      <c r="E28" s="59"/>
      <c r="F28" s="59"/>
      <c r="G28" s="59">
        <v>4</v>
      </c>
      <c r="H28" s="59">
        <v>0.08</v>
      </c>
      <c r="I28" s="59">
        <f t="shared" si="6"/>
        <v>0.32</v>
      </c>
      <c r="J28" s="61"/>
      <c r="K28" s="63"/>
    </row>
    <row r="29" ht="12.75" customHeight="1" spans="1:11">
      <c r="A29" s="59">
        <v>17</v>
      </c>
      <c r="B29" s="59" t="s">
        <v>378</v>
      </c>
      <c r="C29" s="59"/>
      <c r="D29" s="59" t="s">
        <v>285</v>
      </c>
      <c r="E29" s="59"/>
      <c r="F29" s="59"/>
      <c r="G29" s="59">
        <v>4</v>
      </c>
      <c r="H29" s="59">
        <v>0.08</v>
      </c>
      <c r="I29" s="59">
        <f t="shared" si="6"/>
        <v>0.32</v>
      </c>
      <c r="J29" s="61"/>
      <c r="K29" s="63"/>
    </row>
    <row r="30" ht="12.75" customHeight="1" spans="1:11">
      <c r="A30" s="59">
        <v>18</v>
      </c>
      <c r="B30" s="59" t="s">
        <v>378</v>
      </c>
      <c r="C30" s="59"/>
      <c r="D30" s="59" t="s">
        <v>286</v>
      </c>
      <c r="E30" s="59"/>
      <c r="F30" s="59"/>
      <c r="G30" s="59">
        <v>4</v>
      </c>
      <c r="H30" s="59">
        <v>0.08</v>
      </c>
      <c r="I30" s="59">
        <f t="shared" si="6"/>
        <v>0.32</v>
      </c>
      <c r="J30" s="61"/>
      <c r="K30" s="63"/>
    </row>
    <row r="31" ht="12.75" customHeight="1" spans="1:11">
      <c r="A31" s="59">
        <v>19</v>
      </c>
      <c r="B31" s="59"/>
      <c r="C31" s="59"/>
      <c r="D31" s="59" t="s">
        <v>287</v>
      </c>
      <c r="E31" s="59"/>
      <c r="F31" s="59"/>
      <c r="G31" s="59"/>
      <c r="H31" s="59"/>
      <c r="I31" s="59">
        <v>0.4</v>
      </c>
      <c r="J31" s="61" t="s">
        <v>288</v>
      </c>
      <c r="K31" s="63"/>
    </row>
    <row r="32" ht="12.75" customHeight="1" spans="1:11">
      <c r="A32" s="59"/>
      <c r="B32" s="59"/>
      <c r="C32" s="59"/>
      <c r="D32" s="61" t="s">
        <v>334</v>
      </c>
      <c r="E32" s="62"/>
      <c r="F32" s="62"/>
      <c r="G32" s="62"/>
      <c r="H32" s="63"/>
      <c r="I32" s="59"/>
      <c r="J32" s="61"/>
      <c r="K32" s="63"/>
    </row>
    <row r="33" ht="12.75" customHeight="1" spans="1:11">
      <c r="A33" s="61" t="s">
        <v>182</v>
      </c>
      <c r="B33" s="62"/>
      <c r="C33" s="62"/>
      <c r="D33" s="62"/>
      <c r="E33" s="62"/>
      <c r="F33" s="62"/>
      <c r="G33" s="62"/>
      <c r="H33" s="63"/>
      <c r="I33" s="82">
        <f>SUM(I13:I32)</f>
        <v>2.06</v>
      </c>
      <c r="J33" s="59"/>
      <c r="K33" s="59"/>
    </row>
    <row r="34" ht="12.75" customHeight="1" spans="1:11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ht="12.75" customHeight="1" spans="1:11">
      <c r="A35" s="61" t="s">
        <v>183</v>
      </c>
      <c r="B35" s="62"/>
      <c r="C35" s="62"/>
      <c r="D35" s="62"/>
      <c r="E35" s="63"/>
      <c r="F35" s="59" t="s">
        <v>184</v>
      </c>
      <c r="G35" s="59"/>
      <c r="H35" s="59" t="s">
        <v>185</v>
      </c>
      <c r="I35" s="59" t="s">
        <v>186</v>
      </c>
      <c r="J35" s="59" t="s">
        <v>187</v>
      </c>
      <c r="K35" s="63" t="s">
        <v>107</v>
      </c>
    </row>
    <row r="36" ht="12.75" customHeight="1" spans="1:11">
      <c r="A36" s="59" t="s">
        <v>29</v>
      </c>
      <c r="B36" s="59" t="s">
        <v>190</v>
      </c>
      <c r="C36" s="59" t="s">
        <v>191</v>
      </c>
      <c r="D36" s="59" t="s">
        <v>192</v>
      </c>
      <c r="E36" s="59" t="s">
        <v>171</v>
      </c>
      <c r="F36" s="59" t="s">
        <v>193</v>
      </c>
      <c r="G36" s="59"/>
      <c r="H36" s="59">
        <v>15</v>
      </c>
      <c r="I36" s="59">
        <v>0.05</v>
      </c>
      <c r="J36" s="78">
        <f>I36*H36</f>
        <v>0.75</v>
      </c>
      <c r="K36" s="59"/>
    </row>
    <row r="37" ht="12.75" customHeight="1" spans="1:11">
      <c r="A37" s="64">
        <v>1</v>
      </c>
      <c r="B37" s="59" t="s">
        <v>379</v>
      </c>
      <c r="C37" s="59">
        <v>2</v>
      </c>
      <c r="D37" s="59">
        <v>0.1</v>
      </c>
      <c r="E37" s="59">
        <f>D37*C37</f>
        <v>0.2</v>
      </c>
      <c r="F37" s="61" t="s">
        <v>380</v>
      </c>
      <c r="G37" s="63"/>
      <c r="H37" s="59">
        <v>6</v>
      </c>
      <c r="I37" s="59">
        <v>0.05</v>
      </c>
      <c r="J37" s="78">
        <f t="shared" ref="J37:J39" si="7">I37*H37</f>
        <v>0.3</v>
      </c>
      <c r="K37" s="59"/>
    </row>
    <row r="38" ht="12.75" customHeight="1" spans="1:11">
      <c r="A38" s="64">
        <v>2</v>
      </c>
      <c r="B38" s="59" t="s">
        <v>361</v>
      </c>
      <c r="C38" s="59">
        <v>5</v>
      </c>
      <c r="D38" s="59">
        <v>0.04</v>
      </c>
      <c r="E38" s="59">
        <f t="shared" ref="E38:E45" si="8">D38*C38</f>
        <v>0.2</v>
      </c>
      <c r="F38" s="61" t="s">
        <v>291</v>
      </c>
      <c r="G38" s="63"/>
      <c r="H38" s="59">
        <v>41.6</v>
      </c>
      <c r="I38" s="59">
        <v>0.05</v>
      </c>
      <c r="J38" s="78">
        <f t="shared" si="7"/>
        <v>2.08</v>
      </c>
      <c r="K38" s="59"/>
    </row>
    <row r="39" ht="12.75" customHeight="1" spans="1:11">
      <c r="A39" s="64">
        <v>3</v>
      </c>
      <c r="B39" s="59" t="s">
        <v>356</v>
      </c>
      <c r="C39" s="59">
        <v>1</v>
      </c>
      <c r="D39" s="59">
        <v>1.3</v>
      </c>
      <c r="E39" s="59">
        <f t="shared" si="8"/>
        <v>1.3</v>
      </c>
      <c r="F39" s="61"/>
      <c r="G39" s="63"/>
      <c r="H39" s="59"/>
      <c r="I39" s="59">
        <v>0.05</v>
      </c>
      <c r="J39" s="78">
        <f t="shared" si="7"/>
        <v>0</v>
      </c>
      <c r="K39" s="59"/>
    </row>
    <row r="40" ht="12.75" customHeight="1" spans="1:11">
      <c r="A40" s="64">
        <v>4</v>
      </c>
      <c r="B40" s="59" t="s">
        <v>359</v>
      </c>
      <c r="C40" s="59">
        <v>2</v>
      </c>
      <c r="D40" s="59">
        <v>0.46</v>
      </c>
      <c r="E40" s="59">
        <f t="shared" si="8"/>
        <v>0.92</v>
      </c>
      <c r="F40" s="61"/>
      <c r="G40" s="63"/>
      <c r="H40" s="59"/>
      <c r="I40" s="59"/>
      <c r="J40" s="78"/>
      <c r="K40" s="59"/>
    </row>
    <row r="41" ht="12.75" customHeight="1" spans="1:16">
      <c r="A41" s="64">
        <v>5</v>
      </c>
      <c r="B41" s="59"/>
      <c r="C41" s="59"/>
      <c r="D41" s="59"/>
      <c r="E41" s="59">
        <f t="shared" si="8"/>
        <v>0</v>
      </c>
      <c r="F41" s="61"/>
      <c r="G41" s="63"/>
      <c r="H41" s="59"/>
      <c r="I41" s="59"/>
      <c r="J41" s="78"/>
      <c r="K41" s="59"/>
      <c r="N41" s="77" t="s">
        <v>211</v>
      </c>
      <c r="O41" s="77" t="s">
        <v>212</v>
      </c>
      <c r="P41" s="77" t="s">
        <v>213</v>
      </c>
    </row>
    <row r="42" ht="12.75" customHeight="1" spans="1:16">
      <c r="A42" s="64">
        <v>6</v>
      </c>
      <c r="B42" s="59"/>
      <c r="C42" s="59"/>
      <c r="D42" s="59"/>
      <c r="E42" s="59">
        <f t="shared" si="8"/>
        <v>0</v>
      </c>
      <c r="F42" s="61" t="s">
        <v>182</v>
      </c>
      <c r="G42" s="63"/>
      <c r="H42" s="59"/>
      <c r="I42" s="59"/>
      <c r="J42" s="83">
        <f>SUM(J36:J41)</f>
        <v>3.13</v>
      </c>
      <c r="K42" s="59"/>
      <c r="N42" s="77" t="s">
        <v>215</v>
      </c>
      <c r="O42" s="77" t="s">
        <v>216</v>
      </c>
      <c r="P42" s="77" t="s">
        <v>217</v>
      </c>
    </row>
    <row r="43" ht="12.75" customHeight="1" spans="1:11">
      <c r="A43" s="64">
        <v>7</v>
      </c>
      <c r="B43" s="59"/>
      <c r="C43" s="59"/>
      <c r="D43" s="59"/>
      <c r="E43" s="59">
        <f t="shared" si="8"/>
        <v>0</v>
      </c>
      <c r="F43" s="61" t="s">
        <v>219</v>
      </c>
      <c r="G43" s="63"/>
      <c r="H43" s="66" t="s">
        <v>301</v>
      </c>
      <c r="I43" s="66" t="s">
        <v>302</v>
      </c>
      <c r="J43" s="73" t="s">
        <v>187</v>
      </c>
      <c r="K43" s="59" t="s">
        <v>107</v>
      </c>
    </row>
    <row r="44" ht="12.75" customHeight="1" spans="1:11">
      <c r="A44" s="64">
        <v>8</v>
      </c>
      <c r="B44" s="59"/>
      <c r="C44" s="59"/>
      <c r="D44" s="59"/>
      <c r="E44" s="59">
        <f t="shared" si="8"/>
        <v>0</v>
      </c>
      <c r="F44" s="61" t="s">
        <v>224</v>
      </c>
      <c r="G44" s="63"/>
      <c r="H44" s="59">
        <v>10</v>
      </c>
      <c r="I44" s="59"/>
      <c r="J44" s="59">
        <f>I44*H44</f>
        <v>0</v>
      </c>
      <c r="K44" s="59"/>
    </row>
    <row r="45" ht="12.75" customHeight="1" spans="1:16">
      <c r="A45" s="64">
        <v>9</v>
      </c>
      <c r="B45" s="59"/>
      <c r="C45" s="59"/>
      <c r="D45" s="59"/>
      <c r="E45" s="59">
        <f t="shared" si="8"/>
        <v>0</v>
      </c>
      <c r="F45" s="61" t="s">
        <v>226</v>
      </c>
      <c r="G45" s="63"/>
      <c r="H45" s="59">
        <v>12</v>
      </c>
      <c r="I45" s="59">
        <v>0.26</v>
      </c>
      <c r="J45" s="59">
        <f>I45*H45</f>
        <v>3.12</v>
      </c>
      <c r="K45" s="59"/>
      <c r="N45" s="64" t="s">
        <v>222</v>
      </c>
      <c r="O45" s="64" t="s">
        <v>223</v>
      </c>
      <c r="P45" s="64" t="s">
        <v>182</v>
      </c>
    </row>
    <row r="46" ht="12.75" customHeight="1" spans="1:16">
      <c r="A46" s="68" t="s">
        <v>182</v>
      </c>
      <c r="B46" s="70"/>
      <c r="C46" s="70"/>
      <c r="D46" s="69"/>
      <c r="E46" s="71">
        <f>SUM(E37:E45)</f>
        <v>2.62</v>
      </c>
      <c r="F46" s="68"/>
      <c r="G46" s="70"/>
      <c r="H46" s="70"/>
      <c r="I46" s="70"/>
      <c r="J46" s="70"/>
      <c r="K46" s="70"/>
      <c r="N46" s="64">
        <v>2.72</v>
      </c>
      <c r="O46" s="64">
        <v>1.4</v>
      </c>
      <c r="P46" s="64">
        <f>N46*O46</f>
        <v>3.808</v>
      </c>
    </row>
    <row r="47" ht="12.75" customHeight="1" spans="1:11">
      <c r="A47" s="72" t="s">
        <v>227</v>
      </c>
      <c r="B47" s="72"/>
      <c r="C47" s="72" t="s">
        <v>208</v>
      </c>
      <c r="E47" s="73" t="s">
        <v>228</v>
      </c>
      <c r="F47" s="74">
        <f>C52+C51+C50+C49+C48</f>
        <v>28.1603</v>
      </c>
      <c r="G47" s="74"/>
      <c r="H47" s="74"/>
      <c r="I47" s="74"/>
      <c r="J47" s="74"/>
      <c r="K47" s="74"/>
    </row>
    <row r="48" ht="12.75" customHeight="1" spans="1:11">
      <c r="A48" s="64" t="s">
        <v>231</v>
      </c>
      <c r="B48" s="64"/>
      <c r="C48" s="75">
        <f>K11</f>
        <v>16.348</v>
      </c>
      <c r="E48" s="76" t="s">
        <v>232</v>
      </c>
      <c r="F48" s="74">
        <f>F47*0.03</f>
        <v>0.844809</v>
      </c>
      <c r="G48" s="74"/>
      <c r="H48" s="74"/>
      <c r="I48" s="74"/>
      <c r="J48" s="74"/>
      <c r="K48" s="74"/>
    </row>
    <row r="49" ht="12.75" customHeight="1" spans="1:16">
      <c r="A49" s="64" t="s">
        <v>233</v>
      </c>
      <c r="B49" s="64"/>
      <c r="C49" s="80">
        <f>I33*1.17</f>
        <v>2.4102</v>
      </c>
      <c r="E49" s="76" t="s">
        <v>234</v>
      </c>
      <c r="F49" s="74">
        <f>F47*0.06</f>
        <v>1.689618</v>
      </c>
      <c r="G49" s="74"/>
      <c r="H49" s="74"/>
      <c r="I49" s="74"/>
      <c r="J49" s="74"/>
      <c r="K49" s="74"/>
      <c r="N49" s="64" t="s">
        <v>229</v>
      </c>
      <c r="O49" s="64" t="s">
        <v>230</v>
      </c>
      <c r="P49" s="64" t="s">
        <v>182</v>
      </c>
    </row>
    <row r="50" ht="12.75" customHeight="1" spans="1:17">
      <c r="A50" s="64" t="s">
        <v>235</v>
      </c>
      <c r="B50" s="64"/>
      <c r="C50" s="75">
        <f>E46</f>
        <v>2.62</v>
      </c>
      <c r="E50" s="76" t="s">
        <v>236</v>
      </c>
      <c r="F50" s="74">
        <f>F47*0.02</f>
        <v>0.563206</v>
      </c>
      <c r="G50" s="74"/>
      <c r="H50" s="74"/>
      <c r="I50" s="74"/>
      <c r="J50" s="74"/>
      <c r="K50" s="74"/>
      <c r="N50" s="64">
        <v>24.19</v>
      </c>
      <c r="O50" s="64">
        <v>3.808</v>
      </c>
      <c r="P50" s="84">
        <f>N50+O50</f>
        <v>27.998</v>
      </c>
      <c r="Q50" t="s">
        <v>252</v>
      </c>
    </row>
    <row r="51" ht="12.75" customHeight="1" spans="1:11">
      <c r="A51" s="64" t="s">
        <v>238</v>
      </c>
      <c r="B51" s="64"/>
      <c r="C51" s="80">
        <f>J42*1.17</f>
        <v>3.6621</v>
      </c>
      <c r="E51" s="76" t="s">
        <v>106</v>
      </c>
      <c r="F51" s="74"/>
      <c r="G51" s="74"/>
      <c r="H51" s="74"/>
      <c r="I51" s="74"/>
      <c r="J51" s="74"/>
      <c r="K51" s="74"/>
    </row>
    <row r="52" ht="12.75" customHeight="1" spans="1:11">
      <c r="A52" s="64" t="s">
        <v>219</v>
      </c>
      <c r="B52" s="64"/>
      <c r="C52" s="75">
        <f>J44+J45</f>
        <v>3.12</v>
      </c>
      <c r="E52" s="76" t="s">
        <v>239</v>
      </c>
      <c r="F52" s="81">
        <f>F51+F50+F49+F48+F47</f>
        <v>31.257933</v>
      </c>
      <c r="G52" s="81"/>
      <c r="H52" s="81"/>
      <c r="I52" s="81"/>
      <c r="J52" s="81"/>
      <c r="K52" s="81"/>
    </row>
    <row r="53" spans="1:9">
      <c r="A53" s="77"/>
      <c r="B53" s="77"/>
      <c r="H53" t="s">
        <v>252</v>
      </c>
      <c r="I53" t="s">
        <v>381</v>
      </c>
    </row>
    <row r="54" spans="1:2">
      <c r="A54" s="77"/>
      <c r="B54" s="77"/>
    </row>
    <row r="55" spans="1:2">
      <c r="A55" s="77"/>
      <c r="B55" s="77"/>
    </row>
  </sheetData>
  <mergeCells count="53">
    <mergeCell ref="A1:K1"/>
    <mergeCell ref="A11:J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9:K29"/>
    <mergeCell ref="J30:K30"/>
    <mergeCell ref="J31:K31"/>
    <mergeCell ref="D32:H32"/>
    <mergeCell ref="A33:H33"/>
    <mergeCell ref="A34:K34"/>
    <mergeCell ref="A35:E35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A46:D46"/>
    <mergeCell ref="F46:K46"/>
    <mergeCell ref="A47:B47"/>
    <mergeCell ref="F47:K47"/>
    <mergeCell ref="A48:B48"/>
    <mergeCell ref="F48:K48"/>
    <mergeCell ref="A49:B49"/>
    <mergeCell ref="F49:K49"/>
    <mergeCell ref="A50:B50"/>
    <mergeCell ref="F50:K50"/>
    <mergeCell ref="A51:B51"/>
    <mergeCell ref="F51:K51"/>
    <mergeCell ref="A52:B52"/>
    <mergeCell ref="F52:K52"/>
    <mergeCell ref="A53:B53"/>
    <mergeCell ref="A54:B54"/>
    <mergeCell ref="A55:B55"/>
  </mergeCells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北京网站价格统计</vt:lpstr>
      <vt:lpstr>最终协商结果</vt:lpstr>
      <vt:lpstr>汇总</vt:lpstr>
      <vt:lpstr>M4司机背</vt:lpstr>
      <vt:lpstr>K1宽车司机背</vt:lpstr>
      <vt:lpstr>J6F副司机背</vt:lpstr>
      <vt:lpstr>铰链 (2)</vt:lpstr>
      <vt:lpstr>连接支架 g7一、二排(4)</vt:lpstr>
      <vt:lpstr>G7翻滚 (4)</vt:lpstr>
      <vt:lpstr>G9翻滚 (5)</vt:lpstr>
      <vt:lpstr>G7G9二排双人 (3)</vt:lpstr>
      <vt:lpstr>G7G9一排双人 (2)</vt:lpstr>
      <vt:lpstr>G7G9三排三人 (5)</vt:lpstr>
      <vt:lpstr>G7G9一排三人 (2)</vt:lpstr>
      <vt:lpstr>连接支架 g7三排(3)</vt:lpstr>
      <vt:lpstr>分体1800</vt:lpstr>
      <vt:lpstr>右舵1800付垫</vt:lpstr>
      <vt:lpstr>整体1800</vt:lpstr>
      <vt:lpstr>连体背</vt:lpstr>
      <vt:lpstr>1995右舵副司机</vt:lpstr>
      <vt:lpstr>1695副司机坐垫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木子</cp:lastModifiedBy>
  <dcterms:created xsi:type="dcterms:W3CDTF">2006-09-13T11:21:00Z</dcterms:created>
  <dcterms:modified xsi:type="dcterms:W3CDTF">2021-09-24T10:15:47Z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D9B772F788BB414AA41F98575E9C3BEC</vt:lpwstr>
  </property>
  <property fmtid="{D5CDD505-2E9C-101B-9397-08002B2CF9AE}" pid="3" name="KSOProductBuildVer">
    <vt:lpwstr>2052-11.1.0.10314</vt:lpwstr>
  </property>
</Properties>
</file>