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钣金件\定标\智凯\"/>
    </mc:Choice>
  </mc:AlternateContent>
  <xr:revisionPtr revIDLastSave="0" documentId="13_ncr:1_{8FD3495F-18B2-4C66-BC5D-8B3AD37331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产品价格" sheetId="4" r:id="rId1"/>
    <sheet name="模具费" sheetId="1" state="hidden" r:id="rId2"/>
    <sheet name="冲压件核价" sheetId="5" state="hidden" r:id="rId3"/>
    <sheet name="Sheet2" sheetId="7" state="hidden" r:id="rId4"/>
  </sheets>
  <definedNames>
    <definedName name="_xlnm._FilterDatabase" localSheetId="0" hidden="1">产品价格!$A$3:$AO$31</definedName>
    <definedName name="_xlnm._FilterDatabase" localSheetId="2" hidden="1">冲压件核价!$A$3:$AG$10</definedName>
    <definedName name="_xlnm._FilterDatabase" localSheetId="1" hidden="1">模具费!$A$2:$U$2</definedName>
    <definedName name="_xlnm.Print_Area" localSheetId="2">冲压件核价!$A$1:$AE$218</definedName>
  </definedNames>
  <calcPr calcId="191029" concurrentCalc="0"/>
</workbook>
</file>

<file path=xl/calcChain.xml><?xml version="1.0" encoding="utf-8"?>
<calcChain xmlns="http://schemas.openxmlformats.org/spreadsheetml/2006/main">
  <c r="AA30" i="4" l="1"/>
  <c r="X30" i="4"/>
  <c r="I30" i="4"/>
  <c r="AA29" i="4"/>
  <c r="K249" i="1"/>
  <c r="K239" i="1"/>
  <c r="X29" i="4"/>
  <c r="I29" i="4"/>
  <c r="M248" i="1"/>
  <c r="S248" i="1"/>
  <c r="Q249" i="1"/>
  <c r="P248" i="1"/>
  <c r="N249" i="1"/>
  <c r="J248" i="1"/>
  <c r="H249" i="1"/>
  <c r="G248" i="1"/>
  <c r="E249" i="1"/>
  <c r="R248" i="1"/>
  <c r="O248" i="1"/>
  <c r="L248" i="1"/>
  <c r="I248" i="1"/>
  <c r="F248" i="1"/>
  <c r="M238" i="1"/>
  <c r="L238" i="1"/>
  <c r="S238" i="1"/>
  <c r="Q239" i="1"/>
  <c r="P238" i="1"/>
  <c r="N239" i="1"/>
  <c r="J238" i="1"/>
  <c r="H239" i="1"/>
  <c r="G238" i="1"/>
  <c r="E239" i="1"/>
  <c r="R238" i="1"/>
  <c r="O238" i="1"/>
  <c r="I238" i="1"/>
  <c r="F238" i="1"/>
  <c r="AG196" i="5"/>
  <c r="AE11" i="5"/>
  <c r="AE21" i="5"/>
  <c r="AE30" i="5"/>
  <c r="AE37" i="5"/>
  <c r="AE44" i="5"/>
  <c r="AE51" i="5"/>
  <c r="AE58" i="5"/>
  <c r="AE65" i="5"/>
  <c r="AE72" i="5"/>
  <c r="AE79" i="5"/>
  <c r="AE86" i="5"/>
  <c r="AE93" i="5"/>
  <c r="AE100" i="5"/>
  <c r="AE107" i="5"/>
  <c r="AE114" i="5"/>
  <c r="AE126" i="5"/>
  <c r="AE133" i="5"/>
  <c r="AE140" i="5"/>
  <c r="AE147" i="5"/>
  <c r="AE154" i="5"/>
  <c r="AE161" i="5"/>
  <c r="AE168" i="5"/>
  <c r="AE175" i="5"/>
  <c r="AE182" i="5"/>
  <c r="AE192" i="5"/>
  <c r="Y202" i="5"/>
  <c r="Y203" i="5"/>
  <c r="Y204" i="5"/>
  <c r="Y205" i="5"/>
  <c r="Y206" i="5"/>
  <c r="Y211" i="5"/>
  <c r="Q202" i="5"/>
  <c r="S202" i="5"/>
  <c r="T202" i="5"/>
  <c r="T211" i="5"/>
  <c r="AA202" i="5"/>
  <c r="AB202" i="5"/>
  <c r="AE202" i="5"/>
  <c r="Y192" i="5"/>
  <c r="Y193" i="5"/>
  <c r="Y194" i="5"/>
  <c r="Y195" i="5"/>
  <c r="Y196" i="5"/>
  <c r="Y201" i="5"/>
  <c r="Q192" i="5"/>
  <c r="S192" i="5"/>
  <c r="T192" i="5"/>
  <c r="T201" i="5"/>
  <c r="AA192" i="5"/>
  <c r="AB192" i="5"/>
  <c r="AG28" i="4"/>
  <c r="AG5" i="4"/>
  <c r="AG6" i="4"/>
  <c r="AG19" i="4"/>
  <c r="Q161" i="5"/>
  <c r="S161" i="5"/>
  <c r="T161" i="5"/>
  <c r="T167" i="5"/>
  <c r="S210" i="1"/>
  <c r="S218" i="1"/>
  <c r="Q219" i="1"/>
  <c r="AL27" i="4"/>
  <c r="AM27" i="4"/>
  <c r="S208" i="1"/>
  <c r="Q209" i="1"/>
  <c r="AL26" i="4"/>
  <c r="AM26" i="4"/>
  <c r="S190" i="1"/>
  <c r="S198" i="1"/>
  <c r="Q199" i="1"/>
  <c r="AL25" i="4"/>
  <c r="AM25" i="4"/>
  <c r="S185" i="1"/>
  <c r="S188" i="1"/>
  <c r="Q189" i="1"/>
  <c r="AL24" i="4"/>
  <c r="AM24" i="4"/>
  <c r="AD5" i="4"/>
  <c r="P11" i="1"/>
  <c r="P21" i="1"/>
  <c r="N22" i="1"/>
  <c r="P87" i="1"/>
  <c r="P80" i="1"/>
  <c r="P23" i="1"/>
  <c r="P31" i="1"/>
  <c r="N32" i="1"/>
  <c r="P127" i="1"/>
  <c r="P139" i="1"/>
  <c r="N140" i="1"/>
  <c r="AH28" i="4"/>
  <c r="AH27" i="4"/>
  <c r="AH26" i="4"/>
  <c r="AH25" i="4"/>
  <c r="AH24" i="4"/>
  <c r="AH19" i="4"/>
  <c r="AJ19" i="4"/>
  <c r="AH14" i="4"/>
  <c r="AJ14" i="4"/>
  <c r="AH13" i="4"/>
  <c r="AJ13" i="4"/>
  <c r="AH6" i="4"/>
  <c r="AJ6" i="4"/>
  <c r="AH5" i="4"/>
  <c r="AJ5" i="4"/>
  <c r="S127" i="1"/>
  <c r="S139" i="1"/>
  <c r="Q140" i="1"/>
  <c r="S87" i="1"/>
  <c r="S93" i="1"/>
  <c r="Q94" i="1"/>
  <c r="S80" i="1"/>
  <c r="S85" i="1"/>
  <c r="Q86" i="1"/>
  <c r="S23" i="1"/>
  <c r="S31" i="1"/>
  <c r="Q32" i="1"/>
  <c r="S11" i="1"/>
  <c r="S220" i="1"/>
  <c r="S228" i="1"/>
  <c r="Q229" i="1"/>
  <c r="AI28" i="4"/>
  <c r="AI26" i="4"/>
  <c r="AI24" i="4"/>
  <c r="R228" i="1"/>
  <c r="AI27" i="4"/>
  <c r="R218" i="1"/>
  <c r="R208" i="1"/>
  <c r="AI25" i="4"/>
  <c r="R198" i="1"/>
  <c r="R188" i="1"/>
  <c r="S183" i="1"/>
  <c r="Q184" i="1"/>
  <c r="R183" i="1"/>
  <c r="S172" i="1"/>
  <c r="Q173" i="1"/>
  <c r="R172" i="1"/>
  <c r="S161" i="1"/>
  <c r="Q162" i="1"/>
  <c r="R161" i="1"/>
  <c r="S150" i="1"/>
  <c r="Q151" i="1"/>
  <c r="R150" i="1"/>
  <c r="R139" i="1"/>
  <c r="S125" i="1"/>
  <c r="Q126" i="1"/>
  <c r="R125" i="1"/>
  <c r="S117" i="1"/>
  <c r="Q118" i="1"/>
  <c r="R117" i="1"/>
  <c r="S109" i="1"/>
  <c r="Q110" i="1"/>
  <c r="R109" i="1"/>
  <c r="S101" i="1"/>
  <c r="Q102" i="1"/>
  <c r="R101" i="1"/>
  <c r="R93" i="1"/>
  <c r="R85" i="1"/>
  <c r="S78" i="1"/>
  <c r="Q79" i="1"/>
  <c r="R78" i="1"/>
  <c r="S70" i="1"/>
  <c r="Q71" i="1"/>
  <c r="R70" i="1"/>
  <c r="S62" i="1"/>
  <c r="Q63" i="1"/>
  <c r="R62" i="1"/>
  <c r="S54" i="1"/>
  <c r="Q55" i="1"/>
  <c r="R54" i="1"/>
  <c r="S46" i="1"/>
  <c r="Q47" i="1"/>
  <c r="R46" i="1"/>
  <c r="S39" i="1"/>
  <c r="Q40" i="1"/>
  <c r="R39" i="1"/>
  <c r="R31" i="1"/>
  <c r="S21" i="1"/>
  <c r="Q22" i="1"/>
  <c r="R21" i="1"/>
  <c r="S9" i="1"/>
  <c r="Q10" i="1"/>
  <c r="R9" i="1"/>
  <c r="O228" i="1"/>
  <c r="P228" i="1"/>
  <c r="N229" i="1"/>
  <c r="O218" i="1"/>
  <c r="P218" i="1"/>
  <c r="N219" i="1"/>
  <c r="P208" i="1"/>
  <c r="N209" i="1"/>
  <c r="O208" i="1"/>
  <c r="P198" i="1"/>
  <c r="N199" i="1"/>
  <c r="O198" i="1"/>
  <c r="O188" i="1"/>
  <c r="P188" i="1"/>
  <c r="N189" i="1"/>
  <c r="P183" i="1"/>
  <c r="N184" i="1"/>
  <c r="O183" i="1"/>
  <c r="P172" i="1"/>
  <c r="N173" i="1"/>
  <c r="O172" i="1"/>
  <c r="P161" i="1"/>
  <c r="N162" i="1"/>
  <c r="O161" i="1"/>
  <c r="P150" i="1"/>
  <c r="N151" i="1"/>
  <c r="O150" i="1"/>
  <c r="O139" i="1"/>
  <c r="P125" i="1"/>
  <c r="N126" i="1"/>
  <c r="O125" i="1"/>
  <c r="P117" i="1"/>
  <c r="N118" i="1"/>
  <c r="O117" i="1"/>
  <c r="P109" i="1"/>
  <c r="N110" i="1"/>
  <c r="O109" i="1"/>
  <c r="P101" i="1"/>
  <c r="N102" i="1"/>
  <c r="O101" i="1"/>
  <c r="P93" i="1"/>
  <c r="N94" i="1"/>
  <c r="AC14" i="4"/>
  <c r="AD14" i="4"/>
  <c r="O93" i="1"/>
  <c r="P85" i="1"/>
  <c r="N86" i="1"/>
  <c r="AC13" i="4"/>
  <c r="AD13" i="4"/>
  <c r="O85" i="1"/>
  <c r="P78" i="1"/>
  <c r="N79" i="1"/>
  <c r="O78" i="1"/>
  <c r="P70" i="1"/>
  <c r="N71" i="1"/>
  <c r="O70" i="1"/>
  <c r="P62" i="1"/>
  <c r="N63" i="1"/>
  <c r="O62" i="1"/>
  <c r="P54" i="1"/>
  <c r="N55" i="1"/>
  <c r="O54" i="1"/>
  <c r="P46" i="1"/>
  <c r="N47" i="1"/>
  <c r="O46" i="1"/>
  <c r="P39" i="1"/>
  <c r="N40" i="1"/>
  <c r="O39" i="1"/>
  <c r="O31" i="1"/>
  <c r="O21" i="1"/>
  <c r="P9" i="1"/>
  <c r="N10" i="1"/>
  <c r="O9" i="1"/>
  <c r="U21" i="4"/>
  <c r="U18" i="4"/>
  <c r="U17" i="4"/>
  <c r="U16" i="4"/>
  <c r="U15" i="4"/>
  <c r="U12" i="4"/>
  <c r="U11" i="4"/>
  <c r="U10" i="4"/>
  <c r="P4" i="4"/>
  <c r="R4" i="4"/>
  <c r="P5" i="4"/>
  <c r="R5" i="4"/>
  <c r="P6" i="4"/>
  <c r="R6" i="4"/>
  <c r="P7" i="4"/>
  <c r="R7" i="4"/>
  <c r="P8" i="4"/>
  <c r="R8" i="4"/>
  <c r="P9" i="4"/>
  <c r="R9" i="4"/>
  <c r="P10" i="4"/>
  <c r="P11" i="4"/>
  <c r="P12" i="4"/>
  <c r="P13" i="4"/>
  <c r="R13" i="4"/>
  <c r="P14" i="4"/>
  <c r="R14" i="4"/>
  <c r="P15" i="4"/>
  <c r="P16" i="4"/>
  <c r="P17" i="4"/>
  <c r="P18" i="4"/>
  <c r="P19" i="4"/>
  <c r="R19" i="4"/>
  <c r="P20" i="4"/>
  <c r="R20" i="4"/>
  <c r="P21" i="4"/>
  <c r="P22" i="4"/>
  <c r="R22" i="4"/>
  <c r="P23" i="4"/>
  <c r="R23" i="4"/>
  <c r="O23" i="4"/>
  <c r="O22" i="4"/>
  <c r="O20" i="4"/>
  <c r="O8" i="4"/>
  <c r="O4" i="4"/>
  <c r="AA13" i="4"/>
  <c r="AA14" i="4"/>
  <c r="AA9" i="4"/>
  <c r="AA7" i="4"/>
  <c r="AJ26" i="4"/>
  <c r="AC26" i="4"/>
  <c r="AD26" i="4"/>
  <c r="AJ27" i="4"/>
  <c r="AC6" i="4"/>
  <c r="AD6" i="4"/>
  <c r="AC27" i="4"/>
  <c r="AD27" i="4"/>
  <c r="AJ28" i="4"/>
  <c r="AC28" i="4"/>
  <c r="AD28" i="4"/>
  <c r="AC19" i="4"/>
  <c r="AD19" i="4"/>
  <c r="AJ24" i="4"/>
  <c r="AC24" i="4"/>
  <c r="AD24" i="4"/>
  <c r="AJ25" i="4"/>
  <c r="AC25" i="4"/>
  <c r="AD25" i="4"/>
  <c r="G20" i="4"/>
  <c r="Q126" i="5"/>
  <c r="S126" i="5"/>
  <c r="T126" i="5"/>
  <c r="T132" i="5"/>
  <c r="Y126" i="5"/>
  <c r="Y127" i="5"/>
  <c r="Y128" i="5"/>
  <c r="V129" i="5"/>
  <c r="Y129" i="5"/>
  <c r="Y132" i="5"/>
  <c r="AA126" i="5"/>
  <c r="AB126" i="5"/>
  <c r="H20" i="4"/>
  <c r="I20" i="4"/>
  <c r="Y133" i="5"/>
  <c r="Y139" i="5"/>
  <c r="Q133" i="5"/>
  <c r="S133" i="5"/>
  <c r="T133" i="5"/>
  <c r="T139" i="5"/>
  <c r="Y26" i="5"/>
  <c r="Y27" i="5"/>
  <c r="AC182" i="5"/>
  <c r="Y190" i="5"/>
  <c r="Y188" i="5"/>
  <c r="Y189" i="5"/>
  <c r="Y184" i="5"/>
  <c r="Y185" i="5"/>
  <c r="Y186" i="5"/>
  <c r="Y187" i="5"/>
  <c r="Q182" i="5"/>
  <c r="S182" i="5"/>
  <c r="T182" i="5"/>
  <c r="T24" i="5"/>
  <c r="T184" i="5"/>
  <c r="T183" i="5"/>
  <c r="Y183" i="5"/>
  <c r="Y182" i="5"/>
  <c r="AC175" i="5"/>
  <c r="Y176" i="5"/>
  <c r="Y175" i="5"/>
  <c r="Y181" i="5"/>
  <c r="Q175" i="5"/>
  <c r="V171" i="5"/>
  <c r="Y171" i="5"/>
  <c r="V165" i="5"/>
  <c r="Y165" i="5"/>
  <c r="AC161" i="5"/>
  <c r="Y170" i="5"/>
  <c r="Y169" i="5"/>
  <c r="T169" i="5"/>
  <c r="AC168" i="5"/>
  <c r="Y168" i="5"/>
  <c r="Q168" i="5"/>
  <c r="S168" i="5"/>
  <c r="T168" i="5"/>
  <c r="W164" i="5"/>
  <c r="Y164" i="5"/>
  <c r="Y163" i="5"/>
  <c r="Y162" i="5"/>
  <c r="Y161" i="5"/>
  <c r="AC154" i="5"/>
  <c r="Q154" i="5"/>
  <c r="Y155" i="5"/>
  <c r="Y154" i="5"/>
  <c r="Y160" i="5"/>
  <c r="AC147" i="5"/>
  <c r="Q147" i="5"/>
  <c r="S147" i="5"/>
  <c r="T147" i="5"/>
  <c r="T153" i="5"/>
  <c r="Y148" i="5"/>
  <c r="Y147" i="5"/>
  <c r="AC140" i="5"/>
  <c r="Y141" i="5"/>
  <c r="Y142" i="5"/>
  <c r="Q140" i="5"/>
  <c r="S140" i="5"/>
  <c r="Y140" i="5"/>
  <c r="AC133" i="5"/>
  <c r="AC126" i="5"/>
  <c r="Y191" i="5"/>
  <c r="T191" i="5"/>
  <c r="Y167" i="5"/>
  <c r="S175" i="5"/>
  <c r="T175" i="5"/>
  <c r="T181" i="5"/>
  <c r="AA175" i="5"/>
  <c r="AB175" i="5"/>
  <c r="T174" i="5"/>
  <c r="Y174" i="5"/>
  <c r="Y153" i="5"/>
  <c r="AA147" i="5"/>
  <c r="AB147" i="5"/>
  <c r="S154" i="5"/>
  <c r="T154" i="5"/>
  <c r="Y146" i="5"/>
  <c r="T140" i="5"/>
  <c r="AA133" i="5"/>
  <c r="AB133" i="5"/>
  <c r="AC114" i="5"/>
  <c r="V124" i="5"/>
  <c r="Y124" i="5"/>
  <c r="Y116" i="5"/>
  <c r="Y117" i="5"/>
  <c r="Y118" i="5"/>
  <c r="Y119" i="5"/>
  <c r="Y120" i="5"/>
  <c r="Y121" i="5"/>
  <c r="Y122" i="5"/>
  <c r="Y123" i="5"/>
  <c r="J19" i="4"/>
  <c r="Q116" i="5"/>
  <c r="T116" i="5"/>
  <c r="Q114" i="5"/>
  <c r="S114" i="5"/>
  <c r="T114" i="5"/>
  <c r="Q115" i="5"/>
  <c r="S115" i="5"/>
  <c r="T115" i="5"/>
  <c r="Y115" i="5"/>
  <c r="Y114" i="5"/>
  <c r="AC107" i="5"/>
  <c r="Y108" i="5"/>
  <c r="Q107" i="5"/>
  <c r="S107" i="5"/>
  <c r="T107" i="5"/>
  <c r="T113" i="5"/>
  <c r="Y107" i="5"/>
  <c r="AC100" i="5"/>
  <c r="Y100" i="5"/>
  <c r="Y106" i="5"/>
  <c r="Q100" i="5"/>
  <c r="AC93" i="5"/>
  <c r="Y93" i="5"/>
  <c r="Y99" i="5"/>
  <c r="Q93" i="5"/>
  <c r="S93" i="5"/>
  <c r="T93" i="5"/>
  <c r="T99" i="5"/>
  <c r="AC86" i="5"/>
  <c r="Y86" i="5"/>
  <c r="Y92" i="5"/>
  <c r="Q86" i="5"/>
  <c r="S86" i="5"/>
  <c r="T86" i="5"/>
  <c r="T92" i="5"/>
  <c r="Y83" i="5"/>
  <c r="Y75" i="5"/>
  <c r="Y82" i="5"/>
  <c r="Q79" i="5"/>
  <c r="S79" i="5"/>
  <c r="T79" i="5"/>
  <c r="Y81" i="5"/>
  <c r="Y80" i="5"/>
  <c r="T80" i="5"/>
  <c r="Y79" i="5"/>
  <c r="AC72" i="5"/>
  <c r="Y74" i="5"/>
  <c r="T23" i="5"/>
  <c r="T22" i="5"/>
  <c r="T73" i="5"/>
  <c r="Q72" i="5"/>
  <c r="S72" i="5"/>
  <c r="T72" i="5"/>
  <c r="Y73" i="5"/>
  <c r="Y72" i="5"/>
  <c r="AC65" i="5"/>
  <c r="Y66" i="5"/>
  <c r="Y65" i="5"/>
  <c r="Q65" i="5"/>
  <c r="S65" i="5"/>
  <c r="T65" i="5"/>
  <c r="T71" i="5"/>
  <c r="AC58" i="5"/>
  <c r="Q58" i="5"/>
  <c r="S58" i="5"/>
  <c r="T58" i="5"/>
  <c r="T64" i="5"/>
  <c r="Y59" i="5"/>
  <c r="Y58" i="5"/>
  <c r="AC51" i="5"/>
  <c r="Y54" i="5"/>
  <c r="Y53" i="5"/>
  <c r="Y52" i="5"/>
  <c r="Y51" i="5"/>
  <c r="Q51" i="5"/>
  <c r="S51" i="5"/>
  <c r="T51" i="5"/>
  <c r="T57" i="5"/>
  <c r="Y47" i="5"/>
  <c r="Y48" i="5"/>
  <c r="Q44" i="5"/>
  <c r="S44" i="5"/>
  <c r="Y46" i="5"/>
  <c r="Y45" i="5"/>
  <c r="Y44" i="5"/>
  <c r="AC37" i="5"/>
  <c r="AC30" i="5"/>
  <c r="Q37" i="5"/>
  <c r="Y39" i="5"/>
  <c r="Y38" i="5"/>
  <c r="Y37" i="5"/>
  <c r="Y28" i="5"/>
  <c r="Q30" i="5"/>
  <c r="Y32" i="5"/>
  <c r="Y31" i="5"/>
  <c r="Y30" i="5"/>
  <c r="AC21" i="5"/>
  <c r="Y22" i="5"/>
  <c r="Y23" i="5"/>
  <c r="Y24" i="5"/>
  <c r="Y25" i="5"/>
  <c r="Y21" i="5"/>
  <c r="Q21" i="5"/>
  <c r="S21" i="5"/>
  <c r="T21" i="5"/>
  <c r="W17" i="5"/>
  <c r="Y17" i="5"/>
  <c r="AC11" i="5"/>
  <c r="Y12" i="5"/>
  <c r="Y13" i="5"/>
  <c r="Y14" i="5"/>
  <c r="Y15" i="5"/>
  <c r="Y16" i="5"/>
  <c r="Y11" i="5"/>
  <c r="H23" i="4"/>
  <c r="I23" i="4"/>
  <c r="H27" i="4"/>
  <c r="I27" i="4"/>
  <c r="H21" i="4"/>
  <c r="I21" i="4"/>
  <c r="AA182" i="5"/>
  <c r="AB182" i="5"/>
  <c r="AA168" i="5"/>
  <c r="AB168" i="5"/>
  <c r="AA161" i="5"/>
  <c r="AB161" i="5"/>
  <c r="T160" i="5"/>
  <c r="AA154" i="5"/>
  <c r="AB154" i="5"/>
  <c r="T146" i="5"/>
  <c r="AA140" i="5"/>
  <c r="AB140" i="5"/>
  <c r="Y125" i="5"/>
  <c r="T125" i="5"/>
  <c r="Y113" i="5"/>
  <c r="AA107" i="5"/>
  <c r="AB107" i="5"/>
  <c r="S100" i="5"/>
  <c r="T100" i="5"/>
  <c r="Y64" i="5"/>
  <c r="AA58" i="5"/>
  <c r="AB58" i="5"/>
  <c r="AA93" i="5"/>
  <c r="AB93" i="5"/>
  <c r="T85" i="5"/>
  <c r="Y36" i="5"/>
  <c r="AA86" i="5"/>
  <c r="AB86" i="5"/>
  <c r="T78" i="5"/>
  <c r="Y85" i="5"/>
  <c r="Y71" i="5"/>
  <c r="AA65" i="5"/>
  <c r="AB65" i="5"/>
  <c r="Y78" i="5"/>
  <c r="Y57" i="5"/>
  <c r="AA51" i="5"/>
  <c r="AB51" i="5"/>
  <c r="Y50" i="5"/>
  <c r="T44" i="5"/>
  <c r="T50" i="5"/>
  <c r="Y43" i="5"/>
  <c r="S37" i="5"/>
  <c r="T37" i="5"/>
  <c r="T43" i="5"/>
  <c r="Y29" i="5"/>
  <c r="S30" i="5"/>
  <c r="T30" i="5"/>
  <c r="T36" i="5"/>
  <c r="Y20" i="5"/>
  <c r="H22" i="4"/>
  <c r="I22" i="4"/>
  <c r="H16" i="4"/>
  <c r="I16" i="4"/>
  <c r="H24" i="4"/>
  <c r="I24" i="4"/>
  <c r="H26" i="4"/>
  <c r="I26" i="4"/>
  <c r="H28" i="4"/>
  <c r="I28" i="4"/>
  <c r="H10" i="4"/>
  <c r="I10" i="4"/>
  <c r="H11" i="4"/>
  <c r="I11" i="4"/>
  <c r="H18" i="4"/>
  <c r="I18" i="4"/>
  <c r="H15" i="4"/>
  <c r="I15" i="4"/>
  <c r="H12" i="4"/>
  <c r="I12" i="4"/>
  <c r="H25" i="4"/>
  <c r="I25" i="4"/>
  <c r="AA114" i="5"/>
  <c r="AB114" i="5"/>
  <c r="T106" i="5"/>
  <c r="AA100" i="5"/>
  <c r="AB100" i="5"/>
  <c r="AA79" i="5"/>
  <c r="AB79" i="5"/>
  <c r="AA72" i="5"/>
  <c r="AB72" i="5"/>
  <c r="AA37" i="5"/>
  <c r="AB37" i="5"/>
  <c r="AA44" i="5"/>
  <c r="AB44" i="5"/>
  <c r="AA30" i="5"/>
  <c r="AB30" i="5"/>
  <c r="H19" i="4"/>
  <c r="I19" i="4"/>
  <c r="H7" i="4"/>
  <c r="I7" i="4"/>
  <c r="H9" i="4"/>
  <c r="I9" i="4"/>
  <c r="H13" i="4"/>
  <c r="I13" i="4"/>
  <c r="H14" i="4"/>
  <c r="I14" i="4"/>
  <c r="H8" i="4"/>
  <c r="I8" i="4"/>
  <c r="H17" i="4"/>
  <c r="I17" i="4"/>
  <c r="Q12" i="5"/>
  <c r="S12" i="5"/>
  <c r="Q11" i="5"/>
  <c r="S11" i="5"/>
  <c r="Q4" i="5"/>
  <c r="S4" i="5"/>
  <c r="Y5" i="5"/>
  <c r="Y6" i="5"/>
  <c r="Y7" i="5"/>
  <c r="Y4" i="5"/>
  <c r="T29" i="5"/>
  <c r="T12" i="5"/>
  <c r="T11" i="5"/>
  <c r="AA21" i="5"/>
  <c r="AB21" i="5"/>
  <c r="T4" i="5"/>
  <c r="H6" i="4"/>
  <c r="I6" i="4"/>
  <c r="T20" i="5"/>
  <c r="AA11" i="5"/>
  <c r="AB11" i="5"/>
  <c r="H5" i="4"/>
  <c r="I5" i="4"/>
  <c r="T10" i="5"/>
  <c r="Y10" i="5"/>
  <c r="AA4" i="5"/>
  <c r="AB4" i="5"/>
  <c r="AE4" i="5"/>
  <c r="H4" i="4"/>
  <c r="I4" i="4"/>
  <c r="M227" i="1"/>
  <c r="M226" i="1"/>
  <c r="M225" i="1"/>
  <c r="M224" i="1"/>
  <c r="M223" i="1"/>
  <c r="M222" i="1"/>
  <c r="M221" i="1"/>
  <c r="M220" i="1"/>
  <c r="L228" i="1"/>
  <c r="J228" i="1"/>
  <c r="H229" i="1"/>
  <c r="I228" i="1"/>
  <c r="G228" i="1"/>
  <c r="E229" i="1"/>
  <c r="F228" i="1"/>
  <c r="M212" i="1"/>
  <c r="M211" i="1"/>
  <c r="M210" i="1"/>
  <c r="L218" i="1"/>
  <c r="J218" i="1"/>
  <c r="H219" i="1"/>
  <c r="I218" i="1"/>
  <c r="G218" i="1"/>
  <c r="E219" i="1"/>
  <c r="F218" i="1"/>
  <c r="M203" i="1"/>
  <c r="M202" i="1"/>
  <c r="M201" i="1"/>
  <c r="M200" i="1"/>
  <c r="L208" i="1"/>
  <c r="J208" i="1"/>
  <c r="H209" i="1"/>
  <c r="I208" i="1"/>
  <c r="G208" i="1"/>
  <c r="E209" i="1"/>
  <c r="F208" i="1"/>
  <c r="M193" i="1"/>
  <c r="M192" i="1"/>
  <c r="M191" i="1"/>
  <c r="M190" i="1"/>
  <c r="L198" i="1"/>
  <c r="J198" i="1"/>
  <c r="H199" i="1"/>
  <c r="I198" i="1"/>
  <c r="G198" i="1"/>
  <c r="E199" i="1"/>
  <c r="F198" i="1"/>
  <c r="M187" i="1"/>
  <c r="M186" i="1"/>
  <c r="M185" i="1"/>
  <c r="X24" i="4"/>
  <c r="X25" i="4"/>
  <c r="X26" i="4"/>
  <c r="X27" i="4"/>
  <c r="X28" i="4"/>
  <c r="L188" i="1"/>
  <c r="I188" i="1"/>
  <c r="F188" i="1"/>
  <c r="J188" i="1"/>
  <c r="H189" i="1"/>
  <c r="G188" i="1"/>
  <c r="E189" i="1"/>
  <c r="M228" i="1"/>
  <c r="K229" i="1"/>
  <c r="M218" i="1"/>
  <c r="K219" i="1"/>
  <c r="M208" i="1"/>
  <c r="K209" i="1"/>
  <c r="M198" i="1"/>
  <c r="K199" i="1"/>
  <c r="M188" i="1"/>
  <c r="K189" i="1"/>
  <c r="M183" i="1"/>
  <c r="M172" i="1"/>
  <c r="M161" i="1"/>
  <c r="M150" i="1"/>
  <c r="M125" i="1"/>
  <c r="M117" i="1"/>
  <c r="M109" i="1"/>
  <c r="M101" i="1"/>
  <c r="M78" i="1"/>
  <c r="M70" i="1"/>
  <c r="M62" i="1"/>
  <c r="M54" i="1"/>
  <c r="M85" i="1"/>
  <c r="M93" i="1"/>
  <c r="M127" i="1"/>
  <c r="M139" i="1"/>
  <c r="K140" i="1"/>
  <c r="X17" i="4"/>
  <c r="X18" i="4"/>
  <c r="X19" i="4"/>
  <c r="X20" i="4"/>
  <c r="X21" i="4"/>
  <c r="X22" i="4"/>
  <c r="X23" i="4"/>
  <c r="R21" i="4"/>
  <c r="R18" i="4"/>
  <c r="R17" i="4"/>
  <c r="R12" i="4"/>
  <c r="R11" i="4"/>
  <c r="R10" i="4"/>
  <c r="J95" i="1"/>
  <c r="J101" i="1"/>
  <c r="H102" i="1"/>
  <c r="J80" i="1"/>
  <c r="J85" i="1"/>
  <c r="H86" i="1"/>
  <c r="J72" i="1"/>
  <c r="J78" i="1"/>
  <c r="H79" i="1"/>
  <c r="J119" i="1"/>
  <c r="J125" i="1"/>
  <c r="H126" i="1"/>
  <c r="J174" i="1"/>
  <c r="J183" i="1"/>
  <c r="H184" i="1"/>
  <c r="J163" i="1"/>
  <c r="J172" i="1"/>
  <c r="H173" i="1"/>
  <c r="J152" i="1"/>
  <c r="J161" i="1"/>
  <c r="H162" i="1"/>
  <c r="J141" i="1"/>
  <c r="J150" i="1"/>
  <c r="H151" i="1"/>
  <c r="J127" i="1"/>
  <c r="J139" i="1"/>
  <c r="H140" i="1"/>
  <c r="J111" i="1"/>
  <c r="J117" i="1"/>
  <c r="H118" i="1"/>
  <c r="J103" i="1"/>
  <c r="J109" i="1"/>
  <c r="H110" i="1"/>
  <c r="J87" i="1"/>
  <c r="J93" i="1"/>
  <c r="H94" i="1"/>
  <c r="I93" i="1"/>
  <c r="J64" i="1"/>
  <c r="J70" i="1"/>
  <c r="H71" i="1"/>
  <c r="J56" i="1"/>
  <c r="J62" i="1"/>
  <c r="H63" i="1"/>
  <c r="J48" i="1"/>
  <c r="J54" i="1"/>
  <c r="H55" i="1"/>
  <c r="J41" i="1"/>
  <c r="J46" i="1"/>
  <c r="H47" i="1"/>
  <c r="J33" i="1"/>
  <c r="J39" i="1"/>
  <c r="H40" i="1"/>
  <c r="J23" i="1"/>
  <c r="J31" i="1"/>
  <c r="H32" i="1"/>
  <c r="J11" i="1"/>
  <c r="J21" i="1"/>
  <c r="H22" i="1"/>
  <c r="J4" i="1"/>
  <c r="J9" i="1"/>
  <c r="H10" i="1"/>
  <c r="G174" i="1"/>
  <c r="G183" i="1"/>
  <c r="E184" i="1"/>
  <c r="G163" i="1"/>
  <c r="G172" i="1"/>
  <c r="E173" i="1"/>
  <c r="G152" i="1"/>
  <c r="G161" i="1"/>
  <c r="E162" i="1"/>
  <c r="G141" i="1"/>
  <c r="G150" i="1"/>
  <c r="E151" i="1"/>
  <c r="G127" i="1"/>
  <c r="G139" i="1"/>
  <c r="E140" i="1"/>
  <c r="G119" i="1"/>
  <c r="G125" i="1"/>
  <c r="E126" i="1"/>
  <c r="G111" i="1"/>
  <c r="G117" i="1"/>
  <c r="E118" i="1"/>
  <c r="G103" i="1"/>
  <c r="G109" i="1"/>
  <c r="E110" i="1"/>
  <c r="G95" i="1"/>
  <c r="G101" i="1"/>
  <c r="E102" i="1"/>
  <c r="G87" i="1"/>
  <c r="G93" i="1"/>
  <c r="E94" i="1"/>
  <c r="G80" i="1"/>
  <c r="G85" i="1"/>
  <c r="E86" i="1"/>
  <c r="G72" i="1"/>
  <c r="G78" i="1"/>
  <c r="E79" i="1"/>
  <c r="G64" i="1"/>
  <c r="G70" i="1"/>
  <c r="E71" i="1"/>
  <c r="G56" i="1"/>
  <c r="G62" i="1"/>
  <c r="E63" i="1"/>
  <c r="G48" i="1"/>
  <c r="G54" i="1"/>
  <c r="E55" i="1"/>
  <c r="G41" i="1"/>
  <c r="G46" i="1"/>
  <c r="E47" i="1"/>
  <c r="G33" i="1"/>
  <c r="G39" i="1"/>
  <c r="E40" i="1"/>
  <c r="G23" i="1"/>
  <c r="G31" i="1"/>
  <c r="E32" i="1"/>
  <c r="G11" i="1"/>
  <c r="G21" i="1"/>
  <c r="E22" i="1"/>
  <c r="G4" i="1"/>
  <c r="G9" i="1"/>
  <c r="E10" i="1"/>
  <c r="L23" i="4"/>
  <c r="L22" i="4"/>
  <c r="L21" i="4"/>
  <c r="L20" i="4"/>
  <c r="F139" i="1"/>
  <c r="I139" i="1"/>
  <c r="L139" i="1"/>
  <c r="L19" i="4"/>
  <c r="L18" i="4"/>
  <c r="L17" i="4"/>
  <c r="L5" i="4"/>
  <c r="L6" i="4"/>
  <c r="L7" i="4"/>
  <c r="L13" i="4"/>
  <c r="L14" i="4"/>
  <c r="L15" i="4"/>
  <c r="L4" i="4"/>
  <c r="X5" i="4"/>
  <c r="X6" i="4"/>
  <c r="X7" i="4"/>
  <c r="L8" i="4"/>
  <c r="X8" i="4"/>
  <c r="L9" i="4"/>
  <c r="X9" i="4"/>
  <c r="L10" i="4"/>
  <c r="X10" i="4"/>
  <c r="L11" i="4"/>
  <c r="X11" i="4"/>
  <c r="L12" i="4"/>
  <c r="X12" i="4"/>
  <c r="X13" i="4"/>
  <c r="X14" i="4"/>
  <c r="R15" i="4"/>
  <c r="X15" i="4"/>
  <c r="L16" i="4"/>
  <c r="R16" i="4"/>
  <c r="X16" i="4"/>
  <c r="K184" i="1"/>
  <c r="L183" i="1"/>
  <c r="I183" i="1"/>
  <c r="F183" i="1"/>
  <c r="K173" i="1"/>
  <c r="L172" i="1"/>
  <c r="I172" i="1"/>
  <c r="F172" i="1"/>
  <c r="K162" i="1"/>
  <c r="L161" i="1"/>
  <c r="I161" i="1"/>
  <c r="F161" i="1"/>
  <c r="K151" i="1"/>
  <c r="L150" i="1"/>
  <c r="I150" i="1"/>
  <c r="F150" i="1"/>
  <c r="K126" i="1"/>
  <c r="L125" i="1"/>
  <c r="I125" i="1"/>
  <c r="F125" i="1"/>
  <c r="K118" i="1"/>
  <c r="L117" i="1"/>
  <c r="I117" i="1"/>
  <c r="F117" i="1"/>
  <c r="K110" i="1"/>
  <c r="L109" i="1"/>
  <c r="I109" i="1"/>
  <c r="F109" i="1"/>
  <c r="K102" i="1"/>
  <c r="L101" i="1"/>
  <c r="I101" i="1"/>
  <c r="F101" i="1"/>
  <c r="K94" i="1"/>
  <c r="L93" i="1"/>
  <c r="F93" i="1"/>
  <c r="K86" i="1"/>
  <c r="L85" i="1"/>
  <c r="I85" i="1"/>
  <c r="F85" i="1"/>
  <c r="K79" i="1"/>
  <c r="L78" i="1"/>
  <c r="I78" i="1"/>
  <c r="F78" i="1"/>
  <c r="K71" i="1"/>
  <c r="L70" i="1"/>
  <c r="I70" i="1"/>
  <c r="F70" i="1"/>
  <c r="K63" i="1"/>
  <c r="L62" i="1"/>
  <c r="I62" i="1"/>
  <c r="F62" i="1"/>
  <c r="F39" i="1"/>
  <c r="F46" i="1"/>
  <c r="F54" i="1"/>
  <c r="K55" i="1"/>
  <c r="L54" i="1"/>
  <c r="I54" i="1"/>
  <c r="M46" i="1"/>
  <c r="K47" i="1"/>
  <c r="L46" i="1"/>
  <c r="I46" i="1"/>
  <c r="X4" i="4"/>
  <c r="M39" i="1"/>
  <c r="K40" i="1"/>
  <c r="L39" i="1"/>
  <c r="I39" i="1"/>
  <c r="M31" i="1"/>
  <c r="K32" i="1"/>
  <c r="L31" i="1"/>
  <c r="I31" i="1"/>
  <c r="F31" i="1"/>
  <c r="L21" i="1"/>
  <c r="I21" i="1"/>
  <c r="F21" i="1"/>
  <c r="L9" i="1"/>
  <c r="I9" i="1"/>
  <c r="F9" i="1"/>
  <c r="M9" i="1"/>
  <c r="K10" i="1"/>
  <c r="M21" i="1"/>
  <c r="K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V25" authorId="0" shapeId="0" xr:uid="{0EA2C5DE-929D-402A-A3E7-423E9F8AE8A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利达提报的单件费用，不是总成费用，且不承接此产品制作</t>
        </r>
      </text>
    </comment>
    <comment ref="V26" authorId="0" shapeId="0" xr:uid="{F23A0919-0E96-43C5-8F84-CDB79BBBA84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利达提报的单件费用，不是总成费用，且不承接此产品制作</t>
        </r>
      </text>
    </comment>
    <comment ref="V27" authorId="0" shapeId="0" xr:uid="{FE1C062F-C301-4198-B05C-7CBDFD6B7266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利达不承接此产品制作</t>
        </r>
      </text>
    </comment>
    <comment ref="V28" authorId="0" shapeId="0" xr:uid="{60E93182-8C16-4FEE-BB9E-CF0010998BF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利达不承接此产品制作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Q4" authorId="0" shapeId="0" xr:uid="{CE332B29-A465-4D3F-9D11-049C6F7E8D54}">
      <text>
        <r>
          <rPr>
            <b/>
            <sz val="9"/>
            <color indexed="81"/>
            <rFont val="宋体"/>
            <family val="3"/>
            <charset val="134"/>
          </rPr>
          <t>吴英格:
按照70%材料利用率反推</t>
        </r>
      </text>
    </comment>
  </commentList>
</comments>
</file>

<file path=xl/sharedStrings.xml><?xml version="1.0" encoding="utf-8"?>
<sst xmlns="http://schemas.openxmlformats.org/spreadsheetml/2006/main" count="1273" uniqueCount="254">
  <si>
    <t>图号</t>
  </si>
  <si>
    <t>零件名称</t>
  </si>
  <si>
    <t>零件模具图片名称</t>
  </si>
  <si>
    <t>工序</t>
  </si>
  <si>
    <t>数量</t>
  </si>
  <si>
    <t>模具费
(不含税）</t>
  </si>
  <si>
    <t>冲孔2</t>
  </si>
  <si>
    <t>合计</t>
  </si>
  <si>
    <t>每件模摊费（分摊10万件/种）</t>
  </si>
  <si>
    <t>材质</t>
  </si>
  <si>
    <t>单件报价</t>
  </si>
  <si>
    <t>模摊费</t>
  </si>
  <si>
    <t>含模摊价</t>
  </si>
  <si>
    <t>备注：以上价格均未税</t>
  </si>
  <si>
    <t>轻卡钣金件-模具费汇总</t>
    <phoneticPr fontId="7" type="noConversion"/>
  </si>
  <si>
    <t>SLT0010607</t>
    <phoneticPr fontId="7" type="noConversion"/>
  </si>
  <si>
    <t>前排靠背复位卷簧限位支架</t>
    <phoneticPr fontId="7" type="noConversion"/>
  </si>
  <si>
    <t>泊头捷润</t>
    <phoneticPr fontId="7" type="noConversion"/>
  </si>
  <si>
    <t>沧州智凯</t>
    <phoneticPr fontId="7" type="noConversion"/>
  </si>
  <si>
    <t>南皮利达</t>
    <phoneticPr fontId="7" type="noConversion"/>
  </si>
  <si>
    <t>落料</t>
    <phoneticPr fontId="7" type="noConversion"/>
  </si>
  <si>
    <t>成型1</t>
    <phoneticPr fontId="7" type="noConversion"/>
  </si>
  <si>
    <t>成型2</t>
  </si>
  <si>
    <t>成型2</t>
    <phoneticPr fontId="7" type="noConversion"/>
  </si>
  <si>
    <t>冲孔</t>
    <phoneticPr fontId="7" type="noConversion"/>
  </si>
  <si>
    <t>检具</t>
    <phoneticPr fontId="7" type="noConversion"/>
  </si>
  <si>
    <t>SLT0010599</t>
    <phoneticPr fontId="7" type="noConversion"/>
  </si>
  <si>
    <t>副驾靠背左侧装车钣金焊接总成</t>
    <phoneticPr fontId="7" type="noConversion"/>
  </si>
  <si>
    <t>成型3</t>
  </si>
  <si>
    <t>落料1</t>
    <phoneticPr fontId="7" type="noConversion"/>
  </si>
  <si>
    <t>落料2</t>
  </si>
  <si>
    <t>落料2</t>
    <phoneticPr fontId="7" type="noConversion"/>
  </si>
  <si>
    <t>焊胎</t>
    <phoneticPr fontId="7" type="noConversion"/>
  </si>
  <si>
    <t>SLT0010230</t>
    <phoneticPr fontId="7" type="noConversion"/>
  </si>
  <si>
    <t>驾驶员座垫右侧安装板总成</t>
    <phoneticPr fontId="7" type="noConversion"/>
  </si>
  <si>
    <t>成型</t>
    <phoneticPr fontId="7" type="noConversion"/>
  </si>
  <si>
    <t>折弯</t>
    <phoneticPr fontId="7" type="noConversion"/>
  </si>
  <si>
    <t>SLT0010543</t>
    <phoneticPr fontId="7" type="noConversion"/>
  </si>
  <si>
    <t>滑轨左连接板1</t>
    <phoneticPr fontId="7" type="noConversion"/>
  </si>
  <si>
    <t>落料冲孔</t>
    <phoneticPr fontId="7" type="noConversion"/>
  </si>
  <si>
    <t>SLT0010641</t>
    <phoneticPr fontId="7" type="noConversion"/>
  </si>
  <si>
    <t>滑轨左连接板2</t>
    <phoneticPr fontId="7" type="noConversion"/>
  </si>
  <si>
    <t>SLT0010544</t>
    <phoneticPr fontId="7" type="noConversion"/>
  </si>
  <si>
    <t>滑轨右连接板1</t>
    <phoneticPr fontId="7" type="noConversion"/>
  </si>
  <si>
    <t>SLT0010642</t>
    <phoneticPr fontId="7" type="noConversion"/>
  </si>
  <si>
    <t>滑轨右连接板2</t>
    <phoneticPr fontId="7" type="noConversion"/>
  </si>
  <si>
    <t>整形</t>
    <phoneticPr fontId="7" type="noConversion"/>
  </si>
  <si>
    <t>SLT0010541</t>
    <phoneticPr fontId="7" type="noConversion"/>
  </si>
  <si>
    <t>阻尼器支架</t>
    <phoneticPr fontId="7" type="noConversion"/>
  </si>
  <si>
    <t>SLT0010546</t>
    <phoneticPr fontId="7" type="noConversion"/>
  </si>
  <si>
    <t>直线阀下支架</t>
    <phoneticPr fontId="7" type="noConversion"/>
  </si>
  <si>
    <t>SLT0010552</t>
    <phoneticPr fontId="7" type="noConversion"/>
  </si>
  <si>
    <t>左调角器焊接组件</t>
    <phoneticPr fontId="7" type="noConversion"/>
  </si>
  <si>
    <t>SLT0010558</t>
    <phoneticPr fontId="7" type="noConversion"/>
  </si>
  <si>
    <t>右调角器焊接组件</t>
    <phoneticPr fontId="7" type="noConversion"/>
  </si>
  <si>
    <t>预成型</t>
    <phoneticPr fontId="7" type="noConversion"/>
  </si>
  <si>
    <t>SLT0010549</t>
    <phoneticPr fontId="7" type="noConversion"/>
  </si>
  <si>
    <t>外绞架加强板</t>
    <phoneticPr fontId="7" type="noConversion"/>
  </si>
  <si>
    <t>SLT0010559</t>
    <phoneticPr fontId="7" type="noConversion"/>
  </si>
  <si>
    <t>外绞架加强片</t>
    <phoneticPr fontId="7" type="noConversion"/>
  </si>
  <si>
    <t>SLT0010565</t>
    <phoneticPr fontId="7" type="noConversion"/>
  </si>
  <si>
    <t>内绞架加强片</t>
    <phoneticPr fontId="7" type="noConversion"/>
  </si>
  <si>
    <t>SLT0010679</t>
    <phoneticPr fontId="7" type="noConversion"/>
  </si>
  <si>
    <t>左侧护板固定钣金</t>
    <phoneticPr fontId="7" type="noConversion"/>
  </si>
  <si>
    <t>SLT0010222</t>
    <phoneticPr fontId="7" type="noConversion"/>
  </si>
  <si>
    <t>驾驶员左侧调角器下连接板焊接总成</t>
    <phoneticPr fontId="7" type="noConversion"/>
  </si>
  <si>
    <t>落料3</t>
  </si>
  <si>
    <t>冲孔1</t>
    <phoneticPr fontId="7" type="noConversion"/>
  </si>
  <si>
    <t>冲孔3</t>
  </si>
  <si>
    <t>SLT0010646</t>
    <phoneticPr fontId="7" type="noConversion"/>
  </si>
  <si>
    <t>扶手安装支架焊接总成</t>
    <phoneticPr fontId="7" type="noConversion"/>
  </si>
  <si>
    <t>SLT0010553</t>
    <phoneticPr fontId="7" type="noConversion"/>
  </si>
  <si>
    <t>上盖板加强件</t>
    <phoneticPr fontId="7" type="noConversion"/>
  </si>
  <si>
    <t>SLT0010561</t>
    <phoneticPr fontId="7" type="noConversion"/>
  </si>
  <si>
    <t>减震器下挂钩</t>
    <phoneticPr fontId="7" type="noConversion"/>
  </si>
  <si>
    <t>SLT0010560</t>
    <phoneticPr fontId="7" type="noConversion"/>
  </si>
  <si>
    <t>安全上挂钩</t>
    <phoneticPr fontId="7" type="noConversion"/>
  </si>
  <si>
    <t>SPFH590 3.0</t>
    <phoneticPr fontId="7" type="noConversion"/>
  </si>
  <si>
    <t>ASSY</t>
  </si>
  <si>
    <t>SPFH590 /T=3.0</t>
  </si>
  <si>
    <t>SAPH440 /T=3.0</t>
  </si>
  <si>
    <t>SAPH440 /T=2.0</t>
  </si>
  <si>
    <t>Q235-A</t>
  </si>
  <si>
    <t>Q235 2.0</t>
  </si>
  <si>
    <t>单件报价</t>
    <phoneticPr fontId="7" type="noConversion"/>
  </si>
  <si>
    <t>切边</t>
    <phoneticPr fontId="7" type="noConversion"/>
  </si>
  <si>
    <t>折弯冲孔</t>
    <phoneticPr fontId="7" type="noConversion"/>
  </si>
  <si>
    <t>焊具</t>
    <phoneticPr fontId="7" type="noConversion"/>
  </si>
  <si>
    <t>落料</t>
  </si>
  <si>
    <t>成型</t>
  </si>
  <si>
    <t>翻边</t>
  </si>
  <si>
    <t>冲孔</t>
  </si>
  <si>
    <t>剪板</t>
  </si>
  <si>
    <t>铆接</t>
  </si>
  <si>
    <t>未提报</t>
    <phoneticPr fontId="7" type="noConversion"/>
  </si>
  <si>
    <t>SLT0010547</t>
    <phoneticPr fontId="7" type="noConversion"/>
  </si>
  <si>
    <t>外绞架支撑板</t>
    <phoneticPr fontId="7" type="noConversion"/>
  </si>
  <si>
    <t>SLT0010548</t>
    <phoneticPr fontId="7" type="noConversion"/>
  </si>
  <si>
    <t>内绞架支撑板</t>
    <phoneticPr fontId="7" type="noConversion"/>
  </si>
  <si>
    <t>SLT0010564</t>
    <phoneticPr fontId="7" type="noConversion"/>
  </si>
  <si>
    <t>滚轮上滑槽</t>
    <phoneticPr fontId="7" type="noConversion"/>
  </si>
  <si>
    <t>SLT0010686</t>
    <phoneticPr fontId="7" type="noConversion"/>
  </si>
  <si>
    <t>驾驶员座垫右侧安装板</t>
    <phoneticPr fontId="7" type="noConversion"/>
  </si>
  <si>
    <t>SPFH590/T=6.0</t>
    <phoneticPr fontId="7" type="noConversion"/>
  </si>
  <si>
    <t>QStE500 2.5</t>
    <phoneticPr fontId="7" type="noConversion"/>
  </si>
  <si>
    <t>9月16日轻卡减震新增</t>
    <phoneticPr fontId="7" type="noConversion"/>
  </si>
  <si>
    <t>SLT0010540</t>
    <phoneticPr fontId="7" type="noConversion"/>
  </si>
  <si>
    <t>滚轮下滑槽</t>
    <phoneticPr fontId="7" type="noConversion"/>
  </si>
  <si>
    <t>整形</t>
  </si>
  <si>
    <t>驾驶员坐垫右侧安装板总成</t>
    <phoneticPr fontId="7" type="noConversion"/>
  </si>
  <si>
    <t>项目</t>
    <phoneticPr fontId="7" type="noConversion"/>
  </si>
  <si>
    <t>统帅轻卡1880项目</t>
  </si>
  <si>
    <t>平台化-轻卡减震座椅</t>
  </si>
  <si>
    <t>改为总成供货，需要利达重新报价</t>
    <phoneticPr fontId="7" type="noConversion"/>
  </si>
  <si>
    <t>SLT0010557</t>
    <phoneticPr fontId="7" type="noConversion"/>
  </si>
  <si>
    <r>
      <rPr>
        <sz val="11"/>
        <color indexed="8"/>
        <rFont val="宋体"/>
        <family val="3"/>
        <charset val="134"/>
      </rPr>
      <t>外绞架</t>
    </r>
    <r>
      <rPr>
        <sz val="11"/>
        <color indexed="10"/>
        <rFont val="宋体"/>
        <family val="3"/>
        <charset val="134"/>
      </rPr>
      <t>支撑板</t>
    </r>
    <r>
      <rPr>
        <sz val="11"/>
        <color indexed="8"/>
        <rFont val="宋体"/>
        <family val="3"/>
        <charset val="134"/>
      </rPr>
      <t>组件</t>
    </r>
    <phoneticPr fontId="7" type="noConversion"/>
  </si>
  <si>
    <t>SLT0010556</t>
    <phoneticPr fontId="7" type="noConversion"/>
  </si>
  <si>
    <t>内绞架支撑板组件</t>
    <phoneticPr fontId="7" type="noConversion"/>
  </si>
  <si>
    <t>外绞架支撑板组件</t>
    <phoneticPr fontId="7" type="noConversion"/>
  </si>
  <si>
    <t>序</t>
  </si>
  <si>
    <t>厂家</t>
    <phoneticPr fontId="7" type="noConversion"/>
  </si>
  <si>
    <t>核价区间</t>
    <phoneticPr fontId="7" type="noConversion"/>
  </si>
  <si>
    <t>QAD号</t>
    <phoneticPr fontId="7" type="noConversion"/>
  </si>
  <si>
    <t>物料代码</t>
  </si>
  <si>
    <t>名称</t>
  </si>
  <si>
    <t>单件</t>
    <phoneticPr fontId="7" type="noConversion"/>
  </si>
  <si>
    <t>数量</t>
    <phoneticPr fontId="7" type="noConversion"/>
  </si>
  <si>
    <t>下料尺寸</t>
    <phoneticPr fontId="7" type="noConversion"/>
  </si>
  <si>
    <t>含税单价</t>
  </si>
  <si>
    <t>重量</t>
  </si>
  <si>
    <t>材料费</t>
  </si>
  <si>
    <t>加工成本</t>
  </si>
  <si>
    <t>系数</t>
    <phoneticPr fontId="7" type="noConversion"/>
  </si>
  <si>
    <t>含税价格</t>
    <phoneticPr fontId="7" type="noConversion"/>
  </si>
  <si>
    <t>不含税单价</t>
  </si>
  <si>
    <t>未税模具费</t>
    <phoneticPr fontId="7" type="noConversion"/>
  </si>
  <si>
    <t>摊销件数</t>
    <phoneticPr fontId="7" type="noConversion"/>
  </si>
  <si>
    <t>含模摊未税单价</t>
    <phoneticPr fontId="7" type="noConversion"/>
  </si>
  <si>
    <t>号</t>
  </si>
  <si>
    <t>长mm</t>
    <phoneticPr fontId="7" type="noConversion"/>
  </si>
  <si>
    <t>宽mm</t>
    <phoneticPr fontId="7" type="noConversion"/>
  </si>
  <si>
    <t>厚mm</t>
    <phoneticPr fontId="7" type="noConversion"/>
  </si>
  <si>
    <t>材料</t>
  </si>
  <si>
    <t>废铁</t>
  </si>
  <si>
    <t>毛重</t>
  </si>
  <si>
    <t>净重</t>
  </si>
  <si>
    <t>吨位</t>
  </si>
  <si>
    <t>工序费</t>
  </si>
  <si>
    <t>出件数</t>
    <phoneticPr fontId="7" type="noConversion"/>
  </si>
  <si>
    <t>焊接轴套</t>
    <phoneticPr fontId="7" type="noConversion"/>
  </si>
  <si>
    <t>材料合计：</t>
    <phoneticPr fontId="7" type="noConversion"/>
  </si>
  <si>
    <t>加工费合计：</t>
    <phoneticPr fontId="7" type="noConversion"/>
  </si>
  <si>
    <t>200T</t>
    <phoneticPr fontId="7" type="noConversion"/>
  </si>
  <si>
    <t>160T</t>
    <phoneticPr fontId="7" type="noConversion"/>
  </si>
  <si>
    <t>7/16焊接螺母</t>
    <phoneticPr fontId="7" type="noConversion"/>
  </si>
  <si>
    <t>80T</t>
    <phoneticPr fontId="7" type="noConversion"/>
  </si>
  <si>
    <t>63T</t>
    <phoneticPr fontId="7" type="noConversion"/>
  </si>
  <si>
    <t>125T</t>
    <phoneticPr fontId="7" type="noConversion"/>
  </si>
  <si>
    <t>100T</t>
    <phoneticPr fontId="7" type="noConversion"/>
  </si>
  <si>
    <t>焊接</t>
    <phoneticPr fontId="7" type="noConversion"/>
  </si>
  <si>
    <t>QSTE500TM</t>
    <phoneticPr fontId="7" type="noConversion"/>
  </si>
  <si>
    <t>SAPH440</t>
    <phoneticPr fontId="7" type="noConversion"/>
  </si>
  <si>
    <t>图片</t>
    <phoneticPr fontId="7" type="noConversion"/>
  </si>
  <si>
    <t>驾驶员右侧安装版</t>
    <phoneticPr fontId="7" type="noConversion"/>
  </si>
  <si>
    <t>单件QAD号</t>
    <phoneticPr fontId="7" type="noConversion"/>
  </si>
  <si>
    <t>6801634X2001A</t>
    <phoneticPr fontId="7" type="noConversion"/>
  </si>
  <si>
    <t>前排靠背复位卷簧安装支架</t>
    <phoneticPr fontId="7" type="noConversion"/>
  </si>
  <si>
    <t>SLT0010598</t>
    <phoneticPr fontId="7" type="noConversion"/>
  </si>
  <si>
    <t>SLT0010231</t>
    <phoneticPr fontId="7" type="noConversion"/>
  </si>
  <si>
    <t>BFA0000518</t>
    <phoneticPr fontId="7" type="noConversion"/>
  </si>
  <si>
    <t>中排独立软带轴承</t>
    <phoneticPr fontId="7" type="noConversion"/>
  </si>
  <si>
    <t>321721801400</t>
    <phoneticPr fontId="7" type="noConversion"/>
  </si>
  <si>
    <t>SPFH590 /T=3.0</t>
    <phoneticPr fontId="7" type="noConversion"/>
  </si>
  <si>
    <t>SLT0010537</t>
    <phoneticPr fontId="7" type="noConversion"/>
  </si>
  <si>
    <t>SPFH590</t>
    <phoneticPr fontId="7" type="noConversion"/>
  </si>
  <si>
    <t>M8焊接方螺母</t>
    <phoneticPr fontId="7" type="noConversion"/>
  </si>
  <si>
    <t>SLT0010538</t>
    <phoneticPr fontId="7" type="noConversion"/>
  </si>
  <si>
    <t>调角器右连接板</t>
    <phoneticPr fontId="7" type="noConversion"/>
  </si>
  <si>
    <t>调角器左连接板</t>
    <phoneticPr fontId="7" type="noConversion"/>
  </si>
  <si>
    <t>Q235-A</t>
    <phoneticPr fontId="7" type="noConversion"/>
  </si>
  <si>
    <t>Q235/t=2</t>
    <phoneticPr fontId="7" type="noConversion"/>
  </si>
  <si>
    <t>驾驶员左侧调角器下连接板</t>
    <phoneticPr fontId="7" type="noConversion"/>
  </si>
  <si>
    <t>SLT0010223</t>
    <phoneticPr fontId="7" type="noConversion"/>
  </si>
  <si>
    <t>6801635X2001A</t>
    <phoneticPr fontId="7" type="noConversion"/>
  </si>
  <si>
    <t>调角器下连接板上加强板</t>
    <phoneticPr fontId="7" type="noConversion"/>
  </si>
  <si>
    <t>折弯</t>
  </si>
  <si>
    <t>扶手安装支架</t>
    <phoneticPr fontId="7" type="noConversion"/>
  </si>
  <si>
    <t>SLT0010629</t>
    <phoneticPr fontId="7" type="noConversion"/>
  </si>
  <si>
    <t>SLT0010414</t>
    <phoneticPr fontId="7" type="noConversion"/>
  </si>
  <si>
    <t>45#</t>
    <phoneticPr fontId="7" type="noConversion"/>
  </si>
  <si>
    <t>扶手旋转轴</t>
    <phoneticPr fontId="7" type="noConversion"/>
  </si>
  <si>
    <t>20#</t>
    <phoneticPr fontId="7" type="noConversion"/>
  </si>
  <si>
    <t>SHT0011363</t>
    <phoneticPr fontId="7" type="noConversion"/>
  </si>
  <si>
    <t>外绞架轴套</t>
    <phoneticPr fontId="7" type="noConversion"/>
  </si>
  <si>
    <t>SLT0010535</t>
    <phoneticPr fontId="7" type="noConversion"/>
  </si>
  <si>
    <t>钢轴套1</t>
    <phoneticPr fontId="7" type="noConversion"/>
  </si>
  <si>
    <t>组装轴套</t>
    <phoneticPr fontId="7" type="noConversion"/>
  </si>
  <si>
    <t>SLT0010269</t>
    <phoneticPr fontId="7" type="noConversion"/>
  </si>
  <si>
    <t>内绞架螺母轴套</t>
    <phoneticPr fontId="7" type="noConversion"/>
  </si>
  <si>
    <t>SLT0010682</t>
    <phoneticPr fontId="7" type="noConversion"/>
  </si>
  <si>
    <t>7/16螺母</t>
    <phoneticPr fontId="7" type="noConversion"/>
  </si>
  <si>
    <t>BFA0000400</t>
    <phoneticPr fontId="7" type="noConversion"/>
  </si>
  <si>
    <t>300T</t>
    <phoneticPr fontId="7" type="noConversion"/>
  </si>
  <si>
    <t>自核未税价（不含模摊）</t>
    <phoneticPr fontId="7" type="noConversion"/>
  </si>
  <si>
    <t>未税目标价（不含模摊）</t>
    <phoneticPr fontId="7" type="noConversion"/>
  </si>
  <si>
    <t>铆接</t>
    <phoneticPr fontId="7" type="noConversion"/>
  </si>
  <si>
    <t>筛选最低目标价（不含模摊）</t>
    <phoneticPr fontId="7" type="noConversion"/>
  </si>
  <si>
    <t>南皮利达-初始报价</t>
    <phoneticPr fontId="7" type="noConversion"/>
  </si>
  <si>
    <t>泊头捷润-初次报价</t>
    <phoneticPr fontId="7" type="noConversion"/>
  </si>
  <si>
    <t>泊头捷润-商定价格</t>
    <phoneticPr fontId="7" type="noConversion"/>
  </si>
  <si>
    <t>南皮利达-商定报价</t>
    <phoneticPr fontId="7" type="noConversion"/>
  </si>
  <si>
    <t>沧州智凯-初次报价</t>
    <phoneticPr fontId="7" type="noConversion"/>
  </si>
  <si>
    <t>沧州智凯-商定价格</t>
    <phoneticPr fontId="7" type="noConversion"/>
  </si>
  <si>
    <t>统帅1880及轻卡减震钣金件-产品价格汇总</t>
    <phoneticPr fontId="7" type="noConversion"/>
  </si>
  <si>
    <t>文安恒德-商定报价</t>
    <phoneticPr fontId="7" type="noConversion"/>
  </si>
  <si>
    <t>文安恒德</t>
    <phoneticPr fontId="7" type="noConversion"/>
  </si>
  <si>
    <t>下料</t>
    <phoneticPr fontId="7" type="noConversion"/>
  </si>
  <si>
    <t>压型</t>
    <phoneticPr fontId="7" type="noConversion"/>
  </si>
  <si>
    <t>文安恒德-初次报价</t>
    <phoneticPr fontId="7" type="noConversion"/>
  </si>
  <si>
    <t>商定价格中标蓝色的为最终定价</t>
    <phoneticPr fontId="7" type="noConversion"/>
  </si>
  <si>
    <t>航天宏达-初次报价</t>
    <phoneticPr fontId="7" type="noConversion"/>
  </si>
  <si>
    <t>航天宏达</t>
    <phoneticPr fontId="7" type="noConversion"/>
  </si>
  <si>
    <t>op10下料</t>
  </si>
  <si>
    <t>op20成型</t>
  </si>
  <si>
    <t>op30冲孔</t>
  </si>
  <si>
    <t>op40冲孔</t>
  </si>
  <si>
    <t>op20压型</t>
  </si>
  <si>
    <t>op30成型</t>
  </si>
  <si>
    <t>op50冲孔</t>
  </si>
  <si>
    <t>模具未税目标价</t>
    <phoneticPr fontId="7" type="noConversion"/>
  </si>
  <si>
    <t>ASSY-
QStE500 2.5</t>
    <phoneticPr fontId="7" type="noConversion"/>
  </si>
  <si>
    <t>ASSY-
QStE500 3.5</t>
    <phoneticPr fontId="7" type="noConversion"/>
  </si>
  <si>
    <t>航天宏达-协商报价</t>
    <phoneticPr fontId="7" type="noConversion"/>
  </si>
  <si>
    <t>SLT0010524</t>
    <phoneticPr fontId="7" type="noConversion"/>
  </si>
  <si>
    <t>冲压件价格</t>
    <phoneticPr fontId="7" type="noConversion"/>
  </si>
  <si>
    <t>减震器下底板</t>
    <phoneticPr fontId="7" type="noConversion"/>
  </si>
  <si>
    <t>SLT0010539</t>
    <phoneticPr fontId="7" type="noConversion"/>
  </si>
  <si>
    <t>减震器上盖板</t>
    <phoneticPr fontId="7" type="noConversion"/>
  </si>
  <si>
    <t>侧冲孔</t>
    <phoneticPr fontId="7" type="noConversion"/>
  </si>
  <si>
    <t>250T</t>
    <phoneticPr fontId="7" type="noConversion"/>
  </si>
  <si>
    <t>SLT0010545</t>
    <phoneticPr fontId="7" type="noConversion"/>
  </si>
  <si>
    <t>侧冲孔</t>
  </si>
  <si>
    <t>翻孔</t>
  </si>
  <si>
    <t>每件模摊费（预付30%，剩余70%分摊10万件/种）</t>
    <phoneticPr fontId="7" type="noConversion"/>
  </si>
  <si>
    <t>初始报价</t>
    <phoneticPr fontId="7" type="noConversion"/>
  </si>
  <si>
    <t>商定报价</t>
    <phoneticPr fontId="7" type="noConversion"/>
  </si>
  <si>
    <r>
      <rPr>
        <sz val="8"/>
        <color indexed="8"/>
        <rFont val="宋体"/>
        <family val="3"/>
        <charset val="134"/>
      </rPr>
      <t>外绞架</t>
    </r>
    <r>
      <rPr>
        <sz val="8"/>
        <color indexed="10"/>
        <rFont val="宋体"/>
        <family val="3"/>
        <charset val="134"/>
      </rPr>
      <t>支撑板</t>
    </r>
    <r>
      <rPr>
        <sz val="8"/>
        <color indexed="8"/>
        <rFont val="宋体"/>
        <family val="3"/>
        <charset val="134"/>
      </rPr>
      <t>组件</t>
    </r>
    <phoneticPr fontId="7" type="noConversion"/>
  </si>
  <si>
    <t>模具总费用</t>
    <phoneticPr fontId="7" type="noConversion"/>
  </si>
  <si>
    <t>模摊方式</t>
    <phoneticPr fontId="7" type="noConversion"/>
  </si>
  <si>
    <t>预付30%，剩余70%摊销10万件产品</t>
    <phoneticPr fontId="7" type="noConversion"/>
  </si>
  <si>
    <t>100%摊销10万件产品</t>
    <phoneticPr fontId="7" type="noConversion"/>
  </si>
  <si>
    <t>第二部分钣金件价格汇总</t>
    <phoneticPr fontId="7" type="noConversion"/>
  </si>
  <si>
    <t>翻边</t>
    <phoneticPr fontId="7" type="noConversion"/>
  </si>
  <si>
    <t>翻孔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</si>
</sst>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&quot;￥&quot;#,##0.00_);[Red]\(&quot;￥&quot;#,##0.00\)"/>
    <numFmt numFmtId="177" formatCode="0.00_ "/>
    <numFmt numFmtId="178" formatCode="0_);[Red]\(0\)"/>
    <numFmt numFmtId="179" formatCode="0.0000_ "/>
    <numFmt numFmtId="180" formatCode="0.00000_ "/>
    <numFmt numFmtId="181" formatCode="#,##0.00_);[Red]\(#,##0.00\)"/>
    <numFmt numFmtId="182" formatCode="0.000_ "/>
    <numFmt numFmtId="183" formatCode="0.00_);[Red]\(0.00\)"/>
    <numFmt numFmtId="184" formatCode="0.000_);[Red]\(0.000\)"/>
    <numFmt numFmtId="185" formatCode="0_ "/>
    <numFmt numFmtId="186" formatCode="0.0_ "/>
    <numFmt numFmtId="187" formatCode="0.0_);[Red]\(0.0\)"/>
    <numFmt numFmtId="188" formatCode="0.0000_);[Red]\(0.0000\)"/>
    <numFmt numFmtId="189" formatCode="&quot;¥&quot;#,##0.00_);[Red]\(&quot;¥&quot;#,##0.00\)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楷体_GB2312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indexed="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8"/>
      <color indexed="8"/>
      <name val="等线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</font>
    <font>
      <sz val="8"/>
      <color indexed="8"/>
      <name val="等线"/>
      <family val="3"/>
      <charset val="134"/>
    </font>
    <font>
      <sz val="8"/>
      <color indexed="8"/>
      <name val="宋体"/>
      <family val="3"/>
      <charset val="134"/>
    </font>
    <font>
      <sz val="8"/>
      <color indexed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9" fillId="0" borderId="1" applyNumberFormat="0" applyFill="0" applyBorder="0" applyAlignment="0" applyProtection="0">
      <alignment vertical="center"/>
    </xf>
    <xf numFmtId="0" fontId="12" fillId="0" borderId="0"/>
    <xf numFmtId="0" fontId="12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/>
  </cellStyleXfs>
  <cellXfs count="269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/>
    </xf>
    <xf numFmtId="178" fontId="4" fillId="0" borderId="2" xfId="0" applyNumberFormat="1" applyFont="1" applyBorder="1" applyAlignment="1">
      <alignment vertical="center" wrapText="1"/>
    </xf>
    <xf numFmtId="178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177" fontId="0" fillId="3" borderId="0" xfId="0" applyNumberFormat="1" applyFill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3" applyFont="1" applyBorder="1" applyAlignment="1" applyProtection="1">
      <alignment horizontal="center" vertical="center" wrapText="1"/>
      <protection locked="0"/>
    </xf>
    <xf numFmtId="0" fontId="10" fillId="0" borderId="1" xfId="4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81" fontId="13" fillId="0" borderId="1" xfId="2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shrinkToFit="1"/>
    </xf>
    <xf numFmtId="181" fontId="13" fillId="4" borderId="1" xfId="2" applyNumberFormat="1" applyFont="1" applyFill="1" applyBorder="1" applyAlignment="1">
      <alignment horizontal="center" vertical="center" wrapText="1"/>
    </xf>
    <xf numFmtId="0" fontId="8" fillId="0" borderId="0" xfId="4">
      <alignment vertical="center"/>
    </xf>
    <xf numFmtId="0" fontId="8" fillId="0" borderId="2" xfId="4" applyBorder="1" applyAlignment="1">
      <alignment horizontal="center" vertical="center"/>
    </xf>
    <xf numFmtId="0" fontId="8" fillId="0" borderId="5" xfId="4" applyBorder="1" applyAlignment="1">
      <alignment horizontal="center" vertical="center"/>
    </xf>
    <xf numFmtId="0" fontId="8" fillId="0" borderId="2" xfId="4" applyBorder="1" applyAlignment="1">
      <alignment horizontal="center" vertical="center" wrapText="1" shrinkToFit="1"/>
    </xf>
    <xf numFmtId="183" fontId="8" fillId="0" borderId="2" xfId="4" applyNumberFormat="1" applyBorder="1" applyAlignment="1">
      <alignment horizontal="center" vertical="center"/>
    </xf>
    <xf numFmtId="184" fontId="8" fillId="0" borderId="2" xfId="4" applyNumberFormat="1" applyBorder="1" applyAlignment="1">
      <alignment horizontal="center" vertical="center" shrinkToFit="1"/>
    </xf>
    <xf numFmtId="183" fontId="8" fillId="0" borderId="2" xfId="4" applyNumberFormat="1" applyBorder="1" applyAlignment="1">
      <alignment horizontal="center" vertical="center" wrapText="1"/>
    </xf>
    <xf numFmtId="183" fontId="8" fillId="0" borderId="2" xfId="4" applyNumberFormat="1" applyBorder="1" applyAlignment="1">
      <alignment horizontal="center" vertical="center" shrinkToFit="1"/>
    </xf>
    <xf numFmtId="177" fontId="11" fillId="6" borderId="1" xfId="4" applyNumberFormat="1" applyFont="1" applyFill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/>
    </xf>
    <xf numFmtId="183" fontId="8" fillId="0" borderId="1" xfId="4" applyNumberFormat="1" applyBorder="1">
      <alignment vertical="center"/>
    </xf>
    <xf numFmtId="0" fontId="8" fillId="0" borderId="1" xfId="4" applyBorder="1" applyAlignment="1">
      <alignment horizontal="center" vertical="center"/>
    </xf>
    <xf numFmtId="185" fontId="11" fillId="6" borderId="1" xfId="4" applyNumberFormat="1" applyFont="1" applyFill="1" applyBorder="1" applyAlignment="1">
      <alignment horizontal="center" vertical="center" wrapText="1"/>
    </xf>
    <xf numFmtId="186" fontId="19" fillId="0" borderId="1" xfId="4" applyNumberFormat="1" applyFont="1" applyBorder="1">
      <alignment vertical="center"/>
    </xf>
    <xf numFmtId="0" fontId="8" fillId="0" borderId="1" xfId="4" applyBorder="1" applyAlignment="1">
      <alignment horizontal="center" vertical="center" wrapText="1"/>
    </xf>
    <xf numFmtId="0" fontId="11" fillId="6" borderId="1" xfId="4" applyFont="1" applyFill="1" applyBorder="1" applyAlignment="1">
      <alignment vertical="center" wrapText="1"/>
    </xf>
    <xf numFmtId="179" fontId="11" fillId="0" borderId="1" xfId="1" applyNumberFormat="1" applyFont="1" applyFill="1" applyBorder="1" applyAlignment="1" applyProtection="1">
      <alignment vertical="center" wrapText="1"/>
      <protection locked="0"/>
    </xf>
    <xf numFmtId="17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19" fillId="0" borderId="1" xfId="4" applyNumberFormat="1" applyFont="1" applyBorder="1">
      <alignment vertical="center"/>
    </xf>
    <xf numFmtId="177" fontId="8" fillId="2" borderId="1" xfId="4" applyNumberFormat="1" applyFill="1" applyBorder="1" applyAlignment="1">
      <alignment horizontal="center" vertical="center"/>
    </xf>
    <xf numFmtId="183" fontId="8" fillId="2" borderId="1" xfId="4" applyNumberFormat="1" applyFill="1" applyBorder="1" applyAlignment="1">
      <alignment horizontal="center" vertical="center"/>
    </xf>
    <xf numFmtId="0" fontId="8" fillId="0" borderId="1" xfId="4" applyBorder="1" applyAlignment="1">
      <alignment vertical="center" wrapText="1"/>
    </xf>
    <xf numFmtId="0" fontId="8" fillId="0" borderId="0" xfId="4" applyAlignment="1">
      <alignment vertical="center" wrapText="1"/>
    </xf>
    <xf numFmtId="0" fontId="8" fillId="0" borderId="0" xfId="4" applyAlignment="1">
      <alignment horizontal="center" vertical="center" wrapText="1"/>
    </xf>
    <xf numFmtId="183" fontId="8" fillId="0" borderId="0" xfId="4" applyNumberFormat="1" applyAlignment="1">
      <alignment horizontal="center" vertical="center"/>
    </xf>
    <xf numFmtId="184" fontId="8" fillId="0" borderId="0" xfId="4" applyNumberFormat="1" applyAlignment="1">
      <alignment horizontal="center" vertical="center"/>
    </xf>
    <xf numFmtId="0" fontId="8" fillId="0" borderId="0" xfId="4" applyAlignment="1">
      <alignment horizontal="left" vertical="center"/>
    </xf>
    <xf numFmtId="0" fontId="8" fillId="0" borderId="0" xfId="4" applyAlignment="1">
      <alignment horizontal="center" vertical="center"/>
    </xf>
    <xf numFmtId="183" fontId="8" fillId="0" borderId="0" xfId="4" applyNumberFormat="1">
      <alignment vertical="center"/>
    </xf>
    <xf numFmtId="177" fontId="8" fillId="3" borderId="0" xfId="4" applyNumberFormat="1" applyFill="1">
      <alignment vertical="center"/>
    </xf>
    <xf numFmtId="0" fontId="11" fillId="0" borderId="1" xfId="4" applyFont="1" applyBorder="1" applyAlignment="1">
      <alignment vertical="center" wrapText="1"/>
    </xf>
    <xf numFmtId="179" fontId="11" fillId="0" borderId="1" xfId="6" applyNumberFormat="1" applyFont="1" applyBorder="1" applyAlignment="1">
      <alignment vertical="center"/>
    </xf>
    <xf numFmtId="0" fontId="8" fillId="0" borderId="1" xfId="4" applyBorder="1" applyAlignment="1">
      <alignment vertical="center"/>
    </xf>
    <xf numFmtId="0" fontId="11" fillId="0" borderId="1" xfId="4" quotePrefix="1" applyFont="1" applyBorder="1" applyAlignment="1">
      <alignment vertical="center" wrapText="1"/>
    </xf>
    <xf numFmtId="187" fontId="14" fillId="0" borderId="5" xfId="1" applyNumberFormat="1" applyFont="1" applyFill="1" applyBorder="1" applyAlignment="1" applyProtection="1">
      <alignment horizontal="center" vertical="center" wrapText="1"/>
      <protection locked="0"/>
    </xf>
    <xf numFmtId="183" fontId="11" fillId="0" borderId="1" xfId="0" applyNumberFormat="1" applyFont="1" applyBorder="1" applyAlignment="1">
      <alignment horizontal="center" vertical="center" wrapText="1"/>
    </xf>
    <xf numFmtId="188" fontId="21" fillId="6" borderId="2" xfId="4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shrinkToFit="1"/>
    </xf>
    <xf numFmtId="187" fontId="14" fillId="0" borderId="1" xfId="8" applyNumberFormat="1" applyFont="1" applyFill="1" applyBorder="1" applyAlignment="1">
      <alignment horizontal="center" vertical="center"/>
    </xf>
    <xf numFmtId="0" fontId="11" fillId="3" borderId="1" xfId="9" applyFont="1" applyFill="1" applyBorder="1" applyAlignment="1" applyProtection="1">
      <alignment horizontal="center" vertical="center" wrapText="1"/>
      <protection locked="0"/>
    </xf>
    <xf numFmtId="0" fontId="22" fillId="3" borderId="1" xfId="5" applyFont="1" applyFill="1" applyBorder="1" applyAlignment="1">
      <alignment horizontal="center" vertical="center" wrapText="1"/>
    </xf>
    <xf numFmtId="0" fontId="11" fillId="3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horizontal="center" vertical="center" wrapText="1"/>
    </xf>
    <xf numFmtId="0" fontId="11" fillId="0" borderId="1" xfId="9" applyFont="1" applyFill="1" applyBorder="1" applyAlignment="1" applyProtection="1">
      <alignment horizontal="center" vertical="center" wrapText="1"/>
      <protection locked="0"/>
    </xf>
    <xf numFmtId="0" fontId="8" fillId="0" borderId="1" xfId="4" applyFill="1" applyBorder="1" applyAlignment="1">
      <alignment vertical="center"/>
    </xf>
    <xf numFmtId="0" fontId="8" fillId="0" borderId="1" xfId="4" applyFill="1" applyBorder="1" applyAlignment="1">
      <alignment vertical="center" wrapText="1"/>
    </xf>
    <xf numFmtId="0" fontId="8" fillId="0" borderId="1" xfId="4" applyFill="1" applyBorder="1" applyAlignment="1">
      <alignment horizontal="center" vertical="center" wrapText="1"/>
    </xf>
    <xf numFmtId="188" fontId="21" fillId="0" borderId="2" xfId="4" applyNumberFormat="1" applyFont="1" applyFill="1" applyBorder="1" applyAlignment="1">
      <alignment horizontal="center" vertical="center" wrapText="1"/>
    </xf>
    <xf numFmtId="179" fontId="11" fillId="0" borderId="1" xfId="6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vertical="center" wrapText="1"/>
    </xf>
    <xf numFmtId="0" fontId="11" fillId="0" borderId="1" xfId="5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177" fontId="0" fillId="0" borderId="0" xfId="0" applyNumberForma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181" fontId="13" fillId="0" borderId="1" xfId="2" applyNumberFormat="1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7" fontId="4" fillId="7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179" fontId="11" fillId="9" borderId="1" xfId="6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8" fillId="2" borderId="1" xfId="4" applyNumberFormat="1" applyFill="1" applyBorder="1" applyAlignment="1">
      <alignment horizontal="center" vertical="center"/>
    </xf>
    <xf numFmtId="0" fontId="8" fillId="0" borderId="1" xfId="4" applyBorder="1" applyAlignment="1">
      <alignment horizontal="center" vertical="center" wrapText="1"/>
    </xf>
    <xf numFmtId="189" fontId="0" fillId="0" borderId="1" xfId="0" applyNumberFormat="1" applyBorder="1" applyAlignment="1">
      <alignment horizontal="center" vertical="center"/>
    </xf>
    <xf numFmtId="183" fontId="8" fillId="0" borderId="1" xfId="4" applyNumberFormat="1" applyBorder="1" applyAlignment="1">
      <alignment vertical="center"/>
    </xf>
    <xf numFmtId="181" fontId="13" fillId="0" borderId="1" xfId="2" applyNumberFormat="1" applyFont="1" applyBorder="1" applyAlignment="1">
      <alignment vertical="center" wrapText="1"/>
    </xf>
    <xf numFmtId="177" fontId="24" fillId="0" borderId="1" xfId="0" applyNumberFormat="1" applyFont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0" fontId="27" fillId="0" borderId="1" xfId="3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 vertical="center"/>
    </xf>
    <xf numFmtId="0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8" fontId="28" fillId="0" borderId="1" xfId="0" applyNumberFormat="1" applyFont="1" applyBorder="1" applyAlignment="1">
      <alignment horizontal="center" vertical="center"/>
    </xf>
    <xf numFmtId="178" fontId="28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4" applyFont="1" applyBorder="1" applyAlignment="1">
      <alignment horizontal="center" vertical="center" wrapText="1"/>
    </xf>
    <xf numFmtId="49" fontId="27" fillId="0" borderId="1" xfId="4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2" fontId="28" fillId="0" borderId="1" xfId="0" applyNumberFormat="1" applyFont="1" applyFill="1" applyBorder="1" applyAlignment="1">
      <alignment horizontal="center" vertical="center"/>
    </xf>
    <xf numFmtId="2" fontId="28" fillId="5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2" borderId="4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81" fontId="13" fillId="0" borderId="2" xfId="2" applyNumberFormat="1" applyFont="1" applyBorder="1" applyAlignment="1">
      <alignment horizontal="center" vertical="center" wrapText="1"/>
    </xf>
    <xf numFmtId="181" fontId="13" fillId="0" borderId="6" xfId="2" applyNumberFormat="1" applyFont="1" applyBorder="1" applyAlignment="1">
      <alignment horizontal="center" vertical="center" wrapText="1"/>
    </xf>
    <xf numFmtId="181" fontId="13" fillId="0" borderId="5" xfId="2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4" fillId="2" borderId="4" xfId="0" applyNumberFormat="1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82" fontId="4" fillId="2" borderId="4" xfId="0" applyNumberFormat="1" applyFont="1" applyFill="1" applyBorder="1" applyAlignment="1">
      <alignment horizontal="center" vertical="center"/>
    </xf>
    <xf numFmtId="182" fontId="4" fillId="2" borderId="7" xfId="0" applyNumberFormat="1" applyFont="1" applyFill="1" applyBorder="1" applyAlignment="1">
      <alignment horizontal="center" vertical="center"/>
    </xf>
    <xf numFmtId="181" fontId="13" fillId="0" borderId="2" xfId="2" applyNumberFormat="1" applyFont="1" applyFill="1" applyBorder="1" applyAlignment="1">
      <alignment horizontal="center" vertical="center" wrapText="1"/>
    </xf>
    <xf numFmtId="181" fontId="13" fillId="0" borderId="6" xfId="2" applyNumberFormat="1" applyFont="1" applyFill="1" applyBorder="1" applyAlignment="1">
      <alignment horizontal="center" vertical="center" wrapText="1"/>
    </xf>
    <xf numFmtId="181" fontId="13" fillId="0" borderId="5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8" fontId="5" fillId="0" borderId="11" xfId="0" applyNumberFormat="1" applyFont="1" applyFill="1" applyBorder="1" applyAlignment="1">
      <alignment horizontal="left" vertical="center" wrapText="1"/>
    </xf>
    <xf numFmtId="178" fontId="5" fillId="0" borderId="12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9" fontId="8" fillId="3" borderId="2" xfId="4" applyNumberFormat="1" applyFill="1" applyBorder="1" applyAlignment="1">
      <alignment horizontal="center" vertical="center"/>
    </xf>
    <xf numFmtId="179" fontId="8" fillId="3" borderId="6" xfId="4" applyNumberFormat="1" applyFill="1" applyBorder="1" applyAlignment="1">
      <alignment horizontal="center" vertical="center"/>
    </xf>
    <xf numFmtId="179" fontId="8" fillId="3" borderId="5" xfId="4" applyNumberFormat="1" applyFill="1" applyBorder="1" applyAlignment="1">
      <alignment horizontal="center" vertical="center"/>
    </xf>
    <xf numFmtId="185" fontId="8" fillId="0" borderId="1" xfId="4" applyNumberFormat="1" applyBorder="1" applyAlignment="1">
      <alignment horizontal="center" vertical="center"/>
    </xf>
    <xf numFmtId="185" fontId="8" fillId="0" borderId="2" xfId="4" applyNumberFormat="1" applyBorder="1" applyAlignment="1">
      <alignment horizontal="center" vertical="center"/>
    </xf>
    <xf numFmtId="185" fontId="8" fillId="0" borderId="6" xfId="4" applyNumberFormat="1" applyBorder="1" applyAlignment="1">
      <alignment horizontal="center" vertical="center"/>
    </xf>
    <xf numFmtId="185" fontId="8" fillId="0" borderId="5" xfId="4" applyNumberFormat="1" applyBorder="1" applyAlignment="1">
      <alignment horizontal="center" vertical="center"/>
    </xf>
    <xf numFmtId="179" fontId="8" fillId="0" borderId="2" xfId="4" applyNumberFormat="1" applyBorder="1" applyAlignment="1">
      <alignment horizontal="center" vertical="center"/>
    </xf>
    <xf numFmtId="179" fontId="8" fillId="0" borderId="6" xfId="4" applyNumberFormat="1" applyBorder="1" applyAlignment="1">
      <alignment horizontal="center" vertical="center"/>
    </xf>
    <xf numFmtId="179" fontId="8" fillId="0" borderId="5" xfId="4" applyNumberFormat="1" applyBorder="1" applyAlignment="1">
      <alignment horizontal="center" vertical="center"/>
    </xf>
    <xf numFmtId="0" fontId="8" fillId="2" borderId="1" xfId="4" applyFill="1" applyBorder="1" applyAlignment="1">
      <alignment horizontal="center" vertical="center" wrapText="1"/>
    </xf>
    <xf numFmtId="177" fontId="8" fillId="2" borderId="1" xfId="4" applyNumberFormat="1" applyFill="1" applyBorder="1" applyAlignment="1">
      <alignment horizontal="center" vertical="center"/>
    </xf>
    <xf numFmtId="0" fontId="8" fillId="0" borderId="2" xfId="4" applyBorder="1" applyAlignment="1">
      <alignment horizontal="center" vertical="center"/>
    </xf>
    <xf numFmtId="0" fontId="8" fillId="0" borderId="6" xfId="4" applyBorder="1" applyAlignment="1">
      <alignment horizontal="center" vertical="center"/>
    </xf>
    <xf numFmtId="0" fontId="8" fillId="0" borderId="5" xfId="4" applyBorder="1" applyAlignment="1">
      <alignment horizontal="center" vertical="center"/>
    </xf>
    <xf numFmtId="14" fontId="19" fillId="0" borderId="2" xfId="4" applyNumberFormat="1" applyFont="1" applyBorder="1" applyAlignment="1">
      <alignment horizontal="center" vertical="center" wrapText="1"/>
    </xf>
    <xf numFmtId="0" fontId="19" fillId="0" borderId="6" xfId="4" applyFont="1" applyBorder="1" applyAlignment="1">
      <alignment horizontal="center" vertical="center" wrapText="1"/>
    </xf>
    <xf numFmtId="0" fontId="19" fillId="0" borderId="5" xfId="4" applyFont="1" applyBorder="1" applyAlignment="1">
      <alignment horizontal="center" vertical="center" wrapText="1"/>
    </xf>
    <xf numFmtId="0" fontId="19" fillId="5" borderId="2" xfId="4" applyFont="1" applyFill="1" applyBorder="1" applyAlignment="1">
      <alignment horizontal="center" vertical="center" wrapText="1"/>
    </xf>
    <xf numFmtId="0" fontId="19" fillId="5" borderId="6" xfId="4" applyFont="1" applyFill="1" applyBorder="1" applyAlignment="1">
      <alignment horizontal="center" vertical="center" wrapText="1"/>
    </xf>
    <xf numFmtId="0" fontId="19" fillId="5" borderId="5" xfId="4" applyFont="1" applyFill="1" applyBorder="1" applyAlignment="1">
      <alignment horizontal="center" vertical="center" wrapText="1"/>
    </xf>
    <xf numFmtId="0" fontId="19" fillId="0" borderId="2" xfId="4" applyFont="1" applyBorder="1" applyAlignment="1">
      <alignment horizontal="center" vertical="center" wrapText="1"/>
    </xf>
    <xf numFmtId="9" fontId="0" fillId="0" borderId="1" xfId="7" applyFont="1" applyBorder="1" applyAlignment="1">
      <alignment horizontal="center" vertical="center"/>
    </xf>
    <xf numFmtId="183" fontId="8" fillId="0" borderId="2" xfId="4" applyNumberFormat="1" applyBorder="1" applyAlignment="1">
      <alignment horizontal="center" vertical="center"/>
    </xf>
    <xf numFmtId="183" fontId="8" fillId="0" borderId="6" xfId="4" applyNumberFormat="1" applyBorder="1" applyAlignment="1">
      <alignment horizontal="center" vertical="center"/>
    </xf>
    <xf numFmtId="183" fontId="8" fillId="0" borderId="5" xfId="4" applyNumberFormat="1" applyBorder="1" applyAlignment="1">
      <alignment horizontal="center" vertical="center"/>
    </xf>
    <xf numFmtId="0" fontId="18" fillId="0" borderId="9" xfId="4" applyFont="1" applyBorder="1" applyAlignment="1">
      <alignment horizontal="center" vertical="center"/>
    </xf>
    <xf numFmtId="0" fontId="8" fillId="0" borderId="10" xfId="4" applyBorder="1" applyAlignment="1">
      <alignment horizontal="center" vertical="center" wrapText="1"/>
    </xf>
    <xf numFmtId="0" fontId="8" fillId="0" borderId="8" xfId="4" applyBorder="1" applyAlignment="1">
      <alignment horizontal="center" vertical="center" wrapText="1"/>
    </xf>
    <xf numFmtId="0" fontId="8" fillId="0" borderId="2" xfId="4" applyBorder="1" applyAlignment="1">
      <alignment horizontal="center" vertical="center" wrapText="1"/>
    </xf>
    <xf numFmtId="0" fontId="8" fillId="0" borderId="6" xfId="4" applyBorder="1" applyAlignment="1">
      <alignment horizontal="center" vertical="center" wrapText="1"/>
    </xf>
    <xf numFmtId="0" fontId="8" fillId="0" borderId="2" xfId="4" applyBorder="1" applyAlignment="1">
      <alignment horizontal="center" vertical="center" shrinkToFit="1"/>
    </xf>
    <xf numFmtId="0" fontId="8" fillId="0" borderId="6" xfId="4" applyBorder="1" applyAlignment="1">
      <alignment horizontal="center" vertical="center" shrinkToFit="1"/>
    </xf>
    <xf numFmtId="0" fontId="8" fillId="0" borderId="5" xfId="4" applyBorder="1" applyAlignment="1">
      <alignment horizontal="center" vertical="center" shrinkToFit="1"/>
    </xf>
    <xf numFmtId="0" fontId="8" fillId="0" borderId="1" xfId="4" applyBorder="1" applyAlignment="1">
      <alignment horizontal="center" vertical="center" wrapText="1" shrinkToFit="1"/>
    </xf>
    <xf numFmtId="183" fontId="8" fillId="0" borderId="3" xfId="4" applyNumberFormat="1" applyBorder="1" applyAlignment="1">
      <alignment horizontal="center" vertical="center"/>
    </xf>
    <xf numFmtId="183" fontId="8" fillId="0" borderId="7" xfId="4" applyNumberFormat="1" applyBorder="1" applyAlignment="1">
      <alignment horizontal="center" vertical="center"/>
    </xf>
    <xf numFmtId="184" fontId="8" fillId="0" borderId="3" xfId="4" applyNumberFormat="1" applyBorder="1" applyAlignment="1">
      <alignment horizontal="center" vertical="center" shrinkToFit="1"/>
    </xf>
    <xf numFmtId="184" fontId="8" fillId="0" borderId="4" xfId="4" applyNumberFormat="1" applyBorder="1" applyAlignment="1">
      <alignment horizontal="center" vertical="center" shrinkToFit="1"/>
    </xf>
    <xf numFmtId="184" fontId="8" fillId="0" borderId="7" xfId="4" applyNumberFormat="1" applyBorder="1" applyAlignment="1">
      <alignment horizontal="center" vertical="center" shrinkToFit="1"/>
    </xf>
    <xf numFmtId="183" fontId="8" fillId="0" borderId="4" xfId="4" applyNumberFormat="1" applyBorder="1" applyAlignment="1">
      <alignment horizontal="center" vertical="center"/>
    </xf>
    <xf numFmtId="177" fontId="8" fillId="3" borderId="2" xfId="4" applyNumberFormat="1" applyFill="1" applyBorder="1" applyAlignment="1">
      <alignment horizontal="center" vertical="center" wrapText="1"/>
    </xf>
    <xf numFmtId="177" fontId="8" fillId="3" borderId="6" xfId="4" applyNumberFormat="1" applyFill="1" applyBorder="1" applyAlignment="1">
      <alignment horizontal="center" vertical="center" wrapText="1"/>
    </xf>
    <xf numFmtId="0" fontId="8" fillId="0" borderId="1" xfId="4" applyBorder="1" applyAlignment="1">
      <alignment horizontal="center" vertical="center" wrapText="1"/>
    </xf>
    <xf numFmtId="183" fontId="8" fillId="0" borderId="2" xfId="4" applyNumberFormat="1" applyBorder="1" applyAlignment="1">
      <alignment horizontal="center" vertical="center" wrapText="1"/>
    </xf>
    <xf numFmtId="183" fontId="8" fillId="0" borderId="6" xfId="4" applyNumberFormat="1" applyBorder="1" applyAlignment="1">
      <alignment horizontal="center" vertical="center" wrapText="1"/>
    </xf>
    <xf numFmtId="188" fontId="21" fillId="6" borderId="2" xfId="4" applyNumberFormat="1" applyFont="1" applyFill="1" applyBorder="1" applyAlignment="1">
      <alignment horizontal="center" vertical="center" wrapText="1"/>
    </xf>
    <xf numFmtId="188" fontId="21" fillId="6" borderId="5" xfId="4" applyNumberFormat="1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0" applyFont="1" applyFill="1">
      <alignment vertical="center"/>
    </xf>
  </cellXfs>
  <cellStyles count="10">
    <cellStyle name="BOM_Level_Below3" xfId="1" xr:uid="{2B9B55C1-EA4E-448C-8789-1B7E18C9BA01}"/>
    <cellStyle name="百分比 2" xfId="7" xr:uid="{705B1959-7A4D-468A-84B0-B95634DF8D95}"/>
    <cellStyle name="常规" xfId="0" builtinId="0"/>
    <cellStyle name="常规 2" xfId="4" xr:uid="{8C27218F-F55B-4C72-B713-B8BBF0028957}"/>
    <cellStyle name="常规 2 10" xfId="8" xr:uid="{987DD150-0E33-45A5-82D3-E884956F0CD2}"/>
    <cellStyle name="常规 3" xfId="6" xr:uid="{CA10B3AA-F8D8-433E-9206-2A4E4D4EB8D2}"/>
    <cellStyle name="常规 6" xfId="2" xr:uid="{6649B1D0-E993-4541-B62F-8EF6FB36C167}"/>
    <cellStyle name="常规_正司机座椅 _28" xfId="5" xr:uid="{C0C42720-480C-49CE-BE12-CDE83E43D294}"/>
    <cellStyle name="样式 1" xfId="3" xr:uid="{9243177B-3FAC-4DAC-8448-363637C1C93A}"/>
    <cellStyle name="样式 1 5 2" xfId="9" xr:uid="{54B3E074-2353-4FBB-B9C2-7C7B4651F3E3}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w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5.png"/><Relationship Id="rId18" Type="http://schemas.openxmlformats.org/officeDocument/2006/relationships/image" Target="../media/image8.png"/><Relationship Id="rId26" Type="http://schemas.openxmlformats.org/officeDocument/2006/relationships/image" Target="../media/image26.png"/><Relationship Id="rId3" Type="http://schemas.openxmlformats.org/officeDocument/2006/relationships/image" Target="../media/image11.wmf"/><Relationship Id="rId21" Type="http://schemas.openxmlformats.org/officeDocument/2006/relationships/image" Target="../media/image21.png"/><Relationship Id="rId7" Type="http://schemas.openxmlformats.org/officeDocument/2006/relationships/image" Target="../media/image1.png"/><Relationship Id="rId12" Type="http://schemas.openxmlformats.org/officeDocument/2006/relationships/image" Target="../media/image4.png"/><Relationship Id="rId17" Type="http://schemas.openxmlformats.org/officeDocument/2006/relationships/image" Target="../media/image18.wmf"/><Relationship Id="rId25" Type="http://schemas.openxmlformats.org/officeDocument/2006/relationships/image" Target="../media/image25.png"/><Relationship Id="rId2" Type="http://schemas.openxmlformats.org/officeDocument/2006/relationships/image" Target="../media/image10.wmf"/><Relationship Id="rId16" Type="http://schemas.openxmlformats.org/officeDocument/2006/relationships/image" Target="../media/image17.wmf"/><Relationship Id="rId20" Type="http://schemas.openxmlformats.org/officeDocument/2006/relationships/image" Target="../media/image20.png"/><Relationship Id="rId1" Type="http://schemas.openxmlformats.org/officeDocument/2006/relationships/image" Target="../media/image9.wmf"/><Relationship Id="rId6" Type="http://schemas.openxmlformats.org/officeDocument/2006/relationships/image" Target="../media/image14.png"/><Relationship Id="rId11" Type="http://schemas.openxmlformats.org/officeDocument/2006/relationships/image" Target="../media/image16.png"/><Relationship Id="rId24" Type="http://schemas.openxmlformats.org/officeDocument/2006/relationships/image" Target="../media/image24.png"/><Relationship Id="rId5" Type="http://schemas.openxmlformats.org/officeDocument/2006/relationships/image" Target="../media/image13.png"/><Relationship Id="rId15" Type="http://schemas.openxmlformats.org/officeDocument/2006/relationships/image" Target="../media/image7.wmf"/><Relationship Id="rId23" Type="http://schemas.openxmlformats.org/officeDocument/2006/relationships/image" Target="../media/image23.png"/><Relationship Id="rId10" Type="http://schemas.openxmlformats.org/officeDocument/2006/relationships/image" Target="../media/image15.png"/><Relationship Id="rId19" Type="http://schemas.openxmlformats.org/officeDocument/2006/relationships/image" Target="../media/image19.png"/><Relationship Id="rId4" Type="http://schemas.openxmlformats.org/officeDocument/2006/relationships/image" Target="../media/image12.wmf"/><Relationship Id="rId9" Type="http://schemas.openxmlformats.org/officeDocument/2006/relationships/image" Target="../media/image3.png"/><Relationship Id="rId14" Type="http://schemas.openxmlformats.org/officeDocument/2006/relationships/image" Target="../media/image6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5.png"/><Relationship Id="rId18" Type="http://schemas.openxmlformats.org/officeDocument/2006/relationships/image" Target="../media/image8.png"/><Relationship Id="rId26" Type="http://schemas.openxmlformats.org/officeDocument/2006/relationships/image" Target="../media/image27.png"/><Relationship Id="rId3" Type="http://schemas.openxmlformats.org/officeDocument/2006/relationships/image" Target="../media/image11.wmf"/><Relationship Id="rId21" Type="http://schemas.openxmlformats.org/officeDocument/2006/relationships/image" Target="../media/image21.png"/><Relationship Id="rId7" Type="http://schemas.openxmlformats.org/officeDocument/2006/relationships/image" Target="../media/image1.png"/><Relationship Id="rId12" Type="http://schemas.openxmlformats.org/officeDocument/2006/relationships/image" Target="../media/image4.png"/><Relationship Id="rId17" Type="http://schemas.openxmlformats.org/officeDocument/2006/relationships/image" Target="../media/image18.wmf"/><Relationship Id="rId25" Type="http://schemas.openxmlformats.org/officeDocument/2006/relationships/image" Target="../media/image29.wmf"/><Relationship Id="rId2" Type="http://schemas.openxmlformats.org/officeDocument/2006/relationships/image" Target="../media/image10.wmf"/><Relationship Id="rId16" Type="http://schemas.openxmlformats.org/officeDocument/2006/relationships/image" Target="../media/image17.wmf"/><Relationship Id="rId20" Type="http://schemas.openxmlformats.org/officeDocument/2006/relationships/image" Target="../media/image20.png"/><Relationship Id="rId1" Type="http://schemas.openxmlformats.org/officeDocument/2006/relationships/image" Target="../media/image9.wmf"/><Relationship Id="rId6" Type="http://schemas.openxmlformats.org/officeDocument/2006/relationships/image" Target="../media/image14.png"/><Relationship Id="rId11" Type="http://schemas.openxmlformats.org/officeDocument/2006/relationships/image" Target="../media/image16.png"/><Relationship Id="rId24" Type="http://schemas.openxmlformats.org/officeDocument/2006/relationships/image" Target="../media/image28.png"/><Relationship Id="rId5" Type="http://schemas.openxmlformats.org/officeDocument/2006/relationships/image" Target="../media/image13.png"/><Relationship Id="rId15" Type="http://schemas.openxmlformats.org/officeDocument/2006/relationships/image" Target="../media/image7.wmf"/><Relationship Id="rId23" Type="http://schemas.openxmlformats.org/officeDocument/2006/relationships/image" Target="../media/image25.png"/><Relationship Id="rId10" Type="http://schemas.openxmlformats.org/officeDocument/2006/relationships/image" Target="../media/image15.png"/><Relationship Id="rId19" Type="http://schemas.openxmlformats.org/officeDocument/2006/relationships/image" Target="../media/image19.png"/><Relationship Id="rId4" Type="http://schemas.openxmlformats.org/officeDocument/2006/relationships/image" Target="../media/image12.wmf"/><Relationship Id="rId9" Type="http://schemas.openxmlformats.org/officeDocument/2006/relationships/image" Target="../media/image3.png"/><Relationship Id="rId14" Type="http://schemas.openxmlformats.org/officeDocument/2006/relationships/image" Target="../media/image6.png"/><Relationship Id="rId22" Type="http://schemas.openxmlformats.org/officeDocument/2006/relationships/image" Target="../media/image24.png"/><Relationship Id="rId27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60114</xdr:colOff>
      <xdr:row>9</xdr:row>
      <xdr:rowOff>112607</xdr:rowOff>
    </xdr:from>
    <xdr:to>
      <xdr:col>3</xdr:col>
      <xdr:colOff>700056</xdr:colOff>
      <xdr:row>9</xdr:row>
      <xdr:rowOff>626534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8B0F2BAE-4E9F-4580-A0D7-C71705AB9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9647" y="5827607"/>
          <a:ext cx="639942" cy="513927"/>
        </a:xfrm>
        <a:prstGeom prst="rect">
          <a:avLst/>
        </a:prstGeom>
      </xdr:spPr>
    </xdr:pic>
    <xdr:clientData/>
  </xdr:twoCellAnchor>
  <xdr:twoCellAnchor>
    <xdr:from>
      <xdr:col>3</xdr:col>
      <xdr:colOff>156634</xdr:colOff>
      <xdr:row>10</xdr:row>
      <xdr:rowOff>117686</xdr:rowOff>
    </xdr:from>
    <xdr:to>
      <xdr:col>3</xdr:col>
      <xdr:colOff>635226</xdr:colOff>
      <xdr:row>10</xdr:row>
      <xdr:rowOff>575733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227380F-8E5A-4AC1-8EB3-28465581C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6167" y="6620086"/>
          <a:ext cx="478592" cy="458047"/>
        </a:xfrm>
        <a:prstGeom prst="rect">
          <a:avLst/>
        </a:prstGeom>
      </xdr:spPr>
    </xdr:pic>
    <xdr:clientData/>
  </xdr:twoCellAnchor>
  <xdr:twoCellAnchor>
    <xdr:from>
      <xdr:col>3</xdr:col>
      <xdr:colOff>162559</xdr:colOff>
      <xdr:row>11</xdr:row>
      <xdr:rowOff>135467</xdr:rowOff>
    </xdr:from>
    <xdr:to>
      <xdr:col>3</xdr:col>
      <xdr:colOff>710134</xdr:colOff>
      <xdr:row>11</xdr:row>
      <xdr:rowOff>660400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402475C1-685B-4B6E-A02E-37131624A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32092" y="7425267"/>
          <a:ext cx="547575" cy="524933"/>
        </a:xfrm>
        <a:prstGeom prst="rect">
          <a:avLst/>
        </a:prstGeom>
      </xdr:spPr>
    </xdr:pic>
    <xdr:clientData/>
  </xdr:twoCellAnchor>
  <xdr:twoCellAnchor>
    <xdr:from>
      <xdr:col>3</xdr:col>
      <xdr:colOff>129539</xdr:colOff>
      <xdr:row>14</xdr:row>
      <xdr:rowOff>77893</xdr:rowOff>
    </xdr:from>
    <xdr:to>
      <xdr:col>3</xdr:col>
      <xdr:colOff>701040</xdr:colOff>
      <xdr:row>14</xdr:row>
      <xdr:rowOff>584200</xdr:rowOff>
    </xdr:to>
    <xdr:pic>
      <xdr:nvPicPr>
        <xdr:cNvPr id="20" name="图片 19" descr="1629962997(1)">
          <a:extLst>
            <a:ext uri="{FF2B5EF4-FFF2-40B4-BE49-F238E27FC236}">
              <a16:creationId xmlns:a16="http://schemas.microsoft.com/office/drawing/2014/main" id="{72D951D8-0681-4D12-830E-24893D90B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99072" y="9729893"/>
          <a:ext cx="571501" cy="506307"/>
        </a:xfrm>
        <a:prstGeom prst="rect">
          <a:avLst/>
        </a:prstGeom>
      </xdr:spPr>
    </xdr:pic>
    <xdr:clientData/>
  </xdr:twoCellAnchor>
  <xdr:twoCellAnchor>
    <xdr:from>
      <xdr:col>3</xdr:col>
      <xdr:colOff>193887</xdr:colOff>
      <xdr:row>15</xdr:row>
      <xdr:rowOff>173566</xdr:rowOff>
    </xdr:from>
    <xdr:to>
      <xdr:col>3</xdr:col>
      <xdr:colOff>494247</xdr:colOff>
      <xdr:row>15</xdr:row>
      <xdr:rowOff>609599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D521380D-DD6D-43D9-A144-6D6298C7D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63420" y="10612966"/>
          <a:ext cx="300360" cy="436033"/>
        </a:xfrm>
        <a:prstGeom prst="rect">
          <a:avLst/>
        </a:prstGeom>
      </xdr:spPr>
    </xdr:pic>
    <xdr:clientData/>
  </xdr:twoCellAnchor>
  <xdr:twoCellAnchor>
    <xdr:from>
      <xdr:col>3</xdr:col>
      <xdr:colOff>215900</xdr:colOff>
      <xdr:row>16</xdr:row>
      <xdr:rowOff>148166</xdr:rowOff>
    </xdr:from>
    <xdr:to>
      <xdr:col>3</xdr:col>
      <xdr:colOff>667323</xdr:colOff>
      <xdr:row>16</xdr:row>
      <xdr:rowOff>651933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CD36E4F8-382C-4792-8829-5FEB1F888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85433" y="11374966"/>
          <a:ext cx="451423" cy="503767"/>
        </a:xfrm>
        <a:prstGeom prst="rect">
          <a:avLst/>
        </a:prstGeom>
      </xdr:spPr>
    </xdr:pic>
    <xdr:clientData/>
  </xdr:twoCellAnchor>
  <xdr:twoCellAnchor>
    <xdr:from>
      <xdr:col>3</xdr:col>
      <xdr:colOff>269240</xdr:colOff>
      <xdr:row>17</xdr:row>
      <xdr:rowOff>125307</xdr:rowOff>
    </xdr:from>
    <xdr:to>
      <xdr:col>3</xdr:col>
      <xdr:colOff>710796</xdr:colOff>
      <xdr:row>17</xdr:row>
      <xdr:rowOff>558800</xdr:rowOff>
    </xdr:to>
    <xdr:pic>
      <xdr:nvPicPr>
        <xdr:cNvPr id="23" name="图片 1">
          <a:extLst>
            <a:ext uri="{FF2B5EF4-FFF2-40B4-BE49-F238E27FC236}">
              <a16:creationId xmlns:a16="http://schemas.microsoft.com/office/drawing/2014/main" id="{12D8AD50-092D-4B64-90F2-DA0A2A85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38773" y="12139507"/>
          <a:ext cx="441556" cy="433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155786</xdr:colOff>
      <xdr:row>20</xdr:row>
      <xdr:rowOff>127000</xdr:rowOff>
    </xdr:from>
    <xdr:to>
      <xdr:col>3</xdr:col>
      <xdr:colOff>570568</xdr:colOff>
      <xdr:row>20</xdr:row>
      <xdr:rowOff>541867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AF0482D-E853-4CCB-8694-C475D85A4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25319" y="14503400"/>
          <a:ext cx="414782" cy="4148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137161</xdr:colOff>
      <xdr:row>5</xdr:row>
      <xdr:rowOff>7620</xdr:rowOff>
    </xdr:from>
    <xdr:to>
      <xdr:col>2</xdr:col>
      <xdr:colOff>662940</xdr:colOff>
      <xdr:row>8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F6F03CE-2D6F-4A52-AED2-839436F5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561" y="1165860"/>
          <a:ext cx="525779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12</xdr:row>
      <xdr:rowOff>166815</xdr:rowOff>
    </xdr:from>
    <xdr:to>
      <xdr:col>2</xdr:col>
      <xdr:colOff>586740</xdr:colOff>
      <xdr:row>15</xdr:row>
      <xdr:rowOff>114301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29EDCD4-5F0F-44B6-BCC2-427237D5E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98320" y="2818575"/>
          <a:ext cx="464820" cy="4961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129540</xdr:colOff>
      <xdr:row>25</xdr:row>
      <xdr:rowOff>121920</xdr:rowOff>
    </xdr:from>
    <xdr:to>
      <xdr:col>2</xdr:col>
      <xdr:colOff>666857</xdr:colOff>
      <xdr:row>29</xdr:row>
      <xdr:rowOff>60960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3A7F9D8-AD71-4CA6-B56C-1A6C03D3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940" y="4792980"/>
          <a:ext cx="537317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45720</xdr:colOff>
      <xdr:row>34</xdr:row>
      <xdr:rowOff>22860</xdr:rowOff>
    </xdr:from>
    <xdr:to>
      <xdr:col>2</xdr:col>
      <xdr:colOff>709120</xdr:colOff>
      <xdr:row>38</xdr:row>
      <xdr:rowOff>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4B24872-56BE-47C3-B9EB-FB8F1747D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22120" y="6347460"/>
          <a:ext cx="663400" cy="472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137160</xdr:colOff>
      <xdr:row>41</xdr:row>
      <xdr:rowOff>160020</xdr:rowOff>
    </xdr:from>
    <xdr:to>
      <xdr:col>2</xdr:col>
      <xdr:colOff>541020</xdr:colOff>
      <xdr:row>44</xdr:row>
      <xdr:rowOff>60960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A73C89A-AD63-4922-BD1B-4E379988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560" y="7604760"/>
          <a:ext cx="403860" cy="266700"/>
        </a:xfrm>
        <a:prstGeom prst="rect">
          <a:avLst/>
        </a:prstGeom>
      </xdr:spPr>
    </xdr:pic>
    <xdr:clientData/>
  </xdr:twoCellAnchor>
  <xdr:twoCellAnchor>
    <xdr:from>
      <xdr:col>2</xdr:col>
      <xdr:colOff>68579</xdr:colOff>
      <xdr:row>49</xdr:row>
      <xdr:rowOff>114300</xdr:rowOff>
    </xdr:from>
    <xdr:to>
      <xdr:col>2</xdr:col>
      <xdr:colOff>669148</xdr:colOff>
      <xdr:row>52</xdr:row>
      <xdr:rowOff>22860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7396A94-AC4A-48EB-9A3D-6F030D8A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44979" y="9227820"/>
          <a:ext cx="600569" cy="457200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57</xdr:row>
      <xdr:rowOff>53340</xdr:rowOff>
    </xdr:from>
    <xdr:to>
      <xdr:col>2</xdr:col>
      <xdr:colOff>708522</xdr:colOff>
      <xdr:row>60</xdr:row>
      <xdr:rowOff>45720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6C0CCB2-823B-4169-925D-D80F46D1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44980" y="10835640"/>
          <a:ext cx="639942" cy="54102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65</xdr:row>
      <xdr:rowOff>83820</xdr:rowOff>
    </xdr:from>
    <xdr:to>
      <xdr:col>2</xdr:col>
      <xdr:colOff>592892</xdr:colOff>
      <xdr:row>67</xdr:row>
      <xdr:rowOff>144780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C278B18E-B396-4D24-8E61-47755B20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90700" y="12534900"/>
          <a:ext cx="478592" cy="426720"/>
        </a:xfrm>
        <a:prstGeom prst="rect">
          <a:avLst/>
        </a:prstGeom>
      </xdr:spPr>
    </xdr:pic>
    <xdr:clientData/>
  </xdr:twoCellAnchor>
  <xdr:twoCellAnchor>
    <xdr:from>
      <xdr:col>2</xdr:col>
      <xdr:colOff>137159</xdr:colOff>
      <xdr:row>73</xdr:row>
      <xdr:rowOff>152400</xdr:rowOff>
    </xdr:from>
    <xdr:to>
      <xdr:col>2</xdr:col>
      <xdr:colOff>684734</xdr:colOff>
      <xdr:row>76</xdr:row>
      <xdr:rowOff>121920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171B2F7B-1B80-452F-A312-E95DB2606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13559" y="14272260"/>
          <a:ext cx="547575" cy="51816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81</xdr:row>
      <xdr:rowOff>45720</xdr:rowOff>
    </xdr:from>
    <xdr:to>
      <xdr:col>2</xdr:col>
      <xdr:colOff>655074</xdr:colOff>
      <xdr:row>83</xdr:row>
      <xdr:rowOff>106680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0F9A69D-E9CE-4353-A877-7D8530B12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60220" y="15834360"/>
          <a:ext cx="571254" cy="426720"/>
        </a:xfrm>
        <a:prstGeom prst="rect">
          <a:avLst/>
        </a:prstGeom>
      </xdr:spPr>
    </xdr:pic>
    <xdr:clientData/>
  </xdr:twoCellAnchor>
  <xdr:twoCellAnchor>
    <xdr:from>
      <xdr:col>2</xdr:col>
      <xdr:colOff>91439</xdr:colOff>
      <xdr:row>88</xdr:row>
      <xdr:rowOff>83820</xdr:rowOff>
    </xdr:from>
    <xdr:to>
      <xdr:col>2</xdr:col>
      <xdr:colOff>602662</xdr:colOff>
      <xdr:row>90</xdr:row>
      <xdr:rowOff>152400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3FA8E2C-BCDC-437D-99E6-B8AA02492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7839" y="17358360"/>
          <a:ext cx="511223" cy="434340"/>
        </a:xfrm>
        <a:prstGeom prst="rect">
          <a:avLst/>
        </a:prstGeom>
      </xdr:spPr>
    </xdr:pic>
    <xdr:clientData/>
  </xdr:twoCellAnchor>
  <xdr:twoCellAnchor>
    <xdr:from>
      <xdr:col>2</xdr:col>
      <xdr:colOff>53339</xdr:colOff>
      <xdr:row>97</xdr:row>
      <xdr:rowOff>60960</xdr:rowOff>
    </xdr:from>
    <xdr:to>
      <xdr:col>2</xdr:col>
      <xdr:colOff>624840</xdr:colOff>
      <xdr:row>98</xdr:row>
      <xdr:rowOff>152400</xdr:rowOff>
    </xdr:to>
    <xdr:pic>
      <xdr:nvPicPr>
        <xdr:cNvPr id="27" name="图片 26" descr="1629962997(1)">
          <a:extLst>
            <a:ext uri="{FF2B5EF4-FFF2-40B4-BE49-F238E27FC236}">
              <a16:creationId xmlns:a16="http://schemas.microsoft.com/office/drawing/2014/main" id="{D3FF45BC-6F27-46AC-A206-CFD9A5CB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29739" y="19187160"/>
          <a:ext cx="571501" cy="27432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104</xdr:row>
      <xdr:rowOff>114300</xdr:rowOff>
    </xdr:from>
    <xdr:to>
      <xdr:col>2</xdr:col>
      <xdr:colOff>460380</xdr:colOff>
      <xdr:row>106</xdr:row>
      <xdr:rowOff>144780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37ADE79-F347-4325-8BC0-258469A7B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36420" y="20726400"/>
          <a:ext cx="300360" cy="39624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111</xdr:row>
      <xdr:rowOff>114300</xdr:rowOff>
    </xdr:from>
    <xdr:to>
      <xdr:col>2</xdr:col>
      <xdr:colOff>641923</xdr:colOff>
      <xdr:row>115</xdr:row>
      <xdr:rowOff>129540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B7E664D4-699A-4E8E-8441-3A0A631F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66900" y="22212300"/>
          <a:ext cx="451423" cy="746760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121</xdr:row>
      <xdr:rowOff>15240</xdr:rowOff>
    </xdr:from>
    <xdr:to>
      <xdr:col>2</xdr:col>
      <xdr:colOff>609196</xdr:colOff>
      <xdr:row>122</xdr:row>
      <xdr:rowOff>175260</xdr:rowOff>
    </xdr:to>
    <xdr:pic>
      <xdr:nvPicPr>
        <xdr:cNvPr id="33" name="图片 1">
          <a:extLst>
            <a:ext uri="{FF2B5EF4-FFF2-40B4-BE49-F238E27FC236}">
              <a16:creationId xmlns:a16="http://schemas.microsoft.com/office/drawing/2014/main" id="{38B5256C-8B4F-420A-A7E9-F9350381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4040" y="24147780"/>
          <a:ext cx="441556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167640</xdr:colOff>
      <xdr:row>128</xdr:row>
      <xdr:rowOff>15240</xdr:rowOff>
    </xdr:from>
    <xdr:to>
      <xdr:col>2</xdr:col>
      <xdr:colOff>667946</xdr:colOff>
      <xdr:row>130</xdr:row>
      <xdr:rowOff>160020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F5257AD8-F17A-438B-BE3D-0C25B24D7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44040" y="26365200"/>
          <a:ext cx="500306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60960</xdr:colOff>
      <xdr:row>143</xdr:row>
      <xdr:rowOff>121920</xdr:rowOff>
    </xdr:from>
    <xdr:to>
      <xdr:col>2</xdr:col>
      <xdr:colOff>607634</xdr:colOff>
      <xdr:row>146</xdr:row>
      <xdr:rowOff>83820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1A9A45B-6488-454E-86B2-509AB4494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37360" y="28140660"/>
          <a:ext cx="546674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154</xdr:row>
      <xdr:rowOff>152400</xdr:rowOff>
    </xdr:from>
    <xdr:to>
      <xdr:col>2</xdr:col>
      <xdr:colOff>536702</xdr:colOff>
      <xdr:row>156</xdr:row>
      <xdr:rowOff>137160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11D58052-78CA-4D11-B10B-A20EF77E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98320" y="30388560"/>
          <a:ext cx="414782" cy="35052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166</xdr:row>
      <xdr:rowOff>30480</xdr:rowOff>
    </xdr:from>
    <xdr:to>
      <xdr:col>2</xdr:col>
      <xdr:colOff>657444</xdr:colOff>
      <xdr:row>168</xdr:row>
      <xdr:rowOff>175260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5619C3A8-A416-4419-9EEB-34ECCA6CE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98320" y="32666940"/>
          <a:ext cx="535524" cy="510540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176</xdr:row>
      <xdr:rowOff>83820</xdr:rowOff>
    </xdr:from>
    <xdr:to>
      <xdr:col>2</xdr:col>
      <xdr:colOff>553666</xdr:colOff>
      <xdr:row>179</xdr:row>
      <xdr:rowOff>83820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9125BB8E-DB76-4766-A665-74C8F2BA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97380" y="34754820"/>
          <a:ext cx="332686" cy="548640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184</xdr:row>
      <xdr:rowOff>160020</xdr:rowOff>
    </xdr:from>
    <xdr:to>
      <xdr:col>2</xdr:col>
      <xdr:colOff>635438</xdr:colOff>
      <xdr:row>187</xdr:row>
      <xdr:rowOff>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BD0628E-78F3-47F5-B58F-520A8E21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21180" y="38145720"/>
          <a:ext cx="490658" cy="44958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211</xdr:row>
      <xdr:rowOff>167353</xdr:rowOff>
    </xdr:from>
    <xdr:to>
      <xdr:col>2</xdr:col>
      <xdr:colOff>609600</xdr:colOff>
      <xdr:row>215</xdr:row>
      <xdr:rowOff>105933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87D29916-ACD7-4028-A55B-E83D3F760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5400000">
          <a:off x="1722350" y="43814483"/>
          <a:ext cx="6701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106681</xdr:colOff>
      <xdr:row>221</xdr:row>
      <xdr:rowOff>152403</xdr:rowOff>
    </xdr:from>
    <xdr:to>
      <xdr:col>2</xdr:col>
      <xdr:colOff>629393</xdr:colOff>
      <xdr:row>225</xdr:row>
      <xdr:rowOff>144032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504278DE-ABE2-4E32-9E15-B4E38AEF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5400000">
          <a:off x="1682862" y="45827842"/>
          <a:ext cx="723149" cy="5227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192</xdr:row>
      <xdr:rowOff>0</xdr:rowOff>
    </xdr:from>
    <xdr:to>
      <xdr:col>2</xdr:col>
      <xdr:colOff>690033</xdr:colOff>
      <xdr:row>194</xdr:row>
      <xdr:rowOff>91440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794ECAB5-8076-4A65-9BFD-0B256931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9654480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99060</xdr:colOff>
      <xdr:row>202</xdr:row>
      <xdr:rowOff>91440</xdr:rowOff>
    </xdr:from>
    <xdr:to>
      <xdr:col>2</xdr:col>
      <xdr:colOff>594360</xdr:colOff>
      <xdr:row>204</xdr:row>
      <xdr:rowOff>55880</xdr:rowOff>
    </xdr:to>
    <xdr:pic>
      <xdr:nvPicPr>
        <xdr:cNvPr id="32" name="图片 37">
          <a:extLst>
            <a:ext uri="{FF2B5EF4-FFF2-40B4-BE49-F238E27FC236}">
              <a16:creationId xmlns:a16="http://schemas.microsoft.com/office/drawing/2014/main" id="{1A002F79-B90E-4FA7-8F5E-9DB6FB6F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41780460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</xdr:colOff>
      <xdr:row>231</xdr:row>
      <xdr:rowOff>108450</xdr:rowOff>
    </xdr:from>
    <xdr:to>
      <xdr:col>2</xdr:col>
      <xdr:colOff>655320</xdr:colOff>
      <xdr:row>236</xdr:row>
      <xdr:rowOff>32163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7492F95B-40C0-48D5-8DD3-5D0505224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1684063" y="47908667"/>
          <a:ext cx="838113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240</xdr:row>
      <xdr:rowOff>172738</xdr:rowOff>
    </xdr:from>
    <xdr:to>
      <xdr:col>2</xdr:col>
      <xdr:colOff>647699</xdr:colOff>
      <xdr:row>246</xdr:row>
      <xdr:rowOff>21141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A66462C6-8025-4B9F-9877-E3924CA8A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5400000">
          <a:off x="1546458" y="49802200"/>
          <a:ext cx="945683" cy="60959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93134</xdr:colOff>
      <xdr:row>4</xdr:row>
      <xdr:rowOff>127000</xdr:rowOff>
    </xdr:from>
    <xdr:to>
      <xdr:col>6</xdr:col>
      <xdr:colOff>668868</xdr:colOff>
      <xdr:row>7</xdr:row>
      <xdr:rowOff>119380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4050C35-16CC-4C47-9FEC-6F54CC84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8934" y="1024467"/>
          <a:ext cx="575734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186267</xdr:colOff>
      <xdr:row>11</xdr:row>
      <xdr:rowOff>135468</xdr:rowOff>
    </xdr:from>
    <xdr:to>
      <xdr:col>6</xdr:col>
      <xdr:colOff>651087</xdr:colOff>
      <xdr:row>14</xdr:row>
      <xdr:rowOff>72794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F206F7E3-96AC-4665-889C-5F6A5B383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2067" y="2336801"/>
          <a:ext cx="464820" cy="4961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118533</xdr:colOff>
      <xdr:row>21</xdr:row>
      <xdr:rowOff>237067</xdr:rowOff>
    </xdr:from>
    <xdr:to>
      <xdr:col>6</xdr:col>
      <xdr:colOff>655850</xdr:colOff>
      <xdr:row>23</xdr:row>
      <xdr:rowOff>89746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AD422104-E3EB-47AA-A5D2-1BB8FBDAF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44333" y="4927600"/>
          <a:ext cx="537317" cy="4961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160867</xdr:colOff>
      <xdr:row>31</xdr:row>
      <xdr:rowOff>42333</xdr:rowOff>
    </xdr:from>
    <xdr:to>
      <xdr:col>6</xdr:col>
      <xdr:colOff>758614</xdr:colOff>
      <xdr:row>33</xdr:row>
      <xdr:rowOff>70274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18173E2-0CE4-4D8D-8710-61C36CD51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86667" y="6350000"/>
          <a:ext cx="597747" cy="5190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37</xdr:row>
      <xdr:rowOff>177800</xdr:rowOff>
    </xdr:from>
    <xdr:to>
      <xdr:col>6</xdr:col>
      <xdr:colOff>530860</xdr:colOff>
      <xdr:row>40</xdr:row>
      <xdr:rowOff>34713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46A6AA8B-0A95-4BA1-BECE-B30390C0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52800" y="7763933"/>
          <a:ext cx="403860" cy="415713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44</xdr:row>
      <xdr:rowOff>143933</xdr:rowOff>
    </xdr:from>
    <xdr:to>
      <xdr:col>6</xdr:col>
      <xdr:colOff>727569</xdr:colOff>
      <xdr:row>47</xdr:row>
      <xdr:rowOff>80433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FDE15F67-3D2D-4235-A9B8-C5FFE356F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52800" y="9194800"/>
          <a:ext cx="600569" cy="495300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51</xdr:row>
      <xdr:rowOff>76200</xdr:rowOff>
    </xdr:from>
    <xdr:to>
      <xdr:col>6</xdr:col>
      <xdr:colOff>716142</xdr:colOff>
      <xdr:row>54</xdr:row>
      <xdr:rowOff>31327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2254C271-3240-48C2-B3F8-F4E8B32EA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02000" y="10591800"/>
          <a:ext cx="639942" cy="513927"/>
        </a:xfrm>
        <a:prstGeom prst="rect">
          <a:avLst/>
        </a:prstGeom>
      </xdr:spPr>
    </xdr:pic>
    <xdr:clientData/>
  </xdr:twoCellAnchor>
  <xdr:twoCellAnchor>
    <xdr:from>
      <xdr:col>6</xdr:col>
      <xdr:colOff>220133</xdr:colOff>
      <xdr:row>59</xdr:row>
      <xdr:rowOff>59267</xdr:rowOff>
    </xdr:from>
    <xdr:to>
      <xdr:col>6</xdr:col>
      <xdr:colOff>698725</xdr:colOff>
      <xdr:row>61</xdr:row>
      <xdr:rowOff>144781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69BB7145-4280-47E2-A56B-0D4B4C9BF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45933" y="12225867"/>
          <a:ext cx="478592" cy="458047"/>
        </a:xfrm>
        <a:prstGeom prst="rect">
          <a:avLst/>
        </a:prstGeom>
      </xdr:spPr>
    </xdr:pic>
    <xdr:clientData/>
  </xdr:twoCellAnchor>
  <xdr:twoCellAnchor>
    <xdr:from>
      <xdr:col>6</xdr:col>
      <xdr:colOff>143933</xdr:colOff>
      <xdr:row>65</xdr:row>
      <xdr:rowOff>101600</xdr:rowOff>
    </xdr:from>
    <xdr:to>
      <xdr:col>6</xdr:col>
      <xdr:colOff>691508</xdr:colOff>
      <xdr:row>68</xdr:row>
      <xdr:rowOff>67733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7BB4240-E3F2-436A-A770-35A53A1D9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69733" y="13546667"/>
          <a:ext cx="547575" cy="524933"/>
        </a:xfrm>
        <a:prstGeom prst="rect">
          <a:avLst/>
        </a:prstGeom>
      </xdr:spPr>
    </xdr:pic>
    <xdr:clientData/>
  </xdr:twoCellAnchor>
  <xdr:twoCellAnchor>
    <xdr:from>
      <xdr:col>6</xdr:col>
      <xdr:colOff>101600</xdr:colOff>
      <xdr:row>72</xdr:row>
      <xdr:rowOff>177800</xdr:rowOff>
    </xdr:from>
    <xdr:to>
      <xdr:col>6</xdr:col>
      <xdr:colOff>672854</xdr:colOff>
      <xdr:row>75</xdr:row>
      <xdr:rowOff>149013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2E4F08B-3A5C-4C26-824B-7A2F58FF3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27400" y="15087600"/>
          <a:ext cx="571254" cy="530013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79</xdr:row>
      <xdr:rowOff>169334</xdr:rowOff>
    </xdr:from>
    <xdr:to>
      <xdr:col>6</xdr:col>
      <xdr:colOff>638223</xdr:colOff>
      <xdr:row>82</xdr:row>
      <xdr:rowOff>119381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C31199E-5BE8-4757-B1F5-6D9457D1B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52800" y="16543867"/>
          <a:ext cx="511223" cy="508847"/>
        </a:xfrm>
        <a:prstGeom prst="rect">
          <a:avLst/>
        </a:prstGeom>
      </xdr:spPr>
    </xdr:pic>
    <xdr:clientData/>
  </xdr:twoCellAnchor>
  <xdr:twoCellAnchor>
    <xdr:from>
      <xdr:col>6</xdr:col>
      <xdr:colOff>93133</xdr:colOff>
      <xdr:row>86</xdr:row>
      <xdr:rowOff>84666</xdr:rowOff>
    </xdr:from>
    <xdr:to>
      <xdr:col>6</xdr:col>
      <xdr:colOff>664634</xdr:colOff>
      <xdr:row>89</xdr:row>
      <xdr:rowOff>32173</xdr:rowOff>
    </xdr:to>
    <xdr:pic>
      <xdr:nvPicPr>
        <xdr:cNvPr id="24" name="图片 23" descr="1629962997(1)">
          <a:extLst>
            <a:ext uri="{FF2B5EF4-FFF2-40B4-BE49-F238E27FC236}">
              <a16:creationId xmlns:a16="http://schemas.microsoft.com/office/drawing/2014/main" id="{7B207682-D634-42F6-96D5-0271916D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18933" y="17923933"/>
          <a:ext cx="571501" cy="506307"/>
        </a:xfrm>
        <a:prstGeom prst="rect">
          <a:avLst/>
        </a:prstGeom>
      </xdr:spPr>
    </xdr:pic>
    <xdr:clientData/>
  </xdr:twoCellAnchor>
  <xdr:twoCellAnchor>
    <xdr:from>
      <xdr:col>6</xdr:col>
      <xdr:colOff>169333</xdr:colOff>
      <xdr:row>93</xdr:row>
      <xdr:rowOff>160867</xdr:rowOff>
    </xdr:from>
    <xdr:to>
      <xdr:col>6</xdr:col>
      <xdr:colOff>469693</xdr:colOff>
      <xdr:row>96</xdr:row>
      <xdr:rowOff>38100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305E485-B7F0-4078-81F7-A902202FF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95133" y="19464867"/>
          <a:ext cx="300360" cy="436033"/>
        </a:xfrm>
        <a:prstGeom prst="rect">
          <a:avLst/>
        </a:prstGeom>
      </xdr:spPr>
    </xdr:pic>
    <xdr:clientData/>
  </xdr:twoCellAnchor>
  <xdr:twoCellAnchor>
    <xdr:from>
      <xdr:col>6</xdr:col>
      <xdr:colOff>228600</xdr:colOff>
      <xdr:row>101</xdr:row>
      <xdr:rowOff>0</xdr:rowOff>
    </xdr:from>
    <xdr:to>
      <xdr:col>6</xdr:col>
      <xdr:colOff>680023</xdr:colOff>
      <xdr:row>103</xdr:row>
      <xdr:rowOff>131234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456A4396-63C0-47B2-9BB9-12A47855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54400" y="20955000"/>
          <a:ext cx="451423" cy="503767"/>
        </a:xfrm>
        <a:prstGeom prst="rect">
          <a:avLst/>
        </a:prstGeom>
      </xdr:spPr>
    </xdr:pic>
    <xdr:clientData/>
  </xdr:twoCellAnchor>
  <xdr:twoCellAnchor>
    <xdr:from>
      <xdr:col>6</xdr:col>
      <xdr:colOff>177800</xdr:colOff>
      <xdr:row>107</xdr:row>
      <xdr:rowOff>93133</xdr:rowOff>
    </xdr:from>
    <xdr:to>
      <xdr:col>6</xdr:col>
      <xdr:colOff>619356</xdr:colOff>
      <xdr:row>109</xdr:row>
      <xdr:rowOff>154093</xdr:rowOff>
    </xdr:to>
    <xdr:pic>
      <xdr:nvPicPr>
        <xdr:cNvPr id="30" name="图片 1">
          <a:extLst>
            <a:ext uri="{FF2B5EF4-FFF2-40B4-BE49-F238E27FC236}">
              <a16:creationId xmlns:a16="http://schemas.microsoft.com/office/drawing/2014/main" id="{C908227A-055A-42F9-8B9F-98A8EE703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403600" y="22326600"/>
          <a:ext cx="441556" cy="433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194734</xdr:colOff>
      <xdr:row>119</xdr:row>
      <xdr:rowOff>16934</xdr:rowOff>
    </xdr:from>
    <xdr:to>
      <xdr:col>6</xdr:col>
      <xdr:colOff>695040</xdr:colOff>
      <xdr:row>122</xdr:row>
      <xdr:rowOff>18627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A38B879F-A309-40D4-AF1C-F1E4307EE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20534" y="24883534"/>
          <a:ext cx="500306" cy="5604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127000</xdr:colOff>
      <xdr:row>126</xdr:row>
      <xdr:rowOff>160867</xdr:rowOff>
    </xdr:from>
    <xdr:to>
      <xdr:col>6</xdr:col>
      <xdr:colOff>673674</xdr:colOff>
      <xdr:row>129</xdr:row>
      <xdr:rowOff>72814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61ED1449-9100-4FF0-A090-91FABF932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52800" y="26492200"/>
          <a:ext cx="546674" cy="4707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152400</xdr:colOff>
      <xdr:row>133</xdr:row>
      <xdr:rowOff>67733</xdr:rowOff>
    </xdr:from>
    <xdr:to>
      <xdr:col>6</xdr:col>
      <xdr:colOff>567182</xdr:colOff>
      <xdr:row>135</xdr:row>
      <xdr:rowOff>110067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BB836A8E-E676-4392-B59A-C1E55BFD0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78200" y="27863800"/>
          <a:ext cx="414782" cy="414867"/>
        </a:xfrm>
        <a:prstGeom prst="rect">
          <a:avLst/>
        </a:prstGeom>
      </xdr:spPr>
    </xdr:pic>
    <xdr:clientData/>
  </xdr:twoCellAnchor>
  <xdr:twoCellAnchor>
    <xdr:from>
      <xdr:col>6</xdr:col>
      <xdr:colOff>118534</xdr:colOff>
      <xdr:row>140</xdr:row>
      <xdr:rowOff>169333</xdr:rowOff>
    </xdr:from>
    <xdr:to>
      <xdr:col>6</xdr:col>
      <xdr:colOff>654058</xdr:colOff>
      <xdr:row>143</xdr:row>
      <xdr:rowOff>71120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ACE0DB1C-26CC-4BDF-A169-222454C1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44334" y="29430133"/>
          <a:ext cx="535524" cy="460587"/>
        </a:xfrm>
        <a:prstGeom prst="rect">
          <a:avLst/>
        </a:prstGeom>
      </xdr:spPr>
    </xdr:pic>
    <xdr:clientData/>
  </xdr:twoCellAnchor>
  <xdr:twoCellAnchor>
    <xdr:from>
      <xdr:col>6</xdr:col>
      <xdr:colOff>143933</xdr:colOff>
      <xdr:row>147</xdr:row>
      <xdr:rowOff>177801</xdr:rowOff>
    </xdr:from>
    <xdr:to>
      <xdr:col>6</xdr:col>
      <xdr:colOff>476619</xdr:colOff>
      <xdr:row>150</xdr:row>
      <xdr:rowOff>51648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5771CEDC-BE66-4B5A-9614-502BEDA34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69733" y="30903334"/>
          <a:ext cx="332686" cy="432647"/>
        </a:xfrm>
        <a:prstGeom prst="rect">
          <a:avLst/>
        </a:prstGeom>
      </xdr:spPr>
    </xdr:pic>
    <xdr:clientData/>
  </xdr:twoCellAnchor>
  <xdr:twoCellAnchor>
    <xdr:from>
      <xdr:col>6</xdr:col>
      <xdr:colOff>152399</xdr:colOff>
      <xdr:row>154</xdr:row>
      <xdr:rowOff>93132</xdr:rowOff>
    </xdr:from>
    <xdr:to>
      <xdr:col>6</xdr:col>
      <xdr:colOff>660614</xdr:colOff>
      <xdr:row>156</xdr:row>
      <xdr:rowOff>186266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92D92DB9-E89E-4431-9415-214AB1EB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78199" y="32283399"/>
          <a:ext cx="508215" cy="465667"/>
        </a:xfrm>
        <a:prstGeom prst="rect">
          <a:avLst/>
        </a:prstGeom>
      </xdr:spPr>
    </xdr:pic>
    <xdr:clientData/>
  </xdr:twoCellAnchor>
  <xdr:twoCellAnchor>
    <xdr:from>
      <xdr:col>6</xdr:col>
      <xdr:colOff>127000</xdr:colOff>
      <xdr:row>162</xdr:row>
      <xdr:rowOff>16933</xdr:rowOff>
    </xdr:from>
    <xdr:to>
      <xdr:col>6</xdr:col>
      <xdr:colOff>702733</xdr:colOff>
      <xdr:row>164</xdr:row>
      <xdr:rowOff>101600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B177C957-F504-4E20-9FEE-1DA09641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33858200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135467</xdr:colOff>
      <xdr:row>168</xdr:row>
      <xdr:rowOff>152401</xdr:rowOff>
    </xdr:from>
    <xdr:to>
      <xdr:col>6</xdr:col>
      <xdr:colOff>630767</xdr:colOff>
      <xdr:row>170</xdr:row>
      <xdr:rowOff>110067</xdr:rowOff>
    </xdr:to>
    <xdr:pic>
      <xdr:nvPicPr>
        <xdr:cNvPr id="46" name="图片 37">
          <a:extLst>
            <a:ext uri="{FF2B5EF4-FFF2-40B4-BE49-F238E27FC236}">
              <a16:creationId xmlns:a16="http://schemas.microsoft.com/office/drawing/2014/main" id="{47ED51E3-DF7C-4CF0-B0A0-5F2942BF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267" y="35272134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211667</xdr:colOff>
      <xdr:row>176</xdr:row>
      <xdr:rowOff>42333</xdr:rowOff>
    </xdr:from>
    <xdr:to>
      <xdr:col>6</xdr:col>
      <xdr:colOff>715249</xdr:colOff>
      <xdr:row>178</xdr:row>
      <xdr:rowOff>7731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C3E6FFE-C850-4AA0-83E1-82903941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437467" y="36813066"/>
          <a:ext cx="503582" cy="337931"/>
        </a:xfrm>
        <a:prstGeom prst="rect">
          <a:avLst/>
        </a:prstGeom>
      </xdr:spPr>
    </xdr:pic>
    <xdr:clientData/>
  </xdr:twoCellAnchor>
  <xdr:twoCellAnchor editAs="oneCell">
    <xdr:from>
      <xdr:col>6</xdr:col>
      <xdr:colOff>177799</xdr:colOff>
      <xdr:row>182</xdr:row>
      <xdr:rowOff>186266</xdr:rowOff>
    </xdr:from>
    <xdr:to>
      <xdr:col>6</xdr:col>
      <xdr:colOff>694266</xdr:colOff>
      <xdr:row>185</xdr:row>
      <xdr:rowOff>78618</xdr:rowOff>
    </xdr:to>
    <xdr:pic>
      <xdr:nvPicPr>
        <xdr:cNvPr id="50" name="图片 7">
          <a:extLst>
            <a:ext uri="{FF2B5EF4-FFF2-40B4-BE49-F238E27FC236}">
              <a16:creationId xmlns:a16="http://schemas.microsoft.com/office/drawing/2014/main" id="{F4CADDAF-846A-4308-8D09-3EF0305F4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599" y="38235466"/>
          <a:ext cx="516467" cy="44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54428</xdr:colOff>
      <xdr:row>202</xdr:row>
      <xdr:rowOff>175445</xdr:rowOff>
    </xdr:from>
    <xdr:to>
      <xdr:col>6</xdr:col>
      <xdr:colOff>674913</xdr:colOff>
      <xdr:row>208</xdr:row>
      <xdr:rowOff>27673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23FFC183-FF0A-4526-A47D-284B4F72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3105556" y="42800774"/>
          <a:ext cx="962571" cy="620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87086</xdr:colOff>
      <xdr:row>191</xdr:row>
      <xdr:rowOff>206831</xdr:rowOff>
    </xdr:from>
    <xdr:to>
      <xdr:col>6</xdr:col>
      <xdr:colOff>707572</xdr:colOff>
      <xdr:row>198</xdr:row>
      <xdr:rowOff>45226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F155DFE4-451C-4A21-B88F-E0F0B7FD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5400000">
          <a:off x="2970959" y="40397729"/>
          <a:ext cx="1297081" cy="62048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80"/>
  <sheetViews>
    <sheetView tabSelected="1" zoomScale="90" zoomScaleNormal="9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B10" sqref="B10"/>
    </sheetView>
  </sheetViews>
  <sheetFormatPr defaultColWidth="9" defaultRowHeight="14.4"/>
  <cols>
    <col min="1" max="1" width="22.77734375" customWidth="1"/>
    <col min="2" max="2" width="11.109375" style="1" customWidth="1"/>
    <col min="3" max="3" width="14.6640625" style="1" customWidth="1"/>
    <col min="4" max="4" width="12.109375" style="2" customWidth="1"/>
    <col min="5" max="5" width="3.6640625" style="3" customWidth="1"/>
    <col min="6" max="6" width="14.44140625" style="3" customWidth="1"/>
    <col min="7" max="7" width="13.44140625" style="3" customWidth="1"/>
    <col min="8" max="8" width="13.44140625" style="3" hidden="1" customWidth="1"/>
    <col min="9" max="9" width="16.109375" style="3" hidden="1" customWidth="1"/>
    <col min="10" max="10" width="9.33203125" style="4" hidden="1" customWidth="1"/>
    <col min="11" max="11" width="7.6640625" style="4" hidden="1" customWidth="1"/>
    <col min="12" max="12" width="9.21875" style="123" hidden="1" customWidth="1"/>
    <col min="13" max="13" width="9.33203125" style="4" hidden="1" customWidth="1"/>
    <col min="14" max="14" width="7.6640625" style="4" hidden="1" customWidth="1"/>
    <col min="15" max="15" width="9.21875" style="43" hidden="1" customWidth="1"/>
    <col min="16" max="16" width="10.33203125" customWidth="1"/>
    <col min="17" max="17" width="8.109375" customWidth="1"/>
    <col min="18" max="18" width="9.21875" style="120" customWidth="1"/>
    <col min="19" max="19" width="10.33203125" customWidth="1"/>
    <col min="20" max="20" width="8.109375" customWidth="1"/>
    <col min="21" max="21" width="9.21875" style="42" customWidth="1"/>
    <col min="22" max="22" width="6.33203125" hidden="1" customWidth="1"/>
    <col min="23" max="23" width="7.44140625" hidden="1" customWidth="1"/>
    <col min="24" max="24" width="9.88671875" style="120" hidden="1" customWidth="1"/>
    <col min="25" max="25" width="6.33203125" hidden="1" customWidth="1"/>
    <col min="26" max="26" width="7.44140625" hidden="1" customWidth="1"/>
    <col min="27" max="27" width="9.88671875" style="42" hidden="1" customWidth="1"/>
    <col min="28" max="28" width="6.33203125" hidden="1" customWidth="1"/>
    <col min="29" max="29" width="7.44140625" hidden="1" customWidth="1"/>
    <col min="30" max="30" width="9.88671875" style="120" hidden="1" customWidth="1"/>
    <col min="31" max="31" width="6.33203125" hidden="1" customWidth="1"/>
    <col min="32" max="32" width="7.44140625" hidden="1" customWidth="1"/>
    <col min="33" max="33" width="9.88671875" style="42" hidden="1" customWidth="1"/>
    <col min="34" max="34" width="6.33203125" hidden="1" customWidth="1"/>
    <col min="35" max="35" width="7.44140625" hidden="1" customWidth="1"/>
    <col min="36" max="36" width="9.88671875" style="42" hidden="1" customWidth="1"/>
    <col min="37" max="37" width="6.33203125" hidden="1" customWidth="1"/>
    <col min="38" max="38" width="7.44140625" hidden="1" customWidth="1"/>
    <col min="39" max="39" width="9.88671875" style="42" hidden="1" customWidth="1"/>
  </cols>
  <sheetData>
    <row r="1" spans="1:42" ht="20.399999999999999">
      <c r="B1" s="189" t="s">
        <v>213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57"/>
      <c r="Z1" s="57"/>
      <c r="AA1" s="57"/>
      <c r="AB1" s="113"/>
      <c r="AC1" s="113"/>
      <c r="AD1" s="144"/>
      <c r="AE1" s="113"/>
      <c r="AF1" s="113"/>
      <c r="AG1" s="113"/>
      <c r="AH1" s="129"/>
      <c r="AI1" s="129"/>
      <c r="AJ1" s="129"/>
      <c r="AK1" s="137"/>
      <c r="AL1" s="137"/>
      <c r="AM1" s="137"/>
      <c r="AO1" s="126"/>
      <c r="AP1" s="53" t="s">
        <v>219</v>
      </c>
    </row>
    <row r="2" spans="1:42" s="120" customFormat="1">
      <c r="A2" s="212" t="s">
        <v>110</v>
      </c>
      <c r="B2" s="191" t="s">
        <v>0</v>
      </c>
      <c r="C2" s="191" t="s">
        <v>1</v>
      </c>
      <c r="D2" s="192" t="s">
        <v>2</v>
      </c>
      <c r="E2" s="192" t="s">
        <v>4</v>
      </c>
      <c r="F2" s="191" t="s">
        <v>9</v>
      </c>
      <c r="G2" s="208" t="s">
        <v>204</v>
      </c>
      <c r="H2" s="208" t="s">
        <v>203</v>
      </c>
      <c r="I2" s="209" t="s">
        <v>206</v>
      </c>
      <c r="J2" s="207" t="s">
        <v>208</v>
      </c>
      <c r="K2" s="207"/>
      <c r="L2" s="207"/>
      <c r="M2" s="207" t="s">
        <v>209</v>
      </c>
      <c r="N2" s="207"/>
      <c r="O2" s="207"/>
      <c r="P2" s="207" t="s">
        <v>211</v>
      </c>
      <c r="Q2" s="207"/>
      <c r="R2" s="207"/>
      <c r="S2" s="207" t="s">
        <v>212</v>
      </c>
      <c r="T2" s="207"/>
      <c r="U2" s="207"/>
      <c r="V2" s="207" t="s">
        <v>207</v>
      </c>
      <c r="W2" s="207"/>
      <c r="X2" s="207"/>
      <c r="Y2" s="207" t="s">
        <v>210</v>
      </c>
      <c r="Z2" s="207"/>
      <c r="AA2" s="207"/>
      <c r="AB2" s="207" t="s">
        <v>218</v>
      </c>
      <c r="AC2" s="207"/>
      <c r="AD2" s="207"/>
      <c r="AE2" s="207" t="s">
        <v>214</v>
      </c>
      <c r="AF2" s="207"/>
      <c r="AG2" s="207"/>
      <c r="AH2" s="207" t="s">
        <v>220</v>
      </c>
      <c r="AI2" s="207"/>
      <c r="AJ2" s="207"/>
      <c r="AK2" s="207" t="s">
        <v>232</v>
      </c>
      <c r="AL2" s="207"/>
      <c r="AM2" s="207"/>
    </row>
    <row r="3" spans="1:42" ht="27.75" customHeight="1">
      <c r="A3" s="212"/>
      <c r="B3" s="191"/>
      <c r="C3" s="191"/>
      <c r="D3" s="192"/>
      <c r="E3" s="192"/>
      <c r="F3" s="191"/>
      <c r="G3" s="208"/>
      <c r="H3" s="208"/>
      <c r="I3" s="209"/>
      <c r="J3" s="6" t="s">
        <v>84</v>
      </c>
      <c r="K3" s="6" t="s">
        <v>11</v>
      </c>
      <c r="L3" s="143" t="s">
        <v>12</v>
      </c>
      <c r="M3" s="6" t="s">
        <v>84</v>
      </c>
      <c r="N3" s="6" t="s">
        <v>11</v>
      </c>
      <c r="O3" s="118" t="s">
        <v>12</v>
      </c>
      <c r="P3" s="6" t="s">
        <v>10</v>
      </c>
      <c r="Q3" s="6" t="s">
        <v>11</v>
      </c>
      <c r="R3" s="143" t="s">
        <v>12</v>
      </c>
      <c r="S3" s="6" t="s">
        <v>10</v>
      </c>
      <c r="T3" s="6" t="s">
        <v>11</v>
      </c>
      <c r="U3" s="118" t="s">
        <v>12</v>
      </c>
      <c r="V3" s="6" t="s">
        <v>10</v>
      </c>
      <c r="W3" s="6" t="s">
        <v>11</v>
      </c>
      <c r="X3" s="143" t="s">
        <v>12</v>
      </c>
      <c r="Y3" s="6" t="s">
        <v>10</v>
      </c>
      <c r="Z3" s="6" t="s">
        <v>11</v>
      </c>
      <c r="AA3" s="56" t="s">
        <v>12</v>
      </c>
      <c r="AB3" s="6" t="s">
        <v>10</v>
      </c>
      <c r="AC3" s="6" t="s">
        <v>11</v>
      </c>
      <c r="AD3" s="143" t="s">
        <v>12</v>
      </c>
      <c r="AE3" s="6" t="s">
        <v>10</v>
      </c>
      <c r="AF3" s="6" t="s">
        <v>11</v>
      </c>
      <c r="AG3" s="118" t="s">
        <v>12</v>
      </c>
      <c r="AH3" s="6" t="s">
        <v>10</v>
      </c>
      <c r="AI3" s="6" t="s">
        <v>11</v>
      </c>
      <c r="AJ3" s="131" t="s">
        <v>12</v>
      </c>
      <c r="AK3" s="6" t="s">
        <v>10</v>
      </c>
      <c r="AL3" s="6" t="s">
        <v>11</v>
      </c>
      <c r="AM3" s="138" t="s">
        <v>12</v>
      </c>
    </row>
    <row r="4" spans="1:42" ht="62.25" hidden="1" customHeight="1">
      <c r="A4" s="38" t="s">
        <v>111</v>
      </c>
      <c r="B4" s="20" t="s">
        <v>15</v>
      </c>
      <c r="C4" s="20" t="s">
        <v>16</v>
      </c>
      <c r="D4" s="25"/>
      <c r="E4" s="7">
        <v>1</v>
      </c>
      <c r="F4" s="35" t="s">
        <v>77</v>
      </c>
      <c r="G4" s="36">
        <v>0.55189999999999995</v>
      </c>
      <c r="H4" s="36">
        <f>VLOOKUP(B4,冲压件核价!E4:AB284,24,0)</f>
        <v>0.55189683944374224</v>
      </c>
      <c r="I4" s="119">
        <f>IF(G4&lt;=H4,G4,H4)</f>
        <v>0.55189683944374224</v>
      </c>
      <c r="J4" s="36">
        <v>0.70796460176991161</v>
      </c>
      <c r="K4" s="8">
        <v>5.7520000000000002E-2</v>
      </c>
      <c r="L4" s="115">
        <f>J4+K4</f>
        <v>0.76548460176991162</v>
      </c>
      <c r="M4" s="136">
        <v>0.70796460176991161</v>
      </c>
      <c r="N4" s="8">
        <v>5.7520000000000002E-2</v>
      </c>
      <c r="O4" s="44">
        <f>M4+N4</f>
        <v>0.76548460176991162</v>
      </c>
      <c r="P4" s="39">
        <f>1/1.13</f>
        <v>0.88495575221238942</v>
      </c>
      <c r="Q4" s="9">
        <v>3.1E-2</v>
      </c>
      <c r="R4" s="115">
        <f>P4+Q4</f>
        <v>0.91595575221238945</v>
      </c>
      <c r="S4" s="39"/>
      <c r="T4" s="9"/>
      <c r="U4" s="115"/>
      <c r="V4" s="54" t="s">
        <v>94</v>
      </c>
      <c r="W4" s="54"/>
      <c r="X4" s="115" t="e">
        <f>V4+W4</f>
        <v>#VALUE!</v>
      </c>
      <c r="Y4" s="54"/>
      <c r="Z4" s="54"/>
      <c r="AA4" s="115"/>
      <c r="AB4" s="54"/>
      <c r="AC4" s="54"/>
      <c r="AD4" s="115"/>
      <c r="AE4" s="54"/>
      <c r="AF4" s="54"/>
      <c r="AG4" s="115"/>
      <c r="AH4" s="54"/>
      <c r="AI4" s="54"/>
      <c r="AJ4" s="115"/>
      <c r="AK4" s="54"/>
      <c r="AL4" s="54"/>
      <c r="AM4" s="115"/>
      <c r="AO4" s="120"/>
      <c r="AP4" s="268"/>
    </row>
    <row r="5" spans="1:42" ht="62.25" hidden="1" customHeight="1">
      <c r="A5" s="38" t="s">
        <v>111</v>
      </c>
      <c r="B5" s="23" t="s">
        <v>26</v>
      </c>
      <c r="C5" s="20" t="s">
        <v>27</v>
      </c>
      <c r="D5" s="22"/>
      <c r="E5" s="7">
        <v>1</v>
      </c>
      <c r="F5" s="35" t="s">
        <v>230</v>
      </c>
      <c r="G5" s="36">
        <v>7</v>
      </c>
      <c r="H5" s="36">
        <f>VLOOKUP(B5,冲压件核价!E5:AB285,24,0)</f>
        <v>4.950262452591657</v>
      </c>
      <c r="I5" s="119">
        <f t="shared" ref="I5:I28" si="0">IF(G5&lt;=H5,G5,H5)</f>
        <v>4.950262452591657</v>
      </c>
      <c r="J5" s="36">
        <v>11.061946902654869</v>
      </c>
      <c r="K5" s="8">
        <v>0.24779999999999999</v>
      </c>
      <c r="L5" s="115">
        <f t="shared" ref="L5:L23" si="1">J5+K5</f>
        <v>11.309746902654869</v>
      </c>
      <c r="M5" s="36"/>
      <c r="N5" s="8"/>
      <c r="O5" s="115"/>
      <c r="P5" s="116">
        <f>8.5/1.13</f>
        <v>7.5221238938053103</v>
      </c>
      <c r="Q5" s="117">
        <v>7.0800000000000002E-2</v>
      </c>
      <c r="R5" s="115">
        <f t="shared" ref="R5:R23" si="2">P5+Q5</f>
        <v>7.5929238938053105</v>
      </c>
      <c r="S5" s="116"/>
      <c r="T5" s="117"/>
      <c r="U5" s="115"/>
      <c r="V5" s="7">
        <v>9.85</v>
      </c>
      <c r="W5" s="7">
        <v>1.1100000000000001</v>
      </c>
      <c r="X5" s="115">
        <f t="shared" ref="X5:X28" si="3">V5+W5</f>
        <v>10.959999999999999</v>
      </c>
      <c r="Y5" s="7"/>
      <c r="Z5" s="7"/>
      <c r="AA5" s="115"/>
      <c r="AB5" s="54">
        <v>8.2799999999999994</v>
      </c>
      <c r="AC5" s="54">
        <v>0.31</v>
      </c>
      <c r="AD5" s="115">
        <f>AB5+AC5</f>
        <v>8.59</v>
      </c>
      <c r="AE5" s="54">
        <v>6.6</v>
      </c>
      <c r="AF5" s="54">
        <v>0.31</v>
      </c>
      <c r="AG5" s="44">
        <f>AE5+AF5</f>
        <v>6.9099999999999993</v>
      </c>
      <c r="AH5" s="54">
        <f>7.93/1.13</f>
        <v>7.0176991150442483</v>
      </c>
      <c r="AI5" s="54">
        <v>0.3</v>
      </c>
      <c r="AJ5" s="115">
        <f>AH5+AI5</f>
        <v>7.3176991150442481</v>
      </c>
      <c r="AK5" s="54"/>
      <c r="AL5" s="54"/>
      <c r="AM5" s="115"/>
    </row>
    <row r="6" spans="1:42" ht="62.25" hidden="1" customHeight="1">
      <c r="A6" s="38" t="s">
        <v>112</v>
      </c>
      <c r="B6" s="24" t="s">
        <v>33</v>
      </c>
      <c r="C6" s="20" t="s">
        <v>34</v>
      </c>
      <c r="D6" s="22"/>
      <c r="E6" s="7">
        <v>1</v>
      </c>
      <c r="F6" s="35" t="s">
        <v>230</v>
      </c>
      <c r="G6" s="36">
        <v>8</v>
      </c>
      <c r="H6" s="36">
        <f>VLOOKUP(B6,冲压件核价!E6:AB286,24,0)</f>
        <v>5.9285400758533493</v>
      </c>
      <c r="I6" s="119">
        <f t="shared" si="0"/>
        <v>5.9285400758533493</v>
      </c>
      <c r="J6" s="36">
        <v>8.5840707964601766</v>
      </c>
      <c r="K6" s="115">
        <v>0.1062</v>
      </c>
      <c r="L6" s="115">
        <f t="shared" si="1"/>
        <v>8.690270796460176</v>
      </c>
      <c r="M6" s="36"/>
      <c r="N6" s="115"/>
      <c r="O6" s="115"/>
      <c r="P6" s="116">
        <f>12/1.13</f>
        <v>10.619469026548673</v>
      </c>
      <c r="Q6" s="117">
        <v>0.1062</v>
      </c>
      <c r="R6" s="115">
        <f t="shared" si="2"/>
        <v>10.725669026548672</v>
      </c>
      <c r="S6" s="116"/>
      <c r="T6" s="117"/>
      <c r="U6" s="115"/>
      <c r="V6" s="54">
        <v>10.64</v>
      </c>
      <c r="W6" s="7">
        <v>1.05</v>
      </c>
      <c r="X6" s="115">
        <f t="shared" si="3"/>
        <v>11.690000000000001</v>
      </c>
      <c r="Y6" s="54"/>
      <c r="Z6" s="7"/>
      <c r="AA6" s="115"/>
      <c r="AB6" s="54">
        <v>14.04</v>
      </c>
      <c r="AC6" s="54">
        <f>模具费!N32</f>
        <v>0.36299999999999999</v>
      </c>
      <c r="AD6" s="115">
        <f>AB6+AC6</f>
        <v>14.402999999999999</v>
      </c>
      <c r="AE6" s="54">
        <v>12.24</v>
      </c>
      <c r="AF6" s="54">
        <v>0.36299999999999999</v>
      </c>
      <c r="AG6" s="44">
        <f>AE6+AF6</f>
        <v>12.603</v>
      </c>
      <c r="AH6" s="54">
        <f>10.09/1.13</f>
        <v>8.9292035398230087</v>
      </c>
      <c r="AI6" s="54">
        <v>0.3</v>
      </c>
      <c r="AJ6" s="115">
        <f>AH6+AI6</f>
        <v>9.2292035398230095</v>
      </c>
      <c r="AK6" s="54"/>
      <c r="AL6" s="54"/>
      <c r="AM6" s="115"/>
      <c r="AO6" s="53"/>
    </row>
    <row r="7" spans="1:42" ht="62.25" hidden="1" customHeight="1">
      <c r="A7" s="38" t="s">
        <v>112</v>
      </c>
      <c r="B7" s="24" t="s">
        <v>37</v>
      </c>
      <c r="C7" s="21" t="s">
        <v>38</v>
      </c>
      <c r="D7" s="22"/>
      <c r="E7" s="7">
        <v>1</v>
      </c>
      <c r="F7" s="37" t="s">
        <v>79</v>
      </c>
      <c r="G7" s="36">
        <v>3.508474095</v>
      </c>
      <c r="H7" s="36">
        <f>VLOOKUP(B7,冲压件核价!E7:AB287,24,0)</f>
        <v>5.7263707221238942</v>
      </c>
      <c r="I7" s="119">
        <f t="shared" si="0"/>
        <v>3.508474095</v>
      </c>
      <c r="J7" s="36">
        <v>4.2477876106194694</v>
      </c>
      <c r="K7" s="8">
        <v>5.7500000000000002E-2</v>
      </c>
      <c r="L7" s="115">
        <f t="shared" si="1"/>
        <v>4.3052876106194695</v>
      </c>
      <c r="M7" s="36"/>
      <c r="N7" s="8"/>
      <c r="O7" s="115"/>
      <c r="P7" s="116">
        <f>6.5/1.13</f>
        <v>5.7522123893805315</v>
      </c>
      <c r="Q7" s="117">
        <v>4.4200000000000003E-2</v>
      </c>
      <c r="R7" s="115">
        <f t="shared" si="2"/>
        <v>5.7964123893805315</v>
      </c>
      <c r="S7" s="116"/>
      <c r="T7" s="117"/>
      <c r="U7" s="115"/>
      <c r="V7" s="54">
        <v>5.47</v>
      </c>
      <c r="W7" s="7">
        <v>0.44</v>
      </c>
      <c r="X7" s="115">
        <f t="shared" si="3"/>
        <v>5.91</v>
      </c>
      <c r="Y7" s="54">
        <v>5.38</v>
      </c>
      <c r="Z7" s="54">
        <v>0.44</v>
      </c>
      <c r="AA7" s="44">
        <f>Y7+Z7</f>
        <v>5.82</v>
      </c>
      <c r="AB7" s="54"/>
      <c r="AC7" s="54"/>
      <c r="AD7" s="115"/>
      <c r="AE7" s="54"/>
      <c r="AF7" s="54"/>
      <c r="AG7" s="115"/>
      <c r="AH7" s="54"/>
      <c r="AI7" s="54"/>
      <c r="AJ7" s="115"/>
      <c r="AK7" s="54"/>
      <c r="AL7" s="54"/>
      <c r="AM7" s="115"/>
    </row>
    <row r="8" spans="1:42" ht="62.25" hidden="1" customHeight="1">
      <c r="A8" s="38" t="s">
        <v>112</v>
      </c>
      <c r="B8" s="24" t="s">
        <v>40</v>
      </c>
      <c r="C8" s="21" t="s">
        <v>41</v>
      </c>
      <c r="D8" s="22"/>
      <c r="E8" s="7">
        <v>1</v>
      </c>
      <c r="F8" s="37" t="s">
        <v>79</v>
      </c>
      <c r="G8" s="36">
        <v>2.5884742212000003</v>
      </c>
      <c r="H8" s="36">
        <f>VLOOKUP(B8,冲压件核价!E8:AB288,24,0)</f>
        <v>2.0461592920353984</v>
      </c>
      <c r="I8" s="119">
        <f t="shared" si="0"/>
        <v>2.0461592920353984</v>
      </c>
      <c r="J8" s="36">
        <v>2.2566371681415931</v>
      </c>
      <c r="K8" s="8">
        <v>5.7500000000000002E-2</v>
      </c>
      <c r="L8" s="115">
        <f t="shared" si="1"/>
        <v>2.3141371681415932</v>
      </c>
      <c r="M8" s="136">
        <v>2.35</v>
      </c>
      <c r="N8" s="8">
        <v>5.7500000000000002E-2</v>
      </c>
      <c r="O8" s="44">
        <f>M8+N8</f>
        <v>2.4075000000000002</v>
      </c>
      <c r="P8" s="39">
        <f>3.2/1.13</f>
        <v>2.8318584070796464</v>
      </c>
      <c r="Q8" s="9">
        <v>3.5400000000000001E-2</v>
      </c>
      <c r="R8" s="115">
        <f t="shared" si="2"/>
        <v>2.8672584070796465</v>
      </c>
      <c r="S8" s="39"/>
      <c r="T8" s="9"/>
      <c r="U8" s="115"/>
      <c r="V8" s="54" t="s">
        <v>94</v>
      </c>
      <c r="W8" s="54"/>
      <c r="X8" s="115" t="e">
        <f t="shared" si="3"/>
        <v>#VALUE!</v>
      </c>
      <c r="Y8" s="54"/>
      <c r="Z8" s="54"/>
      <c r="AA8" s="115"/>
      <c r="AB8" s="54"/>
      <c r="AC8" s="54"/>
      <c r="AD8" s="115"/>
      <c r="AE8" s="54"/>
      <c r="AF8" s="54"/>
      <c r="AG8" s="115"/>
      <c r="AH8" s="54"/>
      <c r="AI8" s="54"/>
      <c r="AJ8" s="115"/>
      <c r="AK8" s="54"/>
      <c r="AL8" s="54"/>
      <c r="AM8" s="115"/>
    </row>
    <row r="9" spans="1:42" ht="62.25" hidden="1" customHeight="1">
      <c r="A9" s="38" t="s">
        <v>112</v>
      </c>
      <c r="B9" s="31" t="s">
        <v>42</v>
      </c>
      <c r="C9" s="32" t="s">
        <v>43</v>
      </c>
      <c r="D9" s="30"/>
      <c r="E9" s="7">
        <v>1</v>
      </c>
      <c r="F9" s="37" t="s">
        <v>172</v>
      </c>
      <c r="G9" s="36">
        <v>5.8972224150000008</v>
      </c>
      <c r="H9" s="36">
        <f>VLOOKUP(B9,冲压件核价!E9:AB289,24,0)</f>
        <v>6.3387914032869794</v>
      </c>
      <c r="I9" s="119">
        <f t="shared" si="0"/>
        <v>5.8972224150000008</v>
      </c>
      <c r="J9" s="36">
        <v>15.044247787610621</v>
      </c>
      <c r="K9" s="8">
        <v>0.13270000000000001</v>
      </c>
      <c r="L9" s="115">
        <f t="shared" si="1"/>
        <v>15.17694778761062</v>
      </c>
      <c r="M9" s="36"/>
      <c r="N9" s="8"/>
      <c r="O9" s="115"/>
      <c r="P9" s="116">
        <f>11/1.13</f>
        <v>9.7345132743362832</v>
      </c>
      <c r="Q9" s="117">
        <v>7.0800000000000002E-2</v>
      </c>
      <c r="R9" s="115">
        <f t="shared" si="2"/>
        <v>9.8053132743362834</v>
      </c>
      <c r="S9" s="116"/>
      <c r="T9" s="117"/>
      <c r="U9" s="115"/>
      <c r="V9" s="7">
        <v>8.06</v>
      </c>
      <c r="W9" s="7">
        <v>0.44</v>
      </c>
      <c r="X9" s="115">
        <f t="shared" si="3"/>
        <v>8.5</v>
      </c>
      <c r="Y9" s="54">
        <v>7.93</v>
      </c>
      <c r="Z9" s="54">
        <v>0.44</v>
      </c>
      <c r="AA9" s="44">
        <f>Y9+Z9</f>
        <v>8.3699999999999992</v>
      </c>
      <c r="AB9" s="54"/>
      <c r="AC9" s="54"/>
      <c r="AD9" s="115"/>
      <c r="AE9" s="54"/>
      <c r="AF9" s="54"/>
      <c r="AG9" s="115"/>
      <c r="AH9" s="54"/>
      <c r="AI9" s="54"/>
      <c r="AJ9" s="115"/>
      <c r="AK9" s="54"/>
      <c r="AL9" s="54"/>
      <c r="AM9" s="115"/>
    </row>
    <row r="10" spans="1:42" ht="62.25" customHeight="1">
      <c r="A10" s="38" t="s">
        <v>112</v>
      </c>
      <c r="B10" s="31" t="s">
        <v>44</v>
      </c>
      <c r="C10" s="32" t="s">
        <v>45</v>
      </c>
      <c r="D10" s="30"/>
      <c r="E10" s="7">
        <v>1</v>
      </c>
      <c r="F10" s="37" t="s">
        <v>79</v>
      </c>
      <c r="G10" s="36">
        <v>4.5147343248</v>
      </c>
      <c r="H10" s="36">
        <f>VLOOKUP(B10,冲压件核价!E10:AB290,24,0)</f>
        <v>3.6407180783817963</v>
      </c>
      <c r="I10" s="119">
        <f t="shared" si="0"/>
        <v>3.6407180783817963</v>
      </c>
      <c r="J10" s="36">
        <v>6.72566371681416</v>
      </c>
      <c r="K10" s="8">
        <v>0.1062</v>
      </c>
      <c r="L10" s="115">
        <f t="shared" si="1"/>
        <v>6.8318637168141603</v>
      </c>
      <c r="M10" s="36"/>
      <c r="N10" s="8"/>
      <c r="O10" s="115"/>
      <c r="P10" s="116">
        <f>6.8/1.13</f>
        <v>6.0176991150442483</v>
      </c>
      <c r="Q10" s="9">
        <v>6.1899999999999997E-2</v>
      </c>
      <c r="R10" s="115">
        <f t="shared" si="2"/>
        <v>6.0795991150442479</v>
      </c>
      <c r="S10" s="39">
        <v>3.7</v>
      </c>
      <c r="T10" s="9">
        <v>6.1899999999999997E-2</v>
      </c>
      <c r="U10" s="44">
        <f t="shared" ref="U10:U21" si="4">S10+T10</f>
        <v>3.7619000000000002</v>
      </c>
      <c r="V10" s="54" t="s">
        <v>94</v>
      </c>
      <c r="W10" s="54"/>
      <c r="X10" s="115" t="e">
        <f t="shared" si="3"/>
        <v>#VALUE!</v>
      </c>
      <c r="Y10" s="54"/>
      <c r="Z10" s="54"/>
      <c r="AA10" s="115"/>
      <c r="AB10" s="54"/>
      <c r="AC10" s="54"/>
      <c r="AD10" s="115"/>
      <c r="AE10" s="54"/>
      <c r="AF10" s="54"/>
      <c r="AG10" s="115"/>
      <c r="AH10" s="54"/>
      <c r="AI10" s="54"/>
      <c r="AJ10" s="115"/>
      <c r="AK10" s="54"/>
      <c r="AL10" s="54"/>
      <c r="AM10" s="115"/>
    </row>
    <row r="11" spans="1:42" ht="62.25" customHeight="1">
      <c r="A11" s="38" t="s">
        <v>112</v>
      </c>
      <c r="B11" s="31" t="s">
        <v>47</v>
      </c>
      <c r="C11" s="32" t="s">
        <v>48</v>
      </c>
      <c r="D11" s="30"/>
      <c r="E11" s="7">
        <v>1</v>
      </c>
      <c r="F11" s="37" t="s">
        <v>80</v>
      </c>
      <c r="G11" s="36">
        <v>0.40695476975999995</v>
      </c>
      <c r="H11" s="36">
        <f>VLOOKUP(B11,冲压件核价!E11:AB291,24,0)</f>
        <v>0.47584179823008854</v>
      </c>
      <c r="I11" s="119">
        <f t="shared" si="0"/>
        <v>0.40695476975999995</v>
      </c>
      <c r="J11" s="36">
        <v>0.50442477876106195</v>
      </c>
      <c r="K11" s="8">
        <v>0.24779999999999999</v>
      </c>
      <c r="L11" s="115">
        <f t="shared" si="1"/>
        <v>0.75222477876106197</v>
      </c>
      <c r="M11" s="36"/>
      <c r="N11" s="8"/>
      <c r="O11" s="115"/>
      <c r="P11" s="116">
        <f>0.8/1.13</f>
        <v>0.70796460176991161</v>
      </c>
      <c r="Q11" s="117">
        <v>1.77E-2</v>
      </c>
      <c r="R11" s="115">
        <f t="shared" si="2"/>
        <v>0.72566460176991165</v>
      </c>
      <c r="S11" s="116">
        <v>0.45</v>
      </c>
      <c r="T11" s="9">
        <v>1.77E-2</v>
      </c>
      <c r="U11" s="44">
        <f t="shared" si="4"/>
        <v>0.4677</v>
      </c>
      <c r="V11" s="54" t="s">
        <v>94</v>
      </c>
      <c r="W11" s="54"/>
      <c r="X11" s="115" t="e">
        <f t="shared" si="3"/>
        <v>#VALUE!</v>
      </c>
      <c r="Y11" s="54"/>
      <c r="Z11" s="54"/>
      <c r="AA11" s="115"/>
      <c r="AB11" s="54"/>
      <c r="AC11" s="54"/>
      <c r="AD11" s="115"/>
      <c r="AE11" s="54"/>
      <c r="AF11" s="54"/>
      <c r="AG11" s="115"/>
      <c r="AH11" s="54"/>
      <c r="AI11" s="54"/>
      <c r="AJ11" s="115"/>
      <c r="AK11" s="54"/>
      <c r="AL11" s="54"/>
      <c r="AM11" s="115"/>
    </row>
    <row r="12" spans="1:42" ht="62.25" customHeight="1">
      <c r="A12" s="38" t="s">
        <v>112</v>
      </c>
      <c r="B12" s="31" t="s">
        <v>49</v>
      </c>
      <c r="C12" s="32" t="s">
        <v>50</v>
      </c>
      <c r="D12" s="30"/>
      <c r="E12" s="7">
        <v>1</v>
      </c>
      <c r="F12" s="37" t="s">
        <v>81</v>
      </c>
      <c r="G12" s="36">
        <v>0.13534796204999999</v>
      </c>
      <c r="H12" s="36">
        <f>VLOOKUP(B12,冲压件核价!E12:AB292,24,0)</f>
        <v>0.18679509557522125</v>
      </c>
      <c r="I12" s="119">
        <f t="shared" si="0"/>
        <v>0.13534796204999999</v>
      </c>
      <c r="J12" s="36">
        <v>0.22123893805309736</v>
      </c>
      <c r="K12" s="8">
        <v>0.2301</v>
      </c>
      <c r="L12" s="115">
        <f t="shared" si="1"/>
        <v>0.45133893805309733</v>
      </c>
      <c r="M12" s="36"/>
      <c r="N12" s="8"/>
      <c r="O12" s="115"/>
      <c r="P12" s="116">
        <f>0.27/1.13</f>
        <v>0.23893805309734517</v>
      </c>
      <c r="Q12" s="117">
        <v>1.3299999999999999E-2</v>
      </c>
      <c r="R12" s="115">
        <f t="shared" si="2"/>
        <v>0.25223805309734515</v>
      </c>
      <c r="S12" s="116">
        <v>0.22</v>
      </c>
      <c r="T12" s="9">
        <v>1.3299999999999999E-2</v>
      </c>
      <c r="U12" s="44">
        <f t="shared" si="4"/>
        <v>0.23330000000000001</v>
      </c>
      <c r="V12" s="54" t="s">
        <v>94</v>
      </c>
      <c r="W12" s="54"/>
      <c r="X12" s="115" t="e">
        <f t="shared" si="3"/>
        <v>#VALUE!</v>
      </c>
      <c r="Y12" s="54"/>
      <c r="Z12" s="54"/>
      <c r="AA12" s="115"/>
      <c r="AB12" s="54"/>
      <c r="AC12" s="54"/>
      <c r="AD12" s="115"/>
      <c r="AE12" s="54"/>
      <c r="AF12" s="54"/>
      <c r="AG12" s="115"/>
      <c r="AH12" s="54"/>
      <c r="AI12" s="54"/>
      <c r="AJ12" s="115"/>
      <c r="AK12" s="54"/>
      <c r="AL12" s="54"/>
      <c r="AM12" s="115"/>
    </row>
    <row r="13" spans="1:42" ht="62.25" hidden="1" customHeight="1">
      <c r="A13" s="38" t="s">
        <v>112</v>
      </c>
      <c r="B13" s="31" t="s">
        <v>51</v>
      </c>
      <c r="C13" s="33" t="s">
        <v>52</v>
      </c>
      <c r="D13" s="30"/>
      <c r="E13" s="7">
        <v>1</v>
      </c>
      <c r="F13" s="37" t="s">
        <v>78</v>
      </c>
      <c r="G13" s="36">
        <v>3.37</v>
      </c>
      <c r="H13" s="36">
        <f>VLOOKUP(B13,冲压件核价!E13:AB293,24,0)</f>
        <v>3.4728388672566375</v>
      </c>
      <c r="I13" s="119">
        <f t="shared" si="0"/>
        <v>3.37</v>
      </c>
      <c r="J13" s="36">
        <v>5.9292035398230096</v>
      </c>
      <c r="K13" s="8">
        <v>7.0800000000000002E-2</v>
      </c>
      <c r="L13" s="115">
        <f t="shared" si="1"/>
        <v>6.0000035398230098</v>
      </c>
      <c r="M13" s="36"/>
      <c r="N13" s="8"/>
      <c r="O13" s="115"/>
      <c r="P13" s="116">
        <f>7/1.13</f>
        <v>6.1946902654867264</v>
      </c>
      <c r="Q13" s="117">
        <v>4.87E-2</v>
      </c>
      <c r="R13" s="115">
        <f t="shared" si="2"/>
        <v>6.2433902654867266</v>
      </c>
      <c r="S13" s="116"/>
      <c r="T13" s="9"/>
      <c r="U13" s="115"/>
      <c r="V13" s="7">
        <v>6.45</v>
      </c>
      <c r="W13" s="7">
        <v>0.26</v>
      </c>
      <c r="X13" s="115">
        <f t="shared" si="3"/>
        <v>6.71</v>
      </c>
      <c r="Y13" s="54">
        <v>6.35</v>
      </c>
      <c r="Z13" s="54">
        <v>0.26</v>
      </c>
      <c r="AA13" s="44">
        <f>Y13+Z13</f>
        <v>6.6099999999999994</v>
      </c>
      <c r="AB13" s="133">
        <v>9.2100000000000009</v>
      </c>
      <c r="AC13" s="133">
        <f>模具费!N86</f>
        <v>0.245</v>
      </c>
      <c r="AD13" s="115">
        <f>AB13+AC13</f>
        <v>9.4550000000000001</v>
      </c>
      <c r="AE13" s="54"/>
      <c r="AF13" s="54"/>
      <c r="AG13" s="115"/>
      <c r="AH13" s="41">
        <f>7.73/1.13</f>
        <v>6.840707964601771</v>
      </c>
      <c r="AI13" s="41">
        <v>0.12</v>
      </c>
      <c r="AJ13" s="132">
        <f>AH13+AI13</f>
        <v>6.9607079646017711</v>
      </c>
      <c r="AK13" s="54"/>
      <c r="AL13" s="54"/>
      <c r="AM13" s="115"/>
    </row>
    <row r="14" spans="1:42" ht="62.25" hidden="1" customHeight="1">
      <c r="A14" s="38" t="s">
        <v>112</v>
      </c>
      <c r="B14" s="31" t="s">
        <v>53</v>
      </c>
      <c r="C14" s="33" t="s">
        <v>54</v>
      </c>
      <c r="D14" s="30"/>
      <c r="E14" s="7">
        <v>1</v>
      </c>
      <c r="F14" s="37" t="s">
        <v>78</v>
      </c>
      <c r="G14" s="36">
        <v>6.84</v>
      </c>
      <c r="H14" s="36">
        <f>VLOOKUP(B14,冲压件核价!E14:AB294,24,0)</f>
        <v>6.9705971362831853</v>
      </c>
      <c r="I14" s="119">
        <f t="shared" si="0"/>
        <v>6.84</v>
      </c>
      <c r="J14" s="36">
        <v>13.274336283185843</v>
      </c>
      <c r="K14" s="8">
        <v>0.18579999999999999</v>
      </c>
      <c r="L14" s="115">
        <f t="shared" si="1"/>
        <v>13.460136283185843</v>
      </c>
      <c r="M14" s="36"/>
      <c r="N14" s="8"/>
      <c r="O14" s="115"/>
      <c r="P14" s="116">
        <f>14/1.13</f>
        <v>12.389380530973453</v>
      </c>
      <c r="Q14" s="117">
        <v>7.0800000000000002E-2</v>
      </c>
      <c r="R14" s="115">
        <f t="shared" si="2"/>
        <v>12.460180530973453</v>
      </c>
      <c r="S14" s="116"/>
      <c r="T14" s="9"/>
      <c r="U14" s="115"/>
      <c r="V14" s="7">
        <v>11.02</v>
      </c>
      <c r="W14" s="7">
        <v>0.36</v>
      </c>
      <c r="X14" s="115">
        <f t="shared" si="3"/>
        <v>11.379999999999999</v>
      </c>
      <c r="Y14" s="54">
        <v>10.85</v>
      </c>
      <c r="Z14" s="54">
        <v>0.36</v>
      </c>
      <c r="AA14" s="44">
        <f>Y14+Z14</f>
        <v>11.209999999999999</v>
      </c>
      <c r="AB14" s="133">
        <v>14.3</v>
      </c>
      <c r="AC14" s="133">
        <f>模具费!N94</f>
        <v>0.39800000000000002</v>
      </c>
      <c r="AD14" s="115">
        <f>AB14+AC14</f>
        <v>14.698</v>
      </c>
      <c r="AE14" s="54"/>
      <c r="AF14" s="54"/>
      <c r="AG14" s="115"/>
      <c r="AH14" s="41">
        <f>13.91/1.13</f>
        <v>12.309734513274337</v>
      </c>
      <c r="AI14" s="41">
        <v>0.2</v>
      </c>
      <c r="AJ14" s="132">
        <f>AH14+AI14</f>
        <v>12.509734513274337</v>
      </c>
      <c r="AK14" s="54"/>
      <c r="AL14" s="54"/>
      <c r="AM14" s="115"/>
    </row>
    <row r="15" spans="1:42" ht="62.25" customHeight="1">
      <c r="A15" s="38" t="s">
        <v>112</v>
      </c>
      <c r="B15" s="31" t="s">
        <v>56</v>
      </c>
      <c r="C15" s="33" t="s">
        <v>57</v>
      </c>
      <c r="D15" s="30"/>
      <c r="E15" s="7">
        <v>1</v>
      </c>
      <c r="F15" s="37" t="s">
        <v>82</v>
      </c>
      <c r="G15" s="36">
        <v>1.2627089999999999</v>
      </c>
      <c r="H15" s="36">
        <f>VLOOKUP(B15,冲压件核价!E15:AB295,24,0)</f>
        <v>1.2953933628318584</v>
      </c>
      <c r="I15" s="119">
        <f t="shared" si="0"/>
        <v>1.2627089999999999</v>
      </c>
      <c r="J15" s="36">
        <v>2.2123893805309738</v>
      </c>
      <c r="K15" s="8">
        <v>2.8299999999999999E-2</v>
      </c>
      <c r="L15" s="115">
        <f t="shared" si="1"/>
        <v>2.240689380530974</v>
      </c>
      <c r="M15" s="36"/>
      <c r="N15" s="8"/>
      <c r="O15" s="115"/>
      <c r="P15" s="116">
        <f>2.5/1.13</f>
        <v>2.2123893805309738</v>
      </c>
      <c r="Q15" s="117">
        <v>1.06E-2</v>
      </c>
      <c r="R15" s="115">
        <f t="shared" si="2"/>
        <v>2.2229893805309739</v>
      </c>
      <c r="S15" s="116">
        <v>1.85</v>
      </c>
      <c r="T15" s="9">
        <v>1.06E-2</v>
      </c>
      <c r="U15" s="44">
        <f t="shared" si="4"/>
        <v>1.8606</v>
      </c>
      <c r="V15" s="54" t="s">
        <v>94</v>
      </c>
      <c r="W15" s="54"/>
      <c r="X15" s="115" t="e">
        <f t="shared" si="3"/>
        <v>#VALUE!</v>
      </c>
      <c r="Y15" s="54"/>
      <c r="Z15" s="54"/>
      <c r="AA15" s="115"/>
      <c r="AB15" s="54"/>
      <c r="AC15" s="54"/>
      <c r="AD15" s="115"/>
      <c r="AE15" s="54"/>
      <c r="AF15" s="54"/>
      <c r="AG15" s="115"/>
      <c r="AH15" s="54"/>
      <c r="AI15" s="54"/>
      <c r="AJ15" s="115"/>
      <c r="AK15" s="54"/>
      <c r="AL15" s="54"/>
      <c r="AM15" s="115"/>
    </row>
    <row r="16" spans="1:42" ht="62.25" customHeight="1">
      <c r="A16" s="38" t="s">
        <v>112</v>
      </c>
      <c r="B16" s="31" t="s">
        <v>58</v>
      </c>
      <c r="C16" s="33" t="s">
        <v>59</v>
      </c>
      <c r="D16" s="30"/>
      <c r="E16" s="7">
        <v>1</v>
      </c>
      <c r="F16" s="37" t="s">
        <v>79</v>
      </c>
      <c r="G16" s="36">
        <v>0.1439884404</v>
      </c>
      <c r="H16" s="36">
        <f>VLOOKUP(B16,冲压件核价!E16:AB296,24,0)</f>
        <v>0.1141893557522124</v>
      </c>
      <c r="I16" s="119">
        <f t="shared" si="0"/>
        <v>0.1141893557522124</v>
      </c>
      <c r="J16" s="36">
        <v>0.18584070796460178</v>
      </c>
      <c r="K16" s="8">
        <v>1.3299999999999999E-2</v>
      </c>
      <c r="L16" s="115">
        <f t="shared" si="1"/>
        <v>0.19914070796460179</v>
      </c>
      <c r="M16" s="36"/>
      <c r="N16" s="8"/>
      <c r="O16" s="115"/>
      <c r="P16" s="116">
        <f>0.2/1.13</f>
        <v>0.1769911504424779</v>
      </c>
      <c r="Q16" s="117">
        <v>5.3E-3</v>
      </c>
      <c r="R16" s="115">
        <f t="shared" si="2"/>
        <v>0.1822911504424779</v>
      </c>
      <c r="S16" s="116">
        <v>0.15</v>
      </c>
      <c r="T16" s="9">
        <v>5.3E-3</v>
      </c>
      <c r="U16" s="44">
        <f t="shared" si="4"/>
        <v>0.15529999999999999</v>
      </c>
      <c r="V16" s="54" t="s">
        <v>94</v>
      </c>
      <c r="W16" s="54"/>
      <c r="X16" s="115" t="e">
        <f t="shared" si="3"/>
        <v>#VALUE!</v>
      </c>
      <c r="Y16" s="54"/>
      <c r="Z16" s="54"/>
      <c r="AA16" s="115"/>
      <c r="AB16" s="54"/>
      <c r="AC16" s="54"/>
      <c r="AD16" s="115"/>
      <c r="AE16" s="54"/>
      <c r="AF16" s="54"/>
      <c r="AG16" s="115"/>
      <c r="AH16" s="54"/>
      <c r="AI16" s="54"/>
      <c r="AJ16" s="115"/>
      <c r="AK16" s="54"/>
      <c r="AL16" s="54"/>
      <c r="AM16" s="115"/>
    </row>
    <row r="17" spans="1:40" ht="62.25" customHeight="1">
      <c r="A17" s="38" t="s">
        <v>112</v>
      </c>
      <c r="B17" s="31" t="s">
        <v>60</v>
      </c>
      <c r="C17" s="33" t="s">
        <v>61</v>
      </c>
      <c r="D17" s="30"/>
      <c r="E17" s="7">
        <v>1</v>
      </c>
      <c r="F17" s="37" t="s">
        <v>79</v>
      </c>
      <c r="G17" s="36">
        <v>0.1439884404</v>
      </c>
      <c r="H17" s="36">
        <f>VLOOKUP(B17,冲压件核价!E17:AB297,24,0)</f>
        <v>9.9746877876106199E-2</v>
      </c>
      <c r="I17" s="119">
        <f t="shared" si="0"/>
        <v>9.9746877876106199E-2</v>
      </c>
      <c r="J17" s="36">
        <v>0.16814159292035399</v>
      </c>
      <c r="K17" s="9">
        <v>1.3299999999999999E-2</v>
      </c>
      <c r="L17" s="115">
        <f t="shared" si="1"/>
        <v>0.181441592920354</v>
      </c>
      <c r="M17" s="36"/>
      <c r="N17" s="9"/>
      <c r="O17" s="115"/>
      <c r="P17" s="116">
        <f>0.14/1.13</f>
        <v>0.12389380530973454</v>
      </c>
      <c r="Q17" s="117">
        <v>5.3E-3</v>
      </c>
      <c r="R17" s="115">
        <f t="shared" si="2"/>
        <v>0.12919380530973454</v>
      </c>
      <c r="S17" s="116">
        <v>0.11</v>
      </c>
      <c r="T17" s="9">
        <v>5.3E-3</v>
      </c>
      <c r="U17" s="44">
        <f t="shared" si="4"/>
        <v>0.1153</v>
      </c>
      <c r="V17" s="54" t="s">
        <v>94</v>
      </c>
      <c r="W17" s="54"/>
      <c r="X17" s="115" t="e">
        <f t="shared" si="3"/>
        <v>#VALUE!</v>
      </c>
      <c r="Y17" s="54"/>
      <c r="Z17" s="54"/>
      <c r="AA17" s="115"/>
      <c r="AB17" s="54"/>
      <c r="AC17" s="54"/>
      <c r="AD17" s="115"/>
      <c r="AE17" s="54"/>
      <c r="AF17" s="54"/>
      <c r="AG17" s="115"/>
      <c r="AH17" s="54"/>
      <c r="AI17" s="54"/>
      <c r="AJ17" s="115"/>
      <c r="AK17" s="54"/>
      <c r="AL17" s="54"/>
      <c r="AM17" s="115"/>
    </row>
    <row r="18" spans="1:40" ht="62.25" customHeight="1">
      <c r="A18" s="38" t="s">
        <v>112</v>
      </c>
      <c r="B18" s="31" t="s">
        <v>62</v>
      </c>
      <c r="C18" s="33" t="s">
        <v>63</v>
      </c>
      <c r="D18" s="30"/>
      <c r="E18" s="7">
        <v>1</v>
      </c>
      <c r="F18" s="37" t="s">
        <v>83</v>
      </c>
      <c r="G18" s="36">
        <v>0.7</v>
      </c>
      <c r="H18" s="36">
        <f>VLOOKUP(B18,冲压件核价!E18:AB298,24,0)</f>
        <v>0.66593173198482947</v>
      </c>
      <c r="I18" s="119">
        <f t="shared" si="0"/>
        <v>0.66593173198482947</v>
      </c>
      <c r="J18" s="36">
        <v>0.9734513274336285</v>
      </c>
      <c r="K18" s="9">
        <v>2.6499999999999999E-2</v>
      </c>
      <c r="L18" s="115">
        <f t="shared" si="1"/>
        <v>0.99995132743362847</v>
      </c>
      <c r="M18" s="36"/>
      <c r="N18" s="9"/>
      <c r="O18" s="115"/>
      <c r="P18" s="116">
        <f>0.9/1.13</f>
        <v>0.79646017699115057</v>
      </c>
      <c r="Q18" s="117">
        <v>1.77E-2</v>
      </c>
      <c r="R18" s="115">
        <f t="shared" si="2"/>
        <v>0.81416017699115062</v>
      </c>
      <c r="S18" s="116">
        <v>0.6</v>
      </c>
      <c r="T18" s="9">
        <v>1.77E-2</v>
      </c>
      <c r="U18" s="44">
        <f t="shared" si="4"/>
        <v>0.61770000000000003</v>
      </c>
      <c r="V18" s="54" t="s">
        <v>94</v>
      </c>
      <c r="W18" s="54"/>
      <c r="X18" s="115" t="e">
        <f t="shared" si="3"/>
        <v>#VALUE!</v>
      </c>
      <c r="Y18" s="54"/>
      <c r="Z18" s="54"/>
      <c r="AA18" s="115"/>
      <c r="AB18" s="54"/>
      <c r="AC18" s="54"/>
      <c r="AD18" s="115"/>
      <c r="AE18" s="54"/>
      <c r="AF18" s="54"/>
      <c r="AG18" s="115"/>
      <c r="AH18" s="54"/>
      <c r="AI18" s="54"/>
      <c r="AJ18" s="115"/>
      <c r="AK18" s="54"/>
      <c r="AL18" s="54"/>
      <c r="AM18" s="115"/>
    </row>
    <row r="19" spans="1:40" ht="62.25" hidden="1" customHeight="1">
      <c r="A19" s="38" t="s">
        <v>112</v>
      </c>
      <c r="B19" s="31" t="s">
        <v>64</v>
      </c>
      <c r="C19" s="33" t="s">
        <v>65</v>
      </c>
      <c r="D19" s="30"/>
      <c r="E19" s="7">
        <v>1</v>
      </c>
      <c r="F19" s="35" t="s">
        <v>231</v>
      </c>
      <c r="G19" s="36">
        <v>13.661</v>
      </c>
      <c r="H19" s="36">
        <f>VLOOKUP(B19,冲压件核价!E19:AB299,24,0)</f>
        <v>9.8647994943109989</v>
      </c>
      <c r="I19" s="119">
        <f t="shared" si="0"/>
        <v>9.8647994943109989</v>
      </c>
      <c r="J19" s="36">
        <f>16/1.13</f>
        <v>14.159292035398231</v>
      </c>
      <c r="K19" s="9">
        <v>0.22120000000000001</v>
      </c>
      <c r="L19" s="115">
        <f t="shared" si="1"/>
        <v>14.38049203539823</v>
      </c>
      <c r="M19" s="36"/>
      <c r="N19" s="9"/>
      <c r="O19" s="115"/>
      <c r="P19" s="116">
        <f>21/1.13</f>
        <v>18.584070796460178</v>
      </c>
      <c r="Q19" s="117">
        <v>0.1593</v>
      </c>
      <c r="R19" s="115">
        <f t="shared" si="2"/>
        <v>18.743370796460177</v>
      </c>
      <c r="S19" s="116"/>
      <c r="T19" s="117"/>
      <c r="U19" s="115"/>
      <c r="V19" s="54">
        <v>17.25</v>
      </c>
      <c r="W19" s="7">
        <v>1.35</v>
      </c>
      <c r="X19" s="115">
        <f t="shared" si="3"/>
        <v>18.600000000000001</v>
      </c>
      <c r="Y19" s="54"/>
      <c r="Z19" s="54"/>
      <c r="AA19" s="115"/>
      <c r="AB19" s="54">
        <v>15.3</v>
      </c>
      <c r="AC19" s="54">
        <f>模具费!N140</f>
        <v>0.41099999999999998</v>
      </c>
      <c r="AD19" s="115">
        <f>AB19+AC19</f>
        <v>15.711</v>
      </c>
      <c r="AE19" s="54">
        <v>13.98</v>
      </c>
      <c r="AF19" s="54">
        <v>0.41099999999999998</v>
      </c>
      <c r="AG19" s="44">
        <f>AE19+AF19</f>
        <v>14.391</v>
      </c>
      <c r="AH19" s="54">
        <f>15.24/1.13</f>
        <v>13.486725663716816</v>
      </c>
      <c r="AI19" s="54">
        <v>0.3</v>
      </c>
      <c r="AJ19" s="115">
        <f>AH19+AI19</f>
        <v>13.786725663716817</v>
      </c>
      <c r="AK19" s="54"/>
      <c r="AL19" s="54"/>
      <c r="AM19" s="115"/>
    </row>
    <row r="20" spans="1:40" ht="62.25" hidden="1" customHeight="1">
      <c r="A20" s="38" t="s">
        <v>112</v>
      </c>
      <c r="B20" s="31" t="s">
        <v>69</v>
      </c>
      <c r="C20" s="33" t="s">
        <v>70</v>
      </c>
      <c r="D20" s="30"/>
      <c r="E20" s="7">
        <v>1</v>
      </c>
      <c r="F20" s="37" t="s">
        <v>78</v>
      </c>
      <c r="G20" s="36">
        <f>1.39+2.04+0.71</f>
        <v>4.1399999999999997</v>
      </c>
      <c r="H20" s="36">
        <f>VLOOKUP(B20,冲压件核价!E20:AB300,24,0)</f>
        <v>6.465587863463969</v>
      </c>
      <c r="I20" s="119">
        <f t="shared" si="0"/>
        <v>4.1399999999999997</v>
      </c>
      <c r="J20" s="36">
        <v>8.4955752212389388</v>
      </c>
      <c r="K20" s="9">
        <v>7.0800000000000002E-2</v>
      </c>
      <c r="L20" s="115">
        <f t="shared" si="1"/>
        <v>8.566375221238939</v>
      </c>
      <c r="M20" s="136">
        <v>8.1999999999999993</v>
      </c>
      <c r="N20" s="9">
        <v>7.0800000000000002E-2</v>
      </c>
      <c r="O20" s="44">
        <f>M20+N20</f>
        <v>8.2707999999999995</v>
      </c>
      <c r="P20" s="116">
        <f>12/1.13</f>
        <v>10.619469026548673</v>
      </c>
      <c r="Q20" s="117">
        <v>6.1899999999999997E-2</v>
      </c>
      <c r="R20" s="115">
        <f t="shared" si="2"/>
        <v>10.681369026548673</v>
      </c>
      <c r="S20" s="116"/>
      <c r="T20" s="117"/>
      <c r="U20" s="115"/>
      <c r="V20" s="54" t="s">
        <v>94</v>
      </c>
      <c r="W20" s="54"/>
      <c r="X20" s="115" t="e">
        <f t="shared" si="3"/>
        <v>#VALUE!</v>
      </c>
      <c r="Y20" s="54"/>
      <c r="Z20" s="54"/>
      <c r="AA20" s="115"/>
      <c r="AB20" s="54"/>
      <c r="AC20" s="54"/>
      <c r="AD20" s="115"/>
      <c r="AE20" s="54"/>
      <c r="AF20" s="54"/>
      <c r="AG20" s="115"/>
      <c r="AH20" s="54"/>
      <c r="AI20" s="54"/>
      <c r="AJ20" s="115"/>
      <c r="AK20" s="54"/>
      <c r="AL20" s="54"/>
      <c r="AM20" s="115"/>
    </row>
    <row r="21" spans="1:40" ht="62.25" customHeight="1">
      <c r="A21" s="38" t="s">
        <v>112</v>
      </c>
      <c r="B21" s="31" t="s">
        <v>71</v>
      </c>
      <c r="C21" s="33" t="s">
        <v>72</v>
      </c>
      <c r="D21" s="30"/>
      <c r="E21" s="7">
        <v>1</v>
      </c>
      <c r="F21" s="37" t="s">
        <v>79</v>
      </c>
      <c r="G21" s="36">
        <v>0.33177060000000003</v>
      </c>
      <c r="H21" s="36">
        <f>VLOOKUP(B21,冲压件核价!E21:AB301,24,0)</f>
        <v>9.1782743362831862E-2</v>
      </c>
      <c r="I21" s="119">
        <f t="shared" si="0"/>
        <v>9.1782743362831862E-2</v>
      </c>
      <c r="J21" s="36">
        <v>0.18584070796460178</v>
      </c>
      <c r="K21" s="9">
        <v>1.3299999999999999E-2</v>
      </c>
      <c r="L21" s="115">
        <f t="shared" si="1"/>
        <v>0.19914070796460179</v>
      </c>
      <c r="M21" s="36"/>
      <c r="N21" s="9"/>
      <c r="O21" s="115"/>
      <c r="P21" s="116">
        <f>0.15/1.13</f>
        <v>0.13274336283185842</v>
      </c>
      <c r="Q21" s="117">
        <v>5.3E-3</v>
      </c>
      <c r="R21" s="115">
        <f t="shared" si="2"/>
        <v>0.13804336283185842</v>
      </c>
      <c r="S21" s="116">
        <v>0.13</v>
      </c>
      <c r="T21" s="9">
        <v>5.3E-3</v>
      </c>
      <c r="U21" s="44">
        <f t="shared" si="4"/>
        <v>0.1353</v>
      </c>
      <c r="V21" s="54" t="s">
        <v>94</v>
      </c>
      <c r="W21" s="54"/>
      <c r="X21" s="115" t="e">
        <f t="shared" si="3"/>
        <v>#VALUE!</v>
      </c>
      <c r="Y21" s="54"/>
      <c r="Z21" s="54"/>
      <c r="AA21" s="115"/>
      <c r="AB21" s="54"/>
      <c r="AC21" s="54"/>
      <c r="AD21" s="115"/>
      <c r="AE21" s="54"/>
      <c r="AF21" s="54"/>
      <c r="AG21" s="115"/>
      <c r="AH21" s="54"/>
      <c r="AI21" s="54"/>
      <c r="AJ21" s="115"/>
      <c r="AK21" s="54"/>
      <c r="AL21" s="54"/>
      <c r="AM21" s="115"/>
    </row>
    <row r="22" spans="1:40" ht="62.25" hidden="1" customHeight="1">
      <c r="A22" s="38" t="s">
        <v>112</v>
      </c>
      <c r="B22" s="31" t="s">
        <v>73</v>
      </c>
      <c r="C22" s="33" t="s">
        <v>74</v>
      </c>
      <c r="D22" s="30"/>
      <c r="E22" s="7">
        <v>1</v>
      </c>
      <c r="F22" s="37" t="s">
        <v>79</v>
      </c>
      <c r="G22" s="36">
        <v>0.77037133319999995</v>
      </c>
      <c r="H22" s="36">
        <f>VLOOKUP(B22,冲压件核价!E22:AB302,24,0)</f>
        <v>0.87449810366624547</v>
      </c>
      <c r="I22" s="119">
        <f t="shared" si="0"/>
        <v>0.77037133319999995</v>
      </c>
      <c r="J22" s="36">
        <v>1.1946902654867257</v>
      </c>
      <c r="K22" s="9">
        <v>3.1E-2</v>
      </c>
      <c r="L22" s="115">
        <f t="shared" si="1"/>
        <v>1.2256902654867257</v>
      </c>
      <c r="M22" s="136">
        <v>1.1000000000000001</v>
      </c>
      <c r="N22" s="9">
        <v>3.1E-2</v>
      </c>
      <c r="O22" s="44">
        <f>M22+N22</f>
        <v>1.131</v>
      </c>
      <c r="P22" s="39">
        <f>1.5/1.13</f>
        <v>1.3274336283185841</v>
      </c>
      <c r="Q22" s="9">
        <v>2.2100000000000002E-2</v>
      </c>
      <c r="R22" s="115">
        <f t="shared" si="2"/>
        <v>1.3495336283185841</v>
      </c>
      <c r="S22" s="39"/>
      <c r="T22" s="9"/>
      <c r="U22" s="115"/>
      <c r="V22" s="54" t="s">
        <v>94</v>
      </c>
      <c r="W22" s="54"/>
      <c r="X22" s="115" t="e">
        <f t="shared" si="3"/>
        <v>#VALUE!</v>
      </c>
      <c r="Y22" s="54"/>
      <c r="Z22" s="54"/>
      <c r="AA22" s="115"/>
      <c r="AB22" s="54"/>
      <c r="AC22" s="54"/>
      <c r="AD22" s="115"/>
      <c r="AE22" s="54"/>
      <c r="AF22" s="54"/>
      <c r="AG22" s="115"/>
      <c r="AH22" s="54"/>
      <c r="AI22" s="54"/>
      <c r="AJ22" s="115"/>
      <c r="AK22" s="54"/>
      <c r="AL22" s="54"/>
      <c r="AM22" s="115"/>
    </row>
    <row r="23" spans="1:40" ht="62.25" hidden="1" customHeight="1">
      <c r="A23" s="38" t="s">
        <v>112</v>
      </c>
      <c r="B23" s="31" t="s">
        <v>75</v>
      </c>
      <c r="C23" s="34" t="s">
        <v>76</v>
      </c>
      <c r="D23" s="30"/>
      <c r="E23" s="7">
        <v>1</v>
      </c>
      <c r="F23" s="37" t="s">
        <v>79</v>
      </c>
      <c r="G23" s="36">
        <v>0.31012625000000005</v>
      </c>
      <c r="H23" s="36">
        <f>VLOOKUP(B23,冲压件核价!E23:AB303,24,0)</f>
        <v>0.50257395701643481</v>
      </c>
      <c r="I23" s="119">
        <f t="shared" si="0"/>
        <v>0.31012625000000005</v>
      </c>
      <c r="J23" s="36">
        <v>0.65486725663716816</v>
      </c>
      <c r="K23" s="9">
        <v>3.1E-2</v>
      </c>
      <c r="L23" s="115">
        <f t="shared" si="1"/>
        <v>0.68586725663716819</v>
      </c>
      <c r="M23" s="136">
        <v>0.6</v>
      </c>
      <c r="N23" s="9">
        <v>3.1E-2</v>
      </c>
      <c r="O23" s="44">
        <f>M23+N23</f>
        <v>0.63100000000000001</v>
      </c>
      <c r="P23" s="39">
        <f>1.3/1.13</f>
        <v>1.1504424778761064</v>
      </c>
      <c r="Q23" s="9">
        <v>1.5900000000000001E-2</v>
      </c>
      <c r="R23" s="115">
        <f t="shared" si="2"/>
        <v>1.1663424778761065</v>
      </c>
      <c r="S23" s="39"/>
      <c r="T23" s="9"/>
      <c r="U23" s="115"/>
      <c r="V23" s="54" t="s">
        <v>94</v>
      </c>
      <c r="W23" s="54"/>
      <c r="X23" s="115" t="e">
        <f t="shared" si="3"/>
        <v>#VALUE!</v>
      </c>
      <c r="Y23" s="54"/>
      <c r="Z23" s="54"/>
      <c r="AA23" s="115"/>
      <c r="AB23" s="54"/>
      <c r="AC23" s="54"/>
      <c r="AD23" s="115"/>
      <c r="AE23" s="54"/>
      <c r="AF23" s="54"/>
      <c r="AG23" s="115"/>
      <c r="AH23" s="54"/>
      <c r="AI23" s="54"/>
      <c r="AJ23" s="115"/>
      <c r="AK23" s="54"/>
      <c r="AL23" s="54"/>
      <c r="AM23" s="115"/>
    </row>
    <row r="24" spans="1:40" ht="62.25" hidden="1" customHeight="1">
      <c r="A24" s="29" t="s">
        <v>105</v>
      </c>
      <c r="B24" s="45" t="s">
        <v>106</v>
      </c>
      <c r="C24" s="46" t="s">
        <v>107</v>
      </c>
      <c r="D24" s="45"/>
      <c r="E24" s="7">
        <v>1</v>
      </c>
      <c r="F24" s="37" t="s">
        <v>80</v>
      </c>
      <c r="G24" s="36">
        <v>1.8559603893600001</v>
      </c>
      <c r="H24" s="36">
        <f>VLOOKUP(B24,冲压件核价!E24:AB304,24,0)</f>
        <v>0.94030034336283175</v>
      </c>
      <c r="I24" s="119">
        <f t="shared" si="0"/>
        <v>0.94030034336283175</v>
      </c>
      <c r="J24" s="36"/>
      <c r="K24" s="9"/>
      <c r="L24" s="115"/>
      <c r="M24" s="36"/>
      <c r="N24" s="9"/>
      <c r="O24" s="115"/>
      <c r="P24" s="39"/>
      <c r="Q24" s="9"/>
      <c r="R24" s="115"/>
      <c r="S24" s="39"/>
      <c r="T24" s="9"/>
      <c r="U24" s="115"/>
      <c r="V24" s="54">
        <v>1.55</v>
      </c>
      <c r="W24" s="54">
        <v>0.17</v>
      </c>
      <c r="X24" s="115">
        <f t="shared" si="3"/>
        <v>1.72</v>
      </c>
      <c r="Y24" s="54"/>
      <c r="Z24" s="54"/>
      <c r="AA24" s="115"/>
      <c r="AB24" s="54">
        <v>2.2400000000000002</v>
      </c>
      <c r="AC24" s="54">
        <f>模具费!N189</f>
        <v>0.1105</v>
      </c>
      <c r="AD24" s="115">
        <f>AB24+AC24</f>
        <v>2.3505000000000003</v>
      </c>
      <c r="AE24" s="54"/>
      <c r="AF24" s="54"/>
      <c r="AG24" s="115"/>
      <c r="AH24" s="54">
        <f>1.34/1.13</f>
        <v>1.1858407079646021</v>
      </c>
      <c r="AI24" s="54">
        <f>模具费!Q189</f>
        <v>8.0000000000000016E-2</v>
      </c>
      <c r="AJ24" s="115">
        <f>AH24+AI24</f>
        <v>1.2658407079646021</v>
      </c>
      <c r="AK24" s="140">
        <v>1.04</v>
      </c>
      <c r="AL24" s="54">
        <f>模具费!Q189</f>
        <v>8.0000000000000016E-2</v>
      </c>
      <c r="AM24" s="44">
        <f>AK24+AL24</f>
        <v>1.1200000000000001</v>
      </c>
    </row>
    <row r="25" spans="1:40" ht="62.25" hidden="1" customHeight="1">
      <c r="A25" s="29" t="s">
        <v>105</v>
      </c>
      <c r="B25" s="45" t="s">
        <v>114</v>
      </c>
      <c r="C25" s="58" t="s">
        <v>115</v>
      </c>
      <c r="D25" s="48"/>
      <c r="E25" s="7">
        <v>1</v>
      </c>
      <c r="F25" s="37" t="s">
        <v>103</v>
      </c>
      <c r="G25" s="36">
        <v>6.22</v>
      </c>
      <c r="H25" s="36">
        <f>VLOOKUP(B25,冲压件核价!E25:AB305,24,0)</f>
        <v>12.104959413587473</v>
      </c>
      <c r="I25" s="119">
        <f t="shared" si="0"/>
        <v>6.22</v>
      </c>
      <c r="J25" s="36"/>
      <c r="K25" s="9"/>
      <c r="L25" s="115"/>
      <c r="M25" s="36"/>
      <c r="N25" s="9"/>
      <c r="O25" s="115"/>
      <c r="P25" s="39"/>
      <c r="Q25" s="9"/>
      <c r="R25" s="115"/>
      <c r="S25" s="39"/>
      <c r="T25" s="9"/>
      <c r="U25" s="115"/>
      <c r="V25" s="54">
        <v>7.22</v>
      </c>
      <c r="W25" s="54">
        <v>0.56000000000000005</v>
      </c>
      <c r="X25" s="115">
        <f t="shared" si="3"/>
        <v>7.7799999999999994</v>
      </c>
      <c r="Y25" s="54"/>
      <c r="Z25" s="54"/>
      <c r="AA25" s="115"/>
      <c r="AB25" s="54">
        <v>17.3</v>
      </c>
      <c r="AC25" s="54">
        <f>模具费!N199</f>
        <v>0.223</v>
      </c>
      <c r="AD25" s="115">
        <f>AB25+AC25</f>
        <v>17.523</v>
      </c>
      <c r="AE25" s="54"/>
      <c r="AF25" s="54"/>
      <c r="AG25" s="115"/>
      <c r="AH25" s="54">
        <f>16.89/1.13</f>
        <v>14.946902654867259</v>
      </c>
      <c r="AI25" s="54">
        <f>模具费!Q199</f>
        <v>8.0000000000000016E-2</v>
      </c>
      <c r="AJ25" s="115">
        <f>AH25+AI25</f>
        <v>15.026902654867259</v>
      </c>
      <c r="AK25" s="140">
        <v>12.56</v>
      </c>
      <c r="AL25" s="54">
        <f>模具费!Q199</f>
        <v>8.0000000000000016E-2</v>
      </c>
      <c r="AM25" s="44">
        <f>AK25+AL25</f>
        <v>12.64</v>
      </c>
      <c r="AN25" s="53" t="s">
        <v>113</v>
      </c>
    </row>
    <row r="26" spans="1:40" ht="62.25" hidden="1" customHeight="1">
      <c r="A26" s="29" t="s">
        <v>105</v>
      </c>
      <c r="B26" s="48" t="s">
        <v>116</v>
      </c>
      <c r="C26" s="49" t="s">
        <v>117</v>
      </c>
      <c r="D26" s="48"/>
      <c r="E26" s="7">
        <v>1</v>
      </c>
      <c r="F26" s="37" t="s">
        <v>103</v>
      </c>
      <c r="G26" s="36">
        <v>4.4655332400000001</v>
      </c>
      <c r="H26" s="36">
        <f>VLOOKUP(B26,冲压件核价!E28:AB306,24,0)</f>
        <v>7.6773819607800116</v>
      </c>
      <c r="I26" s="119">
        <f t="shared" si="0"/>
        <v>4.4655332400000001</v>
      </c>
      <c r="J26" s="36"/>
      <c r="K26" s="9"/>
      <c r="L26" s="115"/>
      <c r="M26" s="36"/>
      <c r="N26" s="9"/>
      <c r="O26" s="115"/>
      <c r="P26" s="39"/>
      <c r="Q26" s="9"/>
      <c r="R26" s="115"/>
      <c r="S26" s="39"/>
      <c r="T26" s="9"/>
      <c r="U26" s="115"/>
      <c r="V26" s="54">
        <v>6.94</v>
      </c>
      <c r="W26" s="54">
        <v>0.56000000000000005</v>
      </c>
      <c r="X26" s="115">
        <f t="shared" si="3"/>
        <v>7.5</v>
      </c>
      <c r="Y26" s="54"/>
      <c r="Z26" s="54"/>
      <c r="AA26" s="115"/>
      <c r="AB26" s="54">
        <v>14.5</v>
      </c>
      <c r="AC26" s="54">
        <f>模具费!N209</f>
        <v>0.223</v>
      </c>
      <c r="AD26" s="115">
        <f>AB26+AC26</f>
        <v>14.723000000000001</v>
      </c>
      <c r="AE26" s="54"/>
      <c r="AF26" s="54"/>
      <c r="AG26" s="115"/>
      <c r="AH26" s="54">
        <f>10.2/1.13</f>
        <v>9.0265486725663724</v>
      </c>
      <c r="AI26" s="54">
        <f>模具费!Q209</f>
        <v>0.08</v>
      </c>
      <c r="AJ26" s="115">
        <f>AH26+AI26</f>
        <v>9.1065486725663725</v>
      </c>
      <c r="AK26" s="140">
        <v>8.23</v>
      </c>
      <c r="AL26" s="54">
        <f>模具费!Q209</f>
        <v>0.08</v>
      </c>
      <c r="AM26" s="44">
        <f>AK26+AL26</f>
        <v>8.31</v>
      </c>
      <c r="AN26" s="53" t="s">
        <v>113</v>
      </c>
    </row>
    <row r="27" spans="1:40" ht="62.25" hidden="1" customHeight="1">
      <c r="A27" s="29" t="s">
        <v>105</v>
      </c>
      <c r="B27" s="50" t="s">
        <v>99</v>
      </c>
      <c r="C27" s="51" t="s">
        <v>100</v>
      </c>
      <c r="D27" s="50"/>
      <c r="E27" s="7">
        <v>1</v>
      </c>
      <c r="F27" s="52" t="s">
        <v>80</v>
      </c>
      <c r="G27" s="36">
        <v>1.7480557155600001</v>
      </c>
      <c r="H27" s="36">
        <f>VLOOKUP(B27,冲压件核价!E29:AB307,24,0)</f>
        <v>0.90515672389380519</v>
      </c>
      <c r="I27" s="119">
        <f t="shared" si="0"/>
        <v>0.90515672389380519</v>
      </c>
      <c r="J27" s="36"/>
      <c r="K27" s="9"/>
      <c r="L27" s="115"/>
      <c r="M27" s="36"/>
      <c r="N27" s="9"/>
      <c r="O27" s="115"/>
      <c r="P27" s="39"/>
      <c r="Q27" s="9"/>
      <c r="R27" s="115"/>
      <c r="S27" s="39"/>
      <c r="T27" s="9"/>
      <c r="U27" s="115"/>
      <c r="V27" s="54">
        <v>1.54</v>
      </c>
      <c r="W27" s="54">
        <v>0.17</v>
      </c>
      <c r="X27" s="115">
        <f t="shared" si="3"/>
        <v>1.71</v>
      </c>
      <c r="Y27" s="54"/>
      <c r="Z27" s="54"/>
      <c r="AA27" s="115"/>
      <c r="AB27" s="54">
        <v>2.2400000000000002</v>
      </c>
      <c r="AC27" s="54">
        <f>模具费!N219</f>
        <v>0.16</v>
      </c>
      <c r="AD27" s="115">
        <f>AB27+AC27</f>
        <v>2.4000000000000004</v>
      </c>
      <c r="AE27" s="54"/>
      <c r="AF27" s="54"/>
      <c r="AG27" s="115"/>
      <c r="AH27" s="54">
        <f>1.34/1.13</f>
        <v>1.1858407079646021</v>
      </c>
      <c r="AI27" s="54">
        <f>模具费!Q219</f>
        <v>8.0000000000000016E-2</v>
      </c>
      <c r="AJ27" s="115">
        <f>AH27+AI27</f>
        <v>1.2658407079646021</v>
      </c>
      <c r="AK27" s="140">
        <v>1.04</v>
      </c>
      <c r="AL27" s="54">
        <f>模具费!Q219</f>
        <v>8.0000000000000016E-2</v>
      </c>
      <c r="AM27" s="44">
        <f>AK27+AL27</f>
        <v>1.1200000000000001</v>
      </c>
    </row>
    <row r="28" spans="1:40" ht="62.25" hidden="1" customHeight="1">
      <c r="A28" s="29" t="s">
        <v>105</v>
      </c>
      <c r="B28" s="47" t="s">
        <v>101</v>
      </c>
      <c r="C28" s="47" t="s">
        <v>102</v>
      </c>
      <c r="D28" s="47"/>
      <c r="E28" s="7">
        <v>1</v>
      </c>
      <c r="F28" s="47" t="s">
        <v>104</v>
      </c>
      <c r="G28" s="36">
        <v>8.1656131479140335</v>
      </c>
      <c r="H28" s="36">
        <f>VLOOKUP(B28,冲压件核价!E30:AB308,24,0)</f>
        <v>8.1656131479140335</v>
      </c>
      <c r="I28" s="119">
        <f t="shared" si="0"/>
        <v>8.1656131479140335</v>
      </c>
      <c r="J28" s="36"/>
      <c r="K28" s="9"/>
      <c r="L28" s="115"/>
      <c r="M28" s="36"/>
      <c r="N28" s="9"/>
      <c r="O28" s="115"/>
      <c r="P28" s="39"/>
      <c r="Q28" s="9"/>
      <c r="R28" s="115"/>
      <c r="S28" s="39"/>
      <c r="T28" s="9"/>
      <c r="U28" s="115"/>
      <c r="V28" s="54">
        <v>11.69</v>
      </c>
      <c r="W28" s="54">
        <v>0.93</v>
      </c>
      <c r="X28" s="115">
        <f t="shared" si="3"/>
        <v>12.62</v>
      </c>
      <c r="Y28" s="54"/>
      <c r="Z28" s="54"/>
      <c r="AA28" s="115"/>
      <c r="AB28" s="54">
        <v>15.48</v>
      </c>
      <c r="AC28" s="54">
        <f>模具费!N229</f>
        <v>0.44</v>
      </c>
      <c r="AD28" s="115">
        <f>AB28+AC28</f>
        <v>15.92</v>
      </c>
      <c r="AE28" s="54">
        <v>12.97</v>
      </c>
      <c r="AF28" s="54">
        <v>0.44</v>
      </c>
      <c r="AG28" s="44">
        <f>AE28+AF28</f>
        <v>13.41</v>
      </c>
      <c r="AH28" s="54">
        <f>9.37/1.13</f>
        <v>8.2920353982300892</v>
      </c>
      <c r="AI28" s="54">
        <f>模具费!Q229</f>
        <v>0.30000000000000004</v>
      </c>
      <c r="AJ28" s="115">
        <f>AH28+AI28</f>
        <v>8.5920353982300899</v>
      </c>
      <c r="AK28" s="54"/>
      <c r="AL28" s="54"/>
      <c r="AM28" s="115"/>
    </row>
    <row r="29" spans="1:40" ht="62.25" hidden="1" customHeight="1">
      <c r="A29" s="29" t="s">
        <v>105</v>
      </c>
      <c r="B29" s="47" t="s">
        <v>236</v>
      </c>
      <c r="C29" s="47" t="s">
        <v>237</v>
      </c>
      <c r="D29" s="47"/>
      <c r="E29" s="7">
        <v>1</v>
      </c>
      <c r="F29" s="37" t="s">
        <v>79</v>
      </c>
      <c r="G29" s="36"/>
      <c r="H29" s="36"/>
      <c r="I29" s="119">
        <f t="shared" ref="I29" si="5">IF(G29&lt;=H29,G29,H29)</f>
        <v>0</v>
      </c>
      <c r="J29" s="36"/>
      <c r="K29" s="9"/>
      <c r="L29" s="115"/>
      <c r="M29" s="36"/>
      <c r="N29" s="9"/>
      <c r="O29" s="115"/>
      <c r="P29" s="39"/>
      <c r="Q29" s="9"/>
      <c r="R29" s="115"/>
      <c r="S29" s="39"/>
      <c r="T29" s="9"/>
      <c r="U29" s="115"/>
      <c r="V29" s="54">
        <v>32.729999999999997</v>
      </c>
      <c r="W29" s="54">
        <v>1.72</v>
      </c>
      <c r="X29" s="115">
        <f>V29+W29</f>
        <v>34.449999999999996</v>
      </c>
      <c r="Y29" s="54">
        <v>30</v>
      </c>
      <c r="Z29" s="54">
        <v>1.72</v>
      </c>
      <c r="AA29" s="44">
        <f>Y29+Z29</f>
        <v>31.72</v>
      </c>
      <c r="AB29" s="54"/>
      <c r="AC29" s="54"/>
      <c r="AD29" s="115"/>
      <c r="AE29" s="54"/>
      <c r="AF29" s="54"/>
      <c r="AG29" s="115"/>
      <c r="AH29" s="54"/>
      <c r="AI29" s="54"/>
      <c r="AJ29" s="115"/>
      <c r="AK29" s="54"/>
      <c r="AL29" s="54"/>
      <c r="AM29" s="115"/>
    </row>
    <row r="30" spans="1:40" ht="62.25" hidden="1" customHeight="1">
      <c r="A30" s="29" t="s">
        <v>105</v>
      </c>
      <c r="B30" s="47" t="s">
        <v>240</v>
      </c>
      <c r="C30" s="47" t="s">
        <v>235</v>
      </c>
      <c r="D30" s="47"/>
      <c r="E30" s="7">
        <v>1</v>
      </c>
      <c r="F30" s="37" t="s">
        <v>79</v>
      </c>
      <c r="G30" s="36"/>
      <c r="H30" s="36"/>
      <c r="I30" s="119">
        <f t="shared" ref="I30" si="6">IF(G30&lt;=H30,G30,H30)</f>
        <v>0</v>
      </c>
      <c r="J30" s="36"/>
      <c r="K30" s="9"/>
      <c r="L30" s="115"/>
      <c r="M30" s="36"/>
      <c r="N30" s="9"/>
      <c r="O30" s="115"/>
      <c r="P30" s="39"/>
      <c r="Q30" s="9"/>
      <c r="R30" s="115"/>
      <c r="S30" s="39"/>
      <c r="T30" s="9"/>
      <c r="U30" s="115"/>
      <c r="V30" s="54">
        <v>34.24</v>
      </c>
      <c r="W30" s="54">
        <v>1.72</v>
      </c>
      <c r="X30" s="115">
        <f>V30+W30</f>
        <v>35.96</v>
      </c>
      <c r="Y30" s="54">
        <v>31</v>
      </c>
      <c r="Z30" s="54">
        <v>1.72</v>
      </c>
      <c r="AA30" s="44">
        <f>Y30+Z30</f>
        <v>32.72</v>
      </c>
      <c r="AB30" s="54"/>
      <c r="AC30" s="54"/>
      <c r="AD30" s="115"/>
      <c r="AE30" s="54"/>
      <c r="AF30" s="54"/>
      <c r="AG30" s="115"/>
      <c r="AH30" s="54"/>
      <c r="AI30" s="54"/>
      <c r="AJ30" s="115"/>
      <c r="AK30" s="54"/>
      <c r="AL30" s="54"/>
      <c r="AM30" s="115"/>
    </row>
    <row r="31" spans="1:40" ht="17.25" customHeight="1">
      <c r="A31" s="210" t="s">
        <v>13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139"/>
      <c r="AL31" s="139"/>
      <c r="AM31" s="139"/>
    </row>
    <row r="32" spans="1:40">
      <c r="B32"/>
      <c r="C32"/>
      <c r="D32"/>
      <c r="E32"/>
      <c r="F32"/>
      <c r="G32"/>
      <c r="H32"/>
      <c r="I32"/>
      <c r="J32"/>
      <c r="K32"/>
      <c r="L32" s="120"/>
      <c r="M32"/>
      <c r="N32"/>
      <c r="O32" s="120"/>
      <c r="P32" s="121"/>
      <c r="Q32" s="120"/>
      <c r="R32" s="122"/>
      <c r="S32" s="121"/>
      <c r="T32" s="120"/>
      <c r="U32" s="122"/>
      <c r="V32" s="120"/>
      <c r="W32" s="120"/>
      <c r="X32" s="122"/>
      <c r="Y32" s="120"/>
      <c r="Z32" s="120"/>
      <c r="AA32" s="122"/>
      <c r="AB32" s="120"/>
      <c r="AC32" s="120"/>
      <c r="AD32" s="122"/>
      <c r="AE32" s="120"/>
      <c r="AF32" s="120"/>
      <c r="AG32" s="122"/>
      <c r="AH32" s="120"/>
      <c r="AI32" s="120"/>
      <c r="AJ32" s="122"/>
      <c r="AK32" s="120"/>
      <c r="AL32" s="120"/>
      <c r="AM32" s="122"/>
    </row>
    <row r="33" spans="2:39">
      <c r="B33"/>
      <c r="C33"/>
      <c r="D33"/>
      <c r="E33"/>
      <c r="F33"/>
      <c r="G33"/>
      <c r="H33"/>
      <c r="I33"/>
      <c r="J33"/>
      <c r="K33"/>
      <c r="L33" s="120"/>
      <c r="M33"/>
      <c r="N33"/>
      <c r="O33" s="120"/>
      <c r="P33" s="120"/>
      <c r="Q33" s="120"/>
      <c r="R33" s="122"/>
      <c r="S33" s="120"/>
      <c r="T33" s="120"/>
      <c r="U33" s="122"/>
      <c r="V33" s="120"/>
      <c r="W33" s="120"/>
      <c r="Y33" s="120"/>
      <c r="Z33" s="120"/>
      <c r="AA33" s="120"/>
      <c r="AB33" s="120"/>
      <c r="AC33" s="120"/>
      <c r="AE33" s="120"/>
      <c r="AF33" s="120"/>
      <c r="AG33" s="120"/>
      <c r="AH33" s="120"/>
      <c r="AI33" s="120"/>
      <c r="AJ33" s="120"/>
      <c r="AK33" s="120"/>
      <c r="AL33" s="120"/>
      <c r="AM33" s="120"/>
    </row>
    <row r="34" spans="2:39">
      <c r="B34"/>
      <c r="C34"/>
      <c r="D34"/>
      <c r="E34"/>
      <c r="F34"/>
      <c r="G34"/>
      <c r="H34"/>
      <c r="I34"/>
      <c r="J34"/>
      <c r="K34"/>
      <c r="L34" s="120"/>
      <c r="M34"/>
      <c r="N34"/>
      <c r="O34" s="120"/>
      <c r="P34" s="120"/>
      <c r="Q34" s="120"/>
      <c r="S34" s="120"/>
      <c r="T34" s="120"/>
      <c r="U34" s="120"/>
      <c r="V34" s="120"/>
      <c r="W34" s="120"/>
      <c r="Y34" s="120"/>
      <c r="Z34" s="120"/>
      <c r="AA34" s="120"/>
      <c r="AB34" s="120"/>
      <c r="AC34" s="120"/>
      <c r="AE34" s="120"/>
      <c r="AF34" s="120"/>
      <c r="AG34" s="120"/>
      <c r="AH34" s="120"/>
      <c r="AI34" s="120"/>
      <c r="AJ34" s="120"/>
      <c r="AK34" s="120"/>
      <c r="AL34" s="120"/>
      <c r="AM34" s="120"/>
    </row>
    <row r="35" spans="2:39">
      <c r="B35"/>
      <c r="C35"/>
      <c r="D35"/>
      <c r="E35"/>
      <c r="F35"/>
      <c r="G35"/>
      <c r="H35"/>
      <c r="I35"/>
      <c r="J35"/>
      <c r="K35"/>
      <c r="L35" s="120"/>
      <c r="M35"/>
      <c r="N35"/>
      <c r="O35" s="120"/>
      <c r="P35" s="120"/>
      <c r="Q35" s="120"/>
      <c r="S35" s="120"/>
      <c r="T35" s="120"/>
      <c r="U35" s="120"/>
      <c r="V35" s="120"/>
      <c r="W35" s="120"/>
      <c r="Y35" s="120"/>
      <c r="Z35" s="120"/>
      <c r="AA35" s="120"/>
      <c r="AB35" s="120"/>
      <c r="AC35" s="120"/>
      <c r="AE35" s="120"/>
      <c r="AF35" s="120"/>
      <c r="AG35" s="120"/>
      <c r="AH35" s="120"/>
      <c r="AI35" s="120"/>
      <c r="AJ35" s="120"/>
      <c r="AK35" s="120"/>
      <c r="AL35" s="120"/>
      <c r="AM35" s="120"/>
    </row>
    <row r="36" spans="2:39" ht="13.5" customHeight="1">
      <c r="B36"/>
      <c r="C36"/>
      <c r="D36"/>
      <c r="E36"/>
      <c r="F36"/>
      <c r="G36"/>
      <c r="H36"/>
      <c r="I36"/>
      <c r="J36"/>
      <c r="K36"/>
      <c r="L36" s="120"/>
      <c r="M36"/>
      <c r="N36"/>
      <c r="O36" s="120"/>
      <c r="P36" s="120"/>
      <c r="Q36" s="120"/>
      <c r="S36" s="120"/>
      <c r="T36" s="120"/>
      <c r="U36" s="120"/>
      <c r="V36" s="120"/>
      <c r="W36" s="120"/>
      <c r="Y36" s="120"/>
      <c r="Z36" s="120"/>
      <c r="AA36" s="120"/>
      <c r="AB36" s="120"/>
      <c r="AC36" s="120"/>
      <c r="AE36" s="120"/>
      <c r="AF36" s="120"/>
      <c r="AG36" s="120"/>
      <c r="AH36" s="120"/>
      <c r="AI36" s="120"/>
      <c r="AJ36" s="120"/>
      <c r="AK36" s="120"/>
      <c r="AL36" s="120"/>
      <c r="AM36" s="120"/>
    </row>
    <row r="37" spans="2:39" ht="13.5" customHeight="1">
      <c r="B37"/>
      <c r="C37"/>
      <c r="D37"/>
      <c r="E37"/>
      <c r="F37"/>
      <c r="G37"/>
      <c r="H37"/>
      <c r="I37"/>
      <c r="J37"/>
      <c r="K37"/>
      <c r="L37" s="120"/>
      <c r="M37"/>
      <c r="N37"/>
      <c r="O37" s="120"/>
      <c r="P37" s="120"/>
      <c r="Q37" s="120"/>
      <c r="S37" s="120"/>
      <c r="T37" s="120"/>
      <c r="U37" s="120"/>
      <c r="V37" s="120"/>
      <c r="W37" s="120"/>
      <c r="Y37" s="120"/>
      <c r="Z37" s="120"/>
      <c r="AA37" s="120"/>
      <c r="AB37" s="120"/>
      <c r="AC37" s="120"/>
      <c r="AE37" s="120"/>
      <c r="AF37" s="120"/>
      <c r="AG37" s="120"/>
      <c r="AH37" s="120"/>
      <c r="AI37" s="120"/>
      <c r="AJ37" s="120"/>
      <c r="AK37" s="120"/>
      <c r="AL37" s="120"/>
      <c r="AM37" s="120"/>
    </row>
    <row r="38" spans="2:39">
      <c r="B38"/>
      <c r="C38"/>
      <c r="D38"/>
      <c r="E38"/>
      <c r="F38"/>
      <c r="G38"/>
      <c r="H38"/>
      <c r="I38"/>
      <c r="J38"/>
      <c r="K38"/>
      <c r="L38" s="120"/>
      <c r="M38"/>
      <c r="N38"/>
      <c r="O38" s="120"/>
      <c r="P38" s="120"/>
      <c r="Q38" s="120"/>
      <c r="S38" s="120"/>
      <c r="T38" s="120"/>
      <c r="U38" s="120"/>
      <c r="V38" s="120"/>
      <c r="W38" s="120"/>
      <c r="Y38" s="120"/>
      <c r="Z38" s="120"/>
      <c r="AA38" s="120"/>
      <c r="AB38" s="120"/>
      <c r="AC38" s="120"/>
      <c r="AE38" s="120"/>
      <c r="AF38" s="120"/>
      <c r="AG38" s="120"/>
      <c r="AH38" s="120"/>
      <c r="AI38" s="120"/>
      <c r="AJ38" s="120"/>
      <c r="AK38" s="120"/>
      <c r="AL38" s="120"/>
      <c r="AM38" s="120"/>
    </row>
    <row r="39" spans="2:39" ht="13.5" customHeight="1">
      <c r="B39"/>
      <c r="C39"/>
      <c r="D39"/>
      <c r="E39"/>
      <c r="F39"/>
      <c r="G39"/>
      <c r="H39"/>
      <c r="I39"/>
      <c r="J39"/>
      <c r="K39"/>
      <c r="L39" s="120"/>
      <c r="M39"/>
      <c r="N39"/>
      <c r="O39" s="120"/>
      <c r="P39" s="120"/>
      <c r="Q39" s="120"/>
      <c r="S39" s="120"/>
      <c r="T39" s="120"/>
      <c r="U39" s="120"/>
      <c r="V39" s="120"/>
      <c r="W39" s="120"/>
      <c r="Y39" s="120"/>
      <c r="Z39" s="120"/>
      <c r="AA39" s="120"/>
      <c r="AB39" s="120"/>
      <c r="AC39" s="120"/>
      <c r="AE39" s="120"/>
      <c r="AF39" s="120"/>
      <c r="AG39" s="120"/>
      <c r="AH39" s="120"/>
      <c r="AI39" s="120"/>
      <c r="AJ39" s="120"/>
      <c r="AK39" s="120"/>
      <c r="AL39" s="120"/>
      <c r="AM39" s="120"/>
    </row>
    <row r="40" spans="2:39">
      <c r="B40"/>
      <c r="C40"/>
      <c r="D40"/>
      <c r="E40"/>
      <c r="F40"/>
      <c r="G40"/>
      <c r="H40"/>
      <c r="I40"/>
      <c r="J40"/>
      <c r="K40"/>
      <c r="L40" s="120"/>
      <c r="M40"/>
      <c r="N40"/>
      <c r="O40" s="120"/>
      <c r="P40" s="120"/>
      <c r="Q40" s="120"/>
      <c r="S40" s="120"/>
      <c r="T40" s="120"/>
      <c r="U40" s="120"/>
      <c r="V40" s="120"/>
      <c r="W40" s="120"/>
      <c r="Y40" s="120"/>
      <c r="Z40" s="120"/>
      <c r="AA40" s="120"/>
      <c r="AB40" s="120"/>
      <c r="AC40" s="120"/>
      <c r="AE40" s="120"/>
      <c r="AF40" s="120"/>
      <c r="AG40" s="120"/>
      <c r="AH40" s="120"/>
      <c r="AI40" s="120"/>
      <c r="AJ40" s="120"/>
      <c r="AK40" s="120"/>
      <c r="AL40" s="120"/>
      <c r="AM40" s="120"/>
    </row>
    <row r="41" spans="2:39">
      <c r="B41"/>
      <c r="C41"/>
      <c r="D41"/>
      <c r="E41"/>
      <c r="F41"/>
      <c r="G41"/>
      <c r="H41"/>
      <c r="I41"/>
      <c r="J41"/>
      <c r="K41"/>
      <c r="L41" s="120"/>
      <c r="M41"/>
      <c r="N41"/>
      <c r="O41" s="120"/>
      <c r="P41" s="120"/>
      <c r="Q41" s="120"/>
      <c r="S41" s="120"/>
      <c r="T41" s="120"/>
      <c r="U41" s="120"/>
      <c r="V41" s="120"/>
      <c r="W41" s="120"/>
      <c r="Y41" s="120"/>
      <c r="Z41" s="120"/>
      <c r="AA41" s="120"/>
      <c r="AB41" s="120"/>
      <c r="AC41" s="120"/>
      <c r="AE41" s="120"/>
      <c r="AF41" s="120"/>
      <c r="AG41" s="120"/>
      <c r="AH41" s="120"/>
      <c r="AI41" s="120"/>
      <c r="AJ41" s="120"/>
      <c r="AK41" s="120"/>
      <c r="AL41" s="120"/>
      <c r="AM41" s="120"/>
    </row>
    <row r="42" spans="2:39">
      <c r="B42"/>
      <c r="C42"/>
      <c r="D42"/>
      <c r="E42"/>
      <c r="F42"/>
      <c r="G42"/>
      <c r="H42"/>
      <c r="I42"/>
      <c r="J42"/>
      <c r="K42"/>
      <c r="L42" s="120"/>
      <c r="M42"/>
      <c r="N42"/>
      <c r="O42" s="120"/>
      <c r="P42" s="120"/>
      <c r="Q42" s="120"/>
      <c r="S42" s="120"/>
      <c r="T42" s="120"/>
      <c r="U42" s="120"/>
      <c r="V42" s="120"/>
      <c r="W42" s="120"/>
      <c r="Y42" s="120"/>
      <c r="Z42" s="120"/>
      <c r="AA42" s="120"/>
      <c r="AB42" s="120"/>
      <c r="AC42" s="120"/>
      <c r="AE42" s="120"/>
      <c r="AF42" s="120"/>
      <c r="AG42" s="120"/>
      <c r="AH42" s="120"/>
      <c r="AI42" s="120"/>
      <c r="AJ42" s="120"/>
      <c r="AK42" s="120"/>
      <c r="AL42" s="120"/>
      <c r="AM42" s="120"/>
    </row>
    <row r="43" spans="2:39">
      <c r="B43"/>
      <c r="C43"/>
      <c r="D43"/>
      <c r="E43"/>
      <c r="F43"/>
      <c r="G43"/>
      <c r="H43"/>
      <c r="I43"/>
      <c r="J43"/>
      <c r="K43"/>
      <c r="L43" s="120"/>
      <c r="M43"/>
      <c r="N43"/>
      <c r="O43" s="120"/>
      <c r="P43" s="120"/>
      <c r="Q43" s="120"/>
      <c r="S43" s="120"/>
      <c r="T43" s="120"/>
      <c r="U43" s="120"/>
      <c r="V43" s="120"/>
      <c r="W43" s="120"/>
      <c r="Y43" s="120"/>
      <c r="Z43" s="120"/>
      <c r="AA43" s="120"/>
      <c r="AB43" s="120"/>
      <c r="AC43" s="120"/>
      <c r="AE43" s="120"/>
      <c r="AF43" s="120"/>
      <c r="AG43" s="120"/>
      <c r="AH43" s="120"/>
      <c r="AI43" s="120"/>
      <c r="AJ43" s="120"/>
      <c r="AK43" s="120"/>
      <c r="AL43" s="120"/>
      <c r="AM43" s="120"/>
    </row>
    <row r="44" spans="2:39">
      <c r="B44"/>
      <c r="C44"/>
      <c r="D44"/>
      <c r="E44"/>
      <c r="F44"/>
      <c r="G44"/>
      <c r="H44"/>
      <c r="I44"/>
      <c r="J44"/>
      <c r="K44"/>
      <c r="L44" s="120"/>
      <c r="M44"/>
      <c r="N44"/>
      <c r="O44" s="120"/>
      <c r="P44" s="120"/>
      <c r="Q44" s="120"/>
      <c r="S44" s="120"/>
      <c r="T44" s="120"/>
      <c r="U44" s="120"/>
      <c r="V44" s="120"/>
      <c r="W44" s="120"/>
      <c r="Y44" s="120"/>
      <c r="Z44" s="120"/>
      <c r="AA44" s="120"/>
      <c r="AB44" s="120"/>
      <c r="AC44" s="120"/>
      <c r="AE44" s="120"/>
      <c r="AF44" s="120"/>
      <c r="AG44" s="120"/>
      <c r="AH44" s="120"/>
      <c r="AI44" s="120"/>
      <c r="AJ44" s="120"/>
      <c r="AK44" s="120"/>
      <c r="AL44" s="120"/>
      <c r="AM44" s="120"/>
    </row>
    <row r="45" spans="2:39">
      <c r="B45"/>
      <c r="C45"/>
      <c r="D45"/>
      <c r="E45"/>
      <c r="F45"/>
      <c r="G45"/>
      <c r="H45"/>
      <c r="I45"/>
      <c r="J45"/>
      <c r="K45"/>
      <c r="L45" s="120"/>
      <c r="M45"/>
      <c r="N45"/>
      <c r="O45" s="120"/>
      <c r="P45" s="120"/>
      <c r="Q45" s="120"/>
      <c r="S45" s="120"/>
      <c r="T45" s="120"/>
      <c r="U45" s="120"/>
      <c r="V45" s="120"/>
      <c r="W45" s="120"/>
      <c r="Y45" s="120"/>
      <c r="Z45" s="120"/>
      <c r="AA45" s="120"/>
      <c r="AB45" s="120"/>
      <c r="AC45" s="120"/>
      <c r="AE45" s="120"/>
      <c r="AF45" s="120"/>
      <c r="AG45" s="120"/>
      <c r="AH45" s="120"/>
      <c r="AI45" s="120"/>
      <c r="AJ45" s="120"/>
      <c r="AK45" s="120"/>
      <c r="AL45" s="120"/>
      <c r="AM45" s="120"/>
    </row>
    <row r="46" spans="2:39" ht="13.5" customHeight="1">
      <c r="B46"/>
      <c r="C46"/>
      <c r="D46"/>
      <c r="E46"/>
      <c r="F46"/>
      <c r="G46"/>
      <c r="H46"/>
      <c r="I46"/>
      <c r="J46"/>
      <c r="K46"/>
      <c r="L46" s="120"/>
      <c r="M46"/>
      <c r="N46"/>
      <c r="O46" s="120"/>
      <c r="P46" s="120"/>
      <c r="Q46" s="120"/>
      <c r="S46" s="120"/>
      <c r="T46" s="120"/>
      <c r="U46" s="120"/>
      <c r="V46" s="120"/>
      <c r="W46" s="120"/>
      <c r="Y46" s="120"/>
      <c r="Z46" s="120"/>
      <c r="AA46" s="120"/>
      <c r="AB46" s="120"/>
      <c r="AC46" s="120"/>
      <c r="AE46" s="120"/>
      <c r="AF46" s="120"/>
      <c r="AG46" s="120"/>
      <c r="AH46" s="120"/>
      <c r="AI46" s="120"/>
      <c r="AJ46" s="120"/>
      <c r="AK46" s="120"/>
      <c r="AL46" s="120"/>
      <c r="AM46" s="120"/>
    </row>
    <row r="47" spans="2:39">
      <c r="B47"/>
      <c r="C47"/>
      <c r="D47"/>
      <c r="E47"/>
      <c r="F47"/>
      <c r="G47"/>
      <c r="H47"/>
      <c r="I47"/>
      <c r="J47"/>
      <c r="K47"/>
      <c r="L47" s="120"/>
      <c r="M47"/>
      <c r="N47"/>
      <c r="O47" s="120"/>
      <c r="P47" s="120"/>
      <c r="Q47" s="120"/>
      <c r="S47" s="120"/>
      <c r="T47" s="120"/>
      <c r="U47" s="120"/>
      <c r="V47" s="120"/>
      <c r="W47" s="120"/>
      <c r="Y47" s="120"/>
      <c r="Z47" s="120"/>
      <c r="AA47" s="120"/>
      <c r="AB47" s="120"/>
      <c r="AC47" s="120"/>
      <c r="AE47" s="120"/>
      <c r="AF47" s="120"/>
      <c r="AG47" s="120"/>
      <c r="AH47" s="120"/>
      <c r="AI47" s="120"/>
      <c r="AJ47" s="120"/>
      <c r="AK47" s="120"/>
      <c r="AL47" s="120"/>
      <c r="AM47" s="120"/>
    </row>
    <row r="48" spans="2:39">
      <c r="B48"/>
      <c r="C48"/>
      <c r="D48"/>
      <c r="E48"/>
      <c r="F48"/>
      <c r="G48"/>
      <c r="H48"/>
      <c r="I48"/>
      <c r="J48"/>
      <c r="K48"/>
      <c r="L48" s="120"/>
      <c r="M48"/>
      <c r="N48"/>
      <c r="O48" s="120"/>
      <c r="P48" s="120"/>
      <c r="Q48" s="120"/>
      <c r="S48" s="120"/>
      <c r="T48" s="120"/>
      <c r="U48" s="120"/>
      <c r="V48" s="120"/>
      <c r="W48" s="120"/>
      <c r="Y48" s="120"/>
      <c r="Z48" s="120"/>
      <c r="AA48" s="120"/>
      <c r="AB48" s="120"/>
      <c r="AC48" s="120"/>
      <c r="AE48" s="120"/>
      <c r="AF48" s="120"/>
      <c r="AG48" s="120"/>
      <c r="AH48" s="120"/>
      <c r="AI48" s="120"/>
      <c r="AJ48" s="120"/>
      <c r="AK48" s="120"/>
      <c r="AL48" s="120"/>
      <c r="AM48" s="120"/>
    </row>
    <row r="49" spans="2:39">
      <c r="B49"/>
      <c r="C49"/>
      <c r="D49"/>
      <c r="E49"/>
      <c r="F49"/>
      <c r="G49"/>
      <c r="H49"/>
      <c r="I49"/>
      <c r="J49"/>
      <c r="K49"/>
      <c r="L49" s="120"/>
      <c r="M49"/>
      <c r="N49"/>
      <c r="O49" s="120"/>
      <c r="P49" s="120"/>
      <c r="Q49" s="120"/>
      <c r="S49" s="120"/>
      <c r="T49" s="120"/>
      <c r="U49" s="120"/>
      <c r="V49" s="120"/>
      <c r="W49" s="120"/>
      <c r="Y49" s="120"/>
      <c r="Z49" s="120"/>
      <c r="AA49" s="120"/>
      <c r="AB49" s="120"/>
      <c r="AC49" s="120"/>
      <c r="AE49" s="120"/>
      <c r="AF49" s="120"/>
      <c r="AG49" s="120"/>
      <c r="AH49" s="120"/>
      <c r="AI49" s="120"/>
      <c r="AJ49" s="120"/>
      <c r="AK49" s="120"/>
      <c r="AL49" s="120"/>
      <c r="AM49" s="120"/>
    </row>
    <row r="50" spans="2:39">
      <c r="B50"/>
      <c r="C50"/>
      <c r="D50"/>
      <c r="E50"/>
      <c r="F50"/>
      <c r="G50"/>
      <c r="H50"/>
      <c r="I50"/>
      <c r="J50"/>
      <c r="K50"/>
      <c r="L50" s="120"/>
      <c r="M50"/>
      <c r="N50"/>
      <c r="O50" s="120"/>
      <c r="P50" s="120"/>
      <c r="Q50" s="120"/>
      <c r="S50" s="120"/>
      <c r="T50" s="120"/>
      <c r="U50" s="120"/>
      <c r="V50" s="120"/>
      <c r="W50" s="120"/>
      <c r="Y50" s="120"/>
      <c r="Z50" s="120"/>
      <c r="AA50" s="120"/>
      <c r="AB50" s="120"/>
      <c r="AC50" s="120"/>
      <c r="AE50" s="120"/>
      <c r="AF50" s="120"/>
      <c r="AG50" s="120"/>
      <c r="AH50" s="120"/>
      <c r="AI50" s="120"/>
      <c r="AJ50" s="120"/>
      <c r="AK50" s="120"/>
      <c r="AL50" s="120"/>
      <c r="AM50" s="120"/>
    </row>
    <row r="51" spans="2:39">
      <c r="B51"/>
      <c r="C51"/>
      <c r="D51"/>
      <c r="E51"/>
      <c r="F51"/>
      <c r="G51"/>
      <c r="H51"/>
      <c r="I51"/>
      <c r="J51"/>
      <c r="K51"/>
      <c r="L51" s="120"/>
      <c r="M51"/>
      <c r="N51"/>
      <c r="O51" s="120"/>
      <c r="P51" s="120"/>
      <c r="Q51" s="120"/>
      <c r="S51" s="120"/>
      <c r="T51" s="120"/>
      <c r="U51" s="120"/>
      <c r="V51" s="120"/>
      <c r="W51" s="120"/>
      <c r="Y51" s="120"/>
      <c r="Z51" s="120"/>
      <c r="AA51" s="120"/>
      <c r="AB51" s="120"/>
      <c r="AC51" s="120"/>
      <c r="AE51" s="120"/>
      <c r="AF51" s="120"/>
      <c r="AG51" s="120"/>
      <c r="AH51" s="120"/>
      <c r="AI51" s="120"/>
      <c r="AJ51" s="120"/>
      <c r="AK51" s="120"/>
      <c r="AL51" s="120"/>
      <c r="AM51" s="120"/>
    </row>
    <row r="52" spans="2:39">
      <c r="B52"/>
      <c r="C52"/>
      <c r="D52"/>
      <c r="E52"/>
      <c r="F52"/>
      <c r="G52"/>
      <c r="H52"/>
      <c r="I52"/>
      <c r="J52"/>
      <c r="K52"/>
      <c r="L52" s="120"/>
      <c r="M52"/>
      <c r="N52"/>
      <c r="O52" s="120"/>
      <c r="P52" s="120"/>
      <c r="Q52" s="120"/>
      <c r="S52" s="120"/>
      <c r="T52" s="120"/>
      <c r="U52" s="120"/>
      <c r="V52" s="120"/>
      <c r="W52" s="120"/>
      <c r="Y52" s="120"/>
      <c r="Z52" s="120"/>
      <c r="AA52" s="120"/>
      <c r="AB52" s="120"/>
      <c r="AC52" s="120"/>
      <c r="AE52" s="120"/>
      <c r="AF52" s="120"/>
      <c r="AG52" s="120"/>
      <c r="AH52" s="120"/>
      <c r="AI52" s="120"/>
      <c r="AJ52" s="120"/>
      <c r="AK52" s="120"/>
      <c r="AL52" s="120"/>
      <c r="AM52" s="120"/>
    </row>
    <row r="53" spans="2:39">
      <c r="B53"/>
      <c r="C53"/>
      <c r="D53"/>
      <c r="E53"/>
      <c r="F53"/>
      <c r="G53"/>
      <c r="H53"/>
      <c r="I53"/>
      <c r="J53"/>
      <c r="K53"/>
      <c r="L53" s="120"/>
      <c r="M53"/>
      <c r="N53"/>
      <c r="O53" s="120"/>
      <c r="P53" s="120"/>
      <c r="Q53" s="120"/>
      <c r="S53" s="120"/>
      <c r="T53" s="120"/>
      <c r="U53" s="120"/>
      <c r="V53" s="120"/>
      <c r="W53" s="120"/>
      <c r="Y53" s="120"/>
      <c r="Z53" s="120"/>
      <c r="AA53" s="120"/>
      <c r="AB53" s="120"/>
      <c r="AC53" s="120"/>
      <c r="AE53" s="120"/>
      <c r="AF53" s="120"/>
      <c r="AG53" s="120"/>
      <c r="AH53" s="120"/>
      <c r="AI53" s="120"/>
      <c r="AJ53" s="120"/>
      <c r="AK53" s="120"/>
      <c r="AL53" s="120"/>
      <c r="AM53" s="120"/>
    </row>
    <row r="54" spans="2:39">
      <c r="B54"/>
      <c r="C54"/>
      <c r="D54"/>
      <c r="E54"/>
      <c r="F54"/>
      <c r="G54"/>
      <c r="H54"/>
      <c r="I54"/>
      <c r="J54"/>
      <c r="K54"/>
      <c r="L54" s="120"/>
      <c r="M54"/>
      <c r="N54"/>
      <c r="O54" s="120"/>
      <c r="P54" s="120"/>
      <c r="Q54" s="120"/>
      <c r="S54" s="120"/>
      <c r="T54" s="120"/>
      <c r="U54" s="120"/>
      <c r="V54" s="120"/>
      <c r="W54" s="120"/>
      <c r="Y54" s="120"/>
      <c r="Z54" s="120"/>
      <c r="AA54" s="120"/>
      <c r="AB54" s="120"/>
      <c r="AC54" s="120"/>
      <c r="AE54" s="120"/>
      <c r="AF54" s="120"/>
      <c r="AG54" s="120"/>
      <c r="AH54" s="120"/>
      <c r="AI54" s="120"/>
      <c r="AJ54" s="120"/>
      <c r="AK54" s="120"/>
      <c r="AL54" s="120"/>
      <c r="AM54" s="120"/>
    </row>
    <row r="55" spans="2:39">
      <c r="B55"/>
      <c r="C55"/>
      <c r="D55"/>
      <c r="E55"/>
      <c r="F55"/>
      <c r="G55"/>
      <c r="H55"/>
      <c r="I55"/>
      <c r="J55"/>
      <c r="K55"/>
      <c r="L55" s="120"/>
      <c r="M55"/>
      <c r="N55"/>
      <c r="O55" s="120"/>
      <c r="P55" s="120"/>
      <c r="Q55" s="120"/>
      <c r="S55" s="120"/>
      <c r="T55" s="120"/>
      <c r="U55" s="120"/>
      <c r="V55" s="120"/>
      <c r="W55" s="120"/>
      <c r="Y55" s="120"/>
      <c r="Z55" s="120"/>
      <c r="AA55" s="120"/>
      <c r="AB55" s="120"/>
      <c r="AC55" s="120"/>
      <c r="AE55" s="120"/>
      <c r="AF55" s="120"/>
      <c r="AG55" s="120"/>
      <c r="AH55" s="120"/>
      <c r="AI55" s="120"/>
      <c r="AJ55" s="120"/>
      <c r="AK55" s="120"/>
      <c r="AL55" s="120"/>
      <c r="AM55" s="120"/>
    </row>
    <row r="56" spans="2:39">
      <c r="B56"/>
      <c r="C56"/>
      <c r="D56"/>
      <c r="E56"/>
      <c r="F56"/>
      <c r="G56"/>
      <c r="H56"/>
      <c r="I56"/>
      <c r="J56"/>
      <c r="K56"/>
      <c r="L56" s="120"/>
      <c r="M56"/>
      <c r="N56"/>
      <c r="O56" s="120"/>
      <c r="P56" s="120"/>
      <c r="Q56" s="120"/>
      <c r="S56" s="120"/>
      <c r="T56" s="120"/>
      <c r="U56" s="120"/>
      <c r="V56" s="120"/>
      <c r="W56" s="120"/>
      <c r="Y56" s="120"/>
      <c r="Z56" s="120"/>
      <c r="AA56" s="120"/>
      <c r="AB56" s="120"/>
      <c r="AC56" s="120"/>
      <c r="AE56" s="120"/>
      <c r="AF56" s="120"/>
      <c r="AG56" s="120"/>
      <c r="AH56" s="120"/>
      <c r="AI56" s="120"/>
      <c r="AJ56" s="120"/>
      <c r="AK56" s="120"/>
      <c r="AL56" s="120"/>
      <c r="AM56" s="120"/>
    </row>
    <row r="57" spans="2:39">
      <c r="B57"/>
      <c r="C57"/>
      <c r="D57"/>
      <c r="E57"/>
      <c r="F57"/>
      <c r="G57"/>
      <c r="H57"/>
      <c r="I57"/>
      <c r="J57"/>
      <c r="K57"/>
      <c r="L57" s="120"/>
      <c r="M57"/>
      <c r="N57"/>
      <c r="O57" s="120"/>
      <c r="P57" s="120"/>
      <c r="Q57" s="120"/>
      <c r="S57" s="120"/>
      <c r="T57" s="120"/>
      <c r="U57" s="120"/>
      <c r="V57" s="120"/>
      <c r="W57" s="120"/>
      <c r="Y57" s="120"/>
      <c r="Z57" s="120"/>
      <c r="AA57" s="120"/>
      <c r="AB57" s="120"/>
      <c r="AC57" s="120"/>
      <c r="AE57" s="120"/>
      <c r="AF57" s="120"/>
      <c r="AG57" s="120"/>
      <c r="AH57" s="120"/>
      <c r="AI57" s="120"/>
      <c r="AJ57" s="120"/>
      <c r="AK57" s="120"/>
      <c r="AL57" s="120"/>
      <c r="AM57" s="120"/>
    </row>
    <row r="58" spans="2:39">
      <c r="B58"/>
      <c r="C58"/>
      <c r="D58"/>
      <c r="E58"/>
      <c r="F58"/>
      <c r="G58"/>
      <c r="H58"/>
      <c r="I58"/>
      <c r="J58"/>
      <c r="K58"/>
      <c r="L58" s="120"/>
      <c r="M58"/>
      <c r="N58"/>
      <c r="O58" s="120"/>
      <c r="P58" s="120"/>
      <c r="Q58" s="120"/>
      <c r="S58" s="120"/>
      <c r="T58" s="120"/>
      <c r="U58" s="120"/>
      <c r="V58" s="120"/>
      <c r="W58" s="120"/>
      <c r="Y58" s="120"/>
      <c r="Z58" s="120"/>
      <c r="AA58" s="120"/>
      <c r="AB58" s="120"/>
      <c r="AC58" s="120"/>
      <c r="AE58" s="120"/>
      <c r="AF58" s="120"/>
      <c r="AG58" s="120"/>
      <c r="AH58" s="120"/>
      <c r="AI58" s="120"/>
      <c r="AJ58" s="120"/>
      <c r="AK58" s="120"/>
      <c r="AL58" s="120"/>
      <c r="AM58" s="120"/>
    </row>
    <row r="59" spans="2:39">
      <c r="B59"/>
      <c r="C59"/>
      <c r="D59"/>
      <c r="E59"/>
      <c r="F59"/>
      <c r="G59"/>
      <c r="H59"/>
      <c r="I59"/>
      <c r="J59"/>
      <c r="K59"/>
      <c r="L59" s="120"/>
      <c r="M59"/>
      <c r="N59"/>
      <c r="O59" s="120"/>
      <c r="P59" s="120"/>
      <c r="Q59" s="120"/>
      <c r="S59" s="120"/>
      <c r="T59" s="120"/>
      <c r="U59" s="120"/>
      <c r="V59" s="120"/>
      <c r="W59" s="120"/>
      <c r="Y59" s="120"/>
      <c r="Z59" s="120"/>
      <c r="AA59" s="120"/>
      <c r="AB59" s="120"/>
      <c r="AC59" s="120"/>
      <c r="AE59" s="120"/>
      <c r="AF59" s="120"/>
      <c r="AG59" s="120"/>
      <c r="AH59" s="120"/>
      <c r="AI59" s="120"/>
      <c r="AJ59" s="120"/>
      <c r="AK59" s="120"/>
      <c r="AL59" s="120"/>
      <c r="AM59" s="120"/>
    </row>
    <row r="60" spans="2:39">
      <c r="B60"/>
      <c r="C60"/>
      <c r="D60"/>
      <c r="E60"/>
      <c r="F60"/>
      <c r="G60"/>
      <c r="H60"/>
      <c r="I60"/>
      <c r="J60"/>
      <c r="K60"/>
      <c r="L60" s="120"/>
      <c r="M60"/>
      <c r="N60"/>
      <c r="O60" s="120"/>
      <c r="P60" s="120"/>
      <c r="Q60" s="120"/>
      <c r="S60" s="120"/>
      <c r="T60" s="120"/>
      <c r="U60" s="120"/>
      <c r="V60" s="120"/>
      <c r="W60" s="120"/>
      <c r="Y60" s="120"/>
      <c r="Z60" s="120"/>
      <c r="AA60" s="120"/>
      <c r="AB60" s="120"/>
      <c r="AC60" s="120"/>
      <c r="AE60" s="120"/>
      <c r="AF60" s="120"/>
      <c r="AG60" s="120"/>
      <c r="AH60" s="120"/>
      <c r="AI60" s="120"/>
      <c r="AJ60" s="120"/>
      <c r="AK60" s="120"/>
      <c r="AL60" s="120"/>
      <c r="AM60" s="120"/>
    </row>
    <row r="61" spans="2:39">
      <c r="B61"/>
      <c r="C61"/>
      <c r="D61"/>
      <c r="E61"/>
      <c r="F61"/>
      <c r="G61"/>
      <c r="H61"/>
      <c r="I61"/>
      <c r="J61"/>
      <c r="K61"/>
      <c r="L61" s="120"/>
      <c r="M61"/>
      <c r="N61"/>
      <c r="O61" s="120"/>
      <c r="P61" s="120"/>
      <c r="Q61" s="120"/>
      <c r="S61" s="120"/>
      <c r="T61" s="120"/>
      <c r="U61" s="120"/>
      <c r="V61" s="120"/>
      <c r="W61" s="120"/>
      <c r="Y61" s="120"/>
      <c r="Z61" s="120"/>
      <c r="AA61" s="120"/>
      <c r="AB61" s="120"/>
      <c r="AC61" s="120"/>
      <c r="AE61" s="120"/>
      <c r="AF61" s="120"/>
      <c r="AG61" s="120"/>
      <c r="AH61" s="120"/>
      <c r="AI61" s="120"/>
      <c r="AJ61" s="120"/>
      <c r="AK61" s="120"/>
      <c r="AL61" s="120"/>
      <c r="AM61" s="120"/>
    </row>
    <row r="62" spans="2:39">
      <c r="B62"/>
      <c r="C62"/>
      <c r="D62"/>
      <c r="E62"/>
      <c r="F62"/>
      <c r="G62"/>
      <c r="H62"/>
      <c r="I62"/>
      <c r="J62"/>
      <c r="K62"/>
      <c r="L62" s="120"/>
      <c r="M62"/>
      <c r="N62"/>
      <c r="O62" s="120"/>
      <c r="P62" s="120"/>
      <c r="Q62" s="120"/>
      <c r="S62" s="120"/>
      <c r="T62" s="120"/>
      <c r="U62" s="120"/>
      <c r="V62" s="120"/>
      <c r="W62" s="120"/>
      <c r="Y62" s="120"/>
      <c r="Z62" s="120"/>
      <c r="AA62" s="120"/>
      <c r="AB62" s="120"/>
      <c r="AC62" s="120"/>
      <c r="AE62" s="120"/>
      <c r="AF62" s="120"/>
      <c r="AG62" s="120"/>
      <c r="AH62" s="120"/>
      <c r="AI62" s="120"/>
      <c r="AJ62" s="120"/>
      <c r="AK62" s="120"/>
      <c r="AL62" s="120"/>
      <c r="AM62" s="120"/>
    </row>
    <row r="63" spans="2:39">
      <c r="B63"/>
      <c r="C63"/>
      <c r="D63"/>
      <c r="E63"/>
      <c r="F63"/>
      <c r="G63"/>
      <c r="H63"/>
      <c r="I63"/>
      <c r="J63"/>
      <c r="K63"/>
      <c r="L63" s="120"/>
      <c r="M63"/>
      <c r="N63"/>
      <c r="O63" s="120"/>
      <c r="P63" s="120"/>
      <c r="Q63" s="120"/>
      <c r="S63" s="120"/>
      <c r="T63" s="120"/>
      <c r="U63" s="120"/>
      <c r="V63" s="120"/>
      <c r="W63" s="120"/>
      <c r="Y63" s="120"/>
      <c r="Z63" s="120"/>
      <c r="AA63" s="120"/>
      <c r="AB63" s="120"/>
      <c r="AC63" s="120"/>
      <c r="AE63" s="120"/>
      <c r="AF63" s="120"/>
      <c r="AG63" s="120"/>
      <c r="AH63" s="120"/>
      <c r="AI63" s="120"/>
      <c r="AJ63" s="120"/>
      <c r="AK63" s="120"/>
      <c r="AL63" s="120"/>
      <c r="AM63" s="120"/>
    </row>
    <row r="64" spans="2:39">
      <c r="B64"/>
      <c r="C64"/>
      <c r="D64"/>
      <c r="E64"/>
      <c r="F64"/>
      <c r="G64"/>
      <c r="H64"/>
      <c r="I64"/>
      <c r="J64"/>
      <c r="K64"/>
      <c r="L64" s="120"/>
      <c r="M64"/>
      <c r="N64"/>
      <c r="O64" s="120"/>
      <c r="P64" s="120"/>
      <c r="Q64" s="120"/>
      <c r="S64" s="120"/>
      <c r="T64" s="120"/>
      <c r="U64" s="120"/>
      <c r="V64" s="120"/>
      <c r="W64" s="120"/>
      <c r="Y64" s="120"/>
      <c r="Z64" s="120"/>
      <c r="AA64" s="120"/>
      <c r="AB64" s="120"/>
      <c r="AC64" s="120"/>
      <c r="AE64" s="120"/>
      <c r="AF64" s="120"/>
      <c r="AG64" s="120"/>
      <c r="AH64" s="120"/>
      <c r="AI64" s="120"/>
      <c r="AJ64" s="120"/>
      <c r="AK64" s="120"/>
      <c r="AL64" s="120"/>
      <c r="AM64" s="120"/>
    </row>
    <row r="65" spans="2:39">
      <c r="B65"/>
      <c r="C65"/>
      <c r="D65"/>
      <c r="E65"/>
      <c r="F65"/>
      <c r="G65"/>
      <c r="H65"/>
      <c r="I65"/>
      <c r="J65"/>
      <c r="K65"/>
      <c r="L65" s="120"/>
      <c r="M65"/>
      <c r="N65"/>
      <c r="O65" s="120"/>
      <c r="P65" s="120"/>
      <c r="Q65" s="120"/>
      <c r="S65" s="120"/>
      <c r="T65" s="120"/>
      <c r="U65" s="120"/>
      <c r="V65" s="120"/>
      <c r="W65" s="120"/>
      <c r="Y65" s="120"/>
      <c r="Z65" s="120"/>
      <c r="AA65" s="120"/>
      <c r="AB65" s="120"/>
      <c r="AC65" s="120"/>
      <c r="AE65" s="120"/>
      <c r="AF65" s="120"/>
      <c r="AG65" s="120"/>
      <c r="AH65" s="120"/>
      <c r="AI65" s="120"/>
      <c r="AJ65" s="120"/>
      <c r="AK65" s="120"/>
      <c r="AL65" s="120"/>
      <c r="AM65" s="120"/>
    </row>
    <row r="66" spans="2:39">
      <c r="B66"/>
      <c r="C66"/>
      <c r="D66"/>
      <c r="E66"/>
      <c r="F66"/>
      <c r="G66"/>
      <c r="H66"/>
      <c r="I66"/>
      <c r="J66"/>
      <c r="K66"/>
      <c r="L66" s="120"/>
      <c r="M66"/>
      <c r="N66"/>
      <c r="O66" s="120"/>
      <c r="P66" s="120"/>
      <c r="Q66" s="120"/>
      <c r="S66" s="120"/>
      <c r="T66" s="120"/>
      <c r="U66" s="120"/>
      <c r="V66" s="120"/>
      <c r="W66" s="120"/>
      <c r="Y66" s="120"/>
      <c r="Z66" s="120"/>
      <c r="AA66" s="120"/>
      <c r="AB66" s="120"/>
      <c r="AC66" s="120"/>
      <c r="AE66" s="120"/>
      <c r="AF66" s="120"/>
      <c r="AG66" s="120"/>
      <c r="AH66" s="120"/>
      <c r="AI66" s="120"/>
      <c r="AJ66" s="120"/>
      <c r="AK66" s="120"/>
      <c r="AL66" s="120"/>
      <c r="AM66" s="120"/>
    </row>
    <row r="67" spans="2:39">
      <c r="B67"/>
      <c r="C67"/>
      <c r="D67"/>
      <c r="E67"/>
      <c r="F67"/>
      <c r="G67"/>
      <c r="H67"/>
      <c r="I67"/>
      <c r="J67"/>
      <c r="K67"/>
      <c r="L67" s="120"/>
      <c r="M67"/>
      <c r="N67"/>
      <c r="O67" s="120"/>
      <c r="P67" s="120"/>
      <c r="Q67" s="120"/>
      <c r="S67" s="120"/>
      <c r="T67" s="120"/>
      <c r="U67" s="120"/>
      <c r="V67" s="120"/>
      <c r="W67" s="120"/>
      <c r="Y67" s="120"/>
      <c r="Z67" s="120"/>
      <c r="AA67" s="120"/>
      <c r="AB67" s="120"/>
      <c r="AC67" s="120"/>
      <c r="AE67" s="120"/>
      <c r="AF67" s="120"/>
      <c r="AG67" s="120"/>
      <c r="AH67" s="120"/>
      <c r="AI67" s="120"/>
      <c r="AJ67" s="120"/>
      <c r="AK67" s="120"/>
      <c r="AL67" s="120"/>
      <c r="AM67" s="120"/>
    </row>
    <row r="68" spans="2:39">
      <c r="B68"/>
      <c r="C68"/>
      <c r="D68"/>
      <c r="E68"/>
      <c r="F68"/>
      <c r="G68"/>
      <c r="H68"/>
      <c r="I68"/>
      <c r="J68"/>
      <c r="K68"/>
      <c r="L68" s="120"/>
      <c r="M68"/>
      <c r="N68"/>
      <c r="O68" s="120"/>
      <c r="P68" s="120"/>
      <c r="Q68" s="120"/>
      <c r="S68" s="120"/>
      <c r="T68" s="120"/>
      <c r="U68" s="120"/>
      <c r="V68" s="120"/>
      <c r="W68" s="120"/>
      <c r="Y68" s="120"/>
      <c r="Z68" s="120"/>
      <c r="AA68" s="120"/>
      <c r="AB68" s="120"/>
      <c r="AC68" s="120"/>
      <c r="AE68" s="120"/>
      <c r="AF68" s="120"/>
      <c r="AG68" s="120"/>
      <c r="AH68" s="120"/>
      <c r="AI68" s="120"/>
      <c r="AJ68" s="120"/>
      <c r="AK68" s="120"/>
      <c r="AL68" s="120"/>
      <c r="AM68" s="120"/>
    </row>
    <row r="69" spans="2:39">
      <c r="B69"/>
      <c r="C69"/>
      <c r="D69"/>
      <c r="E69"/>
      <c r="F69"/>
      <c r="G69"/>
      <c r="H69"/>
      <c r="I69"/>
      <c r="J69"/>
      <c r="K69"/>
      <c r="L69" s="120"/>
      <c r="M69"/>
      <c r="N69"/>
      <c r="O69" s="120"/>
      <c r="P69" s="120"/>
      <c r="Q69" s="120"/>
      <c r="S69" s="120"/>
      <c r="T69" s="120"/>
      <c r="U69" s="120"/>
      <c r="V69" s="120"/>
      <c r="W69" s="120"/>
      <c r="Y69" s="120"/>
      <c r="Z69" s="120"/>
      <c r="AA69" s="120"/>
      <c r="AB69" s="120"/>
      <c r="AC69" s="120"/>
      <c r="AE69" s="120"/>
      <c r="AF69" s="120"/>
      <c r="AG69" s="120"/>
      <c r="AH69" s="120"/>
      <c r="AI69" s="120"/>
      <c r="AJ69" s="120"/>
      <c r="AK69" s="120"/>
      <c r="AL69" s="120"/>
      <c r="AM69" s="120"/>
    </row>
    <row r="70" spans="2:39">
      <c r="B70"/>
      <c r="C70"/>
      <c r="D70"/>
      <c r="E70"/>
      <c r="F70"/>
      <c r="G70"/>
      <c r="H70"/>
      <c r="I70"/>
      <c r="J70"/>
      <c r="K70"/>
      <c r="L70" s="120"/>
      <c r="M70"/>
      <c r="N70"/>
      <c r="O70" s="120"/>
      <c r="P70" s="120"/>
      <c r="Q70" s="120"/>
      <c r="S70" s="120"/>
      <c r="T70" s="120"/>
      <c r="U70" s="120"/>
      <c r="V70" s="120"/>
      <c r="W70" s="120"/>
      <c r="Y70" s="120"/>
      <c r="Z70" s="120"/>
      <c r="AA70" s="120"/>
      <c r="AB70" s="120"/>
      <c r="AC70" s="120"/>
      <c r="AE70" s="120"/>
      <c r="AF70" s="120"/>
      <c r="AG70" s="120"/>
      <c r="AH70" s="120"/>
      <c r="AI70" s="120"/>
      <c r="AJ70" s="120"/>
      <c r="AK70" s="120"/>
      <c r="AL70" s="120"/>
      <c r="AM70" s="120"/>
    </row>
    <row r="71" spans="2:39">
      <c r="B71"/>
      <c r="C71"/>
      <c r="D71"/>
      <c r="E71"/>
      <c r="F71"/>
      <c r="G71"/>
      <c r="H71"/>
      <c r="I71"/>
      <c r="J71"/>
      <c r="K71"/>
      <c r="L71" s="120"/>
      <c r="M71"/>
      <c r="N71"/>
      <c r="O71" s="120"/>
      <c r="P71" s="120"/>
      <c r="Q71" s="120"/>
      <c r="S71" s="120"/>
      <c r="T71" s="120"/>
      <c r="U71" s="120"/>
      <c r="V71" s="120"/>
      <c r="W71" s="120"/>
      <c r="Y71" s="120"/>
      <c r="Z71" s="120"/>
      <c r="AA71" s="120"/>
      <c r="AB71" s="120"/>
      <c r="AC71" s="120"/>
      <c r="AE71" s="120"/>
      <c r="AF71" s="120"/>
      <c r="AG71" s="120"/>
      <c r="AH71" s="120"/>
      <c r="AI71" s="120"/>
      <c r="AJ71" s="120"/>
      <c r="AK71" s="120"/>
      <c r="AL71" s="120"/>
      <c r="AM71" s="120"/>
    </row>
    <row r="72" spans="2:39">
      <c r="B72"/>
      <c r="C72"/>
      <c r="D72"/>
      <c r="E72"/>
      <c r="F72"/>
      <c r="G72"/>
      <c r="H72"/>
      <c r="I72"/>
      <c r="J72"/>
      <c r="K72"/>
      <c r="L72" s="120"/>
      <c r="M72"/>
      <c r="N72"/>
      <c r="O72" s="120"/>
      <c r="P72" s="120"/>
      <c r="Q72" s="120"/>
      <c r="S72" s="120"/>
      <c r="T72" s="120"/>
      <c r="U72" s="120"/>
      <c r="V72" s="120"/>
      <c r="W72" s="120"/>
      <c r="Y72" s="120"/>
      <c r="Z72" s="120"/>
      <c r="AA72" s="120"/>
      <c r="AB72" s="120"/>
      <c r="AC72" s="120"/>
      <c r="AE72" s="120"/>
      <c r="AF72" s="120"/>
      <c r="AG72" s="120"/>
      <c r="AH72" s="120"/>
      <c r="AI72" s="120"/>
      <c r="AJ72" s="120"/>
      <c r="AK72" s="120"/>
      <c r="AL72" s="120"/>
      <c r="AM72" s="120"/>
    </row>
    <row r="73" spans="2:39">
      <c r="B73"/>
      <c r="C73"/>
      <c r="D73"/>
      <c r="E73"/>
      <c r="F73"/>
      <c r="G73"/>
      <c r="H73"/>
      <c r="I73"/>
      <c r="J73"/>
      <c r="K73"/>
      <c r="L73" s="120"/>
      <c r="M73"/>
      <c r="N73"/>
      <c r="O73" s="120"/>
      <c r="P73" s="120"/>
      <c r="Q73" s="120"/>
      <c r="S73" s="120"/>
      <c r="T73" s="120"/>
      <c r="U73" s="120"/>
      <c r="V73" s="120"/>
      <c r="W73" s="120"/>
      <c r="Y73" s="120"/>
      <c r="Z73" s="120"/>
      <c r="AA73" s="120"/>
      <c r="AB73" s="120"/>
      <c r="AC73" s="120"/>
      <c r="AE73" s="120"/>
      <c r="AF73" s="120"/>
      <c r="AG73" s="120"/>
      <c r="AH73" s="120"/>
      <c r="AI73" s="120"/>
      <c r="AJ73" s="120"/>
      <c r="AK73" s="120"/>
      <c r="AL73" s="120"/>
      <c r="AM73" s="120"/>
    </row>
    <row r="74" spans="2:39">
      <c r="B74"/>
      <c r="C74"/>
      <c r="D74"/>
      <c r="E74"/>
      <c r="F74"/>
      <c r="G74"/>
      <c r="H74"/>
      <c r="I74"/>
      <c r="J74"/>
      <c r="K74"/>
      <c r="L74" s="120"/>
      <c r="M74"/>
      <c r="N74"/>
      <c r="O74" s="120"/>
      <c r="P74" s="120"/>
      <c r="Q74" s="120"/>
      <c r="S74" s="120"/>
      <c r="T74" s="120"/>
      <c r="U74" s="120"/>
      <c r="V74" s="120"/>
      <c r="W74" s="120"/>
      <c r="Y74" s="120"/>
      <c r="Z74" s="120"/>
      <c r="AA74" s="120"/>
      <c r="AB74" s="120"/>
      <c r="AC74" s="120"/>
      <c r="AE74" s="120"/>
      <c r="AF74" s="120"/>
      <c r="AG74" s="120"/>
      <c r="AH74" s="120"/>
      <c r="AI74" s="120"/>
      <c r="AJ74" s="120"/>
      <c r="AK74" s="120"/>
      <c r="AL74" s="120"/>
      <c r="AM74" s="120"/>
    </row>
    <row r="75" spans="2:39">
      <c r="B75"/>
      <c r="C75"/>
      <c r="D75"/>
      <c r="E75"/>
      <c r="F75"/>
      <c r="G75"/>
      <c r="H75"/>
      <c r="I75"/>
      <c r="J75"/>
      <c r="K75"/>
      <c r="L75" s="120"/>
      <c r="M75"/>
      <c r="N75"/>
      <c r="O75" s="120"/>
      <c r="P75" s="120"/>
      <c r="Q75" s="120"/>
      <c r="S75" s="120"/>
      <c r="T75" s="120"/>
      <c r="U75" s="120"/>
      <c r="V75" s="120"/>
      <c r="W75" s="120"/>
      <c r="Y75" s="120"/>
      <c r="Z75" s="120"/>
      <c r="AA75" s="120"/>
      <c r="AB75" s="120"/>
      <c r="AC75" s="120"/>
      <c r="AE75" s="120"/>
      <c r="AF75" s="120"/>
      <c r="AG75" s="120"/>
      <c r="AH75" s="120"/>
      <c r="AI75" s="120"/>
      <c r="AJ75" s="120"/>
      <c r="AK75" s="120"/>
      <c r="AL75" s="120"/>
      <c r="AM75" s="120"/>
    </row>
    <row r="76" spans="2:39">
      <c r="B76"/>
      <c r="C76"/>
      <c r="D76"/>
      <c r="E76"/>
      <c r="F76"/>
      <c r="G76"/>
      <c r="H76"/>
      <c r="I76"/>
      <c r="J76"/>
      <c r="K76"/>
      <c r="L76" s="120"/>
      <c r="M76"/>
      <c r="N76"/>
      <c r="O76" s="120"/>
      <c r="P76" s="120"/>
      <c r="Q76" s="120"/>
      <c r="S76" s="120"/>
      <c r="T76" s="120"/>
      <c r="U76" s="120"/>
      <c r="V76" s="120"/>
      <c r="W76" s="120"/>
      <c r="Y76" s="120"/>
      <c r="Z76" s="120"/>
      <c r="AA76" s="120"/>
      <c r="AB76" s="120"/>
      <c r="AC76" s="120"/>
      <c r="AE76" s="120"/>
      <c r="AF76" s="120"/>
      <c r="AG76" s="120"/>
      <c r="AH76" s="120"/>
      <c r="AI76" s="120"/>
      <c r="AJ76" s="120"/>
      <c r="AK76" s="120"/>
      <c r="AL76" s="120"/>
      <c r="AM76" s="120"/>
    </row>
    <row r="77" spans="2:39">
      <c r="B77"/>
      <c r="C77"/>
      <c r="D77"/>
      <c r="E77"/>
      <c r="F77"/>
      <c r="G77"/>
      <c r="H77"/>
      <c r="I77"/>
      <c r="J77"/>
      <c r="K77"/>
      <c r="L77" s="120"/>
      <c r="M77"/>
      <c r="N77"/>
      <c r="O77" s="120"/>
      <c r="P77" s="120"/>
      <c r="Q77" s="120"/>
      <c r="S77" s="120"/>
      <c r="T77" s="120"/>
      <c r="U77" s="120"/>
      <c r="V77" s="120"/>
      <c r="W77" s="120"/>
      <c r="Y77" s="120"/>
      <c r="Z77" s="120"/>
      <c r="AA77" s="120"/>
      <c r="AB77" s="120"/>
      <c r="AC77" s="120"/>
      <c r="AE77" s="120"/>
      <c r="AF77" s="120"/>
      <c r="AG77" s="120"/>
      <c r="AH77" s="120"/>
      <c r="AI77" s="120"/>
      <c r="AJ77" s="120"/>
      <c r="AK77" s="120"/>
      <c r="AL77" s="120"/>
      <c r="AM77" s="120"/>
    </row>
    <row r="78" spans="2:39">
      <c r="B78"/>
      <c r="C78"/>
      <c r="D78"/>
      <c r="E78"/>
      <c r="F78"/>
      <c r="G78"/>
      <c r="H78"/>
      <c r="I78"/>
      <c r="J78"/>
      <c r="K78"/>
      <c r="L78" s="120"/>
      <c r="M78"/>
      <c r="N78"/>
      <c r="O78" s="120"/>
      <c r="P78" s="120"/>
      <c r="Q78" s="120"/>
      <c r="S78" s="120"/>
      <c r="T78" s="120"/>
      <c r="U78" s="120"/>
      <c r="V78" s="120"/>
      <c r="W78" s="120"/>
      <c r="Y78" s="120"/>
      <c r="Z78" s="120"/>
      <c r="AA78" s="120"/>
      <c r="AB78" s="120"/>
      <c r="AC78" s="120"/>
      <c r="AE78" s="120"/>
      <c r="AF78" s="120"/>
      <c r="AG78" s="120"/>
      <c r="AH78" s="120"/>
      <c r="AI78" s="120"/>
      <c r="AJ78" s="120"/>
      <c r="AK78" s="120"/>
      <c r="AL78" s="120"/>
      <c r="AM78" s="120"/>
    </row>
    <row r="79" spans="2:39">
      <c r="B79"/>
      <c r="C79"/>
      <c r="D79"/>
      <c r="E79"/>
      <c r="F79"/>
      <c r="G79"/>
      <c r="H79"/>
      <c r="I79"/>
      <c r="J79"/>
      <c r="K79"/>
      <c r="L79" s="120"/>
      <c r="M79"/>
      <c r="N79"/>
      <c r="O79" s="120"/>
      <c r="P79" s="120"/>
      <c r="Q79" s="120"/>
      <c r="S79" s="120"/>
      <c r="T79" s="120"/>
      <c r="U79" s="120"/>
      <c r="V79" s="120"/>
      <c r="W79" s="120"/>
      <c r="Y79" s="120"/>
      <c r="Z79" s="120"/>
      <c r="AA79" s="120"/>
      <c r="AB79" s="120"/>
      <c r="AC79" s="120"/>
      <c r="AE79" s="120"/>
      <c r="AF79" s="120"/>
      <c r="AG79" s="120"/>
      <c r="AH79" s="120"/>
      <c r="AI79" s="120"/>
      <c r="AJ79" s="120"/>
      <c r="AK79" s="120"/>
      <c r="AL79" s="120"/>
      <c r="AM79" s="120"/>
    </row>
    <row r="80" spans="2:39">
      <c r="B80"/>
      <c r="C80"/>
      <c r="D80"/>
      <c r="E80"/>
      <c r="F80"/>
      <c r="G80"/>
      <c r="H80"/>
      <c r="I80"/>
      <c r="J80"/>
      <c r="K80"/>
      <c r="L80" s="120"/>
      <c r="M80"/>
      <c r="N80"/>
      <c r="O80" s="120"/>
      <c r="P80" s="120"/>
      <c r="Q80" s="120"/>
      <c r="S80" s="120"/>
      <c r="T80" s="120"/>
      <c r="U80" s="120"/>
      <c r="V80" s="120"/>
      <c r="W80" s="120"/>
      <c r="Y80" s="120"/>
      <c r="Z80" s="120"/>
      <c r="AA80" s="120"/>
      <c r="AB80" s="120"/>
      <c r="AC80" s="120"/>
      <c r="AE80" s="120"/>
      <c r="AF80" s="120"/>
      <c r="AG80" s="120"/>
      <c r="AH80" s="120"/>
      <c r="AI80" s="120"/>
      <c r="AJ80" s="120"/>
      <c r="AK80" s="120"/>
      <c r="AL80" s="120"/>
      <c r="AM80" s="120"/>
    </row>
    <row r="81" spans="2:39">
      <c r="B81"/>
      <c r="C81"/>
      <c r="D81"/>
      <c r="E81"/>
      <c r="F81"/>
      <c r="G81"/>
      <c r="H81"/>
      <c r="I81"/>
      <c r="J81"/>
      <c r="K81"/>
      <c r="L81" s="120"/>
      <c r="M81"/>
      <c r="N81"/>
      <c r="O81" s="120"/>
      <c r="P81" s="120"/>
      <c r="Q81" s="120"/>
      <c r="S81" s="120"/>
      <c r="T81" s="120"/>
      <c r="U81" s="120"/>
      <c r="V81" s="120"/>
      <c r="W81" s="120"/>
      <c r="Y81" s="120"/>
      <c r="Z81" s="120"/>
      <c r="AA81" s="120"/>
      <c r="AB81" s="120"/>
      <c r="AC81" s="120"/>
      <c r="AE81" s="120"/>
      <c r="AF81" s="120"/>
      <c r="AG81" s="120"/>
      <c r="AH81" s="120"/>
      <c r="AI81" s="120"/>
      <c r="AJ81" s="120"/>
      <c r="AK81" s="120"/>
      <c r="AL81" s="120"/>
      <c r="AM81" s="120"/>
    </row>
    <row r="82" spans="2:39">
      <c r="B82"/>
      <c r="C82"/>
      <c r="D82"/>
      <c r="E82"/>
      <c r="F82"/>
      <c r="G82"/>
      <c r="H82"/>
      <c r="I82"/>
      <c r="J82"/>
      <c r="K82"/>
      <c r="L82" s="120"/>
      <c r="M82"/>
      <c r="N82"/>
      <c r="O82" s="120"/>
      <c r="P82" s="120"/>
      <c r="Q82" s="120"/>
      <c r="S82" s="120"/>
      <c r="T82" s="120"/>
      <c r="U82" s="120"/>
      <c r="V82" s="120"/>
      <c r="W82" s="120"/>
      <c r="Y82" s="120"/>
      <c r="Z82" s="120"/>
      <c r="AA82" s="120"/>
      <c r="AB82" s="120"/>
      <c r="AC82" s="120"/>
      <c r="AE82" s="120"/>
      <c r="AF82" s="120"/>
      <c r="AG82" s="120"/>
      <c r="AH82" s="120"/>
      <c r="AI82" s="120"/>
      <c r="AJ82" s="120"/>
      <c r="AK82" s="120"/>
      <c r="AL82" s="120"/>
      <c r="AM82" s="120"/>
    </row>
    <row r="83" spans="2:39">
      <c r="B83"/>
      <c r="C83"/>
      <c r="D83"/>
      <c r="E83"/>
      <c r="F83"/>
      <c r="G83"/>
      <c r="H83"/>
      <c r="I83"/>
      <c r="J83"/>
      <c r="K83"/>
      <c r="L83" s="120"/>
      <c r="M83"/>
      <c r="N83"/>
      <c r="O83" s="120"/>
      <c r="P83" s="120"/>
      <c r="Q83" s="120"/>
      <c r="S83" s="120"/>
      <c r="T83" s="120"/>
      <c r="U83" s="120"/>
      <c r="V83" s="120"/>
      <c r="W83" s="120"/>
      <c r="Y83" s="120"/>
      <c r="Z83" s="120"/>
      <c r="AA83" s="120"/>
      <c r="AB83" s="120"/>
      <c r="AC83" s="120"/>
      <c r="AE83" s="120"/>
      <c r="AF83" s="120"/>
      <c r="AG83" s="120"/>
      <c r="AH83" s="120"/>
      <c r="AI83" s="120"/>
      <c r="AJ83" s="120"/>
      <c r="AK83" s="120"/>
      <c r="AL83" s="120"/>
      <c r="AM83" s="120"/>
    </row>
    <row r="84" spans="2:39">
      <c r="B84"/>
      <c r="C84"/>
      <c r="D84"/>
      <c r="E84"/>
      <c r="F84"/>
      <c r="G84"/>
      <c r="H84"/>
      <c r="I84"/>
      <c r="J84"/>
      <c r="K84"/>
      <c r="L84" s="120"/>
      <c r="M84"/>
      <c r="N84"/>
      <c r="O84" s="120"/>
      <c r="P84" s="120"/>
      <c r="Q84" s="120"/>
      <c r="S84" s="120"/>
      <c r="T84" s="120"/>
      <c r="U84" s="120"/>
      <c r="V84" s="120"/>
      <c r="W84" s="120"/>
      <c r="Y84" s="120"/>
      <c r="Z84" s="120"/>
      <c r="AA84" s="120"/>
      <c r="AB84" s="120"/>
      <c r="AC84" s="120"/>
      <c r="AE84" s="120"/>
      <c r="AF84" s="120"/>
      <c r="AG84" s="120"/>
      <c r="AH84" s="120"/>
      <c r="AI84" s="120"/>
      <c r="AJ84" s="120"/>
      <c r="AK84" s="120"/>
      <c r="AL84" s="120"/>
      <c r="AM84" s="120"/>
    </row>
    <row r="85" spans="2:39">
      <c r="B85"/>
      <c r="C85"/>
      <c r="D85"/>
      <c r="E85"/>
      <c r="F85"/>
      <c r="G85"/>
      <c r="H85"/>
      <c r="I85"/>
      <c r="J85"/>
      <c r="K85"/>
      <c r="L85" s="120"/>
      <c r="M85"/>
      <c r="N85"/>
      <c r="O85" s="120"/>
      <c r="P85" s="120"/>
      <c r="Q85" s="120"/>
      <c r="S85" s="120"/>
      <c r="T85" s="120"/>
      <c r="U85" s="120"/>
      <c r="V85" s="120"/>
      <c r="W85" s="120"/>
      <c r="Y85" s="120"/>
      <c r="Z85" s="120"/>
      <c r="AA85" s="120"/>
      <c r="AB85" s="120"/>
      <c r="AC85" s="120"/>
      <c r="AE85" s="120"/>
      <c r="AF85" s="120"/>
      <c r="AG85" s="120"/>
      <c r="AH85" s="120"/>
      <c r="AI85" s="120"/>
      <c r="AJ85" s="120"/>
      <c r="AK85" s="120"/>
      <c r="AL85" s="120"/>
      <c r="AM85" s="120"/>
    </row>
    <row r="86" spans="2:39">
      <c r="B86"/>
      <c r="C86"/>
      <c r="D86"/>
      <c r="E86"/>
      <c r="F86"/>
      <c r="G86"/>
      <c r="H86"/>
      <c r="I86"/>
      <c r="J86"/>
      <c r="K86"/>
      <c r="L86" s="120"/>
      <c r="M86"/>
      <c r="N86"/>
      <c r="O86" s="120"/>
      <c r="P86" s="120"/>
      <c r="Q86" s="120"/>
      <c r="S86" s="120"/>
      <c r="T86" s="120"/>
      <c r="U86" s="120"/>
      <c r="V86" s="120"/>
      <c r="W86" s="120"/>
      <c r="Y86" s="120"/>
      <c r="Z86" s="120"/>
      <c r="AA86" s="120"/>
      <c r="AB86" s="120"/>
      <c r="AC86" s="120"/>
      <c r="AE86" s="120"/>
      <c r="AF86" s="120"/>
      <c r="AG86" s="120"/>
      <c r="AH86" s="120"/>
      <c r="AI86" s="120"/>
      <c r="AJ86" s="120"/>
      <c r="AK86" s="120"/>
      <c r="AL86" s="120"/>
      <c r="AM86" s="120"/>
    </row>
    <row r="87" spans="2:39">
      <c r="B87"/>
      <c r="C87"/>
      <c r="D87"/>
      <c r="E87"/>
      <c r="F87"/>
      <c r="G87"/>
      <c r="H87"/>
      <c r="I87"/>
      <c r="J87"/>
      <c r="K87"/>
      <c r="L87" s="120"/>
      <c r="M87"/>
      <c r="N87"/>
      <c r="O87" s="120"/>
      <c r="P87" s="120"/>
      <c r="Q87" s="120"/>
      <c r="S87" s="120"/>
      <c r="T87" s="120"/>
      <c r="U87" s="120"/>
      <c r="V87" s="120"/>
      <c r="W87" s="120"/>
      <c r="Y87" s="120"/>
      <c r="Z87" s="120"/>
      <c r="AA87" s="120"/>
      <c r="AB87" s="120"/>
      <c r="AC87" s="120"/>
      <c r="AE87" s="120"/>
      <c r="AF87" s="120"/>
      <c r="AG87" s="120"/>
      <c r="AH87" s="120"/>
      <c r="AI87" s="120"/>
      <c r="AJ87" s="120"/>
      <c r="AK87" s="120"/>
      <c r="AL87" s="120"/>
      <c r="AM87" s="120"/>
    </row>
    <row r="88" spans="2:39">
      <c r="B88"/>
      <c r="C88"/>
      <c r="D88"/>
      <c r="E88"/>
      <c r="F88"/>
      <c r="G88"/>
      <c r="H88"/>
      <c r="I88"/>
      <c r="J88"/>
      <c r="K88"/>
      <c r="L88" s="120"/>
      <c r="M88"/>
      <c r="N88"/>
      <c r="O88" s="120"/>
      <c r="P88" s="120"/>
      <c r="Q88" s="120"/>
      <c r="S88" s="120"/>
      <c r="T88" s="120"/>
      <c r="U88" s="120"/>
      <c r="V88" s="120"/>
      <c r="W88" s="120"/>
      <c r="Y88" s="120"/>
      <c r="Z88" s="120"/>
      <c r="AA88" s="120"/>
      <c r="AB88" s="120"/>
      <c r="AC88" s="120"/>
      <c r="AE88" s="120"/>
      <c r="AF88" s="120"/>
      <c r="AG88" s="120"/>
      <c r="AH88" s="120"/>
      <c r="AI88" s="120"/>
      <c r="AJ88" s="120"/>
      <c r="AK88" s="120"/>
      <c r="AL88" s="120"/>
      <c r="AM88" s="120"/>
    </row>
    <row r="89" spans="2:39">
      <c r="B89"/>
      <c r="C89"/>
      <c r="D89"/>
      <c r="E89"/>
      <c r="F89"/>
      <c r="G89"/>
      <c r="H89"/>
      <c r="I89"/>
      <c r="J89"/>
      <c r="K89"/>
      <c r="L89" s="120"/>
      <c r="M89"/>
      <c r="N89"/>
      <c r="O89" s="120"/>
      <c r="P89" s="120"/>
      <c r="Q89" s="120"/>
      <c r="S89" s="120"/>
      <c r="T89" s="120"/>
      <c r="U89" s="120"/>
      <c r="V89" s="120"/>
      <c r="W89" s="120"/>
      <c r="Y89" s="120"/>
      <c r="Z89" s="120"/>
      <c r="AA89" s="120"/>
      <c r="AB89" s="120"/>
      <c r="AC89" s="120"/>
      <c r="AE89" s="120"/>
      <c r="AF89" s="120"/>
      <c r="AG89" s="120"/>
      <c r="AH89" s="120"/>
      <c r="AI89" s="120"/>
      <c r="AJ89" s="120"/>
      <c r="AK89" s="120"/>
      <c r="AL89" s="120"/>
      <c r="AM89" s="120"/>
    </row>
    <row r="90" spans="2:39">
      <c r="B90"/>
      <c r="C90"/>
      <c r="D90"/>
      <c r="E90"/>
      <c r="F90"/>
      <c r="G90"/>
      <c r="H90"/>
      <c r="I90"/>
      <c r="J90"/>
      <c r="K90"/>
      <c r="L90" s="120"/>
      <c r="M90"/>
      <c r="N90"/>
      <c r="O90" s="120"/>
      <c r="P90" s="120"/>
      <c r="Q90" s="120"/>
      <c r="S90" s="120"/>
      <c r="T90" s="120"/>
      <c r="U90" s="120"/>
      <c r="V90" s="120"/>
      <c r="W90" s="120"/>
      <c r="Y90" s="120"/>
      <c r="Z90" s="120"/>
      <c r="AA90" s="120"/>
      <c r="AB90" s="120"/>
      <c r="AC90" s="120"/>
      <c r="AE90" s="120"/>
      <c r="AF90" s="120"/>
      <c r="AG90" s="120"/>
      <c r="AH90" s="120"/>
      <c r="AI90" s="120"/>
      <c r="AJ90" s="120"/>
      <c r="AK90" s="120"/>
      <c r="AL90" s="120"/>
      <c r="AM90" s="120"/>
    </row>
    <row r="91" spans="2:39">
      <c r="B91"/>
      <c r="C91"/>
      <c r="D91"/>
      <c r="E91"/>
      <c r="F91"/>
      <c r="G91"/>
      <c r="H91"/>
      <c r="I91"/>
      <c r="J91"/>
      <c r="K91"/>
      <c r="L91" s="120"/>
      <c r="M91"/>
      <c r="N91"/>
      <c r="O91" s="120"/>
      <c r="P91" s="120"/>
      <c r="Q91" s="120"/>
      <c r="S91" s="120"/>
      <c r="T91" s="120"/>
      <c r="U91" s="120"/>
      <c r="V91" s="120"/>
      <c r="W91" s="120"/>
      <c r="Y91" s="120"/>
      <c r="Z91" s="120"/>
      <c r="AA91" s="120"/>
      <c r="AB91" s="120"/>
      <c r="AC91" s="120"/>
      <c r="AE91" s="120"/>
      <c r="AF91" s="120"/>
      <c r="AG91" s="120"/>
      <c r="AH91" s="120"/>
      <c r="AI91" s="120"/>
      <c r="AJ91" s="120"/>
      <c r="AK91" s="120"/>
      <c r="AL91" s="120"/>
      <c r="AM91" s="120"/>
    </row>
    <row r="92" spans="2:39">
      <c r="B92"/>
      <c r="C92"/>
      <c r="D92"/>
      <c r="E92"/>
      <c r="F92"/>
      <c r="G92"/>
      <c r="H92"/>
      <c r="I92"/>
      <c r="J92"/>
      <c r="K92"/>
      <c r="L92" s="120"/>
      <c r="M92"/>
      <c r="N92"/>
      <c r="O92" s="120"/>
      <c r="P92" s="120"/>
      <c r="Q92" s="120"/>
      <c r="S92" s="120"/>
      <c r="T92" s="120"/>
      <c r="U92" s="120"/>
      <c r="V92" s="120"/>
      <c r="W92" s="120"/>
      <c r="Y92" s="120"/>
      <c r="Z92" s="120"/>
      <c r="AA92" s="120"/>
      <c r="AB92" s="120"/>
      <c r="AC92" s="120"/>
      <c r="AE92" s="120"/>
      <c r="AF92" s="120"/>
      <c r="AG92" s="120"/>
      <c r="AH92" s="120"/>
      <c r="AI92" s="120"/>
      <c r="AJ92" s="120"/>
      <c r="AK92" s="120"/>
      <c r="AL92" s="120"/>
      <c r="AM92" s="120"/>
    </row>
    <row r="93" spans="2:39">
      <c r="B93"/>
      <c r="C93"/>
      <c r="D93"/>
      <c r="E93"/>
      <c r="F93"/>
      <c r="G93"/>
      <c r="H93"/>
      <c r="I93"/>
      <c r="J93"/>
      <c r="K93"/>
      <c r="L93" s="120"/>
      <c r="M93"/>
      <c r="N93"/>
      <c r="O93" s="120"/>
      <c r="P93" s="120"/>
      <c r="Q93" s="120"/>
      <c r="S93" s="120"/>
      <c r="T93" s="120"/>
      <c r="U93" s="120"/>
      <c r="V93" s="120"/>
      <c r="W93" s="120"/>
      <c r="Y93" s="120"/>
      <c r="Z93" s="120"/>
      <c r="AA93" s="120"/>
      <c r="AB93" s="120"/>
      <c r="AC93" s="120"/>
      <c r="AE93" s="120"/>
      <c r="AF93" s="120"/>
      <c r="AG93" s="120"/>
      <c r="AH93" s="120"/>
      <c r="AI93" s="120"/>
      <c r="AJ93" s="120"/>
      <c r="AK93" s="120"/>
      <c r="AL93" s="120"/>
      <c r="AM93" s="120"/>
    </row>
    <row r="94" spans="2:39">
      <c r="B94"/>
      <c r="C94"/>
      <c r="D94"/>
      <c r="E94"/>
      <c r="F94"/>
      <c r="G94"/>
      <c r="H94"/>
      <c r="I94"/>
      <c r="J94"/>
      <c r="K94"/>
      <c r="L94" s="120"/>
      <c r="M94"/>
      <c r="N94"/>
      <c r="O94" s="120"/>
      <c r="P94" s="120"/>
      <c r="Q94" s="120"/>
      <c r="S94" s="120"/>
      <c r="T94" s="120"/>
      <c r="U94" s="120"/>
      <c r="V94" s="120"/>
      <c r="W94" s="120"/>
      <c r="Y94" s="120"/>
      <c r="Z94" s="120"/>
      <c r="AA94" s="120"/>
      <c r="AB94" s="120"/>
      <c r="AC94" s="120"/>
      <c r="AE94" s="120"/>
      <c r="AF94" s="120"/>
      <c r="AG94" s="120"/>
      <c r="AH94" s="120"/>
      <c r="AI94" s="120"/>
      <c r="AJ94" s="120"/>
      <c r="AK94" s="120"/>
      <c r="AL94" s="120"/>
      <c r="AM94" s="120"/>
    </row>
    <row r="95" spans="2:39">
      <c r="B95"/>
      <c r="C95"/>
      <c r="D95"/>
      <c r="E95"/>
      <c r="F95"/>
      <c r="G95"/>
      <c r="H95"/>
      <c r="I95"/>
      <c r="J95"/>
      <c r="K95"/>
      <c r="L95" s="120"/>
      <c r="M95"/>
      <c r="N95"/>
      <c r="O95" s="120"/>
      <c r="P95" s="120"/>
      <c r="Q95" s="120"/>
      <c r="S95" s="120"/>
      <c r="T95" s="120"/>
      <c r="U95" s="120"/>
      <c r="V95" s="120"/>
      <c r="W95" s="120"/>
      <c r="Y95" s="120"/>
      <c r="Z95" s="120"/>
      <c r="AA95" s="120"/>
      <c r="AB95" s="120"/>
      <c r="AC95" s="120"/>
      <c r="AE95" s="120"/>
      <c r="AF95" s="120"/>
      <c r="AG95" s="120"/>
      <c r="AH95" s="120"/>
      <c r="AI95" s="120"/>
      <c r="AJ95" s="120"/>
      <c r="AK95" s="120"/>
      <c r="AL95" s="120"/>
      <c r="AM95" s="120"/>
    </row>
    <row r="96" spans="2:39">
      <c r="B96"/>
      <c r="C96"/>
      <c r="D96"/>
      <c r="E96"/>
      <c r="F96"/>
      <c r="G96"/>
      <c r="H96"/>
      <c r="I96"/>
      <c r="J96"/>
      <c r="K96"/>
      <c r="L96" s="120"/>
      <c r="M96"/>
      <c r="N96"/>
      <c r="O96" s="120"/>
      <c r="P96" s="120"/>
      <c r="Q96" s="120"/>
      <c r="S96" s="120"/>
      <c r="T96" s="120"/>
      <c r="U96" s="120"/>
      <c r="V96" s="120"/>
      <c r="W96" s="120"/>
      <c r="Y96" s="120"/>
      <c r="Z96" s="120"/>
      <c r="AA96" s="120"/>
      <c r="AB96" s="120"/>
      <c r="AC96" s="120"/>
      <c r="AE96" s="120"/>
      <c r="AF96" s="120"/>
      <c r="AG96" s="120"/>
      <c r="AH96" s="120"/>
      <c r="AI96" s="120"/>
      <c r="AJ96" s="120"/>
      <c r="AK96" s="120"/>
      <c r="AL96" s="120"/>
      <c r="AM96" s="120"/>
    </row>
    <row r="97" spans="2:39">
      <c r="B97"/>
      <c r="C97"/>
      <c r="D97"/>
      <c r="E97"/>
      <c r="F97"/>
      <c r="G97"/>
      <c r="H97"/>
      <c r="I97"/>
      <c r="J97"/>
      <c r="K97"/>
      <c r="L97" s="120"/>
      <c r="M97"/>
      <c r="N97"/>
      <c r="O97" s="120"/>
      <c r="P97" s="120"/>
      <c r="Q97" s="120"/>
      <c r="S97" s="120"/>
      <c r="T97" s="120"/>
      <c r="U97" s="120"/>
      <c r="V97" s="120"/>
      <c r="W97" s="120"/>
      <c r="Y97" s="120"/>
      <c r="Z97" s="120"/>
      <c r="AA97" s="120"/>
      <c r="AB97" s="120"/>
      <c r="AC97" s="120"/>
      <c r="AE97" s="120"/>
      <c r="AF97" s="120"/>
      <c r="AG97" s="120"/>
      <c r="AH97" s="120"/>
      <c r="AI97" s="120"/>
      <c r="AJ97" s="120"/>
      <c r="AK97" s="120"/>
      <c r="AL97" s="120"/>
      <c r="AM97" s="120"/>
    </row>
    <row r="98" spans="2:39">
      <c r="B98"/>
      <c r="C98"/>
      <c r="D98"/>
      <c r="E98"/>
      <c r="F98"/>
      <c r="G98"/>
      <c r="H98"/>
      <c r="I98"/>
      <c r="J98"/>
      <c r="K98"/>
      <c r="L98" s="120"/>
      <c r="M98"/>
      <c r="N98"/>
      <c r="O98" s="120"/>
      <c r="P98" s="120"/>
      <c r="Q98" s="120"/>
      <c r="S98" s="120"/>
      <c r="T98" s="120"/>
      <c r="U98" s="120"/>
      <c r="V98" s="120"/>
      <c r="W98" s="120"/>
      <c r="Y98" s="120"/>
      <c r="Z98" s="120"/>
      <c r="AA98" s="120"/>
      <c r="AB98" s="120"/>
      <c r="AC98" s="120"/>
      <c r="AE98" s="120"/>
      <c r="AF98" s="120"/>
      <c r="AG98" s="120"/>
      <c r="AH98" s="120"/>
      <c r="AI98" s="120"/>
      <c r="AJ98" s="120"/>
      <c r="AK98" s="120"/>
      <c r="AL98" s="120"/>
      <c r="AM98" s="120"/>
    </row>
    <row r="99" spans="2:39">
      <c r="B99"/>
      <c r="C99"/>
      <c r="D99"/>
      <c r="E99"/>
      <c r="F99"/>
      <c r="G99"/>
      <c r="H99"/>
      <c r="I99"/>
      <c r="J99"/>
      <c r="K99"/>
      <c r="L99" s="120"/>
      <c r="M99"/>
      <c r="N99"/>
      <c r="O99" s="120"/>
      <c r="P99" s="120"/>
      <c r="Q99" s="120"/>
      <c r="S99" s="120"/>
      <c r="T99" s="120"/>
      <c r="U99" s="120"/>
      <c r="V99" s="120"/>
      <c r="W99" s="120"/>
      <c r="Y99" s="120"/>
      <c r="Z99" s="120"/>
      <c r="AA99" s="120"/>
      <c r="AB99" s="120"/>
      <c r="AC99" s="120"/>
      <c r="AE99" s="120"/>
      <c r="AF99" s="120"/>
      <c r="AG99" s="120"/>
      <c r="AH99" s="120"/>
      <c r="AI99" s="120"/>
      <c r="AJ99" s="120"/>
      <c r="AK99" s="120"/>
      <c r="AL99" s="120"/>
      <c r="AM99" s="120"/>
    </row>
    <row r="100" spans="2:39">
      <c r="B100"/>
      <c r="C100"/>
      <c r="D100"/>
      <c r="E100"/>
      <c r="F100"/>
      <c r="G100"/>
      <c r="H100"/>
      <c r="I100"/>
      <c r="J100"/>
      <c r="K100"/>
      <c r="L100" s="120"/>
      <c r="M100"/>
      <c r="N100"/>
      <c r="O100" s="120"/>
      <c r="P100" s="120"/>
      <c r="Q100" s="120"/>
      <c r="S100" s="120"/>
      <c r="T100" s="120"/>
      <c r="U100" s="120"/>
      <c r="V100" s="120"/>
      <c r="W100" s="120"/>
      <c r="Y100" s="120"/>
      <c r="Z100" s="120"/>
      <c r="AA100" s="120"/>
      <c r="AB100" s="120"/>
      <c r="AC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</row>
    <row r="101" spans="2:39">
      <c r="B101"/>
      <c r="C101"/>
      <c r="D101"/>
      <c r="E101"/>
      <c r="F101"/>
      <c r="G101"/>
      <c r="H101"/>
      <c r="I101"/>
      <c r="J101"/>
      <c r="K101"/>
      <c r="L101" s="120"/>
      <c r="M101"/>
      <c r="N101"/>
      <c r="O101" s="120"/>
      <c r="P101" s="120"/>
      <c r="Q101" s="120"/>
      <c r="S101" s="120"/>
      <c r="T101" s="120"/>
      <c r="U101" s="120"/>
      <c r="V101" s="120"/>
      <c r="W101" s="120"/>
      <c r="Y101" s="120"/>
      <c r="Z101" s="120"/>
      <c r="AA101" s="120"/>
      <c r="AB101" s="120"/>
      <c r="AC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</row>
    <row r="102" spans="2:39">
      <c r="B102"/>
      <c r="C102"/>
      <c r="D102"/>
      <c r="E102"/>
      <c r="F102"/>
      <c r="G102"/>
      <c r="H102"/>
      <c r="I102"/>
      <c r="J102"/>
      <c r="K102"/>
      <c r="L102" s="120"/>
      <c r="M102"/>
      <c r="N102"/>
      <c r="O102" s="120"/>
      <c r="P102" s="120"/>
      <c r="Q102" s="120"/>
      <c r="S102" s="120"/>
      <c r="T102" s="120"/>
      <c r="U102" s="120"/>
      <c r="V102" s="120"/>
      <c r="W102" s="120"/>
      <c r="Y102" s="120"/>
      <c r="Z102" s="120"/>
      <c r="AA102" s="120"/>
      <c r="AB102" s="120"/>
      <c r="AC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</row>
    <row r="103" spans="2:39">
      <c r="B103"/>
      <c r="C103"/>
      <c r="D103"/>
      <c r="E103"/>
      <c r="F103"/>
      <c r="G103"/>
      <c r="H103"/>
      <c r="I103"/>
      <c r="J103"/>
      <c r="K103"/>
      <c r="L103" s="120"/>
      <c r="M103"/>
      <c r="N103"/>
      <c r="O103" s="120"/>
      <c r="P103" s="120"/>
      <c r="Q103" s="120"/>
      <c r="S103" s="120"/>
      <c r="T103" s="120"/>
      <c r="U103" s="120"/>
      <c r="V103" s="120"/>
      <c r="W103" s="120"/>
      <c r="Y103" s="120"/>
      <c r="Z103" s="120"/>
      <c r="AA103" s="120"/>
      <c r="AB103" s="120"/>
      <c r="AC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</row>
    <row r="104" spans="2:39">
      <c r="B104"/>
      <c r="C104"/>
      <c r="D104"/>
      <c r="E104"/>
      <c r="F104"/>
      <c r="G104"/>
      <c r="H104"/>
      <c r="I104"/>
      <c r="J104"/>
      <c r="K104"/>
      <c r="L104" s="120"/>
      <c r="M104"/>
      <c r="N104"/>
      <c r="O104" s="120"/>
      <c r="P104" s="120"/>
      <c r="Q104" s="120"/>
      <c r="S104" s="120"/>
      <c r="T104" s="120"/>
      <c r="U104" s="120"/>
      <c r="V104" s="120"/>
      <c r="W104" s="120"/>
      <c r="Y104" s="120"/>
      <c r="Z104" s="120"/>
      <c r="AA104" s="120"/>
      <c r="AB104" s="120"/>
      <c r="AC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</row>
    <row r="105" spans="2:39">
      <c r="B105"/>
      <c r="C105"/>
      <c r="D105"/>
      <c r="E105"/>
      <c r="F105"/>
      <c r="G105"/>
      <c r="H105"/>
      <c r="I105"/>
      <c r="J105"/>
      <c r="K105"/>
      <c r="L105" s="120"/>
      <c r="M105"/>
      <c r="N105"/>
      <c r="O105" s="120"/>
      <c r="P105" s="120"/>
      <c r="Q105" s="120"/>
      <c r="S105" s="120"/>
      <c r="T105" s="120"/>
      <c r="U105" s="120"/>
      <c r="V105" s="120"/>
      <c r="W105" s="120"/>
      <c r="Y105" s="120"/>
      <c r="Z105" s="120"/>
      <c r="AA105" s="120"/>
      <c r="AB105" s="120"/>
      <c r="AC105" s="120"/>
      <c r="AE105" s="120"/>
      <c r="AF105" s="120"/>
      <c r="AG105" s="120"/>
      <c r="AH105" s="120"/>
      <c r="AI105" s="120"/>
      <c r="AJ105" s="120"/>
      <c r="AK105" s="120"/>
      <c r="AL105" s="120"/>
      <c r="AM105" s="120"/>
    </row>
    <row r="106" spans="2:39">
      <c r="B106"/>
      <c r="C106"/>
      <c r="D106"/>
      <c r="E106"/>
      <c r="F106"/>
      <c r="G106"/>
      <c r="H106"/>
      <c r="I106"/>
      <c r="J106"/>
      <c r="K106"/>
      <c r="L106" s="120"/>
      <c r="M106"/>
      <c r="N106"/>
      <c r="O106" s="120"/>
      <c r="P106" s="120"/>
      <c r="Q106" s="120"/>
      <c r="S106" s="120"/>
      <c r="T106" s="120"/>
      <c r="U106" s="120"/>
      <c r="V106" s="120"/>
      <c r="W106" s="120"/>
      <c r="Y106" s="120"/>
      <c r="Z106" s="120"/>
      <c r="AA106" s="120"/>
      <c r="AB106" s="120"/>
      <c r="AC106" s="120"/>
      <c r="AE106" s="120"/>
      <c r="AF106" s="120"/>
      <c r="AG106" s="120"/>
      <c r="AH106" s="120"/>
      <c r="AI106" s="120"/>
      <c r="AJ106" s="120"/>
      <c r="AK106" s="120"/>
      <c r="AL106" s="120"/>
      <c r="AM106" s="120"/>
    </row>
    <row r="107" spans="2:39">
      <c r="B107"/>
      <c r="C107"/>
      <c r="D107"/>
      <c r="E107"/>
      <c r="F107"/>
      <c r="G107"/>
      <c r="H107"/>
      <c r="I107"/>
      <c r="J107"/>
      <c r="K107"/>
      <c r="L107" s="120"/>
      <c r="M107"/>
      <c r="N107"/>
      <c r="O107" s="120"/>
      <c r="P107" s="120"/>
      <c r="Q107" s="120"/>
      <c r="S107" s="120"/>
      <c r="T107" s="120"/>
      <c r="U107" s="120"/>
      <c r="V107" s="120"/>
      <c r="W107" s="120"/>
      <c r="Y107" s="120"/>
      <c r="Z107" s="120"/>
      <c r="AA107" s="120"/>
      <c r="AB107" s="120"/>
      <c r="AC107" s="120"/>
      <c r="AE107" s="120"/>
      <c r="AF107" s="120"/>
      <c r="AG107" s="120"/>
      <c r="AH107" s="120"/>
      <c r="AI107" s="120"/>
      <c r="AJ107" s="120"/>
      <c r="AK107" s="120"/>
      <c r="AL107" s="120"/>
      <c r="AM107" s="120"/>
    </row>
    <row r="108" spans="2:39">
      <c r="B108"/>
      <c r="C108"/>
      <c r="D108"/>
      <c r="E108"/>
      <c r="F108"/>
      <c r="G108"/>
      <c r="H108"/>
      <c r="I108"/>
      <c r="J108"/>
      <c r="K108"/>
      <c r="L108" s="120"/>
      <c r="M108"/>
      <c r="N108"/>
      <c r="O108" s="120"/>
      <c r="P108" s="120"/>
      <c r="Q108" s="120"/>
      <c r="S108" s="120"/>
      <c r="T108" s="120"/>
      <c r="U108" s="120"/>
      <c r="V108" s="120"/>
      <c r="W108" s="120"/>
      <c r="Y108" s="120"/>
      <c r="Z108" s="120"/>
      <c r="AA108" s="120"/>
      <c r="AB108" s="120"/>
      <c r="AC108" s="120"/>
      <c r="AE108" s="120"/>
      <c r="AF108" s="120"/>
      <c r="AG108" s="120"/>
      <c r="AH108" s="120"/>
      <c r="AI108" s="120"/>
      <c r="AJ108" s="120"/>
      <c r="AK108" s="120"/>
      <c r="AL108" s="120"/>
      <c r="AM108" s="120"/>
    </row>
    <row r="109" spans="2:39">
      <c r="B109"/>
      <c r="C109"/>
      <c r="D109"/>
      <c r="E109"/>
      <c r="F109"/>
      <c r="G109"/>
      <c r="H109"/>
      <c r="I109"/>
      <c r="J109"/>
      <c r="K109"/>
      <c r="L109" s="120"/>
      <c r="M109"/>
      <c r="N109"/>
      <c r="O109" s="120"/>
      <c r="P109" s="120"/>
      <c r="Q109" s="120"/>
      <c r="S109" s="120"/>
      <c r="T109" s="120"/>
      <c r="U109" s="120"/>
      <c r="V109" s="120"/>
      <c r="W109" s="120"/>
      <c r="Y109" s="120"/>
      <c r="Z109" s="120"/>
      <c r="AA109" s="120"/>
      <c r="AB109" s="120"/>
      <c r="AC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</row>
    <row r="110" spans="2:39">
      <c r="B110"/>
      <c r="C110"/>
      <c r="D110"/>
      <c r="E110"/>
      <c r="F110"/>
      <c r="G110"/>
      <c r="H110"/>
      <c r="I110"/>
      <c r="J110"/>
      <c r="K110"/>
      <c r="L110" s="120"/>
      <c r="M110"/>
      <c r="N110"/>
      <c r="O110" s="120"/>
      <c r="P110" s="120"/>
      <c r="Q110" s="120"/>
      <c r="S110" s="120"/>
      <c r="T110" s="120"/>
      <c r="U110" s="120"/>
      <c r="V110" s="120"/>
      <c r="W110" s="120"/>
      <c r="Y110" s="120"/>
      <c r="Z110" s="120"/>
      <c r="AA110" s="120"/>
      <c r="AB110" s="120"/>
      <c r="AC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</row>
    <row r="111" spans="2:39">
      <c r="B111"/>
      <c r="C111"/>
      <c r="D111"/>
      <c r="E111"/>
      <c r="F111"/>
      <c r="G111"/>
      <c r="H111"/>
      <c r="I111"/>
      <c r="J111"/>
      <c r="K111"/>
      <c r="L111" s="120"/>
      <c r="M111"/>
      <c r="N111"/>
      <c r="O111" s="120"/>
      <c r="P111" s="120"/>
      <c r="Q111" s="120"/>
      <c r="S111" s="120"/>
      <c r="T111" s="120"/>
      <c r="U111" s="120"/>
      <c r="V111" s="120"/>
      <c r="W111" s="120"/>
      <c r="Y111" s="120"/>
      <c r="Z111" s="120"/>
      <c r="AA111" s="120"/>
      <c r="AB111" s="120"/>
      <c r="AC111" s="120"/>
      <c r="AE111" s="120"/>
      <c r="AF111" s="120"/>
      <c r="AG111" s="120"/>
      <c r="AH111" s="120"/>
      <c r="AI111" s="120"/>
      <c r="AJ111" s="120"/>
      <c r="AK111" s="120"/>
      <c r="AL111" s="120"/>
      <c r="AM111" s="120"/>
    </row>
    <row r="112" spans="2:39">
      <c r="B112"/>
      <c r="C112"/>
      <c r="D112"/>
      <c r="E112"/>
      <c r="F112"/>
      <c r="G112"/>
      <c r="H112"/>
      <c r="I112"/>
      <c r="J112"/>
      <c r="K112"/>
      <c r="L112" s="120"/>
      <c r="M112"/>
      <c r="N112"/>
      <c r="O112" s="120"/>
      <c r="P112" s="120"/>
      <c r="Q112" s="120"/>
      <c r="S112" s="120"/>
      <c r="T112" s="120"/>
      <c r="U112" s="120"/>
      <c r="V112" s="120"/>
      <c r="W112" s="120"/>
      <c r="Y112" s="120"/>
      <c r="Z112" s="120"/>
      <c r="AA112" s="120"/>
      <c r="AB112" s="120"/>
      <c r="AC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</row>
    <row r="113" spans="2:39">
      <c r="B113"/>
      <c r="C113"/>
      <c r="D113"/>
      <c r="E113"/>
      <c r="F113"/>
      <c r="G113"/>
      <c r="H113"/>
      <c r="I113"/>
      <c r="J113"/>
      <c r="K113"/>
      <c r="L113" s="120"/>
      <c r="M113"/>
      <c r="N113"/>
      <c r="O113" s="120"/>
      <c r="P113" s="120"/>
      <c r="Q113" s="120"/>
      <c r="S113" s="120"/>
      <c r="T113" s="120"/>
      <c r="U113" s="120"/>
      <c r="V113" s="120"/>
      <c r="W113" s="120"/>
      <c r="Y113" s="120"/>
      <c r="Z113" s="120"/>
      <c r="AA113" s="120"/>
      <c r="AB113" s="120"/>
      <c r="AC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</row>
    <row r="114" spans="2:39">
      <c r="B114"/>
      <c r="C114"/>
      <c r="D114"/>
      <c r="E114"/>
      <c r="F114"/>
      <c r="G114"/>
      <c r="H114"/>
      <c r="I114"/>
      <c r="J114"/>
      <c r="K114"/>
      <c r="L114" s="120"/>
      <c r="M114"/>
      <c r="N114"/>
      <c r="O114" s="120"/>
      <c r="P114" s="120"/>
      <c r="Q114" s="120"/>
      <c r="S114" s="120"/>
      <c r="T114" s="120"/>
      <c r="U114" s="120"/>
      <c r="V114" s="120"/>
      <c r="W114" s="120"/>
      <c r="Y114" s="120"/>
      <c r="Z114" s="120"/>
      <c r="AA114" s="120"/>
      <c r="AB114" s="120"/>
      <c r="AC114" s="120"/>
      <c r="AE114" s="120"/>
      <c r="AF114" s="120"/>
      <c r="AG114" s="120"/>
      <c r="AH114" s="120"/>
      <c r="AI114" s="120"/>
      <c r="AJ114" s="120"/>
      <c r="AK114" s="120"/>
      <c r="AL114" s="120"/>
      <c r="AM114" s="120"/>
    </row>
    <row r="115" spans="2:39">
      <c r="O115" s="123"/>
      <c r="P115" s="120"/>
      <c r="Q115" s="120"/>
      <c r="S115" s="120"/>
      <c r="T115" s="120"/>
      <c r="U115" s="120"/>
      <c r="V115" s="120"/>
      <c r="W115" s="120"/>
      <c r="Y115" s="120"/>
      <c r="Z115" s="120"/>
      <c r="AA115" s="120"/>
      <c r="AB115" s="120"/>
      <c r="AC115" s="120"/>
      <c r="AE115" s="120"/>
      <c r="AF115" s="120"/>
      <c r="AG115" s="120"/>
      <c r="AH115" s="120"/>
      <c r="AI115" s="120"/>
      <c r="AJ115" s="120"/>
      <c r="AK115" s="120"/>
      <c r="AL115" s="120"/>
      <c r="AM115" s="120"/>
    </row>
    <row r="116" spans="2:39">
      <c r="O116" s="123"/>
      <c r="P116" s="120"/>
      <c r="Q116" s="120"/>
      <c r="S116" s="120"/>
      <c r="T116" s="120"/>
      <c r="U116" s="120"/>
      <c r="V116" s="120"/>
      <c r="W116" s="120"/>
      <c r="Y116" s="120"/>
      <c r="Z116" s="120"/>
      <c r="AA116" s="120"/>
      <c r="AB116" s="120"/>
      <c r="AC116" s="120"/>
      <c r="AE116" s="120"/>
      <c r="AF116" s="120"/>
      <c r="AG116" s="120"/>
      <c r="AH116" s="120"/>
      <c r="AI116" s="120"/>
      <c r="AJ116" s="120"/>
      <c r="AK116" s="120"/>
      <c r="AL116" s="120"/>
      <c r="AM116" s="120"/>
    </row>
    <row r="117" spans="2:39">
      <c r="O117" s="123"/>
      <c r="P117" s="120"/>
      <c r="Q117" s="120"/>
      <c r="S117" s="120"/>
      <c r="T117" s="120"/>
      <c r="U117" s="120"/>
      <c r="V117" s="120"/>
      <c r="W117" s="120"/>
      <c r="Y117" s="120"/>
      <c r="Z117" s="120"/>
      <c r="AA117" s="120"/>
      <c r="AB117" s="120"/>
      <c r="AC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</row>
    <row r="118" spans="2:39">
      <c r="O118" s="123"/>
      <c r="P118" s="120"/>
      <c r="Q118" s="120"/>
      <c r="S118" s="120"/>
      <c r="T118" s="120"/>
      <c r="U118" s="120"/>
      <c r="V118" s="120"/>
      <c r="W118" s="120"/>
      <c r="Y118" s="120"/>
      <c r="Z118" s="120"/>
      <c r="AA118" s="120"/>
      <c r="AB118" s="120"/>
      <c r="AC118" s="120"/>
      <c r="AE118" s="120"/>
      <c r="AF118" s="120"/>
      <c r="AG118" s="120"/>
      <c r="AH118" s="120"/>
      <c r="AI118" s="120"/>
      <c r="AJ118" s="120"/>
      <c r="AK118" s="120"/>
      <c r="AL118" s="120"/>
      <c r="AM118" s="120"/>
    </row>
    <row r="119" spans="2:39">
      <c r="O119" s="123"/>
      <c r="P119" s="120"/>
      <c r="Q119" s="120"/>
      <c r="S119" s="120"/>
      <c r="T119" s="120"/>
      <c r="U119" s="120"/>
      <c r="V119" s="120"/>
      <c r="W119" s="120"/>
      <c r="Y119" s="120"/>
      <c r="Z119" s="120"/>
      <c r="AA119" s="120"/>
      <c r="AB119" s="120"/>
      <c r="AC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</row>
    <row r="120" spans="2:39">
      <c r="O120" s="123"/>
      <c r="P120" s="120"/>
      <c r="Q120" s="120"/>
      <c r="S120" s="120"/>
      <c r="T120" s="120"/>
      <c r="U120" s="120"/>
      <c r="V120" s="120"/>
      <c r="W120" s="120"/>
      <c r="Y120" s="120"/>
      <c r="Z120" s="120"/>
      <c r="AA120" s="120"/>
      <c r="AB120" s="120"/>
      <c r="AC120" s="120"/>
      <c r="AE120" s="120"/>
      <c r="AF120" s="120"/>
      <c r="AG120" s="120"/>
      <c r="AH120" s="120"/>
      <c r="AI120" s="120"/>
      <c r="AJ120" s="120"/>
      <c r="AK120" s="120"/>
      <c r="AL120" s="120"/>
      <c r="AM120" s="120"/>
    </row>
    <row r="121" spans="2:39">
      <c r="O121" s="123"/>
      <c r="P121" s="120"/>
      <c r="Q121" s="120"/>
      <c r="S121" s="120"/>
      <c r="T121" s="120"/>
      <c r="U121" s="120"/>
      <c r="V121" s="120"/>
      <c r="W121" s="120"/>
      <c r="Y121" s="120"/>
      <c r="Z121" s="120"/>
      <c r="AA121" s="120"/>
      <c r="AB121" s="120"/>
      <c r="AC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</row>
    <row r="122" spans="2:39">
      <c r="O122" s="123"/>
      <c r="P122" s="120"/>
      <c r="Q122" s="120"/>
      <c r="S122" s="120"/>
      <c r="T122" s="120"/>
      <c r="U122" s="120"/>
      <c r="V122" s="120"/>
      <c r="W122" s="120"/>
      <c r="Y122" s="120"/>
      <c r="Z122" s="120"/>
      <c r="AA122" s="120"/>
      <c r="AB122" s="120"/>
      <c r="AC122" s="120"/>
      <c r="AE122" s="120"/>
      <c r="AF122" s="120"/>
      <c r="AG122" s="120"/>
      <c r="AH122" s="120"/>
      <c r="AI122" s="120"/>
      <c r="AJ122" s="120"/>
      <c r="AK122" s="120"/>
      <c r="AL122" s="120"/>
      <c r="AM122" s="120"/>
    </row>
    <row r="123" spans="2:39">
      <c r="O123" s="123"/>
      <c r="P123" s="120"/>
      <c r="Q123" s="120"/>
      <c r="S123" s="120"/>
      <c r="T123" s="120"/>
      <c r="U123" s="120"/>
      <c r="V123" s="120"/>
      <c r="W123" s="120"/>
      <c r="Y123" s="120"/>
      <c r="Z123" s="120"/>
      <c r="AA123" s="120"/>
      <c r="AB123" s="120"/>
      <c r="AC123" s="120"/>
      <c r="AE123" s="120"/>
      <c r="AF123" s="120"/>
      <c r="AG123" s="120"/>
      <c r="AH123" s="120"/>
      <c r="AI123" s="120"/>
      <c r="AJ123" s="120"/>
      <c r="AK123" s="120"/>
      <c r="AL123" s="120"/>
      <c r="AM123" s="120"/>
    </row>
    <row r="124" spans="2:39">
      <c r="O124" s="123"/>
      <c r="P124" s="120"/>
      <c r="Q124" s="120"/>
      <c r="S124" s="120"/>
      <c r="T124" s="120"/>
      <c r="U124" s="120"/>
      <c r="V124" s="120"/>
      <c r="W124" s="120"/>
      <c r="Y124" s="120"/>
      <c r="Z124" s="120"/>
      <c r="AA124" s="120"/>
      <c r="AB124" s="120"/>
      <c r="AC124" s="120"/>
      <c r="AE124" s="120"/>
      <c r="AF124" s="120"/>
      <c r="AG124" s="120"/>
      <c r="AH124" s="120"/>
      <c r="AI124" s="120"/>
      <c r="AJ124" s="120"/>
      <c r="AK124" s="120"/>
      <c r="AL124" s="120"/>
      <c r="AM124" s="120"/>
    </row>
    <row r="125" spans="2:39">
      <c r="O125" s="123"/>
      <c r="P125" s="120"/>
      <c r="Q125" s="120"/>
      <c r="S125" s="120"/>
      <c r="T125" s="120"/>
      <c r="U125" s="120"/>
      <c r="V125" s="120"/>
      <c r="W125" s="120"/>
      <c r="Y125" s="120"/>
      <c r="Z125" s="120"/>
      <c r="AA125" s="120"/>
      <c r="AB125" s="120"/>
      <c r="AC125" s="120"/>
      <c r="AE125" s="120"/>
      <c r="AF125" s="120"/>
      <c r="AG125" s="120"/>
      <c r="AH125" s="120"/>
      <c r="AI125" s="120"/>
      <c r="AJ125" s="120"/>
      <c r="AK125" s="120"/>
      <c r="AL125" s="120"/>
      <c r="AM125" s="120"/>
    </row>
    <row r="126" spans="2:39">
      <c r="O126" s="123"/>
      <c r="P126" s="120"/>
      <c r="Q126" s="120"/>
      <c r="S126" s="120"/>
      <c r="T126" s="120"/>
      <c r="U126" s="120"/>
      <c r="V126" s="120"/>
      <c r="W126" s="120"/>
      <c r="Y126" s="120"/>
      <c r="Z126" s="120"/>
      <c r="AA126" s="120"/>
      <c r="AB126" s="120"/>
      <c r="AC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</row>
    <row r="127" spans="2:39">
      <c r="O127" s="123"/>
      <c r="P127" s="120"/>
      <c r="Q127" s="120"/>
      <c r="S127" s="120"/>
      <c r="T127" s="120"/>
      <c r="U127" s="120"/>
      <c r="V127" s="120"/>
      <c r="W127" s="120"/>
      <c r="Y127" s="120"/>
      <c r="Z127" s="120"/>
      <c r="AA127" s="120"/>
      <c r="AB127" s="120"/>
      <c r="AC127" s="120"/>
      <c r="AE127" s="120"/>
      <c r="AF127" s="120"/>
      <c r="AG127" s="120"/>
      <c r="AH127" s="120"/>
      <c r="AI127" s="120"/>
      <c r="AJ127" s="120"/>
      <c r="AK127" s="120"/>
      <c r="AL127" s="120"/>
      <c r="AM127" s="120"/>
    </row>
    <row r="128" spans="2:39">
      <c r="O128" s="123"/>
      <c r="P128" s="120"/>
      <c r="Q128" s="120"/>
      <c r="S128" s="120"/>
      <c r="T128" s="120"/>
      <c r="U128" s="120"/>
      <c r="V128" s="120"/>
      <c r="W128" s="120"/>
      <c r="Y128" s="120"/>
      <c r="Z128" s="120"/>
      <c r="AA128" s="120"/>
      <c r="AB128" s="120"/>
      <c r="AC128" s="120"/>
      <c r="AE128" s="120"/>
      <c r="AF128" s="120"/>
      <c r="AG128" s="120"/>
      <c r="AH128" s="120"/>
      <c r="AI128" s="120"/>
      <c r="AJ128" s="120"/>
      <c r="AK128" s="120"/>
      <c r="AL128" s="120"/>
      <c r="AM128" s="120"/>
    </row>
    <row r="129" spans="15:39">
      <c r="O129" s="123"/>
      <c r="P129" s="120"/>
      <c r="Q129" s="120"/>
      <c r="S129" s="120"/>
      <c r="T129" s="120"/>
      <c r="U129" s="120"/>
      <c r="V129" s="120"/>
      <c r="W129" s="120"/>
      <c r="Y129" s="120"/>
      <c r="Z129" s="120"/>
      <c r="AA129" s="120"/>
      <c r="AB129" s="120"/>
      <c r="AC129" s="120"/>
      <c r="AE129" s="120"/>
      <c r="AF129" s="120"/>
      <c r="AG129" s="120"/>
      <c r="AH129" s="120"/>
      <c r="AI129" s="120"/>
      <c r="AJ129" s="120"/>
      <c r="AK129" s="120"/>
      <c r="AL129" s="120"/>
      <c r="AM129" s="120"/>
    </row>
    <row r="130" spans="15:39">
      <c r="O130" s="123"/>
      <c r="P130" s="120"/>
      <c r="Q130" s="120"/>
      <c r="S130" s="120"/>
      <c r="T130" s="120"/>
      <c r="U130" s="120"/>
      <c r="V130" s="120"/>
      <c r="W130" s="120"/>
      <c r="Y130" s="120"/>
      <c r="Z130" s="120"/>
      <c r="AA130" s="120"/>
      <c r="AB130" s="120"/>
      <c r="AC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</row>
    <row r="131" spans="15:39">
      <c r="O131" s="123"/>
      <c r="P131" s="120"/>
      <c r="Q131" s="120"/>
      <c r="S131" s="120"/>
      <c r="T131" s="120"/>
      <c r="U131" s="120"/>
      <c r="V131" s="120"/>
      <c r="W131" s="120"/>
      <c r="Y131" s="120"/>
      <c r="Z131" s="120"/>
      <c r="AA131" s="120"/>
      <c r="AB131" s="120"/>
      <c r="AC131" s="120"/>
      <c r="AE131" s="120"/>
      <c r="AF131" s="120"/>
      <c r="AG131" s="120"/>
      <c r="AH131" s="120"/>
      <c r="AI131" s="120"/>
      <c r="AJ131" s="120"/>
      <c r="AK131" s="120"/>
      <c r="AL131" s="120"/>
      <c r="AM131" s="120"/>
    </row>
    <row r="132" spans="15:39">
      <c r="O132" s="123"/>
      <c r="P132" s="120"/>
      <c r="Q132" s="120"/>
      <c r="S132" s="120"/>
      <c r="T132" s="120"/>
      <c r="U132" s="120"/>
      <c r="V132" s="120"/>
      <c r="W132" s="120"/>
      <c r="Y132" s="120"/>
      <c r="Z132" s="120"/>
      <c r="AA132" s="120"/>
      <c r="AB132" s="120"/>
      <c r="AC132" s="120"/>
      <c r="AE132" s="120"/>
      <c r="AF132" s="120"/>
      <c r="AG132" s="120"/>
      <c r="AH132" s="120"/>
      <c r="AI132" s="120"/>
      <c r="AJ132" s="120"/>
      <c r="AK132" s="120"/>
      <c r="AL132" s="120"/>
      <c r="AM132" s="120"/>
    </row>
    <row r="133" spans="15:39">
      <c r="O133" s="123"/>
      <c r="P133" s="120"/>
      <c r="Q133" s="120"/>
      <c r="S133" s="120"/>
      <c r="T133" s="120"/>
      <c r="U133" s="120"/>
      <c r="V133" s="120"/>
      <c r="W133" s="120"/>
      <c r="Y133" s="120"/>
      <c r="Z133" s="120"/>
      <c r="AA133" s="120"/>
      <c r="AB133" s="120"/>
      <c r="AC133" s="120"/>
      <c r="AE133" s="120"/>
      <c r="AF133" s="120"/>
      <c r="AG133" s="120"/>
      <c r="AH133" s="120"/>
      <c r="AI133" s="120"/>
      <c r="AJ133" s="120"/>
      <c r="AK133" s="120"/>
      <c r="AL133" s="120"/>
      <c r="AM133" s="120"/>
    </row>
    <row r="134" spans="15:39">
      <c r="O134" s="123"/>
      <c r="P134" s="120"/>
      <c r="Q134" s="120"/>
      <c r="S134" s="120"/>
      <c r="T134" s="120"/>
      <c r="U134" s="120"/>
      <c r="V134" s="120"/>
      <c r="W134" s="120"/>
      <c r="Y134" s="120"/>
      <c r="Z134" s="120"/>
      <c r="AA134" s="120"/>
      <c r="AB134" s="120"/>
      <c r="AC134" s="120"/>
      <c r="AE134" s="120"/>
      <c r="AF134" s="120"/>
      <c r="AG134" s="120"/>
      <c r="AH134" s="120"/>
      <c r="AI134" s="120"/>
      <c r="AJ134" s="120"/>
      <c r="AK134" s="120"/>
      <c r="AL134" s="120"/>
      <c r="AM134" s="120"/>
    </row>
    <row r="135" spans="15:39">
      <c r="O135" s="123"/>
      <c r="P135" s="120"/>
      <c r="Q135" s="120"/>
      <c r="S135" s="120"/>
      <c r="T135" s="120"/>
      <c r="U135" s="120"/>
      <c r="V135" s="120"/>
      <c r="W135" s="120"/>
      <c r="Y135" s="120"/>
      <c r="Z135" s="120"/>
      <c r="AA135" s="120"/>
      <c r="AB135" s="120"/>
      <c r="AC135" s="120"/>
      <c r="AE135" s="120"/>
      <c r="AF135" s="120"/>
      <c r="AG135" s="120"/>
      <c r="AH135" s="120"/>
      <c r="AI135" s="120"/>
      <c r="AJ135" s="120"/>
      <c r="AK135" s="120"/>
      <c r="AL135" s="120"/>
      <c r="AM135" s="120"/>
    </row>
    <row r="136" spans="15:39">
      <c r="O136" s="123"/>
      <c r="P136" s="120"/>
      <c r="Q136" s="120"/>
      <c r="S136" s="120"/>
      <c r="T136" s="120"/>
      <c r="U136" s="120"/>
      <c r="V136" s="120"/>
      <c r="W136" s="120"/>
      <c r="Y136" s="120"/>
      <c r="Z136" s="120"/>
      <c r="AA136" s="120"/>
      <c r="AB136" s="120"/>
      <c r="AC136" s="120"/>
      <c r="AE136" s="120"/>
      <c r="AF136" s="120"/>
      <c r="AG136" s="120"/>
      <c r="AH136" s="120"/>
      <c r="AI136" s="120"/>
      <c r="AJ136" s="120"/>
      <c r="AK136" s="120"/>
      <c r="AL136" s="120"/>
      <c r="AM136" s="120"/>
    </row>
    <row r="137" spans="15:39">
      <c r="O137" s="123"/>
      <c r="P137" s="120"/>
      <c r="Q137" s="120"/>
      <c r="S137" s="120"/>
      <c r="T137" s="120"/>
      <c r="U137" s="120"/>
      <c r="V137" s="120"/>
      <c r="W137" s="120"/>
      <c r="Y137" s="120"/>
      <c r="Z137" s="120"/>
      <c r="AA137" s="120"/>
      <c r="AB137" s="120"/>
      <c r="AC137" s="120"/>
      <c r="AE137" s="120"/>
      <c r="AF137" s="120"/>
      <c r="AG137" s="120"/>
      <c r="AH137" s="120"/>
      <c r="AI137" s="120"/>
      <c r="AJ137" s="120"/>
      <c r="AK137" s="120"/>
      <c r="AL137" s="120"/>
      <c r="AM137" s="120"/>
    </row>
    <row r="138" spans="15:39">
      <c r="O138" s="123"/>
      <c r="P138" s="120"/>
      <c r="Q138" s="120"/>
      <c r="S138" s="120"/>
      <c r="T138" s="120"/>
      <c r="U138" s="120"/>
      <c r="V138" s="120"/>
      <c r="W138" s="120"/>
      <c r="Y138" s="120"/>
      <c r="Z138" s="120"/>
      <c r="AA138" s="120"/>
      <c r="AB138" s="120"/>
      <c r="AC138" s="120"/>
      <c r="AE138" s="120"/>
      <c r="AF138" s="120"/>
      <c r="AG138" s="120"/>
      <c r="AH138" s="120"/>
      <c r="AI138" s="120"/>
      <c r="AJ138" s="120"/>
      <c r="AK138" s="120"/>
      <c r="AL138" s="120"/>
      <c r="AM138" s="120"/>
    </row>
    <row r="139" spans="15:39">
      <c r="O139" s="123"/>
      <c r="P139" s="120"/>
      <c r="Q139" s="120"/>
      <c r="S139" s="120"/>
      <c r="T139" s="120"/>
      <c r="U139" s="120"/>
      <c r="V139" s="120"/>
      <c r="W139" s="120"/>
      <c r="Y139" s="120"/>
      <c r="Z139" s="120"/>
      <c r="AA139" s="120"/>
      <c r="AB139" s="120"/>
      <c r="AC139" s="120"/>
      <c r="AE139" s="120"/>
      <c r="AF139" s="120"/>
      <c r="AG139" s="120"/>
      <c r="AH139" s="120"/>
      <c r="AI139" s="120"/>
      <c r="AJ139" s="120"/>
      <c r="AK139" s="120"/>
      <c r="AL139" s="120"/>
      <c r="AM139" s="120"/>
    </row>
    <row r="140" spans="15:39">
      <c r="O140" s="123"/>
      <c r="P140" s="120"/>
      <c r="Q140" s="120"/>
      <c r="S140" s="120"/>
      <c r="T140" s="120"/>
      <c r="U140" s="120"/>
      <c r="V140" s="120"/>
      <c r="W140" s="120"/>
      <c r="Y140" s="120"/>
      <c r="Z140" s="120"/>
      <c r="AA140" s="120"/>
      <c r="AB140" s="120"/>
      <c r="AC140" s="120"/>
      <c r="AE140" s="120"/>
      <c r="AF140" s="120"/>
      <c r="AG140" s="120"/>
      <c r="AH140" s="120"/>
      <c r="AI140" s="120"/>
      <c r="AJ140" s="120"/>
      <c r="AK140" s="120"/>
      <c r="AL140" s="120"/>
      <c r="AM140" s="120"/>
    </row>
    <row r="141" spans="15:39">
      <c r="O141" s="123"/>
      <c r="P141" s="120"/>
      <c r="Q141" s="120"/>
      <c r="S141" s="120"/>
      <c r="T141" s="120"/>
      <c r="U141" s="120"/>
      <c r="V141" s="120"/>
      <c r="W141" s="120"/>
      <c r="Y141" s="120"/>
      <c r="Z141" s="120"/>
      <c r="AA141" s="120"/>
      <c r="AB141" s="120"/>
      <c r="AC141" s="120"/>
      <c r="AE141" s="120"/>
      <c r="AF141" s="120"/>
      <c r="AG141" s="120"/>
      <c r="AH141" s="120"/>
      <c r="AI141" s="120"/>
      <c r="AJ141" s="120"/>
      <c r="AK141" s="120"/>
      <c r="AL141" s="120"/>
      <c r="AM141" s="120"/>
    </row>
    <row r="142" spans="15:39">
      <c r="O142" s="123"/>
      <c r="P142" s="120"/>
      <c r="Q142" s="120"/>
      <c r="S142" s="120"/>
      <c r="T142" s="120"/>
      <c r="U142" s="120"/>
      <c r="V142" s="120"/>
      <c r="W142" s="120"/>
      <c r="Y142" s="120"/>
      <c r="Z142" s="120"/>
      <c r="AA142" s="120"/>
      <c r="AB142" s="120"/>
      <c r="AC142" s="120"/>
      <c r="AE142" s="120"/>
      <c r="AF142" s="120"/>
      <c r="AG142" s="120"/>
      <c r="AH142" s="120"/>
      <c r="AI142" s="120"/>
      <c r="AJ142" s="120"/>
      <c r="AK142" s="120"/>
      <c r="AL142" s="120"/>
      <c r="AM142" s="120"/>
    </row>
    <row r="143" spans="15:39">
      <c r="O143" s="123"/>
      <c r="P143" s="120"/>
      <c r="Q143" s="120"/>
      <c r="S143" s="120"/>
      <c r="T143" s="120"/>
      <c r="U143" s="120"/>
      <c r="V143" s="120"/>
      <c r="W143" s="120"/>
      <c r="Y143" s="120"/>
      <c r="Z143" s="120"/>
      <c r="AA143" s="120"/>
      <c r="AB143" s="120"/>
      <c r="AC143" s="120"/>
      <c r="AE143" s="120"/>
      <c r="AF143" s="120"/>
      <c r="AG143" s="120"/>
      <c r="AH143" s="120"/>
      <c r="AI143" s="120"/>
      <c r="AJ143" s="120"/>
      <c r="AK143" s="120"/>
      <c r="AL143" s="120"/>
      <c r="AM143" s="120"/>
    </row>
    <row r="144" spans="15:39">
      <c r="O144" s="123"/>
      <c r="P144" s="120"/>
      <c r="Q144" s="120"/>
      <c r="S144" s="120"/>
      <c r="T144" s="120"/>
      <c r="U144" s="120"/>
      <c r="V144" s="120"/>
      <c r="W144" s="120"/>
      <c r="Y144" s="120"/>
      <c r="Z144" s="120"/>
      <c r="AA144" s="120"/>
      <c r="AB144" s="120"/>
      <c r="AC144" s="120"/>
      <c r="AE144" s="120"/>
      <c r="AF144" s="120"/>
      <c r="AG144" s="120"/>
      <c r="AH144" s="120"/>
      <c r="AI144" s="120"/>
      <c r="AJ144" s="120"/>
      <c r="AK144" s="120"/>
      <c r="AL144" s="120"/>
      <c r="AM144" s="120"/>
    </row>
    <row r="145" spans="15:39">
      <c r="O145" s="123"/>
      <c r="P145" s="120"/>
      <c r="Q145" s="120"/>
      <c r="S145" s="120"/>
      <c r="T145" s="120"/>
      <c r="U145" s="120"/>
      <c r="V145" s="120"/>
      <c r="W145" s="120"/>
      <c r="Y145" s="120"/>
      <c r="Z145" s="120"/>
      <c r="AA145" s="120"/>
      <c r="AB145" s="120"/>
      <c r="AC145" s="120"/>
      <c r="AE145" s="120"/>
      <c r="AF145" s="120"/>
      <c r="AG145" s="120"/>
      <c r="AH145" s="120"/>
      <c r="AI145" s="120"/>
      <c r="AJ145" s="120"/>
      <c r="AK145" s="120"/>
      <c r="AL145" s="120"/>
      <c r="AM145" s="120"/>
    </row>
    <row r="146" spans="15:39">
      <c r="O146" s="123"/>
      <c r="P146" s="120"/>
      <c r="Q146" s="120"/>
      <c r="S146" s="120"/>
      <c r="T146" s="120"/>
      <c r="U146" s="120"/>
      <c r="V146" s="120"/>
      <c r="W146" s="120"/>
      <c r="Y146" s="120"/>
      <c r="Z146" s="120"/>
      <c r="AA146" s="120"/>
      <c r="AB146" s="120"/>
      <c r="AC146" s="120"/>
      <c r="AE146" s="120"/>
      <c r="AF146" s="120"/>
      <c r="AG146" s="120"/>
      <c r="AH146" s="120"/>
      <c r="AI146" s="120"/>
      <c r="AJ146" s="120"/>
      <c r="AK146" s="120"/>
      <c r="AL146" s="120"/>
      <c r="AM146" s="120"/>
    </row>
    <row r="147" spans="15:39">
      <c r="O147" s="123"/>
      <c r="P147" s="120"/>
      <c r="Q147" s="120"/>
      <c r="S147" s="120"/>
      <c r="T147" s="120"/>
      <c r="U147" s="120"/>
      <c r="V147" s="120"/>
      <c r="W147" s="120"/>
      <c r="Y147" s="120"/>
      <c r="Z147" s="120"/>
      <c r="AA147" s="120"/>
      <c r="AB147" s="120"/>
      <c r="AC147" s="120"/>
      <c r="AE147" s="120"/>
      <c r="AF147" s="120"/>
      <c r="AG147" s="120"/>
      <c r="AH147" s="120"/>
      <c r="AI147" s="120"/>
      <c r="AJ147" s="120"/>
      <c r="AK147" s="120"/>
      <c r="AL147" s="120"/>
      <c r="AM147" s="120"/>
    </row>
    <row r="148" spans="15:39">
      <c r="O148" s="123"/>
      <c r="P148" s="120"/>
      <c r="Q148" s="120"/>
      <c r="S148" s="120"/>
      <c r="T148" s="120"/>
      <c r="U148" s="120"/>
      <c r="V148" s="120"/>
      <c r="W148" s="120"/>
      <c r="Y148" s="120"/>
      <c r="Z148" s="120"/>
      <c r="AA148" s="120"/>
      <c r="AB148" s="120"/>
      <c r="AC148" s="120"/>
      <c r="AE148" s="120"/>
      <c r="AF148" s="120"/>
      <c r="AG148" s="120"/>
      <c r="AH148" s="120"/>
      <c r="AI148" s="120"/>
      <c r="AJ148" s="120"/>
      <c r="AK148" s="120"/>
      <c r="AL148" s="120"/>
      <c r="AM148" s="120"/>
    </row>
    <row r="149" spans="15:39">
      <c r="O149" s="123"/>
      <c r="P149" s="120"/>
      <c r="Q149" s="120"/>
      <c r="S149" s="120"/>
      <c r="T149" s="120"/>
      <c r="U149" s="120"/>
      <c r="V149" s="120"/>
      <c r="W149" s="120"/>
      <c r="Y149" s="120"/>
      <c r="Z149" s="120"/>
      <c r="AA149" s="120"/>
      <c r="AB149" s="120"/>
      <c r="AC149" s="120"/>
      <c r="AE149" s="120"/>
      <c r="AF149" s="120"/>
      <c r="AG149" s="120"/>
      <c r="AH149" s="120"/>
      <c r="AI149" s="120"/>
      <c r="AJ149" s="120"/>
      <c r="AK149" s="120"/>
      <c r="AL149" s="120"/>
      <c r="AM149" s="120"/>
    </row>
    <row r="150" spans="15:39">
      <c r="O150" s="123"/>
      <c r="P150" s="120"/>
      <c r="Q150" s="120"/>
      <c r="S150" s="120"/>
      <c r="T150" s="120"/>
      <c r="U150" s="120"/>
      <c r="V150" s="120"/>
      <c r="W150" s="120"/>
      <c r="Y150" s="120"/>
      <c r="Z150" s="120"/>
      <c r="AA150" s="120"/>
      <c r="AB150" s="120"/>
      <c r="AC150" s="120"/>
      <c r="AE150" s="120"/>
      <c r="AF150" s="120"/>
      <c r="AG150" s="120"/>
      <c r="AH150" s="120"/>
      <c r="AI150" s="120"/>
      <c r="AJ150" s="120"/>
      <c r="AK150" s="120"/>
      <c r="AL150" s="120"/>
      <c r="AM150" s="120"/>
    </row>
    <row r="151" spans="15:39">
      <c r="O151" s="123"/>
      <c r="P151" s="120"/>
      <c r="Q151" s="120"/>
      <c r="S151" s="120"/>
      <c r="T151" s="120"/>
      <c r="U151" s="120"/>
      <c r="V151" s="120"/>
      <c r="W151" s="120"/>
      <c r="Y151" s="120"/>
      <c r="Z151" s="120"/>
      <c r="AA151" s="120"/>
      <c r="AB151" s="120"/>
      <c r="AC151" s="120"/>
      <c r="AE151" s="120"/>
      <c r="AF151" s="120"/>
      <c r="AG151" s="120"/>
      <c r="AH151" s="120"/>
      <c r="AI151" s="120"/>
      <c r="AJ151" s="120"/>
      <c r="AK151" s="120"/>
      <c r="AL151" s="120"/>
      <c r="AM151" s="120"/>
    </row>
    <row r="152" spans="15:39">
      <c r="O152" s="123"/>
      <c r="P152" s="120"/>
      <c r="Q152" s="120"/>
      <c r="S152" s="120"/>
      <c r="T152" s="120"/>
      <c r="U152" s="120"/>
      <c r="V152" s="120"/>
      <c r="W152" s="120"/>
      <c r="Y152" s="120"/>
      <c r="Z152" s="120"/>
      <c r="AA152" s="120"/>
      <c r="AB152" s="120"/>
      <c r="AC152" s="120"/>
      <c r="AE152" s="120"/>
      <c r="AF152" s="120"/>
      <c r="AG152" s="120"/>
      <c r="AH152" s="120"/>
      <c r="AI152" s="120"/>
      <c r="AJ152" s="120"/>
      <c r="AK152" s="120"/>
      <c r="AL152" s="120"/>
      <c r="AM152" s="120"/>
    </row>
    <row r="153" spans="15:39">
      <c r="O153" s="123"/>
      <c r="P153" s="120"/>
      <c r="Q153" s="120"/>
      <c r="S153" s="120"/>
      <c r="T153" s="120"/>
      <c r="U153" s="120"/>
      <c r="V153" s="120"/>
      <c r="W153" s="120"/>
      <c r="Y153" s="120"/>
      <c r="Z153" s="120"/>
      <c r="AA153" s="120"/>
      <c r="AB153" s="120"/>
      <c r="AC153" s="120"/>
      <c r="AE153" s="120"/>
      <c r="AF153" s="120"/>
      <c r="AG153" s="120"/>
      <c r="AH153" s="120"/>
      <c r="AI153" s="120"/>
      <c r="AJ153" s="120"/>
      <c r="AK153" s="120"/>
      <c r="AL153" s="120"/>
      <c r="AM153" s="120"/>
    </row>
    <row r="154" spans="15:39">
      <c r="O154" s="123"/>
      <c r="P154" s="120"/>
      <c r="Q154" s="120"/>
      <c r="S154" s="120"/>
      <c r="T154" s="120"/>
      <c r="U154" s="120"/>
      <c r="V154" s="120"/>
      <c r="W154" s="120"/>
      <c r="Y154" s="120"/>
      <c r="Z154" s="120"/>
      <c r="AA154" s="120"/>
      <c r="AB154" s="120"/>
      <c r="AC154" s="120"/>
      <c r="AE154" s="120"/>
      <c r="AF154" s="120"/>
      <c r="AG154" s="120"/>
      <c r="AH154" s="120"/>
      <c r="AI154" s="120"/>
      <c r="AJ154" s="120"/>
      <c r="AK154" s="120"/>
      <c r="AL154" s="120"/>
      <c r="AM154" s="120"/>
    </row>
    <row r="155" spans="15:39">
      <c r="O155" s="123"/>
      <c r="P155" s="120"/>
      <c r="Q155" s="120"/>
      <c r="S155" s="120"/>
      <c r="T155" s="120"/>
      <c r="U155" s="120"/>
      <c r="V155" s="120"/>
      <c r="W155" s="120"/>
      <c r="Y155" s="120"/>
      <c r="Z155" s="120"/>
      <c r="AA155" s="120"/>
      <c r="AB155" s="120"/>
      <c r="AC155" s="120"/>
      <c r="AE155" s="120"/>
      <c r="AF155" s="120"/>
      <c r="AG155" s="120"/>
      <c r="AH155" s="120"/>
      <c r="AI155" s="120"/>
      <c r="AJ155" s="120"/>
      <c r="AK155" s="120"/>
      <c r="AL155" s="120"/>
      <c r="AM155" s="120"/>
    </row>
    <row r="156" spans="15:39">
      <c r="O156" s="123"/>
      <c r="P156" s="120"/>
      <c r="Q156" s="120"/>
      <c r="S156" s="120"/>
      <c r="T156" s="120"/>
      <c r="U156" s="120"/>
      <c r="V156" s="120"/>
      <c r="W156" s="120"/>
      <c r="Y156" s="120"/>
      <c r="Z156" s="120"/>
      <c r="AA156" s="120"/>
      <c r="AB156" s="120"/>
      <c r="AC156" s="120"/>
      <c r="AE156" s="120"/>
      <c r="AF156" s="120"/>
      <c r="AG156" s="120"/>
      <c r="AH156" s="120"/>
      <c r="AI156" s="120"/>
      <c r="AJ156" s="120"/>
      <c r="AK156" s="120"/>
      <c r="AL156" s="120"/>
      <c r="AM156" s="120"/>
    </row>
    <row r="157" spans="15:39">
      <c r="O157" s="123"/>
      <c r="P157" s="120"/>
      <c r="Q157" s="120"/>
      <c r="S157" s="120"/>
      <c r="T157" s="120"/>
      <c r="U157" s="120"/>
      <c r="V157" s="120"/>
      <c r="W157" s="120"/>
      <c r="Y157" s="120"/>
      <c r="Z157" s="120"/>
      <c r="AA157" s="120"/>
      <c r="AB157" s="120"/>
      <c r="AC157" s="120"/>
      <c r="AE157" s="120"/>
      <c r="AF157" s="120"/>
      <c r="AG157" s="120"/>
      <c r="AH157" s="120"/>
      <c r="AI157" s="120"/>
      <c r="AJ157" s="120"/>
      <c r="AK157" s="120"/>
      <c r="AL157" s="120"/>
      <c r="AM157" s="120"/>
    </row>
    <row r="158" spans="15:39">
      <c r="O158" s="123"/>
      <c r="P158" s="120"/>
      <c r="Q158" s="120"/>
      <c r="S158" s="120"/>
      <c r="T158" s="120"/>
      <c r="U158" s="120"/>
      <c r="V158" s="120"/>
      <c r="W158" s="120"/>
      <c r="Y158" s="120"/>
      <c r="Z158" s="120"/>
      <c r="AA158" s="120"/>
      <c r="AB158" s="120"/>
      <c r="AC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</row>
    <row r="159" spans="15:39">
      <c r="O159" s="123"/>
      <c r="P159" s="120"/>
      <c r="Q159" s="120"/>
      <c r="S159" s="120"/>
      <c r="T159" s="120"/>
      <c r="U159" s="120"/>
      <c r="V159" s="120"/>
      <c r="W159" s="120"/>
      <c r="Y159" s="120"/>
      <c r="Z159" s="120"/>
      <c r="AA159" s="120"/>
      <c r="AB159" s="120"/>
      <c r="AC159" s="120"/>
      <c r="AE159" s="120"/>
      <c r="AF159" s="120"/>
      <c r="AG159" s="120"/>
      <c r="AH159" s="120"/>
      <c r="AI159" s="120"/>
      <c r="AJ159" s="120"/>
      <c r="AK159" s="120"/>
      <c r="AL159" s="120"/>
      <c r="AM159" s="120"/>
    </row>
    <row r="160" spans="15:39">
      <c r="O160" s="123"/>
      <c r="P160" s="120"/>
      <c r="Q160" s="120"/>
      <c r="S160" s="120"/>
      <c r="T160" s="120"/>
      <c r="U160" s="120"/>
      <c r="V160" s="120"/>
      <c r="W160" s="120"/>
      <c r="Y160" s="120"/>
      <c r="Z160" s="120"/>
      <c r="AA160" s="120"/>
      <c r="AB160" s="120"/>
      <c r="AC160" s="120"/>
      <c r="AE160" s="120"/>
      <c r="AF160" s="120"/>
      <c r="AG160" s="120"/>
      <c r="AH160" s="120"/>
      <c r="AI160" s="120"/>
      <c r="AJ160" s="120"/>
      <c r="AK160" s="120"/>
      <c r="AL160" s="120"/>
      <c r="AM160" s="120"/>
    </row>
    <row r="161" spans="15:39">
      <c r="O161" s="123"/>
      <c r="P161" s="120"/>
      <c r="Q161" s="120"/>
      <c r="S161" s="120"/>
      <c r="T161" s="120"/>
      <c r="U161" s="120"/>
      <c r="V161" s="120"/>
      <c r="W161" s="120"/>
      <c r="Y161" s="120"/>
      <c r="Z161" s="120"/>
      <c r="AA161" s="120"/>
      <c r="AB161" s="120"/>
      <c r="AC161" s="120"/>
      <c r="AE161" s="120"/>
      <c r="AF161" s="120"/>
      <c r="AG161" s="120"/>
      <c r="AH161" s="120"/>
      <c r="AI161" s="120"/>
      <c r="AJ161" s="120"/>
      <c r="AK161" s="120"/>
      <c r="AL161" s="120"/>
      <c r="AM161" s="120"/>
    </row>
    <row r="162" spans="15:39">
      <c r="O162" s="123"/>
      <c r="P162" s="120"/>
      <c r="Q162" s="120"/>
      <c r="S162" s="120"/>
      <c r="T162" s="120"/>
      <c r="U162" s="120"/>
      <c r="V162" s="120"/>
      <c r="W162" s="120"/>
      <c r="Y162" s="120"/>
      <c r="Z162" s="120"/>
      <c r="AA162" s="120"/>
      <c r="AB162" s="120"/>
      <c r="AC162" s="120"/>
      <c r="AE162" s="120"/>
      <c r="AF162" s="120"/>
      <c r="AG162" s="120"/>
      <c r="AH162" s="120"/>
      <c r="AI162" s="120"/>
      <c r="AJ162" s="120"/>
      <c r="AK162" s="120"/>
      <c r="AL162" s="120"/>
      <c r="AM162" s="120"/>
    </row>
    <row r="163" spans="15:39">
      <c r="O163" s="123"/>
      <c r="P163" s="120"/>
      <c r="Q163" s="120"/>
      <c r="S163" s="120"/>
      <c r="T163" s="120"/>
      <c r="U163" s="120"/>
      <c r="V163" s="120"/>
      <c r="W163" s="120"/>
      <c r="Y163" s="120"/>
      <c r="Z163" s="120"/>
      <c r="AA163" s="120"/>
      <c r="AB163" s="120"/>
      <c r="AC163" s="120"/>
      <c r="AE163" s="120"/>
      <c r="AF163" s="120"/>
      <c r="AG163" s="120"/>
      <c r="AH163" s="120"/>
      <c r="AI163" s="120"/>
      <c r="AJ163" s="120"/>
      <c r="AK163" s="120"/>
      <c r="AL163" s="120"/>
      <c r="AM163" s="120"/>
    </row>
    <row r="164" spans="15:39">
      <c r="O164" s="123"/>
      <c r="P164" s="120"/>
      <c r="Q164" s="120"/>
      <c r="S164" s="120"/>
      <c r="T164" s="120"/>
      <c r="U164" s="120"/>
      <c r="V164" s="120"/>
      <c r="W164" s="120"/>
      <c r="Y164" s="120"/>
      <c r="Z164" s="120"/>
      <c r="AA164" s="120"/>
      <c r="AB164" s="120"/>
      <c r="AC164" s="120"/>
      <c r="AE164" s="120"/>
      <c r="AF164" s="120"/>
      <c r="AG164" s="120"/>
      <c r="AH164" s="120"/>
      <c r="AI164" s="120"/>
      <c r="AJ164" s="120"/>
      <c r="AK164" s="120"/>
      <c r="AL164" s="120"/>
      <c r="AM164" s="120"/>
    </row>
    <row r="165" spans="15:39">
      <c r="O165" s="123"/>
      <c r="P165" s="120"/>
      <c r="Q165" s="120"/>
      <c r="S165" s="120"/>
      <c r="T165" s="120"/>
      <c r="U165" s="120"/>
      <c r="V165" s="120"/>
      <c r="W165" s="120"/>
      <c r="Y165" s="120"/>
      <c r="Z165" s="120"/>
      <c r="AA165" s="120"/>
      <c r="AB165" s="120"/>
      <c r="AC165" s="120"/>
      <c r="AE165" s="120"/>
      <c r="AF165" s="120"/>
      <c r="AG165" s="120"/>
      <c r="AH165" s="120"/>
      <c r="AI165" s="120"/>
      <c r="AJ165" s="120"/>
      <c r="AK165" s="120"/>
      <c r="AL165" s="120"/>
      <c r="AM165" s="120"/>
    </row>
    <row r="166" spans="15:39">
      <c r="O166" s="123"/>
      <c r="P166" s="120"/>
      <c r="Q166" s="120"/>
      <c r="S166" s="120"/>
      <c r="T166" s="120"/>
      <c r="U166" s="120"/>
      <c r="V166" s="120"/>
      <c r="W166" s="120"/>
      <c r="Y166" s="120"/>
      <c r="Z166" s="120"/>
      <c r="AA166" s="120"/>
      <c r="AB166" s="120"/>
      <c r="AC166" s="120"/>
      <c r="AE166" s="120"/>
      <c r="AF166" s="120"/>
      <c r="AG166" s="120"/>
      <c r="AH166" s="120"/>
      <c r="AI166" s="120"/>
      <c r="AJ166" s="120"/>
      <c r="AK166" s="120"/>
      <c r="AL166" s="120"/>
      <c r="AM166" s="120"/>
    </row>
    <row r="167" spans="15:39">
      <c r="O167" s="123"/>
      <c r="P167" s="120"/>
      <c r="Q167" s="120"/>
      <c r="S167" s="120"/>
      <c r="T167" s="120"/>
      <c r="U167" s="120"/>
      <c r="V167" s="120"/>
      <c r="W167" s="120"/>
      <c r="Y167" s="120"/>
      <c r="Z167" s="120"/>
      <c r="AA167" s="120"/>
      <c r="AB167" s="120"/>
      <c r="AC167" s="120"/>
      <c r="AE167" s="120"/>
      <c r="AF167" s="120"/>
      <c r="AG167" s="120"/>
      <c r="AH167" s="120"/>
      <c r="AI167" s="120"/>
      <c r="AJ167" s="120"/>
      <c r="AK167" s="120"/>
      <c r="AL167" s="120"/>
      <c r="AM167" s="120"/>
    </row>
    <row r="168" spans="15:39">
      <c r="O168" s="123"/>
      <c r="P168" s="120"/>
      <c r="Q168" s="120"/>
      <c r="S168" s="120"/>
      <c r="T168" s="120"/>
      <c r="U168" s="120"/>
      <c r="V168" s="120"/>
      <c r="W168" s="120"/>
      <c r="Y168" s="120"/>
      <c r="Z168" s="120"/>
      <c r="AA168" s="120"/>
      <c r="AB168" s="120"/>
      <c r="AC168" s="120"/>
      <c r="AE168" s="120"/>
      <c r="AF168" s="120"/>
      <c r="AG168" s="120"/>
      <c r="AH168" s="120"/>
      <c r="AI168" s="120"/>
      <c r="AJ168" s="120"/>
      <c r="AK168" s="120"/>
      <c r="AL168" s="120"/>
      <c r="AM168" s="120"/>
    </row>
    <row r="169" spans="15:39">
      <c r="O169" s="123"/>
      <c r="P169" s="120"/>
      <c r="Q169" s="120"/>
      <c r="S169" s="120"/>
      <c r="T169" s="120"/>
      <c r="U169" s="120"/>
      <c r="V169" s="120"/>
      <c r="W169" s="120"/>
      <c r="Y169" s="120"/>
      <c r="Z169" s="120"/>
      <c r="AA169" s="120"/>
      <c r="AB169" s="120"/>
      <c r="AC169" s="120"/>
      <c r="AE169" s="120"/>
      <c r="AF169" s="120"/>
      <c r="AG169" s="120"/>
      <c r="AH169" s="120"/>
      <c r="AI169" s="120"/>
      <c r="AJ169" s="120"/>
      <c r="AK169" s="120"/>
      <c r="AL169" s="120"/>
      <c r="AM169" s="120"/>
    </row>
    <row r="170" spans="15:39">
      <c r="O170" s="123"/>
      <c r="P170" s="120"/>
      <c r="Q170" s="120"/>
      <c r="S170" s="120"/>
      <c r="T170" s="120"/>
      <c r="U170" s="120"/>
      <c r="V170" s="120"/>
      <c r="W170" s="120"/>
      <c r="Y170" s="120"/>
      <c r="Z170" s="120"/>
      <c r="AA170" s="120"/>
      <c r="AB170" s="120"/>
      <c r="AC170" s="120"/>
      <c r="AE170" s="120"/>
      <c r="AF170" s="120"/>
      <c r="AG170" s="120"/>
      <c r="AH170" s="120"/>
      <c r="AI170" s="120"/>
      <c r="AJ170" s="120"/>
      <c r="AK170" s="120"/>
      <c r="AL170" s="120"/>
      <c r="AM170" s="120"/>
    </row>
    <row r="171" spans="15:39">
      <c r="O171" s="123"/>
      <c r="P171" s="120"/>
      <c r="Q171" s="120"/>
      <c r="S171" s="120"/>
      <c r="T171" s="120"/>
      <c r="U171" s="120"/>
      <c r="V171" s="120"/>
      <c r="W171" s="120"/>
      <c r="Y171" s="120"/>
      <c r="Z171" s="120"/>
      <c r="AA171" s="120"/>
      <c r="AB171" s="120"/>
      <c r="AC171" s="120"/>
      <c r="AE171" s="120"/>
      <c r="AF171" s="120"/>
      <c r="AG171" s="120"/>
      <c r="AH171" s="120"/>
      <c r="AI171" s="120"/>
      <c r="AJ171" s="120"/>
      <c r="AK171" s="120"/>
      <c r="AL171" s="120"/>
      <c r="AM171" s="120"/>
    </row>
    <row r="172" spans="15:39">
      <c r="O172" s="123"/>
      <c r="P172" s="120"/>
      <c r="Q172" s="120"/>
      <c r="S172" s="120"/>
      <c r="T172" s="120"/>
      <c r="U172" s="120"/>
      <c r="V172" s="120"/>
      <c r="W172" s="120"/>
      <c r="Y172" s="120"/>
      <c r="Z172" s="120"/>
      <c r="AA172" s="120"/>
      <c r="AB172" s="120"/>
      <c r="AC172" s="120"/>
      <c r="AE172" s="120"/>
      <c r="AF172" s="120"/>
      <c r="AG172" s="120"/>
      <c r="AH172" s="120"/>
      <c r="AI172" s="120"/>
      <c r="AJ172" s="120"/>
      <c r="AK172" s="120"/>
      <c r="AL172" s="120"/>
      <c r="AM172" s="120"/>
    </row>
    <row r="173" spans="15:39">
      <c r="O173" s="123"/>
      <c r="P173" s="120"/>
      <c r="Q173" s="120"/>
      <c r="S173" s="120"/>
      <c r="T173" s="120"/>
      <c r="U173" s="120"/>
      <c r="V173" s="120"/>
      <c r="W173" s="120"/>
      <c r="Y173" s="120"/>
      <c r="Z173" s="120"/>
      <c r="AA173" s="120"/>
      <c r="AB173" s="120"/>
      <c r="AC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</row>
    <row r="174" spans="15:39">
      <c r="O174" s="123"/>
      <c r="P174" s="120"/>
      <c r="Q174" s="120"/>
      <c r="S174" s="120"/>
      <c r="T174" s="120"/>
      <c r="U174" s="120"/>
      <c r="V174" s="120"/>
      <c r="W174" s="120"/>
      <c r="Y174" s="120"/>
      <c r="Z174" s="120"/>
      <c r="AA174" s="120"/>
      <c r="AB174" s="120"/>
      <c r="AC174" s="120"/>
      <c r="AE174" s="120"/>
      <c r="AF174" s="120"/>
      <c r="AG174" s="120"/>
      <c r="AH174" s="120"/>
      <c r="AI174" s="120"/>
      <c r="AJ174" s="120"/>
      <c r="AK174" s="120"/>
      <c r="AL174" s="120"/>
      <c r="AM174" s="120"/>
    </row>
    <row r="175" spans="15:39">
      <c r="O175" s="123"/>
      <c r="P175" s="120"/>
      <c r="Q175" s="120"/>
      <c r="S175" s="120"/>
      <c r="T175" s="120"/>
      <c r="U175" s="120"/>
      <c r="V175" s="120"/>
      <c r="W175" s="120"/>
      <c r="Y175" s="120"/>
      <c r="Z175" s="120"/>
      <c r="AA175" s="120"/>
      <c r="AB175" s="120"/>
      <c r="AC175" s="120"/>
      <c r="AE175" s="120"/>
      <c r="AF175" s="120"/>
      <c r="AG175" s="120"/>
      <c r="AH175" s="120"/>
      <c r="AI175" s="120"/>
      <c r="AJ175" s="120"/>
      <c r="AK175" s="120"/>
      <c r="AL175" s="120"/>
      <c r="AM175" s="120"/>
    </row>
    <row r="176" spans="15:39">
      <c r="O176" s="123"/>
      <c r="P176" s="120"/>
      <c r="Q176" s="120"/>
      <c r="S176" s="120"/>
      <c r="T176" s="120"/>
      <c r="U176" s="120"/>
      <c r="V176" s="120"/>
      <c r="W176" s="120"/>
      <c r="Y176" s="120"/>
      <c r="Z176" s="120"/>
      <c r="AA176" s="120"/>
      <c r="AB176" s="120"/>
      <c r="AC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</row>
    <row r="177" spans="15:39">
      <c r="O177" s="123"/>
      <c r="P177" s="120"/>
      <c r="Q177" s="120"/>
      <c r="S177" s="120"/>
      <c r="T177" s="120"/>
      <c r="U177" s="120"/>
      <c r="V177" s="120"/>
      <c r="W177" s="120"/>
      <c r="Y177" s="120"/>
      <c r="Z177" s="120"/>
      <c r="AA177" s="120"/>
      <c r="AB177" s="120"/>
      <c r="AC177" s="120"/>
      <c r="AE177" s="120"/>
      <c r="AF177" s="120"/>
      <c r="AG177" s="120"/>
      <c r="AH177" s="120"/>
      <c r="AI177" s="120"/>
      <c r="AJ177" s="120"/>
      <c r="AK177" s="120"/>
      <c r="AL177" s="120"/>
      <c r="AM177" s="120"/>
    </row>
    <row r="178" spans="15:39">
      <c r="O178" s="123"/>
      <c r="P178" s="120"/>
      <c r="Q178" s="120"/>
      <c r="S178" s="120"/>
      <c r="T178" s="120"/>
      <c r="U178" s="120"/>
      <c r="V178" s="120"/>
      <c r="W178" s="120"/>
      <c r="Y178" s="120"/>
      <c r="Z178" s="120"/>
      <c r="AA178" s="120"/>
      <c r="AB178" s="120"/>
      <c r="AC178" s="120"/>
      <c r="AE178" s="120"/>
      <c r="AF178" s="120"/>
      <c r="AG178" s="120"/>
      <c r="AH178" s="120"/>
      <c r="AI178" s="120"/>
      <c r="AJ178" s="120"/>
      <c r="AK178" s="120"/>
      <c r="AL178" s="120"/>
      <c r="AM178" s="120"/>
    </row>
    <row r="179" spans="15:39">
      <c r="O179" s="123"/>
      <c r="P179" s="120"/>
      <c r="Q179" s="120"/>
      <c r="S179" s="120"/>
      <c r="T179" s="120"/>
      <c r="U179" s="120"/>
      <c r="V179" s="120"/>
      <c r="W179" s="120"/>
      <c r="Y179" s="120"/>
      <c r="Z179" s="120"/>
      <c r="AA179" s="120"/>
      <c r="AB179" s="120"/>
      <c r="AC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</row>
    <row r="180" spans="15:39">
      <c r="O180" s="123"/>
      <c r="P180" s="120"/>
      <c r="Q180" s="120"/>
      <c r="S180" s="120"/>
      <c r="T180" s="120"/>
      <c r="U180" s="120"/>
      <c r="V180" s="120"/>
      <c r="W180" s="120"/>
      <c r="Y180" s="120"/>
      <c r="Z180" s="120"/>
      <c r="AA180" s="120"/>
      <c r="AB180" s="120"/>
      <c r="AC180" s="120"/>
      <c r="AE180" s="120"/>
      <c r="AF180" s="120"/>
      <c r="AG180" s="120"/>
      <c r="AH180" s="120"/>
      <c r="AI180" s="120"/>
      <c r="AJ180" s="120"/>
      <c r="AK180" s="120"/>
      <c r="AL180" s="120"/>
      <c r="AM180" s="120"/>
    </row>
  </sheetData>
  <autoFilter ref="A3:AO31" xr:uid="{00000000-0001-0000-0100-000000000000}"/>
  <mergeCells count="21">
    <mergeCell ref="A31:AJ31"/>
    <mergeCell ref="S2:U2"/>
    <mergeCell ref="AE2:AG2"/>
    <mergeCell ref="AB2:AD2"/>
    <mergeCell ref="Y2:AA2"/>
    <mergeCell ref="A2:A3"/>
    <mergeCell ref="AK2:AM2"/>
    <mergeCell ref="B1:X1"/>
    <mergeCell ref="J2:L2"/>
    <mergeCell ref="P2:R2"/>
    <mergeCell ref="V2:X2"/>
    <mergeCell ref="B2:B3"/>
    <mergeCell ref="C2:C3"/>
    <mergeCell ref="D2:D3"/>
    <mergeCell ref="E2:E3"/>
    <mergeCell ref="F2:F3"/>
    <mergeCell ref="G2:G3"/>
    <mergeCell ref="H2:H3"/>
    <mergeCell ref="I2:I3"/>
    <mergeCell ref="M2:O2"/>
    <mergeCell ref="AH2:AJ2"/>
  </mergeCells>
  <phoneticPr fontId="7" type="noConversion"/>
  <conditionalFormatting sqref="B27">
    <cfRule type="duplicateValues" dxfId="34" priority="1"/>
  </conditionalFormatting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3"/>
  <sheetViews>
    <sheetView workbookViewId="0">
      <pane xSplit="4" ySplit="3" topLeftCell="E88" activePane="bottomRight" state="frozen"/>
      <selection pane="topRight" activeCell="E1" sqref="E1"/>
      <selection pane="bottomLeft" activeCell="A4" sqref="A4"/>
      <selection pane="bottomRight" activeCell="P228" sqref="P228"/>
    </sheetView>
  </sheetViews>
  <sheetFormatPr defaultColWidth="9" defaultRowHeight="14.4"/>
  <cols>
    <col min="1" max="1" width="11.109375" style="1" customWidth="1"/>
    <col min="2" max="2" width="13.33203125" style="1" customWidth="1"/>
    <col min="3" max="4" width="11.109375" style="2" customWidth="1"/>
    <col min="5" max="5" width="11.6640625" customWidth="1"/>
    <col min="6" max="6" width="6.21875" style="3" customWidth="1"/>
    <col min="7" max="7" width="12.33203125" style="4" customWidth="1"/>
    <col min="8" max="8" width="9.44140625" customWidth="1"/>
    <col min="9" max="9" width="5.21875" customWidth="1"/>
    <col min="10" max="10" width="13.88671875" customWidth="1"/>
    <col min="11" max="11" width="7.88671875" style="3" customWidth="1"/>
    <col min="12" max="12" width="6.44140625" customWidth="1"/>
    <col min="13" max="13" width="14" style="3" customWidth="1"/>
    <col min="14" max="14" width="8.5546875" style="3" customWidth="1"/>
    <col min="15" max="15" width="6.44140625" customWidth="1"/>
    <col min="16" max="16" width="14" style="3" customWidth="1"/>
    <col min="17" max="17" width="7.88671875" style="3" customWidth="1"/>
    <col min="18" max="18" width="6.44140625" customWidth="1"/>
    <col min="19" max="19" width="14" style="3" customWidth="1"/>
  </cols>
  <sheetData>
    <row r="1" spans="1:19" ht="20.399999999999999">
      <c r="A1" s="189" t="s">
        <v>14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13"/>
      <c r="O1" s="113"/>
      <c r="P1" s="113"/>
      <c r="Q1" s="129"/>
      <c r="R1" s="129"/>
      <c r="S1" s="129"/>
    </row>
    <row r="2" spans="1:19">
      <c r="A2" s="191" t="s">
        <v>0</v>
      </c>
      <c r="B2" s="191" t="s">
        <v>1</v>
      </c>
      <c r="C2" s="192" t="s">
        <v>2</v>
      </c>
      <c r="D2" s="196" t="s">
        <v>229</v>
      </c>
      <c r="E2" s="190" t="s">
        <v>17</v>
      </c>
      <c r="F2" s="190"/>
      <c r="G2" s="190"/>
      <c r="H2" s="190" t="s">
        <v>18</v>
      </c>
      <c r="I2" s="190"/>
      <c r="J2" s="190"/>
      <c r="K2" s="190" t="s">
        <v>19</v>
      </c>
      <c r="L2" s="190"/>
      <c r="M2" s="190"/>
      <c r="N2" s="190" t="s">
        <v>215</v>
      </c>
      <c r="O2" s="190"/>
      <c r="P2" s="190"/>
      <c r="Q2" s="190" t="s">
        <v>221</v>
      </c>
      <c r="R2" s="190"/>
      <c r="S2" s="190"/>
    </row>
    <row r="3" spans="1:19" ht="27.75" customHeight="1">
      <c r="A3" s="191"/>
      <c r="B3" s="191"/>
      <c r="C3" s="192"/>
      <c r="D3" s="197"/>
      <c r="E3" s="5" t="s">
        <v>3</v>
      </c>
      <c r="F3" s="5" t="s">
        <v>4</v>
      </c>
      <c r="G3" s="6" t="s">
        <v>5</v>
      </c>
      <c r="H3" s="5" t="s">
        <v>3</v>
      </c>
      <c r="I3" s="5" t="s">
        <v>4</v>
      </c>
      <c r="J3" s="6" t="s">
        <v>5</v>
      </c>
      <c r="K3" s="5" t="s">
        <v>3</v>
      </c>
      <c r="L3" s="5" t="s">
        <v>4</v>
      </c>
      <c r="M3" s="6" t="s">
        <v>5</v>
      </c>
      <c r="N3" s="114" t="s">
        <v>3</v>
      </c>
      <c r="O3" s="114" t="s">
        <v>4</v>
      </c>
      <c r="P3" s="6" t="s">
        <v>5</v>
      </c>
      <c r="Q3" s="130" t="s">
        <v>3</v>
      </c>
      <c r="R3" s="130" t="s">
        <v>4</v>
      </c>
      <c r="S3" s="6" t="s">
        <v>5</v>
      </c>
    </row>
    <row r="4" spans="1:19">
      <c r="A4" s="188" t="s">
        <v>15</v>
      </c>
      <c r="B4" s="171" t="s">
        <v>16</v>
      </c>
      <c r="C4" s="174"/>
      <c r="D4" s="128"/>
      <c r="E4" s="13" t="s">
        <v>20</v>
      </c>
      <c r="F4" s="7">
        <v>1</v>
      </c>
      <c r="G4" s="193">
        <f>6500/1.13</f>
        <v>5752.2123893805319</v>
      </c>
      <c r="H4" s="13" t="s">
        <v>20</v>
      </c>
      <c r="I4" s="7">
        <v>1</v>
      </c>
      <c r="J4" s="193">
        <f>3500/1.13</f>
        <v>3097.3451327433631</v>
      </c>
      <c r="K4" s="17"/>
      <c r="L4" s="7"/>
      <c r="M4" s="8"/>
      <c r="N4" s="17"/>
      <c r="O4" s="7"/>
      <c r="P4" s="8"/>
      <c r="Q4" s="17"/>
      <c r="R4" s="7"/>
      <c r="S4" s="8"/>
    </row>
    <row r="5" spans="1:19">
      <c r="A5" s="170"/>
      <c r="B5" s="186"/>
      <c r="C5" s="174"/>
      <c r="D5" s="128"/>
      <c r="E5" s="13" t="s">
        <v>21</v>
      </c>
      <c r="F5" s="7">
        <v>1</v>
      </c>
      <c r="G5" s="194"/>
      <c r="H5" s="13" t="s">
        <v>36</v>
      </c>
      <c r="I5" s="7">
        <v>1</v>
      </c>
      <c r="J5" s="194"/>
      <c r="K5" s="17"/>
      <c r="L5" s="7"/>
      <c r="M5" s="8"/>
      <c r="N5" s="17"/>
      <c r="O5" s="7"/>
      <c r="P5" s="8"/>
      <c r="Q5" s="17"/>
      <c r="R5" s="7"/>
      <c r="S5" s="8"/>
    </row>
    <row r="6" spans="1:19">
      <c r="A6" s="170"/>
      <c r="B6" s="186"/>
      <c r="C6" s="174"/>
      <c r="D6" s="128"/>
      <c r="E6" s="13" t="s">
        <v>23</v>
      </c>
      <c r="F6" s="7">
        <v>1</v>
      </c>
      <c r="G6" s="194"/>
      <c r="H6" s="13" t="s">
        <v>46</v>
      </c>
      <c r="I6" s="7">
        <v>1</v>
      </c>
      <c r="J6" s="194"/>
      <c r="K6" s="17"/>
      <c r="L6" s="7"/>
      <c r="M6" s="8"/>
      <c r="N6" s="17"/>
      <c r="O6" s="7"/>
      <c r="P6" s="8"/>
      <c r="Q6" s="17"/>
      <c r="R6" s="7"/>
      <c r="S6" s="8"/>
    </row>
    <row r="7" spans="1:19">
      <c r="A7" s="170"/>
      <c r="B7" s="186"/>
      <c r="C7" s="174"/>
      <c r="D7" s="128"/>
      <c r="E7" s="13" t="s">
        <v>24</v>
      </c>
      <c r="F7" s="7">
        <v>1</v>
      </c>
      <c r="G7" s="194"/>
      <c r="H7" s="13" t="s">
        <v>85</v>
      </c>
      <c r="I7" s="7">
        <v>1</v>
      </c>
      <c r="J7" s="195"/>
      <c r="K7" s="17"/>
      <c r="L7" s="7"/>
      <c r="M7" s="8"/>
      <c r="N7" s="17"/>
      <c r="O7" s="7"/>
      <c r="P7" s="8"/>
      <c r="Q7" s="17"/>
      <c r="R7" s="7"/>
      <c r="S7" s="8"/>
    </row>
    <row r="8" spans="1:19">
      <c r="A8" s="170"/>
      <c r="B8" s="186"/>
      <c r="C8" s="174"/>
      <c r="D8" s="128"/>
      <c r="E8" s="13" t="s">
        <v>25</v>
      </c>
      <c r="F8" s="7">
        <v>1</v>
      </c>
      <c r="G8" s="195"/>
      <c r="H8" s="13"/>
      <c r="I8" s="7"/>
      <c r="J8" s="8"/>
      <c r="K8" s="17"/>
      <c r="L8" s="7"/>
      <c r="M8" s="8"/>
      <c r="N8" s="17"/>
      <c r="O8" s="7"/>
      <c r="P8" s="8"/>
      <c r="Q8" s="17"/>
      <c r="R8" s="7"/>
      <c r="S8" s="8"/>
    </row>
    <row r="9" spans="1:19" ht="23.25" customHeight="1">
      <c r="A9" s="170"/>
      <c r="B9" s="187"/>
      <c r="C9" s="174"/>
      <c r="D9" s="128"/>
      <c r="E9" s="15" t="s">
        <v>7</v>
      </c>
      <c r="F9" s="15">
        <f>SUM(F4:F8)</f>
        <v>5</v>
      </c>
      <c r="G9" s="16">
        <f>SUM(G4:G8)</f>
        <v>5752.2123893805319</v>
      </c>
      <c r="H9" s="15" t="s">
        <v>7</v>
      </c>
      <c r="I9" s="15">
        <f>SUM(I4:I8)</f>
        <v>4</v>
      </c>
      <c r="J9" s="16">
        <f>SUM(J4:J8)</f>
        <v>3097.3451327433631</v>
      </c>
      <c r="K9" s="15" t="s">
        <v>7</v>
      </c>
      <c r="L9" s="15">
        <f>SUM(L4:L8)</f>
        <v>0</v>
      </c>
      <c r="M9" s="16">
        <f>SUM(M4:M8)</f>
        <v>0</v>
      </c>
      <c r="N9" s="15" t="s">
        <v>7</v>
      </c>
      <c r="O9" s="15">
        <f>SUM(O4:O8)</f>
        <v>0</v>
      </c>
      <c r="P9" s="16">
        <f>SUM(P4:P8)</f>
        <v>0</v>
      </c>
      <c r="Q9" s="15" t="s">
        <v>7</v>
      </c>
      <c r="R9" s="15">
        <f>SUM(R4:R8)</f>
        <v>0</v>
      </c>
      <c r="S9" s="16">
        <f>SUM(S4:S8)</f>
        <v>0</v>
      </c>
    </row>
    <row r="10" spans="1:19" s="12" customFormat="1" ht="23.25" customHeight="1">
      <c r="A10" s="180" t="s">
        <v>8</v>
      </c>
      <c r="B10" s="180"/>
      <c r="C10" s="180"/>
      <c r="D10" s="134"/>
      <c r="E10" s="198">
        <f>G9/100000</f>
        <v>5.7522123893805316E-2</v>
      </c>
      <c r="F10" s="198"/>
      <c r="G10" s="199"/>
      <c r="H10" s="200">
        <f>J9/100000</f>
        <v>3.0973451327433631E-2</v>
      </c>
      <c r="I10" s="178"/>
      <c r="J10" s="179"/>
      <c r="K10" s="201">
        <f>M9/100000</f>
        <v>0</v>
      </c>
      <c r="L10" s="168"/>
      <c r="M10" s="169"/>
      <c r="N10" s="201">
        <f>P9/100000</f>
        <v>0</v>
      </c>
      <c r="O10" s="168"/>
      <c r="P10" s="169"/>
      <c r="Q10" s="201">
        <f>S9/100000</f>
        <v>0</v>
      </c>
      <c r="R10" s="168"/>
      <c r="S10" s="169"/>
    </row>
    <row r="11" spans="1:19">
      <c r="A11" s="188" t="s">
        <v>26</v>
      </c>
      <c r="B11" s="171" t="s">
        <v>27</v>
      </c>
      <c r="C11" s="174"/>
      <c r="D11" s="128"/>
      <c r="E11" s="13" t="s">
        <v>29</v>
      </c>
      <c r="F11" s="7">
        <v>1</v>
      </c>
      <c r="G11" s="175">
        <f>28000/1.13</f>
        <v>24778.761061946905</v>
      </c>
      <c r="H11" s="13" t="s">
        <v>20</v>
      </c>
      <c r="I11" s="7">
        <v>1</v>
      </c>
      <c r="J11" s="175">
        <f>8000/1.13</f>
        <v>7079.6460176991159</v>
      </c>
      <c r="K11" s="17" t="s">
        <v>88</v>
      </c>
      <c r="L11" s="7">
        <v>1</v>
      </c>
      <c r="M11" s="175">
        <v>111000</v>
      </c>
      <c r="N11" s="26" t="s">
        <v>222</v>
      </c>
      <c r="O11" s="7">
        <v>1</v>
      </c>
      <c r="P11" s="175">
        <f>25000+6000</f>
        <v>31000</v>
      </c>
      <c r="Q11" s="17"/>
      <c r="R11" s="7"/>
      <c r="S11" s="175">
        <f>33900/1.13</f>
        <v>30000.000000000004</v>
      </c>
    </row>
    <row r="12" spans="1:19">
      <c r="A12" s="170"/>
      <c r="B12" s="186"/>
      <c r="C12" s="174"/>
      <c r="D12" s="128"/>
      <c r="E12" s="13" t="s">
        <v>31</v>
      </c>
      <c r="F12" s="7">
        <v>1</v>
      </c>
      <c r="G12" s="176"/>
      <c r="H12" s="13" t="s">
        <v>36</v>
      </c>
      <c r="I12" s="7">
        <v>1</v>
      </c>
      <c r="J12" s="176"/>
      <c r="K12" s="17" t="s">
        <v>89</v>
      </c>
      <c r="L12" s="7">
        <v>1</v>
      </c>
      <c r="M12" s="176"/>
      <c r="N12" s="26" t="s">
        <v>226</v>
      </c>
      <c r="O12" s="7">
        <v>1</v>
      </c>
      <c r="P12" s="176"/>
      <c r="Q12" s="17"/>
      <c r="R12" s="7"/>
      <c r="S12" s="176"/>
    </row>
    <row r="13" spans="1:19">
      <c r="A13" s="170"/>
      <c r="B13" s="186"/>
      <c r="C13" s="174"/>
      <c r="D13" s="128"/>
      <c r="E13" s="13" t="s">
        <v>21</v>
      </c>
      <c r="F13" s="7">
        <v>1</v>
      </c>
      <c r="G13" s="176"/>
      <c r="H13" s="13" t="s">
        <v>86</v>
      </c>
      <c r="I13" s="7">
        <v>1</v>
      </c>
      <c r="J13" s="176"/>
      <c r="K13" s="17" t="s">
        <v>90</v>
      </c>
      <c r="L13" s="7">
        <v>1</v>
      </c>
      <c r="M13" s="176"/>
      <c r="N13" s="26" t="s">
        <v>227</v>
      </c>
      <c r="O13" s="7">
        <v>1</v>
      </c>
      <c r="P13" s="176"/>
      <c r="Q13" s="17"/>
      <c r="R13" s="7"/>
      <c r="S13" s="176"/>
    </row>
    <row r="14" spans="1:19">
      <c r="A14" s="170"/>
      <c r="B14" s="186"/>
      <c r="C14" s="174"/>
      <c r="D14" s="128"/>
      <c r="E14" s="13" t="s">
        <v>22</v>
      </c>
      <c r="F14" s="7">
        <v>1</v>
      </c>
      <c r="G14" s="176"/>
      <c r="H14" s="13" t="s">
        <v>24</v>
      </c>
      <c r="I14" s="7">
        <v>1</v>
      </c>
      <c r="J14" s="176"/>
      <c r="K14" s="17" t="s">
        <v>91</v>
      </c>
      <c r="L14" s="7">
        <v>1</v>
      </c>
      <c r="M14" s="176"/>
      <c r="N14" s="26" t="s">
        <v>225</v>
      </c>
      <c r="O14" s="7">
        <v>1</v>
      </c>
      <c r="P14" s="176"/>
      <c r="Q14" s="17"/>
      <c r="R14" s="7"/>
      <c r="S14" s="176"/>
    </row>
    <row r="15" spans="1:19">
      <c r="A15" s="170"/>
      <c r="B15" s="186"/>
      <c r="C15" s="174"/>
      <c r="D15" s="128"/>
      <c r="E15" s="13" t="s">
        <v>28</v>
      </c>
      <c r="F15" s="7">
        <v>1</v>
      </c>
      <c r="G15" s="176"/>
      <c r="H15" s="13" t="s">
        <v>20</v>
      </c>
      <c r="I15" s="7">
        <v>1</v>
      </c>
      <c r="J15" s="176"/>
      <c r="K15" s="17" t="s">
        <v>91</v>
      </c>
      <c r="L15" s="7">
        <v>1</v>
      </c>
      <c r="M15" s="176"/>
      <c r="N15" s="26" t="s">
        <v>228</v>
      </c>
      <c r="O15" s="7">
        <v>1</v>
      </c>
      <c r="P15" s="176"/>
      <c r="Q15" s="17"/>
      <c r="R15" s="7"/>
      <c r="S15" s="176"/>
    </row>
    <row r="16" spans="1:19">
      <c r="A16" s="170"/>
      <c r="B16" s="186"/>
      <c r="C16" s="174"/>
      <c r="D16" s="128"/>
      <c r="E16" s="13" t="s">
        <v>25</v>
      </c>
      <c r="F16" s="7">
        <v>1</v>
      </c>
      <c r="G16" s="176"/>
      <c r="H16" s="13" t="s">
        <v>36</v>
      </c>
      <c r="I16" s="7">
        <v>1</v>
      </c>
      <c r="J16" s="176"/>
      <c r="K16" s="17" t="s">
        <v>91</v>
      </c>
      <c r="L16" s="7">
        <v>1</v>
      </c>
      <c r="M16" s="176"/>
      <c r="N16" s="17" t="s">
        <v>25</v>
      </c>
      <c r="O16" s="7">
        <v>1</v>
      </c>
      <c r="P16" s="176"/>
      <c r="Q16" s="17"/>
      <c r="R16" s="7"/>
      <c r="S16" s="176"/>
    </row>
    <row r="17" spans="1:19">
      <c r="A17" s="170"/>
      <c r="B17" s="186"/>
      <c r="C17" s="174"/>
      <c r="D17" s="128"/>
      <c r="E17" s="13" t="s">
        <v>32</v>
      </c>
      <c r="F17" s="7">
        <v>1</v>
      </c>
      <c r="G17" s="176"/>
      <c r="H17" s="13" t="s">
        <v>25</v>
      </c>
      <c r="I17" s="7">
        <v>1</v>
      </c>
      <c r="J17" s="176"/>
      <c r="K17" s="17" t="s">
        <v>92</v>
      </c>
      <c r="L17" s="7">
        <v>1</v>
      </c>
      <c r="M17" s="176"/>
      <c r="N17" s="17"/>
      <c r="O17" s="7"/>
      <c r="P17" s="176"/>
      <c r="Q17" s="17"/>
      <c r="R17" s="7"/>
      <c r="S17" s="176"/>
    </row>
    <row r="18" spans="1:19">
      <c r="A18" s="170"/>
      <c r="B18" s="186"/>
      <c r="C18" s="174"/>
      <c r="D18" s="128"/>
      <c r="E18" s="13"/>
      <c r="F18" s="7"/>
      <c r="G18" s="176"/>
      <c r="H18" s="13"/>
      <c r="I18" s="7"/>
      <c r="J18" s="176"/>
      <c r="K18" s="17" t="s">
        <v>88</v>
      </c>
      <c r="L18" s="7">
        <v>1</v>
      </c>
      <c r="M18" s="176"/>
      <c r="N18" s="17"/>
      <c r="O18" s="7"/>
      <c r="P18" s="176"/>
      <c r="Q18" s="17"/>
      <c r="R18" s="7"/>
      <c r="S18" s="176"/>
    </row>
    <row r="19" spans="1:19">
      <c r="A19" s="170"/>
      <c r="B19" s="186"/>
      <c r="C19" s="174"/>
      <c r="D19" s="128"/>
      <c r="E19" s="13"/>
      <c r="F19" s="7"/>
      <c r="G19" s="176"/>
      <c r="H19" s="13"/>
      <c r="I19" s="7"/>
      <c r="J19" s="176"/>
      <c r="K19" s="17" t="s">
        <v>89</v>
      </c>
      <c r="L19" s="7">
        <v>1</v>
      </c>
      <c r="M19" s="176"/>
      <c r="N19" s="17"/>
      <c r="O19" s="7"/>
      <c r="P19" s="176"/>
      <c r="Q19" s="17"/>
      <c r="R19" s="7"/>
      <c r="S19" s="176"/>
    </row>
    <row r="20" spans="1:19">
      <c r="A20" s="170"/>
      <c r="B20" s="186"/>
      <c r="C20" s="174"/>
      <c r="D20" s="128"/>
      <c r="E20" s="13"/>
      <c r="F20" s="7"/>
      <c r="G20" s="176"/>
      <c r="H20" s="13"/>
      <c r="I20" s="7"/>
      <c r="J20" s="176"/>
      <c r="K20" s="17" t="s">
        <v>32</v>
      </c>
      <c r="L20" s="7">
        <v>1</v>
      </c>
      <c r="M20" s="176"/>
      <c r="N20" s="17"/>
      <c r="O20" s="7"/>
      <c r="P20" s="176"/>
      <c r="Q20" s="17"/>
      <c r="R20" s="7"/>
      <c r="S20" s="176"/>
    </row>
    <row r="21" spans="1:19" ht="21" customHeight="1">
      <c r="A21" s="170"/>
      <c r="B21" s="187"/>
      <c r="C21" s="174"/>
      <c r="D21" s="128"/>
      <c r="E21" s="15" t="s">
        <v>7</v>
      </c>
      <c r="F21" s="15">
        <f>SUM(F11:F20)</f>
        <v>7</v>
      </c>
      <c r="G21" s="16">
        <f>SUM(G11:G20)</f>
        <v>24778.761061946905</v>
      </c>
      <c r="H21" s="15" t="s">
        <v>7</v>
      </c>
      <c r="I21" s="15">
        <f>SUM(I11:I20)</f>
        <v>7</v>
      </c>
      <c r="J21" s="16">
        <f>SUM(J11:J20)</f>
        <v>7079.6460176991159</v>
      </c>
      <c r="K21" s="15" t="s">
        <v>7</v>
      </c>
      <c r="L21" s="15">
        <f>SUM(L11:L20)</f>
        <v>10</v>
      </c>
      <c r="M21" s="16">
        <f>SUM(M11:M20)</f>
        <v>111000</v>
      </c>
      <c r="N21" s="15" t="s">
        <v>7</v>
      </c>
      <c r="O21" s="15">
        <f>SUM(O11:O20)</f>
        <v>6</v>
      </c>
      <c r="P21" s="16">
        <f>SUM(P11:P20)</f>
        <v>31000</v>
      </c>
      <c r="Q21" s="15" t="s">
        <v>7</v>
      </c>
      <c r="R21" s="15">
        <f>SUM(R11:R20)</f>
        <v>0</v>
      </c>
      <c r="S21" s="16">
        <f>SUM(S11:S20)</f>
        <v>30000.000000000004</v>
      </c>
    </row>
    <row r="22" spans="1:19" s="12" customFormat="1" ht="23.25" customHeight="1">
      <c r="A22" s="180" t="s">
        <v>8</v>
      </c>
      <c r="B22" s="180"/>
      <c r="C22" s="180"/>
      <c r="D22" s="134"/>
      <c r="E22" s="178">
        <f>G21/100000</f>
        <v>0.24778761061946905</v>
      </c>
      <c r="F22" s="178"/>
      <c r="G22" s="179"/>
      <c r="H22" s="200">
        <f>J21/100000</f>
        <v>7.0796460176991163E-2</v>
      </c>
      <c r="I22" s="178"/>
      <c r="J22" s="179"/>
      <c r="K22" s="200">
        <f>M21/100000</f>
        <v>1.1100000000000001</v>
      </c>
      <c r="L22" s="178"/>
      <c r="M22" s="179"/>
      <c r="N22" s="200">
        <f>P21/100000</f>
        <v>0.31</v>
      </c>
      <c r="O22" s="178"/>
      <c r="P22" s="179"/>
      <c r="Q22" s="200">
        <f>S21/100000</f>
        <v>0.30000000000000004</v>
      </c>
      <c r="R22" s="178"/>
      <c r="S22" s="179"/>
    </row>
    <row r="23" spans="1:19">
      <c r="A23" s="170" t="s">
        <v>33</v>
      </c>
      <c r="B23" s="171" t="s">
        <v>34</v>
      </c>
      <c r="C23" s="174"/>
      <c r="D23" s="128"/>
      <c r="E23" s="13" t="s">
        <v>20</v>
      </c>
      <c r="F23" s="7">
        <v>1</v>
      </c>
      <c r="G23" s="175">
        <f>12000/1.13</f>
        <v>10619.469026548673</v>
      </c>
      <c r="H23" s="13" t="s">
        <v>20</v>
      </c>
      <c r="I23" s="7">
        <v>1</v>
      </c>
      <c r="J23" s="175">
        <f>12000/1.13</f>
        <v>10619.469026548673</v>
      </c>
      <c r="K23" s="40" t="s">
        <v>88</v>
      </c>
      <c r="L23" s="7">
        <v>1</v>
      </c>
      <c r="M23" s="175">
        <v>105000</v>
      </c>
      <c r="N23" s="26" t="s">
        <v>222</v>
      </c>
      <c r="O23" s="7">
        <v>1</v>
      </c>
      <c r="P23" s="175">
        <f>30300+6000</f>
        <v>36300</v>
      </c>
      <c r="Q23" s="40"/>
      <c r="R23" s="7"/>
      <c r="S23" s="175">
        <f>33900/1.13</f>
        <v>30000.000000000004</v>
      </c>
    </row>
    <row r="24" spans="1:19">
      <c r="A24" s="170"/>
      <c r="B24" s="172"/>
      <c r="C24" s="174"/>
      <c r="D24" s="128"/>
      <c r="E24" s="13" t="s">
        <v>35</v>
      </c>
      <c r="F24" s="7">
        <v>1</v>
      </c>
      <c r="G24" s="176"/>
      <c r="H24" s="13" t="s">
        <v>36</v>
      </c>
      <c r="I24" s="7">
        <v>1</v>
      </c>
      <c r="J24" s="176"/>
      <c r="K24" s="40" t="s">
        <v>89</v>
      </c>
      <c r="L24" s="7">
        <v>1</v>
      </c>
      <c r="M24" s="176"/>
      <c r="N24" s="26" t="s">
        <v>226</v>
      </c>
      <c r="O24" s="7">
        <v>1</v>
      </c>
      <c r="P24" s="176"/>
      <c r="Q24" s="40"/>
      <c r="R24" s="7"/>
      <c r="S24" s="176"/>
    </row>
    <row r="25" spans="1:19">
      <c r="A25" s="170"/>
      <c r="B25" s="172"/>
      <c r="C25" s="174"/>
      <c r="D25" s="128"/>
      <c r="E25" s="13" t="s">
        <v>24</v>
      </c>
      <c r="F25" s="7">
        <v>1</v>
      </c>
      <c r="G25" s="176"/>
      <c r="H25" s="13" t="s">
        <v>46</v>
      </c>
      <c r="I25" s="7">
        <v>1</v>
      </c>
      <c r="J25" s="176"/>
      <c r="K25" s="40" t="s">
        <v>90</v>
      </c>
      <c r="L25" s="7">
        <v>1</v>
      </c>
      <c r="M25" s="176"/>
      <c r="N25" s="26" t="s">
        <v>227</v>
      </c>
      <c r="O25" s="7">
        <v>1</v>
      </c>
      <c r="P25" s="176"/>
      <c r="Q25" s="40"/>
      <c r="R25" s="7"/>
      <c r="S25" s="176"/>
    </row>
    <row r="26" spans="1:19">
      <c r="A26" s="170"/>
      <c r="B26" s="172"/>
      <c r="C26" s="174"/>
      <c r="D26" s="128"/>
      <c r="E26" s="13" t="s">
        <v>24</v>
      </c>
      <c r="F26" s="7">
        <v>1</v>
      </c>
      <c r="G26" s="176"/>
      <c r="H26" s="13" t="s">
        <v>24</v>
      </c>
      <c r="I26" s="7">
        <v>1</v>
      </c>
      <c r="J26" s="176"/>
      <c r="K26" s="40" t="s">
        <v>91</v>
      </c>
      <c r="L26" s="7">
        <v>1</v>
      </c>
      <c r="M26" s="176"/>
      <c r="N26" s="26" t="s">
        <v>225</v>
      </c>
      <c r="O26" s="7">
        <v>1</v>
      </c>
      <c r="P26" s="176"/>
      <c r="Q26" s="40"/>
      <c r="R26" s="7"/>
      <c r="S26" s="176"/>
    </row>
    <row r="27" spans="1:19">
      <c r="A27" s="170"/>
      <c r="B27" s="172"/>
      <c r="C27" s="174"/>
      <c r="D27" s="128"/>
      <c r="E27" s="13" t="s">
        <v>36</v>
      </c>
      <c r="F27" s="7">
        <v>1</v>
      </c>
      <c r="G27" s="176"/>
      <c r="H27" s="13" t="s">
        <v>24</v>
      </c>
      <c r="I27" s="7">
        <v>1</v>
      </c>
      <c r="J27" s="176"/>
      <c r="K27" s="40" t="s">
        <v>91</v>
      </c>
      <c r="L27" s="7">
        <v>1</v>
      </c>
      <c r="M27" s="176"/>
      <c r="N27" s="26" t="s">
        <v>228</v>
      </c>
      <c r="O27" s="7">
        <v>1</v>
      </c>
      <c r="P27" s="176"/>
      <c r="Q27" s="40"/>
      <c r="R27" s="7"/>
      <c r="S27" s="176"/>
    </row>
    <row r="28" spans="1:19">
      <c r="A28" s="170"/>
      <c r="B28" s="172"/>
      <c r="C28" s="174"/>
      <c r="D28" s="128"/>
      <c r="E28" s="13" t="s">
        <v>25</v>
      </c>
      <c r="F28" s="7">
        <v>1</v>
      </c>
      <c r="G28" s="176"/>
      <c r="H28" s="13" t="s">
        <v>25</v>
      </c>
      <c r="I28" s="7">
        <v>1</v>
      </c>
      <c r="J28" s="176"/>
      <c r="K28" s="40" t="s">
        <v>91</v>
      </c>
      <c r="L28" s="7">
        <v>1</v>
      </c>
      <c r="M28" s="176"/>
      <c r="N28" s="40" t="s">
        <v>25</v>
      </c>
      <c r="O28" s="7">
        <v>1</v>
      </c>
      <c r="P28" s="176"/>
      <c r="Q28" s="40"/>
      <c r="R28" s="7"/>
      <c r="S28" s="176"/>
    </row>
    <row r="29" spans="1:19">
      <c r="A29" s="170"/>
      <c r="B29" s="172"/>
      <c r="C29" s="174"/>
      <c r="D29" s="128"/>
      <c r="E29" s="13" t="s">
        <v>32</v>
      </c>
      <c r="F29" s="7">
        <v>1</v>
      </c>
      <c r="G29" s="176"/>
      <c r="H29" s="13"/>
      <c r="I29" s="7"/>
      <c r="J29" s="176"/>
      <c r="K29" s="40" t="s">
        <v>93</v>
      </c>
      <c r="L29" s="7">
        <v>1</v>
      </c>
      <c r="M29" s="176"/>
      <c r="N29" s="40"/>
      <c r="O29" s="7"/>
      <c r="P29" s="176"/>
      <c r="Q29" s="40"/>
      <c r="R29" s="7"/>
      <c r="S29" s="176"/>
    </row>
    <row r="30" spans="1:19">
      <c r="A30" s="170"/>
      <c r="B30" s="172"/>
      <c r="C30" s="174"/>
      <c r="D30" s="128"/>
      <c r="E30" s="13"/>
      <c r="F30" s="7"/>
      <c r="G30" s="184"/>
      <c r="H30" s="27"/>
      <c r="I30" s="14"/>
      <c r="J30" s="184"/>
      <c r="K30" s="40" t="s">
        <v>93</v>
      </c>
      <c r="L30" s="7">
        <v>1</v>
      </c>
      <c r="M30" s="184"/>
      <c r="N30" s="40"/>
      <c r="O30" s="7"/>
      <c r="P30" s="184"/>
      <c r="Q30" s="40"/>
      <c r="R30" s="7"/>
      <c r="S30" s="184"/>
    </row>
    <row r="31" spans="1:19" ht="21" customHeight="1">
      <c r="A31" s="170"/>
      <c r="B31" s="173"/>
      <c r="C31" s="174"/>
      <c r="D31" s="128"/>
      <c r="E31" s="15" t="s">
        <v>7</v>
      </c>
      <c r="F31" s="15">
        <f>SUM(F23:F30)</f>
        <v>7</v>
      </c>
      <c r="G31" s="16">
        <f>SUM(G23:G30)</f>
        <v>10619.469026548673</v>
      </c>
      <c r="H31" s="15" t="s">
        <v>7</v>
      </c>
      <c r="I31" s="15">
        <f>SUM(I23:I30)</f>
        <v>6</v>
      </c>
      <c r="J31" s="16">
        <f>SUM(J23:J30)</f>
        <v>10619.469026548673</v>
      </c>
      <c r="K31" s="15" t="s">
        <v>7</v>
      </c>
      <c r="L31" s="15">
        <f>SUM(L23:L30)</f>
        <v>8</v>
      </c>
      <c r="M31" s="16">
        <f>SUM(M23:M30)</f>
        <v>105000</v>
      </c>
      <c r="N31" s="15" t="s">
        <v>7</v>
      </c>
      <c r="O31" s="15">
        <f>SUM(O23:O30)</f>
        <v>6</v>
      </c>
      <c r="P31" s="16">
        <f>SUM(P23:P30)</f>
        <v>36300</v>
      </c>
      <c r="Q31" s="15" t="s">
        <v>7</v>
      </c>
      <c r="R31" s="15">
        <f>SUM(R23:R30)</f>
        <v>0</v>
      </c>
      <c r="S31" s="16">
        <f>SUM(S23:S30)</f>
        <v>30000.000000000004</v>
      </c>
    </row>
    <row r="32" spans="1:19" s="12" customFormat="1" ht="23.25" customHeight="1">
      <c r="A32" s="180" t="s">
        <v>8</v>
      </c>
      <c r="B32" s="180"/>
      <c r="C32" s="180"/>
      <c r="D32" s="134"/>
      <c r="E32" s="178">
        <f>G31/100000</f>
        <v>0.10619469026548674</v>
      </c>
      <c r="F32" s="178"/>
      <c r="G32" s="179"/>
      <c r="H32" s="178">
        <f>J31/100000</f>
        <v>0.10619469026548674</v>
      </c>
      <c r="I32" s="178"/>
      <c r="J32" s="179"/>
      <c r="K32" s="202">
        <f>M31/100000</f>
        <v>1.05</v>
      </c>
      <c r="L32" s="202"/>
      <c r="M32" s="203"/>
      <c r="N32" s="202">
        <f>P31/100000</f>
        <v>0.36299999999999999</v>
      </c>
      <c r="O32" s="202"/>
      <c r="P32" s="203"/>
      <c r="Q32" s="202">
        <f>S31/100000</f>
        <v>0.30000000000000004</v>
      </c>
      <c r="R32" s="202"/>
      <c r="S32" s="203"/>
    </row>
    <row r="33" spans="1:19">
      <c r="A33" s="170" t="s">
        <v>37</v>
      </c>
      <c r="B33" s="185" t="s">
        <v>38</v>
      </c>
      <c r="C33" s="174"/>
      <c r="D33" s="128"/>
      <c r="E33" s="13" t="s">
        <v>39</v>
      </c>
      <c r="F33" s="7">
        <v>1</v>
      </c>
      <c r="G33" s="175">
        <f>6500/1.13</f>
        <v>5752.2123893805319</v>
      </c>
      <c r="H33" s="13" t="s">
        <v>20</v>
      </c>
      <c r="I33" s="7">
        <v>1</v>
      </c>
      <c r="J33" s="175">
        <f>5000/1.13</f>
        <v>4424.7787610619471</v>
      </c>
      <c r="K33" s="40" t="s">
        <v>88</v>
      </c>
      <c r="L33" s="7">
        <v>1</v>
      </c>
      <c r="M33" s="175">
        <v>44000</v>
      </c>
      <c r="N33" s="40"/>
      <c r="O33" s="7"/>
      <c r="P33" s="175"/>
      <c r="Q33" s="40"/>
      <c r="R33" s="7"/>
      <c r="S33" s="175"/>
    </row>
    <row r="34" spans="1:19">
      <c r="A34" s="170"/>
      <c r="B34" s="186"/>
      <c r="C34" s="174"/>
      <c r="D34" s="128"/>
      <c r="E34" s="13" t="s">
        <v>35</v>
      </c>
      <c r="F34" s="7">
        <v>1</v>
      </c>
      <c r="G34" s="176"/>
      <c r="H34" s="13" t="s">
        <v>36</v>
      </c>
      <c r="I34" s="7">
        <v>1</v>
      </c>
      <c r="J34" s="176"/>
      <c r="K34" s="40" t="s">
        <v>89</v>
      </c>
      <c r="L34" s="7">
        <v>1</v>
      </c>
      <c r="M34" s="176"/>
      <c r="N34" s="40"/>
      <c r="O34" s="7"/>
      <c r="P34" s="176"/>
      <c r="Q34" s="40"/>
      <c r="R34" s="7"/>
      <c r="S34" s="176"/>
    </row>
    <row r="35" spans="1:19">
      <c r="A35" s="170"/>
      <c r="B35" s="186"/>
      <c r="C35" s="174"/>
      <c r="D35" s="128"/>
      <c r="E35" s="13" t="s">
        <v>24</v>
      </c>
      <c r="F35" s="7">
        <v>1</v>
      </c>
      <c r="G35" s="176"/>
      <c r="H35" s="13" t="s">
        <v>36</v>
      </c>
      <c r="I35" s="7">
        <v>1</v>
      </c>
      <c r="J35" s="176"/>
      <c r="K35" s="40" t="s">
        <v>90</v>
      </c>
      <c r="L35" s="7">
        <v>1</v>
      </c>
      <c r="M35" s="176"/>
      <c r="N35" s="40"/>
      <c r="O35" s="7"/>
      <c r="P35" s="176"/>
      <c r="Q35" s="40"/>
      <c r="R35" s="7"/>
      <c r="S35" s="176"/>
    </row>
    <row r="36" spans="1:19">
      <c r="A36" s="170"/>
      <c r="B36" s="186"/>
      <c r="C36" s="174"/>
      <c r="D36" s="128"/>
      <c r="E36" s="13" t="s">
        <v>25</v>
      </c>
      <c r="F36" s="7">
        <v>1</v>
      </c>
      <c r="G36" s="176"/>
      <c r="H36" s="13" t="s">
        <v>24</v>
      </c>
      <c r="I36" s="7">
        <v>1</v>
      </c>
      <c r="J36" s="176"/>
      <c r="K36" s="40" t="s">
        <v>91</v>
      </c>
      <c r="L36" s="7">
        <v>1</v>
      </c>
      <c r="M36" s="176"/>
      <c r="N36" s="40"/>
      <c r="O36" s="7"/>
      <c r="P36" s="176"/>
      <c r="Q36" s="40"/>
      <c r="R36" s="7"/>
      <c r="S36" s="176"/>
    </row>
    <row r="37" spans="1:19">
      <c r="A37" s="170"/>
      <c r="B37" s="186"/>
      <c r="C37" s="174"/>
      <c r="D37" s="128"/>
      <c r="E37" s="13"/>
      <c r="F37" s="7"/>
      <c r="G37" s="176"/>
      <c r="H37" s="13" t="s">
        <v>24</v>
      </c>
      <c r="I37" s="7">
        <v>1</v>
      </c>
      <c r="J37" s="176"/>
      <c r="K37" s="40" t="s">
        <v>91</v>
      </c>
      <c r="L37" s="7">
        <v>1</v>
      </c>
      <c r="M37" s="176"/>
      <c r="N37" s="40"/>
      <c r="O37" s="7"/>
      <c r="P37" s="176"/>
      <c r="Q37" s="40"/>
      <c r="R37" s="7"/>
      <c r="S37" s="176"/>
    </row>
    <row r="38" spans="1:19">
      <c r="A38" s="170"/>
      <c r="B38" s="186"/>
      <c r="C38" s="174"/>
      <c r="D38" s="128"/>
      <c r="E38" s="13"/>
      <c r="F38" s="7"/>
      <c r="G38" s="176"/>
      <c r="H38" s="13" t="s">
        <v>25</v>
      </c>
      <c r="I38" s="7">
        <v>1</v>
      </c>
      <c r="J38" s="176"/>
      <c r="K38" s="19"/>
      <c r="L38" s="7"/>
      <c r="M38" s="176"/>
      <c r="N38" s="19"/>
      <c r="O38" s="7"/>
      <c r="P38" s="176"/>
      <c r="Q38" s="19"/>
      <c r="R38" s="7"/>
      <c r="S38" s="176"/>
    </row>
    <row r="39" spans="1:19" ht="22.5" customHeight="1">
      <c r="A39" s="170"/>
      <c r="B39" s="187"/>
      <c r="C39" s="174"/>
      <c r="D39" s="128"/>
      <c r="E39" s="15" t="s">
        <v>7</v>
      </c>
      <c r="F39" s="15">
        <f>SUM(F33:F38)</f>
        <v>4</v>
      </c>
      <c r="G39" s="16">
        <f>SUM(G33:G38)</f>
        <v>5752.2123893805319</v>
      </c>
      <c r="H39" s="15" t="s">
        <v>7</v>
      </c>
      <c r="I39" s="15">
        <f>SUM(I33:I38)</f>
        <v>6</v>
      </c>
      <c r="J39" s="16">
        <f>SUM(J33:J38)</f>
        <v>4424.7787610619471</v>
      </c>
      <c r="K39" s="15" t="s">
        <v>7</v>
      </c>
      <c r="L39" s="15">
        <f>SUM(L33:L38)</f>
        <v>5</v>
      </c>
      <c r="M39" s="16">
        <f>SUM(M33:M38)</f>
        <v>44000</v>
      </c>
      <c r="N39" s="15" t="s">
        <v>7</v>
      </c>
      <c r="O39" s="15">
        <f>SUM(O33:O38)</f>
        <v>0</v>
      </c>
      <c r="P39" s="16">
        <f>SUM(P33:P38)</f>
        <v>0</v>
      </c>
      <c r="Q39" s="15" t="s">
        <v>7</v>
      </c>
      <c r="R39" s="15">
        <f>SUM(R33:R38)</f>
        <v>0</v>
      </c>
      <c r="S39" s="16">
        <f>SUM(S33:S38)</f>
        <v>0</v>
      </c>
    </row>
    <row r="40" spans="1:19" s="12" customFormat="1" ht="23.25" customHeight="1">
      <c r="A40" s="180" t="s">
        <v>8</v>
      </c>
      <c r="B40" s="180"/>
      <c r="C40" s="180"/>
      <c r="D40" s="134"/>
      <c r="E40" s="178">
        <f>G39/100000</f>
        <v>5.7522123893805316E-2</v>
      </c>
      <c r="F40" s="178"/>
      <c r="G40" s="179"/>
      <c r="H40" s="178">
        <f>J39/100000</f>
        <v>4.4247787610619468E-2</v>
      </c>
      <c r="I40" s="178"/>
      <c r="J40" s="179"/>
      <c r="K40" s="178">
        <f>M39/100000</f>
        <v>0.44</v>
      </c>
      <c r="L40" s="178"/>
      <c r="M40" s="179"/>
      <c r="N40" s="178">
        <f>P39/100000</f>
        <v>0</v>
      </c>
      <c r="O40" s="178"/>
      <c r="P40" s="179"/>
      <c r="Q40" s="178">
        <f>S39/100000</f>
        <v>0</v>
      </c>
      <c r="R40" s="178"/>
      <c r="S40" s="179"/>
    </row>
    <row r="41" spans="1:19">
      <c r="A41" s="170" t="s">
        <v>40</v>
      </c>
      <c r="B41" s="185" t="s">
        <v>41</v>
      </c>
      <c r="C41" s="174"/>
      <c r="D41" s="128"/>
      <c r="E41" s="13" t="s">
        <v>20</v>
      </c>
      <c r="F41" s="7">
        <v>1</v>
      </c>
      <c r="G41" s="175">
        <f>6500/1.13</f>
        <v>5752.2123893805319</v>
      </c>
      <c r="H41" s="13" t="s">
        <v>20</v>
      </c>
      <c r="I41" s="7">
        <v>1</v>
      </c>
      <c r="J41" s="175">
        <f>4000/1.13</f>
        <v>3539.8230088495579</v>
      </c>
      <c r="K41" s="19"/>
      <c r="L41" s="7"/>
      <c r="M41" s="9"/>
      <c r="N41" s="19"/>
      <c r="O41" s="7"/>
      <c r="P41" s="9"/>
      <c r="Q41" s="19"/>
      <c r="R41" s="7"/>
      <c r="S41" s="9"/>
    </row>
    <row r="42" spans="1:19">
      <c r="A42" s="170"/>
      <c r="B42" s="186"/>
      <c r="C42" s="174"/>
      <c r="D42" s="128"/>
      <c r="E42" s="13" t="s">
        <v>35</v>
      </c>
      <c r="F42" s="7">
        <v>1</v>
      </c>
      <c r="G42" s="176"/>
      <c r="H42" s="13" t="s">
        <v>36</v>
      </c>
      <c r="I42" s="7">
        <v>1</v>
      </c>
      <c r="J42" s="176"/>
      <c r="K42" s="19"/>
      <c r="L42" s="7"/>
      <c r="M42" s="9"/>
      <c r="N42" s="19"/>
      <c r="O42" s="7"/>
      <c r="P42" s="9"/>
      <c r="Q42" s="19"/>
      <c r="R42" s="7"/>
      <c r="S42" s="9"/>
    </row>
    <row r="43" spans="1:19">
      <c r="A43" s="170"/>
      <c r="B43" s="186"/>
      <c r="C43" s="174"/>
      <c r="D43" s="128"/>
      <c r="E43" s="13" t="s">
        <v>35</v>
      </c>
      <c r="F43" s="7">
        <v>1</v>
      </c>
      <c r="G43" s="176"/>
      <c r="H43" s="13" t="s">
        <v>36</v>
      </c>
      <c r="I43" s="7">
        <v>1</v>
      </c>
      <c r="J43" s="176"/>
      <c r="K43" s="19"/>
      <c r="L43" s="7"/>
      <c r="M43" s="9"/>
      <c r="N43" s="19"/>
      <c r="O43" s="7"/>
      <c r="P43" s="9"/>
      <c r="Q43" s="19"/>
      <c r="R43" s="7"/>
      <c r="S43" s="9"/>
    </row>
    <row r="44" spans="1:19">
      <c r="A44" s="170"/>
      <c r="B44" s="186"/>
      <c r="C44" s="174"/>
      <c r="D44" s="128"/>
      <c r="E44" s="13" t="s">
        <v>24</v>
      </c>
      <c r="F44" s="7">
        <v>1</v>
      </c>
      <c r="G44" s="176"/>
      <c r="H44" s="13" t="s">
        <v>24</v>
      </c>
      <c r="I44" s="7">
        <v>1</v>
      </c>
      <c r="J44" s="176"/>
      <c r="K44" s="19"/>
      <c r="L44" s="7"/>
      <c r="M44" s="18"/>
      <c r="N44" s="19"/>
      <c r="O44" s="7"/>
      <c r="P44" s="112"/>
      <c r="Q44" s="19"/>
      <c r="R44" s="7"/>
      <c r="S44" s="127"/>
    </row>
    <row r="45" spans="1:19">
      <c r="A45" s="170"/>
      <c r="B45" s="186"/>
      <c r="C45" s="174"/>
      <c r="D45" s="128"/>
      <c r="E45" s="13" t="s">
        <v>25</v>
      </c>
      <c r="F45" s="7">
        <v>1</v>
      </c>
      <c r="G45" s="184"/>
      <c r="H45" s="13" t="s">
        <v>25</v>
      </c>
      <c r="I45" s="7">
        <v>1</v>
      </c>
      <c r="J45" s="184"/>
      <c r="K45" s="19"/>
      <c r="L45" s="7"/>
      <c r="M45" s="18"/>
      <c r="N45" s="19"/>
      <c r="O45" s="7"/>
      <c r="P45" s="112"/>
      <c r="Q45" s="19"/>
      <c r="R45" s="7"/>
      <c r="S45" s="127"/>
    </row>
    <row r="46" spans="1:19" ht="22.5" customHeight="1">
      <c r="A46" s="170"/>
      <c r="B46" s="187"/>
      <c r="C46" s="174"/>
      <c r="D46" s="128"/>
      <c r="E46" s="15" t="s">
        <v>7</v>
      </c>
      <c r="F46" s="15">
        <f>SUM(F41:F45)</f>
        <v>5</v>
      </c>
      <c r="G46" s="16">
        <f>SUM(G41:G45)</f>
        <v>5752.2123893805319</v>
      </c>
      <c r="H46" s="15" t="s">
        <v>7</v>
      </c>
      <c r="I46" s="15">
        <f>SUM(I41:I45)</f>
        <v>5</v>
      </c>
      <c r="J46" s="16">
        <f>SUM(J41:J45)</f>
        <v>3539.8230088495579</v>
      </c>
      <c r="K46" s="15" t="s">
        <v>7</v>
      </c>
      <c r="L46" s="15">
        <f>SUM(L41:L45)</f>
        <v>0</v>
      </c>
      <c r="M46" s="16">
        <f>SUM(M41:M45)</f>
        <v>0</v>
      </c>
      <c r="N46" s="15" t="s">
        <v>7</v>
      </c>
      <c r="O46" s="15">
        <f>SUM(O41:O45)</f>
        <v>0</v>
      </c>
      <c r="P46" s="16">
        <f>SUM(P41:P45)</f>
        <v>0</v>
      </c>
      <c r="Q46" s="15" t="s">
        <v>7</v>
      </c>
      <c r="R46" s="15">
        <f>SUM(R41:R45)</f>
        <v>0</v>
      </c>
      <c r="S46" s="16">
        <f>SUM(S41:S45)</f>
        <v>0</v>
      </c>
    </row>
    <row r="47" spans="1:19" s="12" customFormat="1" ht="23.25" customHeight="1">
      <c r="A47" s="180" t="s">
        <v>8</v>
      </c>
      <c r="B47" s="180"/>
      <c r="C47" s="180"/>
      <c r="D47" s="134"/>
      <c r="E47" s="178">
        <f>G46/100000</f>
        <v>5.7522123893805316E-2</v>
      </c>
      <c r="F47" s="178"/>
      <c r="G47" s="179"/>
      <c r="H47" s="178">
        <f>J46/100000</f>
        <v>3.5398230088495582E-2</v>
      </c>
      <c r="I47" s="178"/>
      <c r="J47" s="179"/>
      <c r="K47" s="168">
        <f>M46/100000</f>
        <v>0</v>
      </c>
      <c r="L47" s="168"/>
      <c r="M47" s="169"/>
      <c r="N47" s="168">
        <f>P46/100000</f>
        <v>0</v>
      </c>
      <c r="O47" s="168"/>
      <c r="P47" s="169"/>
      <c r="Q47" s="168">
        <f>S46/100000</f>
        <v>0</v>
      </c>
      <c r="R47" s="168"/>
      <c r="S47" s="169"/>
    </row>
    <row r="48" spans="1:19">
      <c r="A48" s="170" t="s">
        <v>42</v>
      </c>
      <c r="B48" s="185" t="s">
        <v>43</v>
      </c>
      <c r="C48" s="174"/>
      <c r="D48" s="128"/>
      <c r="E48" s="13" t="s">
        <v>20</v>
      </c>
      <c r="F48" s="7">
        <v>1</v>
      </c>
      <c r="G48" s="175">
        <f>15000/1.13</f>
        <v>13274.336283185841</v>
      </c>
      <c r="H48" s="13" t="s">
        <v>20</v>
      </c>
      <c r="I48" s="7">
        <v>1</v>
      </c>
      <c r="J48" s="175">
        <f>8000/1.13</f>
        <v>7079.6460176991159</v>
      </c>
      <c r="K48" s="40" t="s">
        <v>88</v>
      </c>
      <c r="L48" s="7">
        <v>1</v>
      </c>
      <c r="M48" s="175">
        <v>44000</v>
      </c>
      <c r="N48" s="40"/>
      <c r="O48" s="7"/>
      <c r="P48" s="175"/>
      <c r="Q48" s="40"/>
      <c r="R48" s="7"/>
      <c r="S48" s="175"/>
    </row>
    <row r="49" spans="1:19">
      <c r="A49" s="170"/>
      <c r="B49" s="186"/>
      <c r="C49" s="174"/>
      <c r="D49" s="128"/>
      <c r="E49" s="13" t="s">
        <v>35</v>
      </c>
      <c r="F49" s="7">
        <v>1</v>
      </c>
      <c r="G49" s="176"/>
      <c r="H49" s="13" t="s">
        <v>36</v>
      </c>
      <c r="I49" s="7">
        <v>1</v>
      </c>
      <c r="J49" s="176"/>
      <c r="K49" s="40" t="s">
        <v>89</v>
      </c>
      <c r="L49" s="7">
        <v>1</v>
      </c>
      <c r="M49" s="176"/>
      <c r="N49" s="40"/>
      <c r="O49" s="7"/>
      <c r="P49" s="176"/>
      <c r="Q49" s="40"/>
      <c r="R49" s="7"/>
      <c r="S49" s="176"/>
    </row>
    <row r="50" spans="1:19">
      <c r="A50" s="170"/>
      <c r="B50" s="186"/>
      <c r="C50" s="174"/>
      <c r="D50" s="128"/>
      <c r="E50" s="13" t="s">
        <v>35</v>
      </c>
      <c r="F50" s="7">
        <v>1</v>
      </c>
      <c r="G50" s="176"/>
      <c r="H50" s="13" t="s">
        <v>36</v>
      </c>
      <c r="I50" s="7">
        <v>1</v>
      </c>
      <c r="J50" s="176"/>
      <c r="K50" s="40" t="s">
        <v>90</v>
      </c>
      <c r="L50" s="7">
        <v>1</v>
      </c>
      <c r="M50" s="176"/>
      <c r="N50" s="40"/>
      <c r="O50" s="7"/>
      <c r="P50" s="176"/>
      <c r="Q50" s="40"/>
      <c r="R50" s="7"/>
      <c r="S50" s="176"/>
    </row>
    <row r="51" spans="1:19">
      <c r="A51" s="170"/>
      <c r="B51" s="186"/>
      <c r="C51" s="174"/>
      <c r="D51" s="128"/>
      <c r="E51" s="13" t="s">
        <v>24</v>
      </c>
      <c r="F51" s="7">
        <v>1</v>
      </c>
      <c r="G51" s="176"/>
      <c r="H51" s="13" t="s">
        <v>24</v>
      </c>
      <c r="I51" s="7">
        <v>1</v>
      </c>
      <c r="J51" s="176"/>
      <c r="K51" s="40" t="s">
        <v>91</v>
      </c>
      <c r="L51" s="7">
        <v>1</v>
      </c>
      <c r="M51" s="176"/>
      <c r="N51" s="40"/>
      <c r="O51" s="7"/>
      <c r="P51" s="176"/>
      <c r="Q51" s="40"/>
      <c r="R51" s="7"/>
      <c r="S51" s="176"/>
    </row>
    <row r="52" spans="1:19">
      <c r="A52" s="170"/>
      <c r="B52" s="186"/>
      <c r="C52" s="174"/>
      <c r="D52" s="128"/>
      <c r="E52" s="13" t="s">
        <v>24</v>
      </c>
      <c r="F52" s="7">
        <v>1</v>
      </c>
      <c r="G52" s="176"/>
      <c r="H52" s="13" t="s">
        <v>24</v>
      </c>
      <c r="I52" s="7">
        <v>1</v>
      </c>
      <c r="J52" s="176"/>
      <c r="K52" s="40" t="s">
        <v>91</v>
      </c>
      <c r="L52" s="7">
        <v>1</v>
      </c>
      <c r="M52" s="176"/>
      <c r="N52" s="40"/>
      <c r="O52" s="7"/>
      <c r="P52" s="176"/>
      <c r="Q52" s="40"/>
      <c r="R52" s="7"/>
      <c r="S52" s="176"/>
    </row>
    <row r="53" spans="1:19">
      <c r="A53" s="170"/>
      <c r="B53" s="186"/>
      <c r="C53" s="174"/>
      <c r="D53" s="128"/>
      <c r="E53" s="13" t="s">
        <v>25</v>
      </c>
      <c r="F53" s="7">
        <v>1</v>
      </c>
      <c r="G53" s="184"/>
      <c r="H53" s="13" t="s">
        <v>25</v>
      </c>
      <c r="I53" s="7">
        <v>1</v>
      </c>
      <c r="J53" s="184"/>
      <c r="K53" s="19"/>
      <c r="L53" s="7"/>
      <c r="M53" s="184"/>
      <c r="N53" s="19"/>
      <c r="O53" s="7"/>
      <c r="P53" s="184"/>
      <c r="Q53" s="19"/>
      <c r="R53" s="7"/>
      <c r="S53" s="184"/>
    </row>
    <row r="54" spans="1:19" ht="22.5" customHeight="1">
      <c r="A54" s="170"/>
      <c r="B54" s="187"/>
      <c r="C54" s="174"/>
      <c r="D54" s="128"/>
      <c r="E54" s="15" t="s">
        <v>7</v>
      </c>
      <c r="F54" s="15">
        <f>SUM(F48:F53)</f>
        <v>6</v>
      </c>
      <c r="G54" s="16">
        <f>SUM(G48:G53)</f>
        <v>13274.336283185841</v>
      </c>
      <c r="H54" s="15" t="s">
        <v>7</v>
      </c>
      <c r="I54" s="15">
        <f>SUM(I48:I51)</f>
        <v>4</v>
      </c>
      <c r="J54" s="16">
        <f>SUM(J48:J51)</f>
        <v>7079.6460176991159</v>
      </c>
      <c r="K54" s="15" t="s">
        <v>7</v>
      </c>
      <c r="L54" s="15">
        <f>SUM(L48:L51)</f>
        <v>4</v>
      </c>
      <c r="M54" s="16">
        <f>SUM(M48)</f>
        <v>44000</v>
      </c>
      <c r="N54" s="15" t="s">
        <v>7</v>
      </c>
      <c r="O54" s="15">
        <f>SUM(O48:O51)</f>
        <v>0</v>
      </c>
      <c r="P54" s="16">
        <f>SUM(P48)</f>
        <v>0</v>
      </c>
      <c r="Q54" s="15" t="s">
        <v>7</v>
      </c>
      <c r="R54" s="15">
        <f>SUM(R48:R51)</f>
        <v>0</v>
      </c>
      <c r="S54" s="16">
        <f>SUM(S48)</f>
        <v>0</v>
      </c>
    </row>
    <row r="55" spans="1:19" s="12" customFormat="1" ht="23.25" customHeight="1">
      <c r="A55" s="180" t="s">
        <v>8</v>
      </c>
      <c r="B55" s="180"/>
      <c r="C55" s="180"/>
      <c r="D55" s="134"/>
      <c r="E55" s="178">
        <f>G54/100000</f>
        <v>0.13274336283185842</v>
      </c>
      <c r="F55" s="178"/>
      <c r="G55" s="179"/>
      <c r="H55" s="178">
        <f>J54/100000</f>
        <v>7.0796460176991163E-2</v>
      </c>
      <c r="I55" s="178"/>
      <c r="J55" s="179"/>
      <c r="K55" s="178">
        <f>M54/100000</f>
        <v>0.44</v>
      </c>
      <c r="L55" s="178"/>
      <c r="M55" s="179"/>
      <c r="N55" s="178">
        <f>P54/100000</f>
        <v>0</v>
      </c>
      <c r="O55" s="178"/>
      <c r="P55" s="179"/>
      <c r="Q55" s="178">
        <f>S54/100000</f>
        <v>0</v>
      </c>
      <c r="R55" s="178"/>
      <c r="S55" s="179"/>
    </row>
    <row r="56" spans="1:19">
      <c r="A56" s="170" t="s">
        <v>44</v>
      </c>
      <c r="B56" s="185" t="s">
        <v>45</v>
      </c>
      <c r="C56" s="174"/>
      <c r="D56" s="128"/>
      <c r="E56" s="13" t="s">
        <v>20</v>
      </c>
      <c r="F56" s="7">
        <v>1</v>
      </c>
      <c r="G56" s="175">
        <f>12000/1.13</f>
        <v>10619.469026548673</v>
      </c>
      <c r="H56" s="13" t="s">
        <v>20</v>
      </c>
      <c r="I56" s="7">
        <v>1</v>
      </c>
      <c r="J56" s="175">
        <f>7000/1.13</f>
        <v>6194.6902654867263</v>
      </c>
      <c r="K56" s="19"/>
      <c r="L56" s="7"/>
      <c r="M56" s="9"/>
      <c r="N56" s="19"/>
      <c r="O56" s="7"/>
      <c r="P56" s="9"/>
      <c r="Q56" s="19"/>
      <c r="R56" s="7"/>
      <c r="S56" s="9"/>
    </row>
    <row r="57" spans="1:19">
      <c r="A57" s="170"/>
      <c r="B57" s="186"/>
      <c r="C57" s="174"/>
      <c r="D57" s="128"/>
      <c r="E57" s="13" t="s">
        <v>35</v>
      </c>
      <c r="F57" s="7">
        <v>1</v>
      </c>
      <c r="G57" s="176"/>
      <c r="H57" s="13" t="s">
        <v>36</v>
      </c>
      <c r="I57" s="7">
        <v>1</v>
      </c>
      <c r="J57" s="176"/>
      <c r="K57" s="19"/>
      <c r="L57" s="7"/>
      <c r="M57" s="9"/>
      <c r="N57" s="19"/>
      <c r="O57" s="7"/>
      <c r="P57" s="9"/>
      <c r="Q57" s="19"/>
      <c r="R57" s="7"/>
      <c r="S57" s="9"/>
    </row>
    <row r="58" spans="1:19">
      <c r="A58" s="170"/>
      <c r="B58" s="186"/>
      <c r="C58" s="174"/>
      <c r="D58" s="128"/>
      <c r="E58" s="13" t="s">
        <v>35</v>
      </c>
      <c r="F58" s="7">
        <v>1</v>
      </c>
      <c r="G58" s="176"/>
      <c r="H58" s="13" t="s">
        <v>36</v>
      </c>
      <c r="I58" s="7">
        <v>1</v>
      </c>
      <c r="J58" s="176"/>
      <c r="K58" s="19"/>
      <c r="L58" s="7"/>
      <c r="M58" s="9"/>
      <c r="N58" s="19"/>
      <c r="O58" s="7"/>
      <c r="P58" s="9"/>
      <c r="Q58" s="19"/>
      <c r="R58" s="7"/>
      <c r="S58" s="9"/>
    </row>
    <row r="59" spans="1:19">
      <c r="A59" s="170"/>
      <c r="B59" s="186"/>
      <c r="C59" s="174"/>
      <c r="D59" s="128"/>
      <c r="E59" s="13" t="s">
        <v>46</v>
      </c>
      <c r="F59" s="7">
        <v>1</v>
      </c>
      <c r="G59" s="176"/>
      <c r="H59" s="13" t="s">
        <v>24</v>
      </c>
      <c r="I59" s="7">
        <v>1</v>
      </c>
      <c r="J59" s="176"/>
      <c r="K59" s="19"/>
      <c r="L59" s="7"/>
      <c r="M59" s="18"/>
      <c r="N59" s="19"/>
      <c r="O59" s="7"/>
      <c r="P59" s="112"/>
      <c r="Q59" s="19"/>
      <c r="R59" s="7"/>
      <c r="S59" s="127"/>
    </row>
    <row r="60" spans="1:19">
      <c r="A60" s="170"/>
      <c r="B60" s="186"/>
      <c r="C60" s="174"/>
      <c r="D60" s="128"/>
      <c r="E60" s="13" t="s">
        <v>24</v>
      </c>
      <c r="F60" s="7">
        <v>1</v>
      </c>
      <c r="G60" s="176"/>
      <c r="H60" s="13" t="s">
        <v>25</v>
      </c>
      <c r="I60" s="7">
        <v>1</v>
      </c>
      <c r="J60" s="176"/>
      <c r="K60" s="19"/>
      <c r="L60" s="7"/>
      <c r="M60" s="18"/>
      <c r="N60" s="19"/>
      <c r="O60" s="7"/>
      <c r="P60" s="112"/>
      <c r="Q60" s="19"/>
      <c r="R60" s="7"/>
      <c r="S60" s="127"/>
    </row>
    <row r="61" spans="1:19">
      <c r="A61" s="170"/>
      <c r="B61" s="186"/>
      <c r="C61" s="174"/>
      <c r="D61" s="128"/>
      <c r="E61" s="13" t="s">
        <v>25</v>
      </c>
      <c r="F61" s="7">
        <v>1</v>
      </c>
      <c r="G61" s="184"/>
      <c r="H61" s="13"/>
      <c r="I61" s="7"/>
      <c r="J61" s="184"/>
      <c r="K61" s="19"/>
      <c r="L61" s="7"/>
      <c r="M61" s="18"/>
      <c r="N61" s="19"/>
      <c r="O61" s="7"/>
      <c r="P61" s="112"/>
      <c r="Q61" s="19"/>
      <c r="R61" s="7"/>
      <c r="S61" s="127"/>
    </row>
    <row r="62" spans="1:19" ht="22.5" customHeight="1">
      <c r="A62" s="170"/>
      <c r="B62" s="187"/>
      <c r="C62" s="174"/>
      <c r="D62" s="128"/>
      <c r="E62" s="15" t="s">
        <v>7</v>
      </c>
      <c r="F62" s="15">
        <f>SUM(F56:F61)</f>
        <v>6</v>
      </c>
      <c r="G62" s="16">
        <f>SUM(G56:G61)</f>
        <v>10619.469026548673</v>
      </c>
      <c r="H62" s="15" t="s">
        <v>7</v>
      </c>
      <c r="I62" s="15">
        <f>SUM(I56:I59)</f>
        <v>4</v>
      </c>
      <c r="J62" s="16">
        <f>SUM(J56:J59)</f>
        <v>6194.6902654867263</v>
      </c>
      <c r="K62" s="15" t="s">
        <v>7</v>
      </c>
      <c r="L62" s="15">
        <f>SUM(L56:L59)</f>
        <v>0</v>
      </c>
      <c r="M62" s="16">
        <f>SUM(M56:M61)</f>
        <v>0</v>
      </c>
      <c r="N62" s="15" t="s">
        <v>7</v>
      </c>
      <c r="O62" s="15">
        <f>SUM(O56:O59)</f>
        <v>0</v>
      </c>
      <c r="P62" s="16">
        <f>SUM(P56:P61)</f>
        <v>0</v>
      </c>
      <c r="Q62" s="15" t="s">
        <v>7</v>
      </c>
      <c r="R62" s="15">
        <f>SUM(R56:R59)</f>
        <v>0</v>
      </c>
      <c r="S62" s="16">
        <f>SUM(S56:S61)</f>
        <v>0</v>
      </c>
    </row>
    <row r="63" spans="1:19" s="12" customFormat="1" ht="23.25" customHeight="1">
      <c r="A63" s="180" t="s">
        <v>8</v>
      </c>
      <c r="B63" s="180"/>
      <c r="C63" s="180"/>
      <c r="D63" s="134"/>
      <c r="E63" s="178">
        <f>G62/100000</f>
        <v>0.10619469026548674</v>
      </c>
      <c r="F63" s="178"/>
      <c r="G63" s="179"/>
      <c r="H63" s="178">
        <f>J62/100000</f>
        <v>6.1946902654867263E-2</v>
      </c>
      <c r="I63" s="178"/>
      <c r="J63" s="179"/>
      <c r="K63" s="168">
        <f>M62/100000</f>
        <v>0</v>
      </c>
      <c r="L63" s="168"/>
      <c r="M63" s="169"/>
      <c r="N63" s="168">
        <f>P62/100000</f>
        <v>0</v>
      </c>
      <c r="O63" s="168"/>
      <c r="P63" s="169"/>
      <c r="Q63" s="168">
        <f>S62/100000</f>
        <v>0</v>
      </c>
      <c r="R63" s="168"/>
      <c r="S63" s="169"/>
    </row>
    <row r="64" spans="1:19">
      <c r="A64" s="170" t="s">
        <v>47</v>
      </c>
      <c r="B64" s="185" t="s">
        <v>48</v>
      </c>
      <c r="C64" s="174"/>
      <c r="D64" s="128"/>
      <c r="E64" s="13" t="s">
        <v>39</v>
      </c>
      <c r="F64" s="7">
        <v>1</v>
      </c>
      <c r="G64" s="175">
        <f>28000/1.13</f>
        <v>24778.761061946905</v>
      </c>
      <c r="H64" s="13" t="s">
        <v>20</v>
      </c>
      <c r="I64" s="7">
        <v>1</v>
      </c>
      <c r="J64" s="175">
        <f>2000/1.13</f>
        <v>1769.911504424779</v>
      </c>
      <c r="K64" s="19"/>
      <c r="L64" s="7"/>
      <c r="M64" s="9"/>
      <c r="N64" s="19"/>
      <c r="O64" s="7"/>
      <c r="P64" s="9"/>
      <c r="Q64" s="19"/>
      <c r="R64" s="7"/>
      <c r="S64" s="9"/>
    </row>
    <row r="65" spans="1:19">
      <c r="A65" s="170"/>
      <c r="B65" s="186"/>
      <c r="C65" s="174"/>
      <c r="D65" s="128"/>
      <c r="E65" s="13" t="s">
        <v>35</v>
      </c>
      <c r="F65" s="7">
        <v>1</v>
      </c>
      <c r="G65" s="176"/>
      <c r="H65" s="13" t="s">
        <v>36</v>
      </c>
      <c r="I65" s="7">
        <v>1</v>
      </c>
      <c r="J65" s="176"/>
      <c r="K65" s="19"/>
      <c r="L65" s="7"/>
      <c r="M65" s="9"/>
      <c r="N65" s="19"/>
      <c r="O65" s="7"/>
      <c r="P65" s="9"/>
      <c r="Q65" s="19"/>
      <c r="R65" s="7"/>
      <c r="S65" s="9"/>
    </row>
    <row r="66" spans="1:19">
      <c r="A66" s="170"/>
      <c r="B66" s="186"/>
      <c r="C66" s="174"/>
      <c r="D66" s="128"/>
      <c r="E66" s="13" t="s">
        <v>25</v>
      </c>
      <c r="F66" s="7">
        <v>1</v>
      </c>
      <c r="G66" s="176"/>
      <c r="H66" s="13"/>
      <c r="I66" s="7"/>
      <c r="J66" s="176"/>
      <c r="K66" s="19"/>
      <c r="L66" s="7"/>
      <c r="M66" s="9"/>
      <c r="N66" s="19"/>
      <c r="O66" s="7"/>
      <c r="P66" s="9"/>
      <c r="Q66" s="19"/>
      <c r="R66" s="7"/>
      <c r="S66" s="9"/>
    </row>
    <row r="67" spans="1:19">
      <c r="A67" s="170"/>
      <c r="B67" s="186"/>
      <c r="C67" s="174"/>
      <c r="D67" s="128"/>
      <c r="E67" s="13"/>
      <c r="F67" s="7"/>
      <c r="G67" s="176"/>
      <c r="H67" s="13"/>
      <c r="I67" s="7"/>
      <c r="J67" s="176"/>
      <c r="K67" s="19"/>
      <c r="L67" s="7"/>
      <c r="M67" s="18"/>
      <c r="N67" s="19"/>
      <c r="O67" s="7"/>
      <c r="P67" s="112"/>
      <c r="Q67" s="19"/>
      <c r="R67" s="7"/>
      <c r="S67" s="127"/>
    </row>
    <row r="68" spans="1:19">
      <c r="A68" s="170"/>
      <c r="B68" s="186"/>
      <c r="C68" s="174"/>
      <c r="D68" s="128"/>
      <c r="E68" s="13"/>
      <c r="F68" s="7"/>
      <c r="G68" s="176"/>
      <c r="H68" s="13"/>
      <c r="I68" s="7"/>
      <c r="J68" s="176"/>
      <c r="K68" s="19"/>
      <c r="L68" s="7"/>
      <c r="M68" s="18"/>
      <c r="N68" s="19"/>
      <c r="O68" s="7"/>
      <c r="P68" s="112"/>
      <c r="Q68" s="19"/>
      <c r="R68" s="7"/>
      <c r="S68" s="127"/>
    </row>
    <row r="69" spans="1:19">
      <c r="A69" s="170"/>
      <c r="B69" s="186"/>
      <c r="C69" s="174"/>
      <c r="D69" s="128"/>
      <c r="E69" s="13"/>
      <c r="F69" s="7"/>
      <c r="G69" s="184"/>
      <c r="H69" s="13"/>
      <c r="I69" s="7"/>
      <c r="J69" s="184"/>
      <c r="K69" s="19"/>
      <c r="L69" s="7"/>
      <c r="M69" s="18"/>
      <c r="N69" s="19"/>
      <c r="O69" s="7"/>
      <c r="P69" s="112"/>
      <c r="Q69" s="19"/>
      <c r="R69" s="7"/>
      <c r="S69" s="127"/>
    </row>
    <row r="70" spans="1:19" ht="22.5" customHeight="1">
      <c r="A70" s="170"/>
      <c r="B70" s="187"/>
      <c r="C70" s="174"/>
      <c r="D70" s="128"/>
      <c r="E70" s="15" t="s">
        <v>7</v>
      </c>
      <c r="F70" s="15">
        <f>SUM(F64:F69)</f>
        <v>3</v>
      </c>
      <c r="G70" s="16">
        <f>SUM(G64:G69)</f>
        <v>24778.761061946905</v>
      </c>
      <c r="H70" s="15" t="s">
        <v>7</v>
      </c>
      <c r="I70" s="15">
        <f>SUM(I64:I67)</f>
        <v>2</v>
      </c>
      <c r="J70" s="16">
        <f>SUM(J64:J67)</f>
        <v>1769.911504424779</v>
      </c>
      <c r="K70" s="15" t="s">
        <v>7</v>
      </c>
      <c r="L70" s="15">
        <f>SUM(L64:L67)</f>
        <v>0</v>
      </c>
      <c r="M70" s="16">
        <f>SUM(M64:M69)</f>
        <v>0</v>
      </c>
      <c r="N70" s="15" t="s">
        <v>7</v>
      </c>
      <c r="O70" s="15">
        <f>SUM(O64:O67)</f>
        <v>0</v>
      </c>
      <c r="P70" s="16">
        <f>SUM(P64:P69)</f>
        <v>0</v>
      </c>
      <c r="Q70" s="15" t="s">
        <v>7</v>
      </c>
      <c r="R70" s="15">
        <f>SUM(R64:R67)</f>
        <v>0</v>
      </c>
      <c r="S70" s="16">
        <f>SUM(S64:S69)</f>
        <v>0</v>
      </c>
    </row>
    <row r="71" spans="1:19" s="12" customFormat="1" ht="23.25" customHeight="1">
      <c r="A71" s="180" t="s">
        <v>8</v>
      </c>
      <c r="B71" s="180"/>
      <c r="C71" s="180"/>
      <c r="D71" s="134"/>
      <c r="E71" s="178">
        <f>G70/100000</f>
        <v>0.24778761061946905</v>
      </c>
      <c r="F71" s="178"/>
      <c r="G71" s="179"/>
      <c r="H71" s="178">
        <f>J70/100000</f>
        <v>1.7699115044247791E-2</v>
      </c>
      <c r="I71" s="178"/>
      <c r="J71" s="179"/>
      <c r="K71" s="168">
        <f>M70/100000</f>
        <v>0</v>
      </c>
      <c r="L71" s="168"/>
      <c r="M71" s="169"/>
      <c r="N71" s="168">
        <f>P70/100000</f>
        <v>0</v>
      </c>
      <c r="O71" s="168"/>
      <c r="P71" s="169"/>
      <c r="Q71" s="168">
        <f>S70/100000</f>
        <v>0</v>
      </c>
      <c r="R71" s="168"/>
      <c r="S71" s="169"/>
    </row>
    <row r="72" spans="1:19">
      <c r="A72" s="170" t="s">
        <v>49</v>
      </c>
      <c r="B72" s="185" t="s">
        <v>50</v>
      </c>
      <c r="C72" s="174"/>
      <c r="D72" s="128"/>
      <c r="E72" s="13" t="s">
        <v>39</v>
      </c>
      <c r="F72" s="7">
        <v>1</v>
      </c>
      <c r="G72" s="175">
        <f>26000/1.13</f>
        <v>23008.849557522128</v>
      </c>
      <c r="H72" s="13" t="s">
        <v>20</v>
      </c>
      <c r="I72" s="7">
        <v>1</v>
      </c>
      <c r="J72" s="175">
        <f>1500/1.13</f>
        <v>1327.4336283185842</v>
      </c>
      <c r="K72" s="19"/>
      <c r="L72" s="7"/>
      <c r="M72" s="9"/>
      <c r="N72" s="19"/>
      <c r="O72" s="7"/>
      <c r="P72" s="9"/>
      <c r="Q72" s="19"/>
      <c r="R72" s="7"/>
      <c r="S72" s="9"/>
    </row>
    <row r="73" spans="1:19">
      <c r="A73" s="170"/>
      <c r="B73" s="186"/>
      <c r="C73" s="174"/>
      <c r="D73" s="128"/>
      <c r="E73" s="13" t="s">
        <v>35</v>
      </c>
      <c r="F73" s="7">
        <v>1</v>
      </c>
      <c r="G73" s="176"/>
      <c r="H73" s="13" t="s">
        <v>36</v>
      </c>
      <c r="I73" s="7">
        <v>1</v>
      </c>
      <c r="J73" s="176"/>
      <c r="K73" s="19"/>
      <c r="L73" s="7"/>
      <c r="M73" s="9"/>
      <c r="N73" s="19"/>
      <c r="O73" s="7"/>
      <c r="P73" s="9"/>
      <c r="Q73" s="19"/>
      <c r="R73" s="7"/>
      <c r="S73" s="9"/>
    </row>
    <row r="74" spans="1:19">
      <c r="A74" s="170"/>
      <c r="B74" s="186"/>
      <c r="C74" s="174"/>
      <c r="D74" s="128"/>
      <c r="E74" s="13" t="s">
        <v>25</v>
      </c>
      <c r="F74" s="7">
        <v>1</v>
      </c>
      <c r="G74" s="176"/>
      <c r="H74" s="13"/>
      <c r="I74" s="7"/>
      <c r="J74" s="176"/>
      <c r="K74" s="19"/>
      <c r="L74" s="7"/>
      <c r="M74" s="9"/>
      <c r="N74" s="19"/>
      <c r="O74" s="7"/>
      <c r="P74" s="9"/>
      <c r="Q74" s="19"/>
      <c r="R74" s="7"/>
      <c r="S74" s="9"/>
    </row>
    <row r="75" spans="1:19">
      <c r="A75" s="170"/>
      <c r="B75" s="186"/>
      <c r="C75" s="174"/>
      <c r="D75" s="128"/>
      <c r="E75" s="13"/>
      <c r="F75" s="7"/>
      <c r="G75" s="176"/>
      <c r="H75" s="13"/>
      <c r="I75" s="7"/>
      <c r="J75" s="176"/>
      <c r="K75" s="19"/>
      <c r="L75" s="7"/>
      <c r="M75" s="18"/>
      <c r="N75" s="19"/>
      <c r="O75" s="7"/>
      <c r="P75" s="112"/>
      <c r="Q75" s="19"/>
      <c r="R75" s="7"/>
      <c r="S75" s="127"/>
    </row>
    <row r="76" spans="1:19">
      <c r="A76" s="170"/>
      <c r="B76" s="186"/>
      <c r="C76" s="174"/>
      <c r="D76" s="128"/>
      <c r="E76" s="13"/>
      <c r="F76" s="7"/>
      <c r="G76" s="176"/>
      <c r="H76" s="13"/>
      <c r="I76" s="7"/>
      <c r="J76" s="176"/>
      <c r="K76" s="19"/>
      <c r="L76" s="7"/>
      <c r="M76" s="18"/>
      <c r="N76" s="19"/>
      <c r="O76" s="7"/>
      <c r="P76" s="112"/>
      <c r="Q76" s="19"/>
      <c r="R76" s="7"/>
      <c r="S76" s="127"/>
    </row>
    <row r="77" spans="1:19">
      <c r="A77" s="170"/>
      <c r="B77" s="186"/>
      <c r="C77" s="174"/>
      <c r="D77" s="128"/>
      <c r="E77" s="13"/>
      <c r="F77" s="7"/>
      <c r="G77" s="184"/>
      <c r="H77" s="13"/>
      <c r="I77" s="7"/>
      <c r="J77" s="184"/>
      <c r="K77" s="19"/>
      <c r="L77" s="7"/>
      <c r="M77" s="18"/>
      <c r="N77" s="19"/>
      <c r="O77" s="7"/>
      <c r="P77" s="112"/>
      <c r="Q77" s="19"/>
      <c r="R77" s="7"/>
      <c r="S77" s="127"/>
    </row>
    <row r="78" spans="1:19" ht="22.5" customHeight="1">
      <c r="A78" s="170"/>
      <c r="B78" s="187"/>
      <c r="C78" s="174"/>
      <c r="D78" s="128"/>
      <c r="E78" s="15" t="s">
        <v>7</v>
      </c>
      <c r="F78" s="15">
        <f>SUM(F72:F77)</f>
        <v>3</v>
      </c>
      <c r="G78" s="16">
        <f>SUM(G72:G77)</f>
        <v>23008.849557522128</v>
      </c>
      <c r="H78" s="15" t="s">
        <v>7</v>
      </c>
      <c r="I78" s="15">
        <f>SUM(I72:I75)</f>
        <v>2</v>
      </c>
      <c r="J78" s="16">
        <f>SUM(J72:J75)</f>
        <v>1327.4336283185842</v>
      </c>
      <c r="K78" s="15" t="s">
        <v>7</v>
      </c>
      <c r="L78" s="15">
        <f>SUM(L72:L75)</f>
        <v>0</v>
      </c>
      <c r="M78" s="16">
        <f>SUM(M72:M77)</f>
        <v>0</v>
      </c>
      <c r="N78" s="15" t="s">
        <v>7</v>
      </c>
      <c r="O78" s="15">
        <f>SUM(O72:O75)</f>
        <v>0</v>
      </c>
      <c r="P78" s="16">
        <f>SUM(P72:P77)</f>
        <v>0</v>
      </c>
      <c r="Q78" s="15" t="s">
        <v>7</v>
      </c>
      <c r="R78" s="15">
        <f>SUM(R72:R75)</f>
        <v>0</v>
      </c>
      <c r="S78" s="16">
        <f>SUM(S72:S77)</f>
        <v>0</v>
      </c>
    </row>
    <row r="79" spans="1:19" s="12" customFormat="1" ht="23.25" customHeight="1">
      <c r="A79" s="180" t="s">
        <v>8</v>
      </c>
      <c r="B79" s="180"/>
      <c r="C79" s="180"/>
      <c r="D79" s="134"/>
      <c r="E79" s="178">
        <f>G78/100000</f>
        <v>0.23008849557522126</v>
      </c>
      <c r="F79" s="178"/>
      <c r="G79" s="179"/>
      <c r="H79" s="178">
        <f>J78/100000</f>
        <v>1.3274336283185842E-2</v>
      </c>
      <c r="I79" s="178"/>
      <c r="J79" s="179"/>
      <c r="K79" s="168">
        <f>M78/100000</f>
        <v>0</v>
      </c>
      <c r="L79" s="168"/>
      <c r="M79" s="169"/>
      <c r="N79" s="168">
        <f>P78/100000</f>
        <v>0</v>
      </c>
      <c r="O79" s="168"/>
      <c r="P79" s="169"/>
      <c r="Q79" s="168">
        <f>S78/100000</f>
        <v>0</v>
      </c>
      <c r="R79" s="168"/>
      <c r="S79" s="169"/>
    </row>
    <row r="80" spans="1:19">
      <c r="A80" s="170" t="s">
        <v>51</v>
      </c>
      <c r="B80" s="171" t="s">
        <v>52</v>
      </c>
      <c r="C80" s="174"/>
      <c r="D80" s="128"/>
      <c r="E80" s="13" t="s">
        <v>20</v>
      </c>
      <c r="F80" s="7">
        <v>1</v>
      </c>
      <c r="G80" s="175">
        <f>8000/1.13</f>
        <v>7079.6460176991159</v>
      </c>
      <c r="H80" s="13" t="s">
        <v>20</v>
      </c>
      <c r="I80" s="7">
        <v>1</v>
      </c>
      <c r="J80" s="175">
        <f>5500/1.13</f>
        <v>4867.2566371681423</v>
      </c>
      <c r="K80" s="40" t="s">
        <v>88</v>
      </c>
      <c r="L80" s="7">
        <v>1</v>
      </c>
      <c r="M80" s="175">
        <v>26000</v>
      </c>
      <c r="N80" s="26" t="s">
        <v>222</v>
      </c>
      <c r="O80" s="7">
        <v>1</v>
      </c>
      <c r="P80" s="175">
        <f>18500+6000</f>
        <v>24500</v>
      </c>
      <c r="Q80" s="40"/>
      <c r="R80" s="7"/>
      <c r="S80" s="175">
        <f>13560/1.13</f>
        <v>12000.000000000002</v>
      </c>
    </row>
    <row r="81" spans="1:19">
      <c r="A81" s="170"/>
      <c r="B81" s="172"/>
      <c r="C81" s="174"/>
      <c r="D81" s="128"/>
      <c r="E81" s="13" t="s">
        <v>35</v>
      </c>
      <c r="F81" s="7">
        <v>1</v>
      </c>
      <c r="G81" s="176"/>
      <c r="H81" s="13" t="s">
        <v>36</v>
      </c>
      <c r="I81" s="7">
        <v>1</v>
      </c>
      <c r="J81" s="176"/>
      <c r="K81" s="40" t="s">
        <v>89</v>
      </c>
      <c r="L81" s="7">
        <v>1</v>
      </c>
      <c r="M81" s="176"/>
      <c r="N81" s="26" t="s">
        <v>223</v>
      </c>
      <c r="O81" s="7">
        <v>1</v>
      </c>
      <c r="P81" s="176"/>
      <c r="Q81" s="40"/>
      <c r="R81" s="7"/>
      <c r="S81" s="176"/>
    </row>
    <row r="82" spans="1:19">
      <c r="A82" s="170"/>
      <c r="B82" s="172"/>
      <c r="C82" s="174"/>
      <c r="D82" s="128"/>
      <c r="E82" s="13" t="s">
        <v>24</v>
      </c>
      <c r="F82" s="7">
        <v>1</v>
      </c>
      <c r="G82" s="176"/>
      <c r="H82" s="13" t="s">
        <v>24</v>
      </c>
      <c r="I82" s="7">
        <v>1</v>
      </c>
      <c r="J82" s="176"/>
      <c r="K82" s="40" t="s">
        <v>91</v>
      </c>
      <c r="L82" s="7">
        <v>1</v>
      </c>
      <c r="M82" s="176"/>
      <c r="N82" s="26" t="s">
        <v>224</v>
      </c>
      <c r="O82" s="7">
        <v>1</v>
      </c>
      <c r="P82" s="176"/>
      <c r="Q82" s="40"/>
      <c r="R82" s="7"/>
      <c r="S82" s="176"/>
    </row>
    <row r="83" spans="1:19">
      <c r="A83" s="170"/>
      <c r="B83" s="172"/>
      <c r="C83" s="174"/>
      <c r="D83" s="128"/>
      <c r="E83" s="13" t="s">
        <v>32</v>
      </c>
      <c r="F83" s="7">
        <v>1</v>
      </c>
      <c r="G83" s="176"/>
      <c r="H83" s="13"/>
      <c r="I83" s="7"/>
      <c r="J83" s="176"/>
      <c r="K83" s="19"/>
      <c r="L83" s="7"/>
      <c r="M83" s="176"/>
      <c r="N83" s="19" t="s">
        <v>25</v>
      </c>
      <c r="O83" s="7">
        <v>1</v>
      </c>
      <c r="P83" s="176"/>
      <c r="Q83" s="19"/>
      <c r="R83" s="7"/>
      <c r="S83" s="176"/>
    </row>
    <row r="84" spans="1:19">
      <c r="A84" s="170"/>
      <c r="B84" s="172"/>
      <c r="C84" s="174"/>
      <c r="D84" s="128"/>
      <c r="E84" s="13" t="s">
        <v>25</v>
      </c>
      <c r="F84" s="7">
        <v>1</v>
      </c>
      <c r="G84" s="176"/>
      <c r="H84" s="13"/>
      <c r="I84" s="7"/>
      <c r="J84" s="184"/>
      <c r="K84" s="19"/>
      <c r="L84" s="7"/>
      <c r="M84" s="184"/>
      <c r="N84" s="19"/>
      <c r="O84" s="7"/>
      <c r="P84" s="184"/>
      <c r="Q84" s="19"/>
      <c r="R84" s="7"/>
      <c r="S84" s="184"/>
    </row>
    <row r="85" spans="1:19" ht="22.5" customHeight="1">
      <c r="A85" s="170"/>
      <c r="B85" s="173"/>
      <c r="C85" s="174"/>
      <c r="D85" s="128"/>
      <c r="E85" s="15" t="s">
        <v>7</v>
      </c>
      <c r="F85" s="15">
        <f>SUM(F80:F84)</f>
        <v>5</v>
      </c>
      <c r="G85" s="16">
        <f>SUM(G80:G84)</f>
        <v>7079.6460176991159</v>
      </c>
      <c r="H85" s="15" t="s">
        <v>7</v>
      </c>
      <c r="I85" s="15">
        <f>SUM(I80:I83)</f>
        <v>3</v>
      </c>
      <c r="J85" s="16">
        <f>SUM(J80:J83)</f>
        <v>4867.2566371681423</v>
      </c>
      <c r="K85" s="15" t="s">
        <v>7</v>
      </c>
      <c r="L85" s="15">
        <f>SUM(L80:L83)</f>
        <v>3</v>
      </c>
      <c r="M85" s="16">
        <f>SUM(M80)</f>
        <v>26000</v>
      </c>
      <c r="N85" s="15" t="s">
        <v>7</v>
      </c>
      <c r="O85" s="15">
        <f>SUM(O80:O83)</f>
        <v>4</v>
      </c>
      <c r="P85" s="16">
        <f>SUM(P80)</f>
        <v>24500</v>
      </c>
      <c r="Q85" s="15" t="s">
        <v>7</v>
      </c>
      <c r="R85" s="15">
        <f>SUM(R80:R83)</f>
        <v>0</v>
      </c>
      <c r="S85" s="16">
        <f>SUM(S80)</f>
        <v>12000.000000000002</v>
      </c>
    </row>
    <row r="86" spans="1:19" s="12" customFormat="1" ht="23.25" customHeight="1">
      <c r="A86" s="180" t="s">
        <v>8</v>
      </c>
      <c r="B86" s="180"/>
      <c r="C86" s="180"/>
      <c r="D86" s="134"/>
      <c r="E86" s="178">
        <f>G85/100000</f>
        <v>7.0796460176991163E-2</v>
      </c>
      <c r="F86" s="178"/>
      <c r="G86" s="179"/>
      <c r="H86" s="178">
        <f>J85/100000</f>
        <v>4.8672566371681422E-2</v>
      </c>
      <c r="I86" s="178"/>
      <c r="J86" s="179"/>
      <c r="K86" s="178">
        <f>M85/100000</f>
        <v>0.26</v>
      </c>
      <c r="L86" s="178"/>
      <c r="M86" s="179"/>
      <c r="N86" s="178">
        <f>P85/100000</f>
        <v>0.245</v>
      </c>
      <c r="O86" s="178"/>
      <c r="P86" s="179"/>
      <c r="Q86" s="178">
        <f>S85/100000</f>
        <v>0.12000000000000002</v>
      </c>
      <c r="R86" s="178"/>
      <c r="S86" s="179"/>
    </row>
    <row r="87" spans="1:19">
      <c r="A87" s="170" t="s">
        <v>53</v>
      </c>
      <c r="B87" s="171" t="s">
        <v>54</v>
      </c>
      <c r="C87" s="174"/>
      <c r="D87" s="128"/>
      <c r="E87" s="13" t="s">
        <v>20</v>
      </c>
      <c r="F87" s="7">
        <v>1</v>
      </c>
      <c r="G87" s="175">
        <f>21000/1.13</f>
        <v>18584.070796460179</v>
      </c>
      <c r="H87" s="13" t="s">
        <v>20</v>
      </c>
      <c r="I87" s="7">
        <v>1</v>
      </c>
      <c r="J87" s="175">
        <f>8000/1.13</f>
        <v>7079.6460176991159</v>
      </c>
      <c r="K87" s="40" t="s">
        <v>88</v>
      </c>
      <c r="L87" s="7">
        <v>1</v>
      </c>
      <c r="M87" s="175">
        <v>36000</v>
      </c>
      <c r="N87" s="26" t="s">
        <v>222</v>
      </c>
      <c r="O87" s="7">
        <v>1</v>
      </c>
      <c r="P87" s="175">
        <f>33300+6500</f>
        <v>39800</v>
      </c>
      <c r="Q87" s="40"/>
      <c r="R87" s="7"/>
      <c r="S87" s="175">
        <f>22600/1.13</f>
        <v>20000.000000000004</v>
      </c>
    </row>
    <row r="88" spans="1:19">
      <c r="A88" s="170"/>
      <c r="B88" s="172"/>
      <c r="C88" s="174"/>
      <c r="D88" s="128"/>
      <c r="E88" s="13" t="s">
        <v>55</v>
      </c>
      <c r="F88" s="7">
        <v>1</v>
      </c>
      <c r="G88" s="176"/>
      <c r="H88" s="13" t="s">
        <v>36</v>
      </c>
      <c r="I88" s="7">
        <v>1</v>
      </c>
      <c r="J88" s="176"/>
      <c r="K88" s="40" t="s">
        <v>89</v>
      </c>
      <c r="L88" s="7">
        <v>1</v>
      </c>
      <c r="M88" s="176"/>
      <c r="N88" s="26" t="s">
        <v>226</v>
      </c>
      <c r="O88" s="7">
        <v>1</v>
      </c>
      <c r="P88" s="176"/>
      <c r="Q88" s="40"/>
      <c r="R88" s="7"/>
      <c r="S88" s="176"/>
    </row>
    <row r="89" spans="1:19">
      <c r="A89" s="170"/>
      <c r="B89" s="172"/>
      <c r="C89" s="174"/>
      <c r="D89" s="135"/>
      <c r="E89" s="28" t="s">
        <v>35</v>
      </c>
      <c r="F89" s="7">
        <v>1</v>
      </c>
      <c r="G89" s="176"/>
      <c r="H89" s="13" t="s">
        <v>36</v>
      </c>
      <c r="I89" s="7">
        <v>1</v>
      </c>
      <c r="J89" s="176"/>
      <c r="K89" s="40" t="s">
        <v>90</v>
      </c>
      <c r="L89" s="7">
        <v>1</v>
      </c>
      <c r="M89" s="176"/>
      <c r="N89" s="26" t="s">
        <v>227</v>
      </c>
      <c r="O89" s="7">
        <v>1</v>
      </c>
      <c r="P89" s="176"/>
      <c r="Q89" s="40"/>
      <c r="R89" s="7"/>
      <c r="S89" s="176"/>
    </row>
    <row r="90" spans="1:19">
      <c r="A90" s="170"/>
      <c r="B90" s="172"/>
      <c r="C90" s="174"/>
      <c r="D90" s="128"/>
      <c r="E90" s="13" t="s">
        <v>24</v>
      </c>
      <c r="F90" s="7">
        <v>1</v>
      </c>
      <c r="G90" s="176"/>
      <c r="H90" s="13" t="s">
        <v>24</v>
      </c>
      <c r="I90" s="7">
        <v>1</v>
      </c>
      <c r="J90" s="176"/>
      <c r="K90" s="40" t="s">
        <v>91</v>
      </c>
      <c r="L90" s="7">
        <v>1</v>
      </c>
      <c r="M90" s="176"/>
      <c r="N90" s="26" t="s">
        <v>225</v>
      </c>
      <c r="O90" s="7">
        <v>1</v>
      </c>
      <c r="P90" s="176"/>
      <c r="Q90" s="40"/>
      <c r="R90" s="7"/>
      <c r="S90" s="176"/>
    </row>
    <row r="91" spans="1:19">
      <c r="A91" s="170"/>
      <c r="B91" s="172"/>
      <c r="C91" s="174"/>
      <c r="D91" s="128"/>
      <c r="E91" s="13" t="s">
        <v>32</v>
      </c>
      <c r="F91" s="7">
        <v>1</v>
      </c>
      <c r="G91" s="176"/>
      <c r="H91" s="13" t="s">
        <v>24</v>
      </c>
      <c r="I91" s="7">
        <v>1</v>
      </c>
      <c r="J91" s="176"/>
      <c r="K91" s="19"/>
      <c r="L91" s="7"/>
      <c r="M91" s="176"/>
      <c r="N91" s="26" t="s">
        <v>228</v>
      </c>
      <c r="O91" s="7">
        <v>1</v>
      </c>
      <c r="P91" s="176"/>
      <c r="Q91" s="19"/>
      <c r="R91" s="7"/>
      <c r="S91" s="176"/>
    </row>
    <row r="92" spans="1:19">
      <c r="A92" s="170"/>
      <c r="B92" s="172"/>
      <c r="C92" s="174"/>
      <c r="D92" s="128"/>
      <c r="E92" s="13" t="s">
        <v>25</v>
      </c>
      <c r="F92" s="7">
        <v>1</v>
      </c>
      <c r="G92" s="184"/>
      <c r="H92" s="13" t="s">
        <v>25</v>
      </c>
      <c r="I92" s="7">
        <v>1</v>
      </c>
      <c r="J92" s="184"/>
      <c r="K92" s="19"/>
      <c r="L92" s="7"/>
      <c r="M92" s="184"/>
      <c r="N92" s="19" t="s">
        <v>25</v>
      </c>
      <c r="O92" s="7">
        <v>1</v>
      </c>
      <c r="P92" s="184"/>
      <c r="Q92" s="19"/>
      <c r="R92" s="7"/>
      <c r="S92" s="184"/>
    </row>
    <row r="93" spans="1:19" ht="22.5" customHeight="1">
      <c r="A93" s="170"/>
      <c r="B93" s="173"/>
      <c r="C93" s="174"/>
      <c r="D93" s="128"/>
      <c r="E93" s="15" t="s">
        <v>7</v>
      </c>
      <c r="F93" s="15">
        <f>SUM(F87:F92)</f>
        <v>6</v>
      </c>
      <c r="G93" s="16">
        <f>SUM(G87:G92)</f>
        <v>18584.070796460179</v>
      </c>
      <c r="H93" s="15" t="s">
        <v>7</v>
      </c>
      <c r="I93" s="15">
        <f>SUM(I87:I92)</f>
        <v>6</v>
      </c>
      <c r="J93" s="16">
        <f>SUM(J87:J90)</f>
        <v>7079.6460176991159</v>
      </c>
      <c r="K93" s="15" t="s">
        <v>7</v>
      </c>
      <c r="L93" s="15">
        <f>SUM(L87:L90)</f>
        <v>4</v>
      </c>
      <c r="M93" s="16">
        <f>SUM(M87)</f>
        <v>36000</v>
      </c>
      <c r="N93" s="15" t="s">
        <v>7</v>
      </c>
      <c r="O93" s="15">
        <f>SUM(O87:O90)</f>
        <v>4</v>
      </c>
      <c r="P93" s="16">
        <f>SUM(P87)</f>
        <v>39800</v>
      </c>
      <c r="Q93" s="15" t="s">
        <v>7</v>
      </c>
      <c r="R93" s="15">
        <f>SUM(R87:R90)</f>
        <v>0</v>
      </c>
      <c r="S93" s="16">
        <f>SUM(S87)</f>
        <v>20000.000000000004</v>
      </c>
    </row>
    <row r="94" spans="1:19" s="12" customFormat="1" ht="23.25" customHeight="1">
      <c r="A94" s="180" t="s">
        <v>8</v>
      </c>
      <c r="B94" s="180"/>
      <c r="C94" s="180"/>
      <c r="D94" s="134"/>
      <c r="E94" s="178">
        <f>G93/100000</f>
        <v>0.18584070796460178</v>
      </c>
      <c r="F94" s="178"/>
      <c r="G94" s="179"/>
      <c r="H94" s="178">
        <f>J93/100000</f>
        <v>7.0796460176991163E-2</v>
      </c>
      <c r="I94" s="178"/>
      <c r="J94" s="179"/>
      <c r="K94" s="178">
        <f>M93/100000</f>
        <v>0.36</v>
      </c>
      <c r="L94" s="178"/>
      <c r="M94" s="179"/>
      <c r="N94" s="178">
        <f>P93/100000</f>
        <v>0.39800000000000002</v>
      </c>
      <c r="O94" s="178"/>
      <c r="P94" s="179"/>
      <c r="Q94" s="178">
        <f>S93/100000</f>
        <v>0.20000000000000004</v>
      </c>
      <c r="R94" s="178"/>
      <c r="S94" s="179"/>
    </row>
    <row r="95" spans="1:19">
      <c r="A95" s="170" t="s">
        <v>56</v>
      </c>
      <c r="B95" s="171" t="s">
        <v>57</v>
      </c>
      <c r="C95" s="174"/>
      <c r="D95" s="128"/>
      <c r="E95" s="13" t="s">
        <v>39</v>
      </c>
      <c r="F95" s="7">
        <v>1</v>
      </c>
      <c r="G95" s="175">
        <f>3200/1.13</f>
        <v>2831.8584070796464</v>
      </c>
      <c r="H95" s="13" t="s">
        <v>20</v>
      </c>
      <c r="I95" s="7">
        <v>1</v>
      </c>
      <c r="J95" s="175">
        <f>1200/1.13</f>
        <v>1061.9469026548672</v>
      </c>
      <c r="K95" s="19"/>
      <c r="L95" s="7"/>
      <c r="M95" s="9"/>
      <c r="N95" s="19"/>
      <c r="O95" s="7"/>
      <c r="P95" s="9"/>
      <c r="Q95" s="19"/>
      <c r="R95" s="7"/>
      <c r="S95" s="9"/>
    </row>
    <row r="96" spans="1:19">
      <c r="A96" s="170"/>
      <c r="B96" s="172"/>
      <c r="C96" s="174"/>
      <c r="D96" s="128"/>
      <c r="E96" s="13" t="s">
        <v>25</v>
      </c>
      <c r="F96" s="7">
        <v>1</v>
      </c>
      <c r="G96" s="176"/>
      <c r="H96" s="13"/>
      <c r="I96" s="7"/>
      <c r="J96" s="176"/>
      <c r="K96" s="19"/>
      <c r="L96" s="7"/>
      <c r="M96" s="9"/>
      <c r="N96" s="19"/>
      <c r="O96" s="7"/>
      <c r="P96" s="9"/>
      <c r="Q96" s="19"/>
      <c r="R96" s="7"/>
      <c r="S96" s="9"/>
    </row>
    <row r="97" spans="1:19">
      <c r="A97" s="170"/>
      <c r="B97" s="172"/>
      <c r="C97" s="174"/>
      <c r="D97" s="135"/>
      <c r="E97" s="28"/>
      <c r="F97" s="7"/>
      <c r="G97" s="176"/>
      <c r="H97" s="13"/>
      <c r="I97" s="7"/>
      <c r="J97" s="176"/>
      <c r="K97" s="19"/>
      <c r="L97" s="7"/>
      <c r="M97" s="9"/>
      <c r="N97" s="19"/>
      <c r="O97" s="7"/>
      <c r="P97" s="9"/>
      <c r="Q97" s="19"/>
      <c r="R97" s="7"/>
      <c r="S97" s="9"/>
    </row>
    <row r="98" spans="1:19">
      <c r="A98" s="170"/>
      <c r="B98" s="172"/>
      <c r="C98" s="174"/>
      <c r="D98" s="128"/>
      <c r="E98" s="13"/>
      <c r="F98" s="7"/>
      <c r="G98" s="176"/>
      <c r="H98" s="13"/>
      <c r="I98" s="7"/>
      <c r="J98" s="176"/>
      <c r="K98" s="19"/>
      <c r="L98" s="7"/>
      <c r="M98" s="18"/>
      <c r="N98" s="19"/>
      <c r="O98" s="7"/>
      <c r="P98" s="112"/>
      <c r="Q98" s="19"/>
      <c r="R98" s="7"/>
      <c r="S98" s="127"/>
    </row>
    <row r="99" spans="1:19">
      <c r="A99" s="170"/>
      <c r="B99" s="172"/>
      <c r="C99" s="174"/>
      <c r="D99" s="128"/>
      <c r="E99" s="13"/>
      <c r="F99" s="7"/>
      <c r="G99" s="176"/>
      <c r="H99" s="13"/>
      <c r="I99" s="7"/>
      <c r="J99" s="176"/>
      <c r="K99" s="19"/>
      <c r="L99" s="7"/>
      <c r="M99" s="18"/>
      <c r="N99" s="19"/>
      <c r="O99" s="7"/>
      <c r="P99" s="112"/>
      <c r="Q99" s="19"/>
      <c r="R99" s="7"/>
      <c r="S99" s="127"/>
    </row>
    <row r="100" spans="1:19">
      <c r="A100" s="170"/>
      <c r="B100" s="172"/>
      <c r="C100" s="174"/>
      <c r="D100" s="128"/>
      <c r="E100" s="13"/>
      <c r="F100" s="7"/>
      <c r="G100" s="184"/>
      <c r="H100" s="13"/>
      <c r="I100" s="7"/>
      <c r="J100" s="184"/>
      <c r="K100" s="19"/>
      <c r="L100" s="7"/>
      <c r="M100" s="18"/>
      <c r="N100" s="19"/>
      <c r="O100" s="7"/>
      <c r="P100" s="112"/>
      <c r="Q100" s="19"/>
      <c r="R100" s="7"/>
      <c r="S100" s="127"/>
    </row>
    <row r="101" spans="1:19" ht="22.5" customHeight="1">
      <c r="A101" s="170"/>
      <c r="B101" s="173"/>
      <c r="C101" s="174"/>
      <c r="D101" s="128"/>
      <c r="E101" s="15" t="s">
        <v>7</v>
      </c>
      <c r="F101" s="15">
        <f>SUM(F95:F100)</f>
        <v>2</v>
      </c>
      <c r="G101" s="16">
        <f>SUM(G95:G100)</f>
        <v>2831.8584070796464</v>
      </c>
      <c r="H101" s="15" t="s">
        <v>7</v>
      </c>
      <c r="I101" s="15">
        <f>SUM(I95:I98)</f>
        <v>1</v>
      </c>
      <c r="J101" s="16">
        <f>SUM(J95:J98)</f>
        <v>1061.9469026548672</v>
      </c>
      <c r="K101" s="15" t="s">
        <v>7</v>
      </c>
      <c r="L101" s="15">
        <f>SUM(L95:L98)</f>
        <v>0</v>
      </c>
      <c r="M101" s="16">
        <f>SUM(M95:M100)</f>
        <v>0</v>
      </c>
      <c r="N101" s="15" t="s">
        <v>7</v>
      </c>
      <c r="O101" s="15">
        <f>SUM(O95:O98)</f>
        <v>0</v>
      </c>
      <c r="P101" s="16">
        <f>SUM(P95:P100)</f>
        <v>0</v>
      </c>
      <c r="Q101" s="15" t="s">
        <v>7</v>
      </c>
      <c r="R101" s="15">
        <f>SUM(R95:R98)</f>
        <v>0</v>
      </c>
      <c r="S101" s="16">
        <f>SUM(S95:S100)</f>
        <v>0</v>
      </c>
    </row>
    <row r="102" spans="1:19" s="12" customFormat="1" ht="23.25" customHeight="1">
      <c r="A102" s="180" t="s">
        <v>8</v>
      </c>
      <c r="B102" s="180"/>
      <c r="C102" s="180"/>
      <c r="D102" s="134"/>
      <c r="E102" s="178">
        <f>G101/100000</f>
        <v>2.8318584070796463E-2</v>
      </c>
      <c r="F102" s="178"/>
      <c r="G102" s="179"/>
      <c r="H102" s="178">
        <f>J101/100000</f>
        <v>1.0619469026548672E-2</v>
      </c>
      <c r="I102" s="178"/>
      <c r="J102" s="179"/>
      <c r="K102" s="168">
        <f>M101/100000</f>
        <v>0</v>
      </c>
      <c r="L102" s="168"/>
      <c r="M102" s="169"/>
      <c r="N102" s="168">
        <f>P101/100000</f>
        <v>0</v>
      </c>
      <c r="O102" s="168"/>
      <c r="P102" s="169"/>
      <c r="Q102" s="168">
        <f>S101/100000</f>
        <v>0</v>
      </c>
      <c r="R102" s="168"/>
      <c r="S102" s="169"/>
    </row>
    <row r="103" spans="1:19">
      <c r="A103" s="170" t="s">
        <v>58</v>
      </c>
      <c r="B103" s="171" t="s">
        <v>59</v>
      </c>
      <c r="C103" s="174"/>
      <c r="D103" s="128"/>
      <c r="E103" s="13" t="s">
        <v>20</v>
      </c>
      <c r="F103" s="7">
        <v>1</v>
      </c>
      <c r="G103" s="175">
        <f>1500/1.13</f>
        <v>1327.4336283185842</v>
      </c>
      <c r="H103" s="13" t="s">
        <v>20</v>
      </c>
      <c r="I103" s="7">
        <v>1</v>
      </c>
      <c r="J103" s="175">
        <f>600/1.13</f>
        <v>530.97345132743362</v>
      </c>
      <c r="K103" s="19"/>
      <c r="L103" s="7"/>
      <c r="M103" s="9"/>
      <c r="N103" s="19"/>
      <c r="O103" s="7"/>
      <c r="P103" s="9"/>
      <c r="Q103" s="19"/>
      <c r="R103" s="7"/>
      <c r="S103" s="9"/>
    </row>
    <row r="104" spans="1:19">
      <c r="A104" s="170"/>
      <c r="B104" s="172"/>
      <c r="C104" s="174"/>
      <c r="D104" s="128"/>
      <c r="E104" s="13" t="s">
        <v>25</v>
      </c>
      <c r="F104" s="7">
        <v>1</v>
      </c>
      <c r="G104" s="176"/>
      <c r="H104" s="13"/>
      <c r="I104" s="7"/>
      <c r="J104" s="176"/>
      <c r="K104" s="19"/>
      <c r="L104" s="7"/>
      <c r="M104" s="9"/>
      <c r="N104" s="19"/>
      <c r="O104" s="7"/>
      <c r="P104" s="9"/>
      <c r="Q104" s="19"/>
      <c r="R104" s="7"/>
      <c r="S104" s="9"/>
    </row>
    <row r="105" spans="1:19">
      <c r="A105" s="170"/>
      <c r="B105" s="172"/>
      <c r="C105" s="174"/>
      <c r="D105" s="135"/>
      <c r="E105" s="28"/>
      <c r="F105" s="7"/>
      <c r="G105" s="176"/>
      <c r="H105" s="13"/>
      <c r="I105" s="7"/>
      <c r="J105" s="176"/>
      <c r="K105" s="19"/>
      <c r="L105" s="7"/>
      <c r="M105" s="9"/>
      <c r="N105" s="19"/>
      <c r="O105" s="7"/>
      <c r="P105" s="9"/>
      <c r="Q105" s="19"/>
      <c r="R105" s="7"/>
      <c r="S105" s="9"/>
    </row>
    <row r="106" spans="1:19">
      <c r="A106" s="170"/>
      <c r="B106" s="172"/>
      <c r="C106" s="174"/>
      <c r="D106" s="128"/>
      <c r="E106" s="13"/>
      <c r="F106" s="7"/>
      <c r="G106" s="176"/>
      <c r="H106" s="13"/>
      <c r="I106" s="7"/>
      <c r="J106" s="176"/>
      <c r="K106" s="19"/>
      <c r="L106" s="7"/>
      <c r="M106" s="18"/>
      <c r="N106" s="19"/>
      <c r="O106" s="7"/>
      <c r="P106" s="112"/>
      <c r="Q106" s="19"/>
      <c r="R106" s="7"/>
      <c r="S106" s="127"/>
    </row>
    <row r="107" spans="1:19">
      <c r="A107" s="170"/>
      <c r="B107" s="172"/>
      <c r="C107" s="174"/>
      <c r="D107" s="128"/>
      <c r="E107" s="13"/>
      <c r="F107" s="7"/>
      <c r="G107" s="176"/>
      <c r="H107" s="13"/>
      <c r="I107" s="7"/>
      <c r="J107" s="176"/>
      <c r="K107" s="19"/>
      <c r="L107" s="7"/>
      <c r="M107" s="18"/>
      <c r="N107" s="19"/>
      <c r="O107" s="7"/>
      <c r="P107" s="112"/>
      <c r="Q107" s="19"/>
      <c r="R107" s="7"/>
      <c r="S107" s="127"/>
    </row>
    <row r="108" spans="1:19">
      <c r="A108" s="170"/>
      <c r="B108" s="172"/>
      <c r="C108" s="174"/>
      <c r="D108" s="128"/>
      <c r="E108" s="13"/>
      <c r="F108" s="7"/>
      <c r="G108" s="184"/>
      <c r="H108" s="13"/>
      <c r="I108" s="7"/>
      <c r="J108" s="184"/>
      <c r="K108" s="19"/>
      <c r="L108" s="7"/>
      <c r="M108" s="18"/>
      <c r="N108" s="19"/>
      <c r="O108" s="7"/>
      <c r="P108" s="112"/>
      <c r="Q108" s="19"/>
      <c r="R108" s="7"/>
      <c r="S108" s="127"/>
    </row>
    <row r="109" spans="1:19" ht="22.5" customHeight="1">
      <c r="A109" s="170"/>
      <c r="B109" s="173"/>
      <c r="C109" s="174"/>
      <c r="D109" s="128"/>
      <c r="E109" s="15" t="s">
        <v>7</v>
      </c>
      <c r="F109" s="15">
        <f>SUM(F103:F108)</f>
        <v>2</v>
      </c>
      <c r="G109" s="16">
        <f>SUM(G103:G108)</f>
        <v>1327.4336283185842</v>
      </c>
      <c r="H109" s="15" t="s">
        <v>7</v>
      </c>
      <c r="I109" s="15">
        <f>SUM(I103:I106)</f>
        <v>1</v>
      </c>
      <c r="J109" s="16">
        <f>SUM(J103:J106)</f>
        <v>530.97345132743362</v>
      </c>
      <c r="K109" s="15" t="s">
        <v>7</v>
      </c>
      <c r="L109" s="15">
        <f>SUM(L103:L106)</f>
        <v>0</v>
      </c>
      <c r="M109" s="16">
        <f>SUM(M103:M108)</f>
        <v>0</v>
      </c>
      <c r="N109" s="15" t="s">
        <v>7</v>
      </c>
      <c r="O109" s="15">
        <f>SUM(O103:O106)</f>
        <v>0</v>
      </c>
      <c r="P109" s="16">
        <f>SUM(P103:P108)</f>
        <v>0</v>
      </c>
      <c r="Q109" s="15" t="s">
        <v>7</v>
      </c>
      <c r="R109" s="15">
        <f>SUM(R103:R106)</f>
        <v>0</v>
      </c>
      <c r="S109" s="16">
        <f>SUM(S103:S108)</f>
        <v>0</v>
      </c>
    </row>
    <row r="110" spans="1:19" s="12" customFormat="1" ht="23.25" customHeight="1">
      <c r="A110" s="180" t="s">
        <v>8</v>
      </c>
      <c r="B110" s="180"/>
      <c r="C110" s="180"/>
      <c r="D110" s="134"/>
      <c r="E110" s="178">
        <f>G109/100000</f>
        <v>1.3274336283185842E-2</v>
      </c>
      <c r="F110" s="178"/>
      <c r="G110" s="179"/>
      <c r="H110" s="178">
        <f>J109/100000</f>
        <v>5.3097345132743362E-3</v>
      </c>
      <c r="I110" s="178"/>
      <c r="J110" s="179"/>
      <c r="K110" s="168">
        <f>M109/100000</f>
        <v>0</v>
      </c>
      <c r="L110" s="168"/>
      <c r="M110" s="169"/>
      <c r="N110" s="168">
        <f>P109/100000</f>
        <v>0</v>
      </c>
      <c r="O110" s="168"/>
      <c r="P110" s="169"/>
      <c r="Q110" s="168">
        <f>S109/100000</f>
        <v>0</v>
      </c>
      <c r="R110" s="168"/>
      <c r="S110" s="169"/>
    </row>
    <row r="111" spans="1:19">
      <c r="A111" s="170" t="s">
        <v>60</v>
      </c>
      <c r="B111" s="171" t="s">
        <v>61</v>
      </c>
      <c r="C111" s="174"/>
      <c r="D111" s="128"/>
      <c r="E111" s="13" t="s">
        <v>20</v>
      </c>
      <c r="F111" s="7">
        <v>1</v>
      </c>
      <c r="G111" s="175">
        <f>1500/1.13</f>
        <v>1327.4336283185842</v>
      </c>
      <c r="H111" s="13" t="s">
        <v>20</v>
      </c>
      <c r="I111" s="7">
        <v>1</v>
      </c>
      <c r="J111" s="175">
        <f>600/1.13</f>
        <v>530.97345132743362</v>
      </c>
      <c r="K111" s="19"/>
      <c r="L111" s="7"/>
      <c r="M111" s="9"/>
      <c r="N111" s="19"/>
      <c r="O111" s="7"/>
      <c r="P111" s="9"/>
      <c r="Q111" s="19"/>
      <c r="R111" s="7"/>
      <c r="S111" s="9"/>
    </row>
    <row r="112" spans="1:19">
      <c r="A112" s="170"/>
      <c r="B112" s="172"/>
      <c r="C112" s="174"/>
      <c r="D112" s="128"/>
      <c r="E112" s="13" t="s">
        <v>25</v>
      </c>
      <c r="F112" s="7">
        <v>1</v>
      </c>
      <c r="G112" s="176"/>
      <c r="H112" s="13"/>
      <c r="I112" s="7"/>
      <c r="J112" s="176"/>
      <c r="K112" s="19"/>
      <c r="L112" s="7"/>
      <c r="M112" s="9"/>
      <c r="N112" s="19"/>
      <c r="O112" s="7"/>
      <c r="P112" s="9"/>
      <c r="Q112" s="19"/>
      <c r="R112" s="7"/>
      <c r="S112" s="9"/>
    </row>
    <row r="113" spans="1:19">
      <c r="A113" s="170"/>
      <c r="B113" s="172"/>
      <c r="C113" s="174"/>
      <c r="D113" s="135"/>
      <c r="E113" s="28"/>
      <c r="F113" s="7"/>
      <c r="G113" s="176"/>
      <c r="H113" s="13"/>
      <c r="I113" s="7"/>
      <c r="J113" s="176"/>
      <c r="K113" s="19"/>
      <c r="L113" s="7"/>
      <c r="M113" s="9"/>
      <c r="N113" s="19"/>
      <c r="O113" s="7"/>
      <c r="P113" s="9"/>
      <c r="Q113" s="19"/>
      <c r="R113" s="7"/>
      <c r="S113" s="9"/>
    </row>
    <row r="114" spans="1:19">
      <c r="A114" s="170"/>
      <c r="B114" s="172"/>
      <c r="C114" s="174"/>
      <c r="D114" s="128"/>
      <c r="E114" s="13"/>
      <c r="F114" s="7"/>
      <c r="G114" s="176"/>
      <c r="H114" s="13"/>
      <c r="I114" s="7"/>
      <c r="J114" s="176"/>
      <c r="K114" s="19"/>
      <c r="L114" s="7"/>
      <c r="M114" s="18"/>
      <c r="N114" s="19"/>
      <c r="O114" s="7"/>
      <c r="P114" s="112"/>
      <c r="Q114" s="19"/>
      <c r="R114" s="7"/>
      <c r="S114" s="127"/>
    </row>
    <row r="115" spans="1:19">
      <c r="A115" s="170"/>
      <c r="B115" s="172"/>
      <c r="C115" s="174"/>
      <c r="D115" s="128"/>
      <c r="E115" s="13"/>
      <c r="F115" s="7"/>
      <c r="G115" s="176"/>
      <c r="H115" s="13"/>
      <c r="I115" s="7"/>
      <c r="J115" s="176"/>
      <c r="K115" s="19"/>
      <c r="L115" s="7"/>
      <c r="M115" s="18"/>
      <c r="N115" s="19"/>
      <c r="O115" s="7"/>
      <c r="P115" s="112"/>
      <c r="Q115" s="19"/>
      <c r="R115" s="7"/>
      <c r="S115" s="127"/>
    </row>
    <row r="116" spans="1:19">
      <c r="A116" s="170"/>
      <c r="B116" s="172"/>
      <c r="C116" s="174"/>
      <c r="D116" s="128"/>
      <c r="E116" s="13"/>
      <c r="F116" s="7"/>
      <c r="G116" s="184"/>
      <c r="H116" s="13"/>
      <c r="I116" s="7"/>
      <c r="J116" s="184"/>
      <c r="K116" s="19"/>
      <c r="L116" s="7"/>
      <c r="M116" s="18"/>
      <c r="N116" s="19"/>
      <c r="O116" s="7"/>
      <c r="P116" s="112"/>
      <c r="Q116" s="19"/>
      <c r="R116" s="7"/>
      <c r="S116" s="127"/>
    </row>
    <row r="117" spans="1:19" ht="22.5" customHeight="1">
      <c r="A117" s="170"/>
      <c r="B117" s="173"/>
      <c r="C117" s="174"/>
      <c r="D117" s="128"/>
      <c r="E117" s="15" t="s">
        <v>7</v>
      </c>
      <c r="F117" s="15">
        <f>SUM(F111:F116)</f>
        <v>2</v>
      </c>
      <c r="G117" s="16">
        <f>SUM(G111:G116)</f>
        <v>1327.4336283185842</v>
      </c>
      <c r="H117" s="15" t="s">
        <v>7</v>
      </c>
      <c r="I117" s="15">
        <f>SUM(I111:I114)</f>
        <v>1</v>
      </c>
      <c r="J117" s="16">
        <f>SUM(J111:J114)</f>
        <v>530.97345132743362</v>
      </c>
      <c r="K117" s="15" t="s">
        <v>7</v>
      </c>
      <c r="L117" s="15">
        <f>SUM(L111:L114)</f>
        <v>0</v>
      </c>
      <c r="M117" s="16">
        <f>SUM(M111:M116)</f>
        <v>0</v>
      </c>
      <c r="N117" s="15" t="s">
        <v>7</v>
      </c>
      <c r="O117" s="15">
        <f>SUM(O111:O114)</f>
        <v>0</v>
      </c>
      <c r="P117" s="16">
        <f>SUM(P111:P116)</f>
        <v>0</v>
      </c>
      <c r="Q117" s="15" t="s">
        <v>7</v>
      </c>
      <c r="R117" s="15">
        <f>SUM(R111:R114)</f>
        <v>0</v>
      </c>
      <c r="S117" s="16">
        <f>SUM(S111:S116)</f>
        <v>0</v>
      </c>
    </row>
    <row r="118" spans="1:19" s="12" customFormat="1" ht="23.25" customHeight="1">
      <c r="A118" s="180" t="s">
        <v>8</v>
      </c>
      <c r="B118" s="180"/>
      <c r="C118" s="180"/>
      <c r="D118" s="134"/>
      <c r="E118" s="178">
        <f>G117/100000</f>
        <v>1.3274336283185842E-2</v>
      </c>
      <c r="F118" s="178"/>
      <c r="G118" s="179"/>
      <c r="H118" s="178">
        <f>J117/100000</f>
        <v>5.3097345132743362E-3</v>
      </c>
      <c r="I118" s="178"/>
      <c r="J118" s="179"/>
      <c r="K118" s="168">
        <f>M117/100000</f>
        <v>0</v>
      </c>
      <c r="L118" s="168"/>
      <c r="M118" s="169"/>
      <c r="N118" s="168">
        <f>P117/100000</f>
        <v>0</v>
      </c>
      <c r="O118" s="168"/>
      <c r="P118" s="169"/>
      <c r="Q118" s="168">
        <f>S117/100000</f>
        <v>0</v>
      </c>
      <c r="R118" s="168"/>
      <c r="S118" s="169"/>
    </row>
    <row r="119" spans="1:19">
      <c r="A119" s="170" t="s">
        <v>62</v>
      </c>
      <c r="B119" s="171" t="s">
        <v>63</v>
      </c>
      <c r="C119" s="174"/>
      <c r="D119" s="128"/>
      <c r="E119" s="13" t="s">
        <v>20</v>
      </c>
      <c r="F119" s="7">
        <v>1</v>
      </c>
      <c r="G119" s="175">
        <f>3000/1.13</f>
        <v>2654.8672566371683</v>
      </c>
      <c r="H119" s="13" t="s">
        <v>20</v>
      </c>
      <c r="I119" s="7">
        <v>1</v>
      </c>
      <c r="J119" s="175">
        <f>2000/1.13</f>
        <v>1769.911504424779</v>
      </c>
      <c r="K119" s="19"/>
      <c r="L119" s="7"/>
      <c r="M119" s="9"/>
      <c r="N119" s="19"/>
      <c r="O119" s="7"/>
      <c r="P119" s="9"/>
      <c r="Q119" s="19"/>
      <c r="R119" s="7"/>
      <c r="S119" s="9"/>
    </row>
    <row r="120" spans="1:19">
      <c r="A120" s="170"/>
      <c r="B120" s="172"/>
      <c r="C120" s="174"/>
      <c r="D120" s="128"/>
      <c r="E120" s="29" t="s">
        <v>35</v>
      </c>
      <c r="F120" s="26">
        <v>1</v>
      </c>
      <c r="G120" s="176"/>
      <c r="H120" s="13" t="s">
        <v>36</v>
      </c>
      <c r="I120" s="7">
        <v>1</v>
      </c>
      <c r="J120" s="176"/>
      <c r="K120" s="19"/>
      <c r="L120" s="7"/>
      <c r="M120" s="9"/>
      <c r="N120" s="19"/>
      <c r="O120" s="7"/>
      <c r="P120" s="9"/>
      <c r="Q120" s="19"/>
      <c r="R120" s="7"/>
      <c r="S120" s="9"/>
    </row>
    <row r="121" spans="1:19">
      <c r="A121" s="170"/>
      <c r="B121" s="172"/>
      <c r="C121" s="174"/>
      <c r="D121" s="128"/>
      <c r="E121" s="13" t="s">
        <v>25</v>
      </c>
      <c r="F121" s="7">
        <v>1</v>
      </c>
      <c r="G121" s="176"/>
      <c r="H121" s="13"/>
      <c r="I121" s="7"/>
      <c r="J121" s="176"/>
      <c r="K121" s="19"/>
      <c r="L121" s="7"/>
      <c r="M121" s="9"/>
      <c r="N121" s="19"/>
      <c r="O121" s="7"/>
      <c r="P121" s="9"/>
      <c r="Q121" s="19"/>
      <c r="R121" s="7"/>
      <c r="S121" s="9"/>
    </row>
    <row r="122" spans="1:19">
      <c r="A122" s="170"/>
      <c r="B122" s="172"/>
      <c r="C122" s="174"/>
      <c r="D122" s="128"/>
      <c r="E122" s="13"/>
      <c r="F122" s="7"/>
      <c r="G122" s="176"/>
      <c r="H122" s="13"/>
      <c r="I122" s="7"/>
      <c r="J122" s="176"/>
      <c r="K122" s="19"/>
      <c r="L122" s="7"/>
      <c r="M122" s="18"/>
      <c r="N122" s="19"/>
      <c r="O122" s="7"/>
      <c r="P122" s="112"/>
      <c r="Q122" s="19"/>
      <c r="R122" s="7"/>
      <c r="S122" s="127"/>
    </row>
    <row r="123" spans="1:19">
      <c r="A123" s="170"/>
      <c r="B123" s="172"/>
      <c r="C123" s="174"/>
      <c r="D123" s="128"/>
      <c r="E123" s="13"/>
      <c r="F123" s="7"/>
      <c r="G123" s="176"/>
      <c r="H123" s="13"/>
      <c r="I123" s="7"/>
      <c r="J123" s="176"/>
      <c r="K123" s="19"/>
      <c r="L123" s="7"/>
      <c r="M123" s="18"/>
      <c r="N123" s="19"/>
      <c r="O123" s="7"/>
      <c r="P123" s="112"/>
      <c r="Q123" s="19"/>
      <c r="R123" s="7"/>
      <c r="S123" s="127"/>
    </row>
    <row r="124" spans="1:19">
      <c r="A124" s="170"/>
      <c r="B124" s="172"/>
      <c r="C124" s="174"/>
      <c r="D124" s="128"/>
      <c r="E124" s="13"/>
      <c r="F124" s="7"/>
      <c r="G124" s="184"/>
      <c r="H124" s="13"/>
      <c r="I124" s="7"/>
      <c r="J124" s="184"/>
      <c r="K124" s="19"/>
      <c r="L124" s="7"/>
      <c r="M124" s="18"/>
      <c r="N124" s="19"/>
      <c r="O124" s="7"/>
      <c r="P124" s="112"/>
      <c r="Q124" s="19"/>
      <c r="R124" s="7"/>
      <c r="S124" s="127"/>
    </row>
    <row r="125" spans="1:19" ht="22.5" customHeight="1">
      <c r="A125" s="170"/>
      <c r="B125" s="173"/>
      <c r="C125" s="174"/>
      <c r="D125" s="128"/>
      <c r="E125" s="15" t="s">
        <v>7</v>
      </c>
      <c r="F125" s="15">
        <f>SUM(F119:F124)</f>
        <v>3</v>
      </c>
      <c r="G125" s="16">
        <f>SUM(G119:G124)</f>
        <v>2654.8672566371683</v>
      </c>
      <c r="H125" s="15" t="s">
        <v>7</v>
      </c>
      <c r="I125" s="15">
        <f>SUM(I119:I122)</f>
        <v>2</v>
      </c>
      <c r="J125" s="16">
        <f>SUM(J119:J122)</f>
        <v>1769.911504424779</v>
      </c>
      <c r="K125" s="15" t="s">
        <v>7</v>
      </c>
      <c r="L125" s="15">
        <f>SUM(L119:L122)</f>
        <v>0</v>
      </c>
      <c r="M125" s="16">
        <f>SUM(M119:M124)</f>
        <v>0</v>
      </c>
      <c r="N125" s="15" t="s">
        <v>7</v>
      </c>
      <c r="O125" s="15">
        <f>SUM(O119:O122)</f>
        <v>0</v>
      </c>
      <c r="P125" s="16">
        <f>SUM(P119:P124)</f>
        <v>0</v>
      </c>
      <c r="Q125" s="15" t="s">
        <v>7</v>
      </c>
      <c r="R125" s="15">
        <f>SUM(R119:R122)</f>
        <v>0</v>
      </c>
      <c r="S125" s="16">
        <f>SUM(S119:S124)</f>
        <v>0</v>
      </c>
    </row>
    <row r="126" spans="1:19" s="12" customFormat="1" ht="23.25" customHeight="1">
      <c r="A126" s="180" t="s">
        <v>8</v>
      </c>
      <c r="B126" s="180"/>
      <c r="C126" s="180"/>
      <c r="D126" s="134"/>
      <c r="E126" s="178">
        <f>G125/100000</f>
        <v>2.6548672566371685E-2</v>
      </c>
      <c r="F126" s="178"/>
      <c r="G126" s="179"/>
      <c r="H126" s="178">
        <f>J125/100000</f>
        <v>1.7699115044247791E-2</v>
      </c>
      <c r="I126" s="178"/>
      <c r="J126" s="179"/>
      <c r="K126" s="168">
        <f>M125/100000</f>
        <v>0</v>
      </c>
      <c r="L126" s="168"/>
      <c r="M126" s="169"/>
      <c r="N126" s="168">
        <f>P125/100000</f>
        <v>0</v>
      </c>
      <c r="O126" s="168"/>
      <c r="P126" s="169"/>
      <c r="Q126" s="168">
        <f>S125/100000</f>
        <v>0</v>
      </c>
      <c r="R126" s="168"/>
      <c r="S126" s="169"/>
    </row>
    <row r="127" spans="1:19">
      <c r="A127" s="170" t="s">
        <v>64</v>
      </c>
      <c r="B127" s="171" t="s">
        <v>65</v>
      </c>
      <c r="C127" s="174"/>
      <c r="D127" s="128"/>
      <c r="E127" s="13" t="s">
        <v>29</v>
      </c>
      <c r="F127" s="7">
        <v>1</v>
      </c>
      <c r="G127" s="175">
        <f>25000/1.13</f>
        <v>22123.893805309737</v>
      </c>
      <c r="H127" s="13" t="s">
        <v>20</v>
      </c>
      <c r="I127" s="7">
        <v>1</v>
      </c>
      <c r="J127" s="175">
        <f>18000/1.13</f>
        <v>15929.203539823011</v>
      </c>
      <c r="K127" s="40" t="s">
        <v>88</v>
      </c>
      <c r="L127" s="7">
        <v>1</v>
      </c>
      <c r="M127" s="181">
        <f>119000+16000</f>
        <v>135000</v>
      </c>
      <c r="N127" s="26" t="s">
        <v>222</v>
      </c>
      <c r="O127" s="7">
        <v>1</v>
      </c>
      <c r="P127" s="181">
        <f>34600+6500</f>
        <v>41100</v>
      </c>
      <c r="Q127" s="40"/>
      <c r="R127" s="7"/>
      <c r="S127" s="181">
        <f>33900/1.13</f>
        <v>30000.000000000004</v>
      </c>
    </row>
    <row r="128" spans="1:19">
      <c r="A128" s="170"/>
      <c r="B128" s="172"/>
      <c r="C128" s="174"/>
      <c r="D128" s="128"/>
      <c r="E128" s="13" t="s">
        <v>30</v>
      </c>
      <c r="F128" s="26">
        <v>1</v>
      </c>
      <c r="G128" s="176"/>
      <c r="H128" s="13" t="s">
        <v>36</v>
      </c>
      <c r="I128" s="7">
        <v>1</v>
      </c>
      <c r="J128" s="176"/>
      <c r="K128" s="40" t="s">
        <v>89</v>
      </c>
      <c r="L128" s="7">
        <v>1</v>
      </c>
      <c r="M128" s="182"/>
      <c r="N128" s="26" t="s">
        <v>223</v>
      </c>
      <c r="O128" s="7">
        <v>1</v>
      </c>
      <c r="P128" s="182"/>
      <c r="Q128" s="40"/>
      <c r="R128" s="7"/>
      <c r="S128" s="182"/>
    </row>
    <row r="129" spans="1:19">
      <c r="A129" s="170"/>
      <c r="B129" s="172"/>
      <c r="C129" s="174"/>
      <c r="D129" s="128"/>
      <c r="E129" s="13" t="s">
        <v>66</v>
      </c>
      <c r="F129" s="7">
        <v>1</v>
      </c>
      <c r="G129" s="176"/>
      <c r="H129" s="13" t="s">
        <v>46</v>
      </c>
      <c r="I129" s="7">
        <v>1</v>
      </c>
      <c r="J129" s="176"/>
      <c r="K129" s="40" t="s">
        <v>90</v>
      </c>
      <c r="L129" s="7">
        <v>1</v>
      </c>
      <c r="M129" s="182"/>
      <c r="N129" s="26" t="s">
        <v>224</v>
      </c>
      <c r="O129" s="7">
        <v>1</v>
      </c>
      <c r="P129" s="182"/>
      <c r="Q129" s="40"/>
      <c r="R129" s="7"/>
      <c r="S129" s="182"/>
    </row>
    <row r="130" spans="1:19">
      <c r="A130" s="170"/>
      <c r="B130" s="172"/>
      <c r="C130" s="174"/>
      <c r="D130" s="128"/>
      <c r="E130" s="13" t="s">
        <v>21</v>
      </c>
      <c r="F130" s="7">
        <v>1</v>
      </c>
      <c r="G130" s="176"/>
      <c r="H130" s="13" t="s">
        <v>24</v>
      </c>
      <c r="I130" s="7">
        <v>1</v>
      </c>
      <c r="J130" s="176"/>
      <c r="K130" s="40" t="s">
        <v>91</v>
      </c>
      <c r="L130" s="7">
        <v>1</v>
      </c>
      <c r="M130" s="182"/>
      <c r="N130" s="26" t="s">
        <v>225</v>
      </c>
      <c r="O130" s="7">
        <v>1</v>
      </c>
      <c r="P130" s="182"/>
      <c r="Q130" s="40"/>
      <c r="R130" s="7"/>
      <c r="S130" s="182"/>
    </row>
    <row r="131" spans="1:19">
      <c r="A131" s="170"/>
      <c r="B131" s="172"/>
      <c r="C131" s="174"/>
      <c r="D131" s="128"/>
      <c r="E131" s="13" t="s">
        <v>22</v>
      </c>
      <c r="F131" s="7">
        <v>1</v>
      </c>
      <c r="G131" s="176"/>
      <c r="H131" s="13" t="s">
        <v>24</v>
      </c>
      <c r="I131" s="7">
        <v>1</v>
      </c>
      <c r="J131" s="176"/>
      <c r="K131" s="40" t="s">
        <v>91</v>
      </c>
      <c r="L131" s="7">
        <v>1</v>
      </c>
      <c r="M131" s="182"/>
      <c r="N131" s="26" t="s">
        <v>222</v>
      </c>
      <c r="O131" s="7">
        <v>1</v>
      </c>
      <c r="P131" s="182"/>
      <c r="Q131" s="40"/>
      <c r="R131" s="7"/>
      <c r="S131" s="182"/>
    </row>
    <row r="132" spans="1:19">
      <c r="A132" s="170"/>
      <c r="B132" s="172"/>
      <c r="C132" s="174"/>
      <c r="D132" s="128"/>
      <c r="E132" s="13" t="s">
        <v>28</v>
      </c>
      <c r="F132" s="7">
        <v>1</v>
      </c>
      <c r="G132" s="176"/>
      <c r="H132" s="13" t="s">
        <v>20</v>
      </c>
      <c r="I132" s="7">
        <v>1</v>
      </c>
      <c r="J132" s="176"/>
      <c r="K132" s="40" t="s">
        <v>91</v>
      </c>
      <c r="L132" s="7">
        <v>1</v>
      </c>
      <c r="M132" s="182"/>
      <c r="N132" s="26" t="s">
        <v>223</v>
      </c>
      <c r="O132" s="7">
        <v>1</v>
      </c>
      <c r="P132" s="182"/>
      <c r="Q132" s="40"/>
      <c r="R132" s="7"/>
      <c r="S132" s="182"/>
    </row>
    <row r="133" spans="1:19">
      <c r="A133" s="170"/>
      <c r="B133" s="172"/>
      <c r="C133" s="174"/>
      <c r="D133" s="128"/>
      <c r="E133" s="13" t="s">
        <v>67</v>
      </c>
      <c r="F133" s="7">
        <v>1</v>
      </c>
      <c r="G133" s="176"/>
      <c r="H133" s="13" t="s">
        <v>36</v>
      </c>
      <c r="I133" s="7">
        <v>1</v>
      </c>
      <c r="J133" s="176"/>
      <c r="K133" s="40" t="s">
        <v>88</v>
      </c>
      <c r="L133" s="7">
        <v>1</v>
      </c>
      <c r="M133" s="182"/>
      <c r="N133" s="26" t="s">
        <v>222</v>
      </c>
      <c r="O133" s="7">
        <v>1</v>
      </c>
      <c r="P133" s="182"/>
      <c r="Q133" s="40"/>
      <c r="R133" s="7"/>
      <c r="S133" s="182"/>
    </row>
    <row r="134" spans="1:19">
      <c r="A134" s="170"/>
      <c r="B134" s="172"/>
      <c r="C134" s="174"/>
      <c r="D134" s="128"/>
      <c r="E134" s="13" t="s">
        <v>6</v>
      </c>
      <c r="F134" s="7">
        <v>1</v>
      </c>
      <c r="G134" s="176"/>
      <c r="H134" s="13" t="s">
        <v>20</v>
      </c>
      <c r="I134" s="7">
        <v>1</v>
      </c>
      <c r="J134" s="176"/>
      <c r="K134" s="40" t="s">
        <v>89</v>
      </c>
      <c r="L134" s="7">
        <v>1</v>
      </c>
      <c r="M134" s="182"/>
      <c r="N134" s="26" t="s">
        <v>223</v>
      </c>
      <c r="O134" s="7">
        <v>1</v>
      </c>
      <c r="P134" s="182"/>
      <c r="Q134" s="40"/>
      <c r="R134" s="7"/>
      <c r="S134" s="182"/>
    </row>
    <row r="135" spans="1:19">
      <c r="A135" s="170"/>
      <c r="B135" s="172"/>
      <c r="C135" s="174"/>
      <c r="D135" s="128"/>
      <c r="E135" s="13" t="s">
        <v>68</v>
      </c>
      <c r="F135" s="7">
        <v>1</v>
      </c>
      <c r="G135" s="176"/>
      <c r="H135" s="13" t="s">
        <v>36</v>
      </c>
      <c r="I135" s="7">
        <v>1</v>
      </c>
      <c r="J135" s="176"/>
      <c r="K135" s="40" t="s">
        <v>88</v>
      </c>
      <c r="L135" s="7">
        <v>1</v>
      </c>
      <c r="M135" s="182"/>
      <c r="N135" s="26" t="s">
        <v>224</v>
      </c>
      <c r="O135" s="7">
        <v>1</v>
      </c>
      <c r="P135" s="182"/>
      <c r="Q135" s="40"/>
      <c r="R135" s="7"/>
      <c r="S135" s="182"/>
    </row>
    <row r="136" spans="1:19">
      <c r="A136" s="170"/>
      <c r="B136" s="172"/>
      <c r="C136" s="174"/>
      <c r="D136" s="128"/>
      <c r="E136" s="13" t="s">
        <v>25</v>
      </c>
      <c r="F136" s="7">
        <v>1</v>
      </c>
      <c r="G136" s="176"/>
      <c r="H136" s="13" t="s">
        <v>24</v>
      </c>
      <c r="I136" s="7">
        <v>1</v>
      </c>
      <c r="J136" s="176"/>
      <c r="K136" s="40" t="s">
        <v>89</v>
      </c>
      <c r="L136" s="7">
        <v>1</v>
      </c>
      <c r="M136" s="182"/>
      <c r="N136" s="40" t="s">
        <v>25</v>
      </c>
      <c r="O136" s="7">
        <v>1</v>
      </c>
      <c r="P136" s="182"/>
      <c r="Q136" s="40"/>
      <c r="R136" s="7"/>
      <c r="S136" s="182"/>
    </row>
    <row r="137" spans="1:19">
      <c r="A137" s="170"/>
      <c r="B137" s="172"/>
      <c r="C137" s="174"/>
      <c r="D137" s="128"/>
      <c r="E137" s="13" t="s">
        <v>32</v>
      </c>
      <c r="F137" s="7">
        <v>1</v>
      </c>
      <c r="G137" s="176"/>
      <c r="H137" s="13" t="s">
        <v>87</v>
      </c>
      <c r="I137" s="7">
        <v>1</v>
      </c>
      <c r="J137" s="176"/>
      <c r="K137" s="40" t="s">
        <v>91</v>
      </c>
      <c r="L137" s="7">
        <v>1</v>
      </c>
      <c r="M137" s="182"/>
      <c r="N137" s="40"/>
      <c r="O137" s="7"/>
      <c r="P137" s="182"/>
      <c r="Q137" s="40"/>
      <c r="R137" s="7"/>
      <c r="S137" s="182"/>
    </row>
    <row r="138" spans="1:19">
      <c r="A138" s="170"/>
      <c r="B138" s="172"/>
      <c r="C138" s="174"/>
      <c r="D138" s="128"/>
      <c r="E138" s="38"/>
      <c r="F138" s="26"/>
      <c r="G138" s="184"/>
      <c r="H138" s="28" t="s">
        <v>25</v>
      </c>
      <c r="I138" s="7">
        <v>1</v>
      </c>
      <c r="J138" s="184"/>
      <c r="K138" s="19" t="s">
        <v>32</v>
      </c>
      <c r="L138" s="7">
        <v>2</v>
      </c>
      <c r="M138" s="183"/>
      <c r="N138" s="19"/>
      <c r="O138" s="7"/>
      <c r="P138" s="183"/>
      <c r="Q138" s="19"/>
      <c r="R138" s="7"/>
      <c r="S138" s="183"/>
    </row>
    <row r="139" spans="1:19" ht="22.5" customHeight="1">
      <c r="A139" s="170"/>
      <c r="B139" s="173"/>
      <c r="C139" s="174"/>
      <c r="D139" s="128"/>
      <c r="E139" s="15" t="s">
        <v>7</v>
      </c>
      <c r="F139" s="15">
        <f>SUM(F127:F137)</f>
        <v>11</v>
      </c>
      <c r="G139" s="16">
        <f>SUM(G127:G138)</f>
        <v>22123.893805309737</v>
      </c>
      <c r="H139" s="15" t="s">
        <v>7</v>
      </c>
      <c r="I139" s="15">
        <f>SUM(I127:I138)</f>
        <v>12</v>
      </c>
      <c r="J139" s="16">
        <f>SUM(J127:J138)</f>
        <v>15929.203539823011</v>
      </c>
      <c r="K139" s="15" t="s">
        <v>7</v>
      </c>
      <c r="L139" s="15">
        <f>SUM(L127:L138)</f>
        <v>13</v>
      </c>
      <c r="M139" s="16">
        <f>SUM(M127)</f>
        <v>135000</v>
      </c>
      <c r="N139" s="15" t="s">
        <v>7</v>
      </c>
      <c r="O139" s="15">
        <f>SUM(O127:O138)</f>
        <v>10</v>
      </c>
      <c r="P139" s="16">
        <f>SUM(P127)</f>
        <v>41100</v>
      </c>
      <c r="Q139" s="15" t="s">
        <v>7</v>
      </c>
      <c r="R139" s="15">
        <f>SUM(R127:R138)</f>
        <v>0</v>
      </c>
      <c r="S139" s="16">
        <f>SUM(S127)</f>
        <v>30000.000000000004</v>
      </c>
    </row>
    <row r="140" spans="1:19" s="12" customFormat="1" ht="23.25" customHeight="1">
      <c r="A140" s="180" t="s">
        <v>8</v>
      </c>
      <c r="B140" s="180"/>
      <c r="C140" s="180"/>
      <c r="D140" s="134"/>
      <c r="E140" s="178">
        <f>G139/100000</f>
        <v>0.22123893805309738</v>
      </c>
      <c r="F140" s="178"/>
      <c r="G140" s="179"/>
      <c r="H140" s="178">
        <f>J139/100000</f>
        <v>0.15929203539823011</v>
      </c>
      <c r="I140" s="178"/>
      <c r="J140" s="179"/>
      <c r="K140" s="178">
        <f>M139/100000</f>
        <v>1.35</v>
      </c>
      <c r="L140" s="178"/>
      <c r="M140" s="179"/>
      <c r="N140" s="178">
        <f>P139/100000</f>
        <v>0.41099999999999998</v>
      </c>
      <c r="O140" s="178"/>
      <c r="P140" s="179"/>
      <c r="Q140" s="178">
        <f>S139/100000</f>
        <v>0.30000000000000004</v>
      </c>
      <c r="R140" s="178"/>
      <c r="S140" s="179"/>
    </row>
    <row r="141" spans="1:19">
      <c r="A141" s="170" t="s">
        <v>69</v>
      </c>
      <c r="B141" s="171" t="s">
        <v>70</v>
      </c>
      <c r="C141" s="174"/>
      <c r="D141" s="128"/>
      <c r="E141" s="13" t="s">
        <v>20</v>
      </c>
      <c r="F141" s="7">
        <v>1</v>
      </c>
      <c r="G141" s="175">
        <f>8000/1.13</f>
        <v>7079.6460176991159</v>
      </c>
      <c r="H141" s="13" t="s">
        <v>20</v>
      </c>
      <c r="I141" s="7">
        <v>1</v>
      </c>
      <c r="J141" s="175">
        <f>7000/1.13</f>
        <v>6194.6902654867263</v>
      </c>
      <c r="K141" s="19"/>
      <c r="L141" s="7"/>
      <c r="M141" s="9"/>
      <c r="N141" s="19"/>
      <c r="O141" s="7"/>
      <c r="P141" s="9"/>
      <c r="Q141" s="19"/>
      <c r="R141" s="7"/>
      <c r="S141" s="9"/>
    </row>
    <row r="142" spans="1:19">
      <c r="A142" s="170"/>
      <c r="B142" s="172"/>
      <c r="C142" s="174"/>
      <c r="D142" s="128"/>
      <c r="E142" s="13" t="s">
        <v>35</v>
      </c>
      <c r="F142" s="26">
        <v>1</v>
      </c>
      <c r="G142" s="176"/>
      <c r="H142" s="13" t="s">
        <v>36</v>
      </c>
      <c r="I142" s="7">
        <v>1</v>
      </c>
      <c r="J142" s="176"/>
      <c r="K142" s="19"/>
      <c r="L142" s="7"/>
      <c r="M142" s="9"/>
      <c r="N142" s="19"/>
      <c r="O142" s="7"/>
      <c r="P142" s="9"/>
      <c r="Q142" s="19"/>
      <c r="R142" s="7"/>
      <c r="S142" s="9"/>
    </row>
    <row r="143" spans="1:19">
      <c r="A143" s="170"/>
      <c r="B143" s="172"/>
      <c r="C143" s="174"/>
      <c r="D143" s="128"/>
      <c r="E143" s="13" t="s">
        <v>24</v>
      </c>
      <c r="F143" s="7">
        <v>1</v>
      </c>
      <c r="G143" s="176"/>
      <c r="H143" s="13" t="s">
        <v>24</v>
      </c>
      <c r="I143" s="7">
        <v>1</v>
      </c>
      <c r="J143" s="176"/>
      <c r="K143" s="19"/>
      <c r="L143" s="7"/>
      <c r="M143" s="9"/>
      <c r="N143" s="19"/>
      <c r="O143" s="7"/>
      <c r="P143" s="9"/>
      <c r="Q143" s="19"/>
      <c r="R143" s="7"/>
      <c r="S143" s="9"/>
    </row>
    <row r="144" spans="1:19">
      <c r="A144" s="170"/>
      <c r="B144" s="172"/>
      <c r="C144" s="174"/>
      <c r="D144" s="128"/>
      <c r="E144" s="13" t="s">
        <v>25</v>
      </c>
      <c r="F144" s="7">
        <v>1</v>
      </c>
      <c r="G144" s="176"/>
      <c r="H144" s="13" t="s">
        <v>87</v>
      </c>
      <c r="I144" s="7">
        <v>1</v>
      </c>
      <c r="J144" s="176"/>
      <c r="K144" s="19"/>
      <c r="L144" s="7"/>
      <c r="M144" s="18"/>
      <c r="N144" s="19"/>
      <c r="O144" s="7"/>
      <c r="P144" s="112"/>
      <c r="Q144" s="19"/>
      <c r="R144" s="7"/>
      <c r="S144" s="127"/>
    </row>
    <row r="145" spans="1:19">
      <c r="A145" s="170"/>
      <c r="B145" s="172"/>
      <c r="C145" s="174"/>
      <c r="D145" s="128"/>
      <c r="E145" s="13" t="s">
        <v>32</v>
      </c>
      <c r="F145" s="7">
        <v>1</v>
      </c>
      <c r="G145" s="176"/>
      <c r="H145" s="13"/>
      <c r="I145" s="7"/>
      <c r="J145" s="176"/>
      <c r="K145" s="19"/>
      <c r="L145" s="7"/>
      <c r="M145" s="18"/>
      <c r="N145" s="19"/>
      <c r="O145" s="7"/>
      <c r="P145" s="112"/>
      <c r="Q145" s="19"/>
      <c r="R145" s="7"/>
      <c r="S145" s="127"/>
    </row>
    <row r="146" spans="1:19">
      <c r="A146" s="170"/>
      <c r="B146" s="172"/>
      <c r="C146" s="174"/>
      <c r="D146" s="128"/>
      <c r="E146" s="13"/>
      <c r="F146" s="7"/>
      <c r="G146" s="176"/>
      <c r="H146" s="13"/>
      <c r="I146" s="7"/>
      <c r="J146" s="176"/>
      <c r="K146" s="19"/>
      <c r="L146" s="7"/>
      <c r="M146" s="18"/>
      <c r="N146" s="19"/>
      <c r="O146" s="7"/>
      <c r="P146" s="112"/>
      <c r="Q146" s="19"/>
      <c r="R146" s="7"/>
      <c r="S146" s="127"/>
    </row>
    <row r="147" spans="1:19">
      <c r="A147" s="170"/>
      <c r="B147" s="172"/>
      <c r="C147" s="174"/>
      <c r="D147" s="128"/>
      <c r="E147" s="13"/>
      <c r="F147" s="7"/>
      <c r="G147" s="176"/>
      <c r="H147" s="13"/>
      <c r="I147" s="7"/>
      <c r="J147" s="176"/>
      <c r="K147" s="19"/>
      <c r="L147" s="7"/>
      <c r="M147" s="18"/>
      <c r="N147" s="19"/>
      <c r="O147" s="7"/>
      <c r="P147" s="112"/>
      <c r="Q147" s="19"/>
      <c r="R147" s="7"/>
      <c r="S147" s="127"/>
    </row>
    <row r="148" spans="1:19">
      <c r="A148" s="170"/>
      <c r="B148" s="172"/>
      <c r="C148" s="174"/>
      <c r="D148" s="128"/>
      <c r="E148" s="13"/>
      <c r="F148" s="7"/>
      <c r="G148" s="176"/>
      <c r="H148" s="13"/>
      <c r="I148" s="7"/>
      <c r="J148" s="176"/>
      <c r="K148" s="19"/>
      <c r="L148" s="7"/>
      <c r="M148" s="18"/>
      <c r="N148" s="19"/>
      <c r="O148" s="7"/>
      <c r="P148" s="112"/>
      <c r="Q148" s="19"/>
      <c r="R148" s="7"/>
      <c r="S148" s="127"/>
    </row>
    <row r="149" spans="1:19">
      <c r="A149" s="170"/>
      <c r="B149" s="172"/>
      <c r="C149" s="174"/>
      <c r="D149" s="128"/>
      <c r="E149" s="13"/>
      <c r="F149" s="7"/>
      <c r="G149" s="176"/>
      <c r="H149" s="13"/>
      <c r="I149" s="7"/>
      <c r="J149" s="184"/>
      <c r="K149" s="19"/>
      <c r="L149" s="7"/>
      <c r="M149" s="18"/>
      <c r="N149" s="19"/>
      <c r="O149" s="7"/>
      <c r="P149" s="112"/>
      <c r="Q149" s="19"/>
      <c r="R149" s="7"/>
      <c r="S149" s="127"/>
    </row>
    <row r="150" spans="1:19" ht="22.5" customHeight="1">
      <c r="A150" s="170"/>
      <c r="B150" s="173"/>
      <c r="C150" s="174"/>
      <c r="D150" s="128"/>
      <c r="E150" s="15" t="s">
        <v>7</v>
      </c>
      <c r="F150" s="15">
        <f>SUM(F141:F149)</f>
        <v>5</v>
      </c>
      <c r="G150" s="16">
        <f>SUM(G141:G149)</f>
        <v>7079.6460176991159</v>
      </c>
      <c r="H150" s="15" t="s">
        <v>7</v>
      </c>
      <c r="I150" s="15">
        <f>SUM(I141:I144)</f>
        <v>4</v>
      </c>
      <c r="J150" s="16">
        <f>SUM(J141:J144)</f>
        <v>6194.6902654867263</v>
      </c>
      <c r="K150" s="15" t="s">
        <v>7</v>
      </c>
      <c r="L150" s="15">
        <f>SUM(L141:L144)</f>
        <v>0</v>
      </c>
      <c r="M150" s="16">
        <f>SUM(M141:M149)</f>
        <v>0</v>
      </c>
      <c r="N150" s="15" t="s">
        <v>7</v>
      </c>
      <c r="O150" s="15">
        <f>SUM(O141:O144)</f>
        <v>0</v>
      </c>
      <c r="P150" s="16">
        <f>SUM(P141:P149)</f>
        <v>0</v>
      </c>
      <c r="Q150" s="15" t="s">
        <v>7</v>
      </c>
      <c r="R150" s="15">
        <f>SUM(R141:R144)</f>
        <v>0</v>
      </c>
      <c r="S150" s="16">
        <f>SUM(S141:S149)</f>
        <v>0</v>
      </c>
    </row>
    <row r="151" spans="1:19" s="12" customFormat="1" ht="23.25" customHeight="1">
      <c r="A151" s="180" t="s">
        <v>8</v>
      </c>
      <c r="B151" s="180"/>
      <c r="C151" s="180"/>
      <c r="D151" s="134"/>
      <c r="E151" s="178">
        <f>G150/100000</f>
        <v>7.0796460176991163E-2</v>
      </c>
      <c r="F151" s="178"/>
      <c r="G151" s="179"/>
      <c r="H151" s="178">
        <f>J150/100000</f>
        <v>6.1946902654867263E-2</v>
      </c>
      <c r="I151" s="178"/>
      <c r="J151" s="179"/>
      <c r="K151" s="168">
        <f>M150/100000</f>
        <v>0</v>
      </c>
      <c r="L151" s="168"/>
      <c r="M151" s="169"/>
      <c r="N151" s="168">
        <f>P150/100000</f>
        <v>0</v>
      </c>
      <c r="O151" s="168"/>
      <c r="P151" s="169"/>
      <c r="Q151" s="168">
        <f>S150/100000</f>
        <v>0</v>
      </c>
      <c r="R151" s="168"/>
      <c r="S151" s="169"/>
    </row>
    <row r="152" spans="1:19">
      <c r="A152" s="170" t="s">
        <v>71</v>
      </c>
      <c r="B152" s="171" t="s">
        <v>72</v>
      </c>
      <c r="C152" s="174"/>
      <c r="D152" s="128"/>
      <c r="E152" s="13" t="s">
        <v>20</v>
      </c>
      <c r="F152" s="7">
        <v>1</v>
      </c>
      <c r="G152" s="175">
        <f>1500/1.13</f>
        <v>1327.4336283185842</v>
      </c>
      <c r="H152" s="7" t="s">
        <v>20</v>
      </c>
      <c r="I152" s="7">
        <v>1</v>
      </c>
      <c r="J152" s="175">
        <f>600/1.13</f>
        <v>530.97345132743362</v>
      </c>
      <c r="K152" s="19"/>
      <c r="L152" s="7"/>
      <c r="M152" s="9"/>
      <c r="N152" s="19"/>
      <c r="O152" s="7"/>
      <c r="P152" s="9"/>
      <c r="Q152" s="19"/>
      <c r="R152" s="7"/>
      <c r="S152" s="9"/>
    </row>
    <row r="153" spans="1:19">
      <c r="A153" s="170"/>
      <c r="B153" s="172"/>
      <c r="C153" s="174"/>
      <c r="D153" s="128"/>
      <c r="E153" s="13" t="s">
        <v>25</v>
      </c>
      <c r="F153" s="26">
        <v>1</v>
      </c>
      <c r="G153" s="176"/>
      <c r="H153" s="13"/>
      <c r="I153" s="7"/>
      <c r="J153" s="176"/>
      <c r="K153" s="19"/>
      <c r="L153" s="7"/>
      <c r="M153" s="9"/>
      <c r="N153" s="19"/>
      <c r="O153" s="7"/>
      <c r="P153" s="9"/>
      <c r="Q153" s="19"/>
      <c r="R153" s="7"/>
      <c r="S153" s="9"/>
    </row>
    <row r="154" spans="1:19">
      <c r="A154" s="170"/>
      <c r="B154" s="172"/>
      <c r="C154" s="174"/>
      <c r="D154" s="128"/>
      <c r="E154" s="13"/>
      <c r="F154" s="7"/>
      <c r="G154" s="176"/>
      <c r="H154" s="13"/>
      <c r="I154" s="7"/>
      <c r="J154" s="176"/>
      <c r="K154" s="19"/>
      <c r="L154" s="7"/>
      <c r="M154" s="9"/>
      <c r="N154" s="19"/>
      <c r="O154" s="7"/>
      <c r="P154" s="9"/>
      <c r="Q154" s="19"/>
      <c r="R154" s="7"/>
      <c r="S154" s="9"/>
    </row>
    <row r="155" spans="1:19">
      <c r="A155" s="170"/>
      <c r="B155" s="172"/>
      <c r="C155" s="174"/>
      <c r="D155" s="128"/>
      <c r="E155" s="13"/>
      <c r="F155" s="7"/>
      <c r="G155" s="176"/>
      <c r="H155" s="13"/>
      <c r="I155" s="7"/>
      <c r="J155" s="176"/>
      <c r="K155" s="19"/>
      <c r="L155" s="7"/>
      <c r="M155" s="18"/>
      <c r="N155" s="19"/>
      <c r="O155" s="7"/>
      <c r="P155" s="112"/>
      <c r="Q155" s="19"/>
      <c r="R155" s="7"/>
      <c r="S155" s="127"/>
    </row>
    <row r="156" spans="1:19">
      <c r="A156" s="170"/>
      <c r="B156" s="172"/>
      <c r="C156" s="174"/>
      <c r="D156" s="128"/>
      <c r="E156" s="13"/>
      <c r="F156" s="7"/>
      <c r="G156" s="176"/>
      <c r="H156" s="13"/>
      <c r="I156" s="7"/>
      <c r="J156" s="176"/>
      <c r="K156" s="19"/>
      <c r="L156" s="7"/>
      <c r="M156" s="18"/>
      <c r="N156" s="19"/>
      <c r="O156" s="7"/>
      <c r="P156" s="112"/>
      <c r="Q156" s="19"/>
      <c r="R156" s="7"/>
      <c r="S156" s="127"/>
    </row>
    <row r="157" spans="1:19">
      <c r="A157" s="170"/>
      <c r="B157" s="172"/>
      <c r="C157" s="174"/>
      <c r="D157" s="128"/>
      <c r="E157" s="13"/>
      <c r="F157" s="7"/>
      <c r="G157" s="176"/>
      <c r="H157" s="13"/>
      <c r="I157" s="7"/>
      <c r="J157" s="176"/>
      <c r="K157" s="19"/>
      <c r="L157" s="7"/>
      <c r="M157" s="18"/>
      <c r="N157" s="19"/>
      <c r="O157" s="7"/>
      <c r="P157" s="112"/>
      <c r="Q157" s="19"/>
      <c r="R157" s="7"/>
      <c r="S157" s="127"/>
    </row>
    <row r="158" spans="1:19">
      <c r="A158" s="170"/>
      <c r="B158" s="172"/>
      <c r="C158" s="174"/>
      <c r="D158" s="128"/>
      <c r="E158" s="13"/>
      <c r="F158" s="7"/>
      <c r="G158" s="176"/>
      <c r="H158" s="13"/>
      <c r="I158" s="7"/>
      <c r="J158" s="176"/>
      <c r="K158" s="19"/>
      <c r="L158" s="7"/>
      <c r="M158" s="18"/>
      <c r="N158" s="19"/>
      <c r="O158" s="7"/>
      <c r="P158" s="112"/>
      <c r="Q158" s="19"/>
      <c r="R158" s="7"/>
      <c r="S158" s="127"/>
    </row>
    <row r="159" spans="1:19">
      <c r="A159" s="170"/>
      <c r="B159" s="172"/>
      <c r="C159" s="174"/>
      <c r="D159" s="128"/>
      <c r="E159" s="13"/>
      <c r="F159" s="7"/>
      <c r="G159" s="176"/>
      <c r="H159" s="13"/>
      <c r="I159" s="7"/>
      <c r="J159" s="176"/>
      <c r="K159" s="19"/>
      <c r="L159" s="7"/>
      <c r="M159" s="18"/>
      <c r="N159" s="19"/>
      <c r="O159" s="7"/>
      <c r="P159" s="112"/>
      <c r="Q159" s="19"/>
      <c r="R159" s="7"/>
      <c r="S159" s="127"/>
    </row>
    <row r="160" spans="1:19">
      <c r="A160" s="170"/>
      <c r="B160" s="172"/>
      <c r="C160" s="174"/>
      <c r="D160" s="128"/>
      <c r="E160" s="13"/>
      <c r="F160" s="7"/>
      <c r="G160" s="176"/>
      <c r="H160" s="13"/>
      <c r="I160" s="7"/>
      <c r="J160" s="184"/>
      <c r="K160" s="19"/>
      <c r="L160" s="7"/>
      <c r="M160" s="18"/>
      <c r="N160" s="19"/>
      <c r="O160" s="7"/>
      <c r="P160" s="112"/>
      <c r="Q160" s="19"/>
      <c r="R160" s="7"/>
      <c r="S160" s="127"/>
    </row>
    <row r="161" spans="1:19" ht="22.5" customHeight="1">
      <c r="A161" s="170"/>
      <c r="B161" s="173"/>
      <c r="C161" s="174"/>
      <c r="D161" s="128"/>
      <c r="E161" s="15" t="s">
        <v>7</v>
      </c>
      <c r="F161" s="15">
        <f>SUM(F152:F160)</f>
        <v>2</v>
      </c>
      <c r="G161" s="16">
        <f>SUM(G152:G160)</f>
        <v>1327.4336283185842</v>
      </c>
      <c r="H161" s="15" t="s">
        <v>7</v>
      </c>
      <c r="I161" s="15">
        <f>SUM(I152:I155)</f>
        <v>1</v>
      </c>
      <c r="J161" s="16">
        <f>SUM(J152:J155)</f>
        <v>530.97345132743362</v>
      </c>
      <c r="K161" s="15" t="s">
        <v>7</v>
      </c>
      <c r="L161" s="15">
        <f>SUM(L152:L155)</f>
        <v>0</v>
      </c>
      <c r="M161" s="16">
        <f>SUM(M152:M160)</f>
        <v>0</v>
      </c>
      <c r="N161" s="15" t="s">
        <v>7</v>
      </c>
      <c r="O161" s="15">
        <f>SUM(O152:O155)</f>
        <v>0</v>
      </c>
      <c r="P161" s="16">
        <f>SUM(P152:P160)</f>
        <v>0</v>
      </c>
      <c r="Q161" s="15" t="s">
        <v>7</v>
      </c>
      <c r="R161" s="15">
        <f>SUM(R152:R155)</f>
        <v>0</v>
      </c>
      <c r="S161" s="16">
        <f>SUM(S152:S160)</f>
        <v>0</v>
      </c>
    </row>
    <row r="162" spans="1:19" s="12" customFormat="1" ht="23.25" customHeight="1">
      <c r="A162" s="180" t="s">
        <v>8</v>
      </c>
      <c r="B162" s="180"/>
      <c r="C162" s="180"/>
      <c r="D162" s="134"/>
      <c r="E162" s="178">
        <f>G161/100000</f>
        <v>1.3274336283185842E-2</v>
      </c>
      <c r="F162" s="178"/>
      <c r="G162" s="179"/>
      <c r="H162" s="178">
        <f>J161/100000</f>
        <v>5.3097345132743362E-3</v>
      </c>
      <c r="I162" s="178"/>
      <c r="J162" s="179"/>
      <c r="K162" s="168">
        <f>M161/100000</f>
        <v>0</v>
      </c>
      <c r="L162" s="168"/>
      <c r="M162" s="169"/>
      <c r="N162" s="168">
        <f>P161/100000</f>
        <v>0</v>
      </c>
      <c r="O162" s="168"/>
      <c r="P162" s="169"/>
      <c r="Q162" s="168">
        <f>S161/100000</f>
        <v>0</v>
      </c>
      <c r="R162" s="168"/>
      <c r="S162" s="169"/>
    </row>
    <row r="163" spans="1:19">
      <c r="A163" s="170" t="s">
        <v>73</v>
      </c>
      <c r="B163" s="171" t="s">
        <v>74</v>
      </c>
      <c r="C163" s="174"/>
      <c r="D163" s="128"/>
      <c r="E163" s="13" t="s">
        <v>20</v>
      </c>
      <c r="F163" s="7">
        <v>1</v>
      </c>
      <c r="G163" s="175">
        <f>3500/1.13</f>
        <v>3097.3451327433631</v>
      </c>
      <c r="H163" s="13" t="s">
        <v>20</v>
      </c>
      <c r="I163" s="7">
        <v>1</v>
      </c>
      <c r="J163" s="175">
        <f>2500/1.13</f>
        <v>2212.3893805309735</v>
      </c>
      <c r="K163" s="19"/>
      <c r="L163" s="7"/>
      <c r="M163" s="9"/>
      <c r="N163" s="19"/>
      <c r="O163" s="7"/>
      <c r="P163" s="9"/>
      <c r="Q163" s="19"/>
      <c r="R163" s="7"/>
      <c r="S163" s="9"/>
    </row>
    <row r="164" spans="1:19">
      <c r="A164" s="170"/>
      <c r="B164" s="172"/>
      <c r="C164" s="174"/>
      <c r="D164" s="128"/>
      <c r="E164" s="13" t="s">
        <v>35</v>
      </c>
      <c r="F164" s="26">
        <v>1</v>
      </c>
      <c r="G164" s="176"/>
      <c r="H164" s="13" t="s">
        <v>36</v>
      </c>
      <c r="I164" s="7">
        <v>1</v>
      </c>
      <c r="J164" s="176"/>
      <c r="K164" s="19"/>
      <c r="L164" s="7"/>
      <c r="M164" s="9"/>
      <c r="N164" s="19"/>
      <c r="O164" s="7"/>
      <c r="P164" s="9"/>
      <c r="Q164" s="19"/>
      <c r="R164" s="7"/>
      <c r="S164" s="9"/>
    </row>
    <row r="165" spans="1:19">
      <c r="A165" s="170"/>
      <c r="B165" s="172"/>
      <c r="C165" s="174"/>
      <c r="D165" s="128"/>
      <c r="E165" s="13" t="s">
        <v>24</v>
      </c>
      <c r="F165" s="7">
        <v>1</v>
      </c>
      <c r="G165" s="176"/>
      <c r="H165" s="13" t="s">
        <v>24</v>
      </c>
      <c r="I165" s="7">
        <v>1</v>
      </c>
      <c r="J165" s="176"/>
      <c r="K165" s="19"/>
      <c r="L165" s="7"/>
      <c r="M165" s="9"/>
      <c r="N165" s="19"/>
      <c r="O165" s="7"/>
      <c r="P165" s="9"/>
      <c r="Q165" s="19"/>
      <c r="R165" s="7"/>
      <c r="S165" s="9"/>
    </row>
    <row r="166" spans="1:19">
      <c r="A166" s="170"/>
      <c r="B166" s="172"/>
      <c r="C166" s="174"/>
      <c r="D166" s="128"/>
      <c r="E166" s="13" t="s">
        <v>25</v>
      </c>
      <c r="F166" s="7">
        <v>1</v>
      </c>
      <c r="G166" s="176"/>
      <c r="H166" s="13" t="s">
        <v>25</v>
      </c>
      <c r="I166" s="7">
        <v>1</v>
      </c>
      <c r="J166" s="176"/>
      <c r="K166" s="19"/>
      <c r="L166" s="7"/>
      <c r="M166" s="18"/>
      <c r="N166" s="19"/>
      <c r="O166" s="7"/>
      <c r="P166" s="112"/>
      <c r="Q166" s="19"/>
      <c r="R166" s="7"/>
      <c r="S166" s="127"/>
    </row>
    <row r="167" spans="1:19">
      <c r="A167" s="170"/>
      <c r="B167" s="172"/>
      <c r="C167" s="174"/>
      <c r="D167" s="128"/>
      <c r="E167" s="13"/>
      <c r="F167" s="7"/>
      <c r="G167" s="176"/>
      <c r="H167" s="13"/>
      <c r="I167" s="7"/>
      <c r="J167" s="176"/>
      <c r="K167" s="19"/>
      <c r="L167" s="7"/>
      <c r="M167" s="18"/>
      <c r="N167" s="19"/>
      <c r="O167" s="7"/>
      <c r="P167" s="112"/>
      <c r="Q167" s="19"/>
      <c r="R167" s="7"/>
      <c r="S167" s="127"/>
    </row>
    <row r="168" spans="1:19">
      <c r="A168" s="170"/>
      <c r="B168" s="172"/>
      <c r="C168" s="174"/>
      <c r="D168" s="128"/>
      <c r="E168" s="13"/>
      <c r="F168" s="7"/>
      <c r="G168" s="176"/>
      <c r="H168" s="13"/>
      <c r="I168" s="7"/>
      <c r="J168" s="176"/>
      <c r="K168" s="19"/>
      <c r="L168" s="7"/>
      <c r="M168" s="18"/>
      <c r="N168" s="19"/>
      <c r="O168" s="7"/>
      <c r="P168" s="112"/>
      <c r="Q168" s="19"/>
      <c r="R168" s="7"/>
      <c r="S168" s="127"/>
    </row>
    <row r="169" spans="1:19">
      <c r="A169" s="170"/>
      <c r="B169" s="172"/>
      <c r="C169" s="174"/>
      <c r="D169" s="128"/>
      <c r="E169" s="13"/>
      <c r="F169" s="7"/>
      <c r="G169" s="176"/>
      <c r="H169" s="13"/>
      <c r="I169" s="7"/>
      <c r="J169" s="176"/>
      <c r="K169" s="19"/>
      <c r="L169" s="7"/>
      <c r="M169" s="18"/>
      <c r="N169" s="19"/>
      <c r="O169" s="7"/>
      <c r="P169" s="112"/>
      <c r="Q169" s="19"/>
      <c r="R169" s="7"/>
      <c r="S169" s="127"/>
    </row>
    <row r="170" spans="1:19">
      <c r="A170" s="170"/>
      <c r="B170" s="172"/>
      <c r="C170" s="174"/>
      <c r="D170" s="128"/>
      <c r="E170" s="13"/>
      <c r="F170" s="7"/>
      <c r="G170" s="176"/>
      <c r="H170" s="13"/>
      <c r="I170" s="7"/>
      <c r="J170" s="176"/>
      <c r="K170" s="19"/>
      <c r="L170" s="7"/>
      <c r="M170" s="18"/>
      <c r="N170" s="19"/>
      <c r="O170" s="7"/>
      <c r="P170" s="112"/>
      <c r="Q170" s="19"/>
      <c r="R170" s="7"/>
      <c r="S170" s="127"/>
    </row>
    <row r="171" spans="1:19">
      <c r="A171" s="170"/>
      <c r="B171" s="172"/>
      <c r="C171" s="174"/>
      <c r="D171" s="128"/>
      <c r="E171" s="13"/>
      <c r="F171" s="7"/>
      <c r="G171" s="176"/>
      <c r="H171" s="13"/>
      <c r="I171" s="7"/>
      <c r="J171" s="184"/>
      <c r="K171" s="19"/>
      <c r="L171" s="7"/>
      <c r="M171" s="18"/>
      <c r="N171" s="19"/>
      <c r="O171" s="7"/>
      <c r="P171" s="112"/>
      <c r="Q171" s="19"/>
      <c r="R171" s="7"/>
      <c r="S171" s="127"/>
    </row>
    <row r="172" spans="1:19" ht="22.5" customHeight="1">
      <c r="A172" s="170"/>
      <c r="B172" s="173"/>
      <c r="C172" s="174"/>
      <c r="D172" s="128"/>
      <c r="E172" s="15" t="s">
        <v>7</v>
      </c>
      <c r="F172" s="15">
        <f>SUM(F163:F171)</f>
        <v>4</v>
      </c>
      <c r="G172" s="16">
        <f>SUM(G163:G171)</f>
        <v>3097.3451327433631</v>
      </c>
      <c r="H172" s="15" t="s">
        <v>7</v>
      </c>
      <c r="I172" s="15">
        <f>SUM(I163:I166)</f>
        <v>4</v>
      </c>
      <c r="J172" s="16">
        <f>SUM(J163:J166)</f>
        <v>2212.3893805309735</v>
      </c>
      <c r="K172" s="15" t="s">
        <v>7</v>
      </c>
      <c r="L172" s="15">
        <f>SUM(L163:L166)</f>
        <v>0</v>
      </c>
      <c r="M172" s="16">
        <f>SUM(M163:M171)</f>
        <v>0</v>
      </c>
      <c r="N172" s="15" t="s">
        <v>7</v>
      </c>
      <c r="O172" s="15">
        <f>SUM(O163:O166)</f>
        <v>0</v>
      </c>
      <c r="P172" s="16">
        <f>SUM(P163:P171)</f>
        <v>0</v>
      </c>
      <c r="Q172" s="15" t="s">
        <v>7</v>
      </c>
      <c r="R172" s="15">
        <f>SUM(R163:R166)</f>
        <v>0</v>
      </c>
      <c r="S172" s="16">
        <f>SUM(S163:S171)</f>
        <v>0</v>
      </c>
    </row>
    <row r="173" spans="1:19" s="12" customFormat="1" ht="23.25" customHeight="1">
      <c r="A173" s="180" t="s">
        <v>8</v>
      </c>
      <c r="B173" s="180"/>
      <c r="C173" s="180"/>
      <c r="D173" s="134"/>
      <c r="E173" s="178">
        <f>G172/100000</f>
        <v>3.0973451327433631E-2</v>
      </c>
      <c r="F173" s="178"/>
      <c r="G173" s="179"/>
      <c r="H173" s="178">
        <f>J172/100000</f>
        <v>2.2123893805309734E-2</v>
      </c>
      <c r="I173" s="178"/>
      <c r="J173" s="179"/>
      <c r="K173" s="168">
        <f>M172/100000</f>
        <v>0</v>
      </c>
      <c r="L173" s="168"/>
      <c r="M173" s="169"/>
      <c r="N173" s="168">
        <f>P172/100000</f>
        <v>0</v>
      </c>
      <c r="O173" s="168"/>
      <c r="P173" s="169"/>
      <c r="Q173" s="168">
        <f>S172/100000</f>
        <v>0</v>
      </c>
      <c r="R173" s="168"/>
      <c r="S173" s="169"/>
    </row>
    <row r="174" spans="1:19">
      <c r="A174" s="170" t="s">
        <v>75</v>
      </c>
      <c r="B174" s="171" t="s">
        <v>76</v>
      </c>
      <c r="C174" s="174"/>
      <c r="D174" s="128"/>
      <c r="E174" s="13" t="s">
        <v>39</v>
      </c>
      <c r="F174" s="7">
        <v>1</v>
      </c>
      <c r="G174" s="175">
        <f>3500/1.13</f>
        <v>3097.3451327433631</v>
      </c>
      <c r="H174" s="13" t="s">
        <v>20</v>
      </c>
      <c r="I174" s="7">
        <v>1</v>
      </c>
      <c r="J174" s="175">
        <f>1800/1.13</f>
        <v>1592.9203539823011</v>
      </c>
      <c r="K174" s="19"/>
      <c r="L174" s="7"/>
      <c r="M174" s="9"/>
      <c r="N174" s="19"/>
      <c r="O174" s="7"/>
      <c r="P174" s="9"/>
      <c r="Q174" s="19"/>
      <c r="R174" s="7"/>
      <c r="S174" s="9"/>
    </row>
    <row r="175" spans="1:19">
      <c r="A175" s="170"/>
      <c r="B175" s="172"/>
      <c r="C175" s="174"/>
      <c r="D175" s="128"/>
      <c r="E175" s="13" t="s">
        <v>35</v>
      </c>
      <c r="F175" s="26">
        <v>1</v>
      </c>
      <c r="G175" s="176"/>
      <c r="H175" s="13" t="s">
        <v>36</v>
      </c>
      <c r="I175" s="7">
        <v>1</v>
      </c>
      <c r="J175" s="176"/>
      <c r="K175" s="19"/>
      <c r="L175" s="7"/>
      <c r="M175" s="9"/>
      <c r="N175" s="19"/>
      <c r="O175" s="7"/>
      <c r="P175" s="9"/>
      <c r="Q175" s="19"/>
      <c r="R175" s="7"/>
      <c r="S175" s="9"/>
    </row>
    <row r="176" spans="1:19">
      <c r="A176" s="170"/>
      <c r="B176" s="172"/>
      <c r="C176" s="174"/>
      <c r="D176" s="128"/>
      <c r="E176" s="13" t="s">
        <v>25</v>
      </c>
      <c r="F176" s="7">
        <v>1</v>
      </c>
      <c r="G176" s="176"/>
      <c r="H176" s="13"/>
      <c r="I176" s="7"/>
      <c r="J176" s="176"/>
      <c r="K176" s="19"/>
      <c r="L176" s="7"/>
      <c r="M176" s="9"/>
      <c r="N176" s="19"/>
      <c r="O176" s="7"/>
      <c r="P176" s="9"/>
      <c r="Q176" s="19"/>
      <c r="R176" s="7"/>
      <c r="S176" s="9"/>
    </row>
    <row r="177" spans="1:21">
      <c r="A177" s="170"/>
      <c r="B177" s="172"/>
      <c r="C177" s="174"/>
      <c r="D177" s="128"/>
      <c r="E177" s="13"/>
      <c r="F177" s="7"/>
      <c r="G177" s="176"/>
      <c r="H177" s="13"/>
      <c r="I177" s="7"/>
      <c r="J177" s="176"/>
      <c r="K177" s="19"/>
      <c r="L177" s="7"/>
      <c r="M177" s="18"/>
      <c r="N177" s="19"/>
      <c r="O177" s="7"/>
      <c r="P177" s="112"/>
      <c r="Q177" s="19"/>
      <c r="R177" s="7"/>
      <c r="S177" s="127"/>
    </row>
    <row r="178" spans="1:21">
      <c r="A178" s="170"/>
      <c r="B178" s="172"/>
      <c r="C178" s="174"/>
      <c r="D178" s="128"/>
      <c r="E178" s="13"/>
      <c r="F178" s="7"/>
      <c r="G178" s="176"/>
      <c r="H178" s="13"/>
      <c r="I178" s="7"/>
      <c r="J178" s="176"/>
      <c r="K178" s="19"/>
      <c r="L178" s="7"/>
      <c r="M178" s="18"/>
      <c r="N178" s="19"/>
      <c r="O178" s="7"/>
      <c r="P178" s="112"/>
      <c r="Q178" s="19"/>
      <c r="R178" s="7"/>
      <c r="S178" s="127"/>
    </row>
    <row r="179" spans="1:21">
      <c r="A179" s="170"/>
      <c r="B179" s="172"/>
      <c r="C179" s="174"/>
      <c r="D179" s="128"/>
      <c r="E179" s="13"/>
      <c r="F179" s="7"/>
      <c r="G179" s="176"/>
      <c r="H179" s="13"/>
      <c r="I179" s="7"/>
      <c r="J179" s="176"/>
      <c r="K179" s="19"/>
      <c r="L179" s="7"/>
      <c r="M179" s="18"/>
      <c r="N179" s="19"/>
      <c r="O179" s="7"/>
      <c r="P179" s="112"/>
      <c r="Q179" s="19"/>
      <c r="R179" s="7"/>
      <c r="S179" s="127"/>
    </row>
    <row r="180" spans="1:21">
      <c r="A180" s="170"/>
      <c r="B180" s="172"/>
      <c r="C180" s="174"/>
      <c r="D180" s="128"/>
      <c r="E180" s="13"/>
      <c r="F180" s="7"/>
      <c r="G180" s="176"/>
      <c r="H180" s="13"/>
      <c r="I180" s="7"/>
      <c r="J180" s="176"/>
      <c r="K180" s="19"/>
      <c r="L180" s="7"/>
      <c r="M180" s="18"/>
      <c r="N180" s="19"/>
      <c r="O180" s="7"/>
      <c r="P180" s="112"/>
      <c r="Q180" s="19"/>
      <c r="R180" s="7"/>
      <c r="S180" s="127"/>
    </row>
    <row r="181" spans="1:21">
      <c r="A181" s="170"/>
      <c r="B181" s="172"/>
      <c r="C181" s="174"/>
      <c r="D181" s="128"/>
      <c r="E181" s="13"/>
      <c r="F181" s="7"/>
      <c r="G181" s="176"/>
      <c r="H181" s="13"/>
      <c r="I181" s="7"/>
      <c r="J181" s="176"/>
      <c r="K181" s="19"/>
      <c r="L181" s="7"/>
      <c r="M181" s="18"/>
      <c r="N181" s="19"/>
      <c r="O181" s="7"/>
      <c r="P181" s="112"/>
      <c r="Q181" s="19"/>
      <c r="R181" s="7"/>
      <c r="S181" s="127"/>
    </row>
    <row r="182" spans="1:21">
      <c r="A182" s="170"/>
      <c r="B182" s="172"/>
      <c r="C182" s="174"/>
      <c r="D182" s="128"/>
      <c r="E182" s="13"/>
      <c r="F182" s="7"/>
      <c r="G182" s="176"/>
      <c r="H182" s="13"/>
      <c r="I182" s="7"/>
      <c r="J182" s="184"/>
      <c r="K182" s="19"/>
      <c r="L182" s="7"/>
      <c r="M182" s="18"/>
      <c r="N182" s="19"/>
      <c r="O182" s="7"/>
      <c r="P182" s="112"/>
      <c r="Q182" s="19"/>
      <c r="R182" s="7"/>
      <c r="S182" s="127"/>
    </row>
    <row r="183" spans="1:21" ht="22.5" customHeight="1">
      <c r="A183" s="170"/>
      <c r="B183" s="173"/>
      <c r="C183" s="174"/>
      <c r="D183" s="128"/>
      <c r="E183" s="15" t="s">
        <v>7</v>
      </c>
      <c r="F183" s="15">
        <f>SUM(F174:F182)</f>
        <v>3</v>
      </c>
      <c r="G183" s="16">
        <f>SUM(G174:G182)</f>
        <v>3097.3451327433631</v>
      </c>
      <c r="H183" s="15" t="s">
        <v>7</v>
      </c>
      <c r="I183" s="15">
        <f>SUM(I174:I177)</f>
        <v>2</v>
      </c>
      <c r="J183" s="16">
        <f>SUM(J174:J177)</f>
        <v>1592.9203539823011</v>
      </c>
      <c r="K183" s="15" t="s">
        <v>7</v>
      </c>
      <c r="L183" s="15">
        <f>SUM(L174:L177)</f>
        <v>0</v>
      </c>
      <c r="M183" s="16">
        <f>SUM(M174:M182)</f>
        <v>0</v>
      </c>
      <c r="N183" s="15" t="s">
        <v>7</v>
      </c>
      <c r="O183" s="15">
        <f>SUM(O174:O177)</f>
        <v>0</v>
      </c>
      <c r="P183" s="16">
        <f>SUM(P174:P182)</f>
        <v>0</v>
      </c>
      <c r="Q183" s="15" t="s">
        <v>7</v>
      </c>
      <c r="R183" s="15">
        <f>SUM(R174:R177)</f>
        <v>0</v>
      </c>
      <c r="S183" s="16">
        <f>SUM(S174:S182)</f>
        <v>0</v>
      </c>
    </row>
    <row r="184" spans="1:21" s="12" customFormat="1" ht="23.25" customHeight="1">
      <c r="A184" s="180" t="s">
        <v>8</v>
      </c>
      <c r="B184" s="180"/>
      <c r="C184" s="180"/>
      <c r="D184" s="134"/>
      <c r="E184" s="178">
        <f>G183/100000</f>
        <v>3.0973451327433631E-2</v>
      </c>
      <c r="F184" s="178"/>
      <c r="G184" s="179"/>
      <c r="H184" s="178">
        <f>J183/100000</f>
        <v>1.5929203539823012E-2</v>
      </c>
      <c r="I184" s="178"/>
      <c r="J184" s="179"/>
      <c r="K184" s="168">
        <f>M183/100000</f>
        <v>0</v>
      </c>
      <c r="L184" s="168"/>
      <c r="M184" s="169"/>
      <c r="N184" s="168">
        <f>P183/100000</f>
        <v>0</v>
      </c>
      <c r="O184" s="168"/>
      <c r="P184" s="169"/>
      <c r="Q184" s="168">
        <f>S183/100000</f>
        <v>0</v>
      </c>
      <c r="R184" s="168"/>
      <c r="S184" s="169"/>
    </row>
    <row r="185" spans="1:21">
      <c r="A185" s="170" t="s">
        <v>106</v>
      </c>
      <c r="B185" s="171" t="s">
        <v>107</v>
      </c>
      <c r="C185" s="174"/>
      <c r="D185" s="128"/>
      <c r="E185" s="13"/>
      <c r="F185" s="7"/>
      <c r="G185" s="175"/>
      <c r="H185" s="13"/>
      <c r="I185" s="7"/>
      <c r="J185" s="175"/>
      <c r="K185" s="40" t="s">
        <v>88</v>
      </c>
      <c r="L185" s="7">
        <v>1</v>
      </c>
      <c r="M185" s="9">
        <f>0.6*10000/1.13</f>
        <v>5309.7345132743367</v>
      </c>
      <c r="N185" s="40" t="s">
        <v>216</v>
      </c>
      <c r="O185" s="7">
        <v>1</v>
      </c>
      <c r="P185" s="9">
        <v>550</v>
      </c>
      <c r="Q185" s="40" t="s">
        <v>20</v>
      </c>
      <c r="R185" s="7">
        <v>1</v>
      </c>
      <c r="S185" s="175">
        <f>9040/1.13</f>
        <v>8000.0000000000009</v>
      </c>
      <c r="U185" s="53" t="s">
        <v>105</v>
      </c>
    </row>
    <row r="186" spans="1:21">
      <c r="A186" s="170"/>
      <c r="B186" s="172"/>
      <c r="C186" s="174"/>
      <c r="D186" s="128"/>
      <c r="E186" s="13"/>
      <c r="F186" s="26"/>
      <c r="G186" s="176"/>
      <c r="H186" s="13"/>
      <c r="I186" s="7"/>
      <c r="J186" s="176"/>
      <c r="K186" s="40" t="s">
        <v>89</v>
      </c>
      <c r="L186" s="7">
        <v>1</v>
      </c>
      <c r="M186" s="9">
        <f>0.7*10000/1.13</f>
        <v>6194.6902654867263</v>
      </c>
      <c r="N186" s="40" t="s">
        <v>35</v>
      </c>
      <c r="O186" s="7">
        <v>1</v>
      </c>
      <c r="P186" s="9">
        <v>6000</v>
      </c>
      <c r="Q186" s="40" t="s">
        <v>35</v>
      </c>
      <c r="R186" s="7">
        <v>1</v>
      </c>
      <c r="S186" s="176"/>
    </row>
    <row r="187" spans="1:21">
      <c r="A187" s="170"/>
      <c r="B187" s="172"/>
      <c r="C187" s="174"/>
      <c r="D187" s="128"/>
      <c r="E187" s="13"/>
      <c r="F187" s="7"/>
      <c r="G187" s="176"/>
      <c r="H187" s="13"/>
      <c r="I187" s="7"/>
      <c r="J187" s="176"/>
      <c r="K187" s="40" t="s">
        <v>108</v>
      </c>
      <c r="L187" s="7">
        <v>1</v>
      </c>
      <c r="M187" s="9">
        <f>0.6*10000/1.13</f>
        <v>5309.7345132743367</v>
      </c>
      <c r="N187" s="40" t="s">
        <v>25</v>
      </c>
      <c r="O187" s="7">
        <v>1</v>
      </c>
      <c r="P187" s="9">
        <v>4500</v>
      </c>
      <c r="Q187" s="40"/>
      <c r="R187" s="7"/>
      <c r="S187" s="184"/>
    </row>
    <row r="188" spans="1:21" ht="22.5" customHeight="1">
      <c r="A188" s="170"/>
      <c r="B188" s="173"/>
      <c r="C188" s="174"/>
      <c r="D188" s="128"/>
      <c r="E188" s="15" t="s">
        <v>7</v>
      </c>
      <c r="F188" s="15">
        <f>SUM(F185:F187)</f>
        <v>0</v>
      </c>
      <c r="G188" s="16">
        <f>SUM(G185:G187)</f>
        <v>0</v>
      </c>
      <c r="H188" s="15" t="s">
        <v>7</v>
      </c>
      <c r="I188" s="15">
        <f>SUM(I185:I187)</f>
        <v>0</v>
      </c>
      <c r="J188" s="16">
        <f>SUM(J185:J187)</f>
        <v>0</v>
      </c>
      <c r="K188" s="15" t="s">
        <v>7</v>
      </c>
      <c r="L188" s="15">
        <f>SUM(L185:L187)</f>
        <v>3</v>
      </c>
      <c r="M188" s="16">
        <f>SUM(M185:M187)</f>
        <v>16814.159292035398</v>
      </c>
      <c r="N188" s="15" t="s">
        <v>7</v>
      </c>
      <c r="O188" s="15">
        <f>SUM(O185:O187)</f>
        <v>3</v>
      </c>
      <c r="P188" s="16">
        <f>SUM(P185:P187)</f>
        <v>11050</v>
      </c>
      <c r="Q188" s="15" t="s">
        <v>7</v>
      </c>
      <c r="R188" s="15">
        <f>SUM(R185:R187)</f>
        <v>2</v>
      </c>
      <c r="S188" s="16">
        <f>SUM(S185:S187)</f>
        <v>8000.0000000000009</v>
      </c>
    </row>
    <row r="189" spans="1:21" s="12" customFormat="1" ht="23.25" customHeight="1">
      <c r="A189" s="180" t="s">
        <v>8</v>
      </c>
      <c r="B189" s="180"/>
      <c r="C189" s="180"/>
      <c r="D189" s="134"/>
      <c r="E189" s="178">
        <f>G188/100000</f>
        <v>0</v>
      </c>
      <c r="F189" s="178"/>
      <c r="G189" s="179"/>
      <c r="H189" s="178">
        <f>J188/100000</f>
        <v>0</v>
      </c>
      <c r="I189" s="178"/>
      <c r="J189" s="179"/>
      <c r="K189" s="168">
        <f>M188/100000</f>
        <v>0.16814159292035397</v>
      </c>
      <c r="L189" s="168"/>
      <c r="M189" s="169"/>
      <c r="N189" s="168">
        <f>P188/100000</f>
        <v>0.1105</v>
      </c>
      <c r="O189" s="168"/>
      <c r="P189" s="169"/>
      <c r="Q189" s="168">
        <f>S188/100000</f>
        <v>8.0000000000000016E-2</v>
      </c>
      <c r="R189" s="168"/>
      <c r="S189" s="169"/>
    </row>
    <row r="190" spans="1:21">
      <c r="A190" s="170" t="s">
        <v>114</v>
      </c>
      <c r="B190" s="171" t="s">
        <v>118</v>
      </c>
      <c r="C190" s="174"/>
      <c r="D190" s="128"/>
      <c r="E190" s="13"/>
      <c r="F190" s="7"/>
      <c r="G190" s="175"/>
      <c r="H190" s="13"/>
      <c r="I190" s="7"/>
      <c r="J190" s="175"/>
      <c r="K190" s="59" t="s">
        <v>88</v>
      </c>
      <c r="L190" s="41">
        <v>1</v>
      </c>
      <c r="M190" s="60">
        <f>1.5*10000/1.13</f>
        <v>13274.336283185841</v>
      </c>
      <c r="N190" s="124" t="s">
        <v>216</v>
      </c>
      <c r="O190" s="54">
        <v>1</v>
      </c>
      <c r="P190" s="125">
        <v>6500</v>
      </c>
      <c r="Q190" s="124" t="s">
        <v>20</v>
      </c>
      <c r="R190" s="54">
        <v>1</v>
      </c>
      <c r="S190" s="204">
        <f>9040/1.13</f>
        <v>8000.0000000000009</v>
      </c>
      <c r="U190" s="53" t="s">
        <v>105</v>
      </c>
    </row>
    <row r="191" spans="1:21">
      <c r="A191" s="170"/>
      <c r="B191" s="172"/>
      <c r="C191" s="174"/>
      <c r="D191" s="128"/>
      <c r="E191" s="13"/>
      <c r="F191" s="26"/>
      <c r="G191" s="176"/>
      <c r="H191" s="13"/>
      <c r="I191" s="7"/>
      <c r="J191" s="176"/>
      <c r="K191" s="59" t="s">
        <v>89</v>
      </c>
      <c r="L191" s="41">
        <v>1</v>
      </c>
      <c r="M191" s="60">
        <f>1.8*10000/1.13</f>
        <v>15929.203539823011</v>
      </c>
      <c r="N191" s="124" t="s">
        <v>35</v>
      </c>
      <c r="O191" s="54">
        <v>1</v>
      </c>
      <c r="P191" s="125">
        <v>7800</v>
      </c>
      <c r="Q191" s="124" t="s">
        <v>35</v>
      </c>
      <c r="R191" s="54">
        <v>1</v>
      </c>
      <c r="S191" s="205"/>
      <c r="U191" s="53" t="s">
        <v>113</v>
      </c>
    </row>
    <row r="192" spans="1:21">
      <c r="A192" s="170"/>
      <c r="B192" s="172"/>
      <c r="C192" s="174"/>
      <c r="D192" s="128"/>
      <c r="E192" s="13"/>
      <c r="F192" s="26"/>
      <c r="G192" s="176"/>
      <c r="H192" s="13"/>
      <c r="I192" s="7"/>
      <c r="J192" s="176"/>
      <c r="K192" s="59" t="s">
        <v>91</v>
      </c>
      <c r="L192" s="41">
        <v>1</v>
      </c>
      <c r="M192" s="60">
        <f>1.5*10000/1.13</f>
        <v>13274.336283185841</v>
      </c>
      <c r="N192" s="124" t="s">
        <v>24</v>
      </c>
      <c r="O192" s="54">
        <v>1</v>
      </c>
      <c r="P192" s="125">
        <v>3000</v>
      </c>
      <c r="Q192" s="124"/>
      <c r="R192" s="54"/>
      <c r="S192" s="205"/>
    </row>
    <row r="193" spans="1:21">
      <c r="A193" s="170"/>
      <c r="B193" s="172"/>
      <c r="C193" s="174"/>
      <c r="D193" s="128"/>
      <c r="E193" s="13"/>
      <c r="F193" s="26"/>
      <c r="G193" s="176"/>
      <c r="H193" s="13"/>
      <c r="I193" s="7"/>
      <c r="J193" s="176"/>
      <c r="K193" s="59" t="s">
        <v>108</v>
      </c>
      <c r="L193" s="41">
        <v>1</v>
      </c>
      <c r="M193" s="60">
        <f>1.5*10000/1.13</f>
        <v>13274.336283185841</v>
      </c>
      <c r="N193" s="124" t="s">
        <v>25</v>
      </c>
      <c r="O193" s="54">
        <v>1</v>
      </c>
      <c r="P193" s="125">
        <v>5000</v>
      </c>
      <c r="Q193" s="124"/>
      <c r="R193" s="54"/>
      <c r="S193" s="205"/>
    </row>
    <row r="194" spans="1:21">
      <c r="A194" s="170"/>
      <c r="B194" s="172"/>
      <c r="C194" s="174"/>
      <c r="D194" s="128"/>
      <c r="E194" s="13"/>
      <c r="F194" s="26"/>
      <c r="G194" s="176"/>
      <c r="H194" s="13"/>
      <c r="I194" s="7"/>
      <c r="J194" s="176"/>
      <c r="K194" s="40"/>
      <c r="L194" s="7"/>
      <c r="M194" s="9"/>
      <c r="N194" s="40"/>
      <c r="O194" s="7"/>
      <c r="P194" s="9"/>
      <c r="Q194" s="40"/>
      <c r="R194" s="7"/>
      <c r="S194" s="205"/>
    </row>
    <row r="195" spans="1:21">
      <c r="A195" s="170"/>
      <c r="B195" s="172"/>
      <c r="C195" s="174"/>
      <c r="D195" s="128"/>
      <c r="E195" s="13"/>
      <c r="F195" s="26"/>
      <c r="G195" s="176"/>
      <c r="H195" s="13"/>
      <c r="I195" s="7"/>
      <c r="J195" s="176"/>
      <c r="K195" s="40"/>
      <c r="L195" s="7"/>
      <c r="M195" s="9"/>
      <c r="N195" s="40"/>
      <c r="O195" s="7"/>
      <c r="P195" s="9"/>
      <c r="Q195" s="40"/>
      <c r="R195" s="7"/>
      <c r="S195" s="205"/>
    </row>
    <row r="196" spans="1:21">
      <c r="A196" s="170"/>
      <c r="B196" s="172"/>
      <c r="C196" s="174"/>
      <c r="D196" s="128"/>
      <c r="E196" s="13"/>
      <c r="F196" s="26"/>
      <c r="G196" s="176"/>
      <c r="H196" s="13"/>
      <c r="I196" s="7"/>
      <c r="J196" s="176"/>
      <c r="K196" s="40"/>
      <c r="L196" s="7"/>
      <c r="M196" s="9"/>
      <c r="N196" s="40"/>
      <c r="O196" s="7"/>
      <c r="P196" s="9"/>
      <c r="Q196" s="40"/>
      <c r="R196" s="7"/>
      <c r="S196" s="205"/>
    </row>
    <row r="197" spans="1:21">
      <c r="A197" s="170"/>
      <c r="B197" s="172"/>
      <c r="C197" s="174"/>
      <c r="D197" s="128"/>
      <c r="E197" s="13"/>
      <c r="F197" s="7"/>
      <c r="G197" s="176"/>
      <c r="H197" s="13"/>
      <c r="I197" s="7"/>
      <c r="J197" s="176"/>
      <c r="K197" s="40"/>
      <c r="L197" s="7"/>
      <c r="M197" s="9"/>
      <c r="N197" s="40"/>
      <c r="O197" s="7"/>
      <c r="P197" s="9"/>
      <c r="Q197" s="40"/>
      <c r="R197" s="7"/>
      <c r="S197" s="206"/>
    </row>
    <row r="198" spans="1:21" ht="22.5" customHeight="1">
      <c r="A198" s="170"/>
      <c r="B198" s="173"/>
      <c r="C198" s="174"/>
      <c r="D198" s="128"/>
      <c r="E198" s="15" t="s">
        <v>7</v>
      </c>
      <c r="F198" s="15">
        <f>SUM(F190:F197)</f>
        <v>0</v>
      </c>
      <c r="G198" s="16">
        <f>SUM(G190:G197)</f>
        <v>0</v>
      </c>
      <c r="H198" s="15" t="s">
        <v>7</v>
      </c>
      <c r="I198" s="15">
        <f>SUM(I190:I197)</f>
        <v>0</v>
      </c>
      <c r="J198" s="16">
        <f>SUM(J190:J197)</f>
        <v>0</v>
      </c>
      <c r="K198" s="15" t="s">
        <v>7</v>
      </c>
      <c r="L198" s="15">
        <f>SUM(L190:L197)</f>
        <v>4</v>
      </c>
      <c r="M198" s="16">
        <f>SUM(M190:M197)</f>
        <v>55752.212389380533</v>
      </c>
      <c r="N198" s="15" t="s">
        <v>7</v>
      </c>
      <c r="O198" s="15">
        <f>SUM(O190:O197)</f>
        <v>4</v>
      </c>
      <c r="P198" s="16">
        <f>SUM(P190:P197)</f>
        <v>22300</v>
      </c>
      <c r="Q198" s="15" t="s">
        <v>7</v>
      </c>
      <c r="R198" s="15">
        <f>SUM(R190:R197)</f>
        <v>2</v>
      </c>
      <c r="S198" s="16">
        <f>SUM(S190:S197)</f>
        <v>8000.0000000000009</v>
      </c>
    </row>
    <row r="199" spans="1:21" s="12" customFormat="1" ht="23.25" customHeight="1">
      <c r="A199" s="180" t="s">
        <v>8</v>
      </c>
      <c r="B199" s="180"/>
      <c r="C199" s="180"/>
      <c r="D199" s="134"/>
      <c r="E199" s="178">
        <f>G198/100000</f>
        <v>0</v>
      </c>
      <c r="F199" s="178"/>
      <c r="G199" s="179"/>
      <c r="H199" s="178">
        <f>J198/100000</f>
        <v>0</v>
      </c>
      <c r="I199" s="178"/>
      <c r="J199" s="179"/>
      <c r="K199" s="168">
        <f>M198/100000</f>
        <v>0.55752212389380529</v>
      </c>
      <c r="L199" s="168"/>
      <c r="M199" s="169"/>
      <c r="N199" s="168">
        <f>P198/100000</f>
        <v>0.223</v>
      </c>
      <c r="O199" s="168"/>
      <c r="P199" s="169"/>
      <c r="Q199" s="168">
        <f>S198/100000</f>
        <v>8.0000000000000016E-2</v>
      </c>
      <c r="R199" s="168"/>
      <c r="S199" s="169"/>
    </row>
    <row r="200" spans="1:21">
      <c r="A200" s="170" t="s">
        <v>116</v>
      </c>
      <c r="B200" s="171" t="s">
        <v>117</v>
      </c>
      <c r="C200" s="174"/>
      <c r="D200" s="128"/>
      <c r="E200" s="13"/>
      <c r="F200" s="7"/>
      <c r="G200" s="175"/>
      <c r="H200" s="13"/>
      <c r="I200" s="7"/>
      <c r="J200" s="175"/>
      <c r="K200" s="59" t="s">
        <v>88</v>
      </c>
      <c r="L200" s="41">
        <v>1</v>
      </c>
      <c r="M200" s="60">
        <f>1.5*10000/1.13</f>
        <v>13274.336283185841</v>
      </c>
      <c r="N200" s="124" t="s">
        <v>216</v>
      </c>
      <c r="O200" s="54">
        <v>1</v>
      </c>
      <c r="P200" s="125">
        <v>6500</v>
      </c>
      <c r="Q200" s="124" t="s">
        <v>20</v>
      </c>
      <c r="R200" s="54">
        <v>1</v>
      </c>
      <c r="S200" s="204">
        <v>8000</v>
      </c>
      <c r="U200" s="53" t="s">
        <v>105</v>
      </c>
    </row>
    <row r="201" spans="1:21">
      <c r="A201" s="170"/>
      <c r="B201" s="172"/>
      <c r="C201" s="174"/>
      <c r="D201" s="128"/>
      <c r="E201" s="13"/>
      <c r="F201" s="26"/>
      <c r="G201" s="176"/>
      <c r="H201" s="13"/>
      <c r="I201" s="7"/>
      <c r="J201" s="176"/>
      <c r="K201" s="59" t="s">
        <v>89</v>
      </c>
      <c r="L201" s="41">
        <v>1</v>
      </c>
      <c r="M201" s="60">
        <f>1.8*10000/1.13</f>
        <v>15929.203539823011</v>
      </c>
      <c r="N201" s="124" t="s">
        <v>35</v>
      </c>
      <c r="O201" s="54">
        <v>1</v>
      </c>
      <c r="P201" s="125">
        <v>7800</v>
      </c>
      <c r="Q201" s="124" t="s">
        <v>35</v>
      </c>
      <c r="R201" s="54">
        <v>1</v>
      </c>
      <c r="S201" s="205"/>
      <c r="U201" s="53" t="s">
        <v>113</v>
      </c>
    </row>
    <row r="202" spans="1:21">
      <c r="A202" s="170"/>
      <c r="B202" s="172"/>
      <c r="C202" s="174"/>
      <c r="D202" s="128"/>
      <c r="E202" s="13"/>
      <c r="F202" s="26"/>
      <c r="G202" s="176"/>
      <c r="H202" s="13"/>
      <c r="I202" s="7"/>
      <c r="J202" s="176"/>
      <c r="K202" s="59" t="s">
        <v>91</v>
      </c>
      <c r="L202" s="41">
        <v>1</v>
      </c>
      <c r="M202" s="60">
        <f>1.5*10000/1.13</f>
        <v>13274.336283185841</v>
      </c>
      <c r="N202" s="124" t="s">
        <v>24</v>
      </c>
      <c r="O202" s="54">
        <v>1</v>
      </c>
      <c r="P202" s="125">
        <v>3000</v>
      </c>
      <c r="Q202" s="124"/>
      <c r="R202" s="54"/>
      <c r="S202" s="205"/>
    </row>
    <row r="203" spans="1:21">
      <c r="A203" s="170"/>
      <c r="B203" s="172"/>
      <c r="C203" s="174"/>
      <c r="D203" s="128"/>
      <c r="E203" s="13"/>
      <c r="F203" s="26"/>
      <c r="G203" s="176"/>
      <c r="H203" s="13"/>
      <c r="I203" s="7"/>
      <c r="J203" s="176"/>
      <c r="K203" s="59" t="s">
        <v>108</v>
      </c>
      <c r="L203" s="41">
        <v>1</v>
      </c>
      <c r="M203" s="60">
        <f>1.5*10000/1.13</f>
        <v>13274.336283185841</v>
      </c>
      <c r="N203" s="124" t="s">
        <v>25</v>
      </c>
      <c r="O203" s="54">
        <v>1</v>
      </c>
      <c r="P203" s="125">
        <v>5000</v>
      </c>
      <c r="Q203" s="124"/>
      <c r="R203" s="54"/>
      <c r="S203" s="205"/>
    </row>
    <row r="204" spans="1:21">
      <c r="A204" s="170"/>
      <c r="B204" s="172"/>
      <c r="C204" s="174"/>
      <c r="D204" s="128"/>
      <c r="E204" s="13"/>
      <c r="F204" s="26"/>
      <c r="G204" s="176"/>
      <c r="H204" s="13"/>
      <c r="I204" s="7"/>
      <c r="J204" s="176"/>
      <c r="K204" s="40"/>
      <c r="L204" s="7"/>
      <c r="M204" s="9"/>
      <c r="N204" s="40"/>
      <c r="O204" s="7"/>
      <c r="P204" s="9"/>
      <c r="Q204" s="40"/>
      <c r="R204" s="7"/>
      <c r="S204" s="205"/>
    </row>
    <row r="205" spans="1:21">
      <c r="A205" s="170"/>
      <c r="B205" s="172"/>
      <c r="C205" s="174"/>
      <c r="D205" s="128"/>
      <c r="E205" s="13"/>
      <c r="F205" s="26"/>
      <c r="G205" s="176"/>
      <c r="H205" s="13"/>
      <c r="I205" s="7"/>
      <c r="J205" s="176"/>
      <c r="K205" s="40"/>
      <c r="L205" s="7"/>
      <c r="M205" s="9"/>
      <c r="N205" s="40"/>
      <c r="O205" s="7"/>
      <c r="P205" s="9"/>
      <c r="Q205" s="40"/>
      <c r="R205" s="7"/>
      <c r="S205" s="205"/>
    </row>
    <row r="206" spans="1:21">
      <c r="A206" s="170"/>
      <c r="B206" s="172"/>
      <c r="C206" s="174"/>
      <c r="D206" s="128"/>
      <c r="E206" s="13"/>
      <c r="F206" s="26"/>
      <c r="G206" s="176"/>
      <c r="H206" s="13"/>
      <c r="I206" s="7"/>
      <c r="J206" s="176"/>
      <c r="K206" s="40"/>
      <c r="L206" s="7"/>
      <c r="M206" s="9"/>
      <c r="N206" s="40"/>
      <c r="O206" s="7"/>
      <c r="P206" s="9"/>
      <c r="Q206" s="40"/>
      <c r="R206" s="7"/>
      <c r="S206" s="205"/>
    </row>
    <row r="207" spans="1:21">
      <c r="A207" s="170"/>
      <c r="B207" s="172"/>
      <c r="C207" s="174"/>
      <c r="D207" s="128"/>
      <c r="E207" s="13"/>
      <c r="F207" s="7"/>
      <c r="G207" s="176"/>
      <c r="H207" s="13"/>
      <c r="I207" s="7"/>
      <c r="J207" s="176"/>
      <c r="K207" s="40"/>
      <c r="L207" s="7"/>
      <c r="M207" s="9"/>
      <c r="N207" s="40"/>
      <c r="O207" s="7"/>
      <c r="P207" s="9"/>
      <c r="Q207" s="40"/>
      <c r="R207" s="7"/>
      <c r="S207" s="206"/>
    </row>
    <row r="208" spans="1:21" ht="22.5" customHeight="1">
      <c r="A208" s="170"/>
      <c r="B208" s="173"/>
      <c r="C208" s="174"/>
      <c r="D208" s="128"/>
      <c r="E208" s="15" t="s">
        <v>7</v>
      </c>
      <c r="F208" s="15">
        <f>SUM(F200:F207)</f>
        <v>0</v>
      </c>
      <c r="G208" s="16">
        <f>SUM(G200:G207)</f>
        <v>0</v>
      </c>
      <c r="H208" s="15" t="s">
        <v>7</v>
      </c>
      <c r="I208" s="15">
        <f>SUM(I200:I207)</f>
        <v>0</v>
      </c>
      <c r="J208" s="16">
        <f>SUM(J200:J207)</f>
        <v>0</v>
      </c>
      <c r="K208" s="15" t="s">
        <v>7</v>
      </c>
      <c r="L208" s="15">
        <f>SUM(L200:L207)</f>
        <v>4</v>
      </c>
      <c r="M208" s="16">
        <f>SUM(M200:M207)</f>
        <v>55752.212389380533</v>
      </c>
      <c r="N208" s="15" t="s">
        <v>7</v>
      </c>
      <c r="O208" s="15">
        <f>SUM(O200:O207)</f>
        <v>4</v>
      </c>
      <c r="P208" s="16">
        <f>SUM(P200:P207)</f>
        <v>22300</v>
      </c>
      <c r="Q208" s="15" t="s">
        <v>7</v>
      </c>
      <c r="R208" s="15">
        <f>SUM(R200:R207)</f>
        <v>2</v>
      </c>
      <c r="S208" s="16">
        <f>SUM(S200:S207)</f>
        <v>8000</v>
      </c>
    </row>
    <row r="209" spans="1:21" s="12" customFormat="1" ht="23.25" customHeight="1">
      <c r="A209" s="180" t="s">
        <v>8</v>
      </c>
      <c r="B209" s="180"/>
      <c r="C209" s="180"/>
      <c r="D209" s="134"/>
      <c r="E209" s="178">
        <f>G208/100000</f>
        <v>0</v>
      </c>
      <c r="F209" s="178"/>
      <c r="G209" s="179"/>
      <c r="H209" s="178">
        <f>J208/100000</f>
        <v>0</v>
      </c>
      <c r="I209" s="178"/>
      <c r="J209" s="179"/>
      <c r="K209" s="168">
        <f>M208/100000</f>
        <v>0.55752212389380529</v>
      </c>
      <c r="L209" s="168"/>
      <c r="M209" s="169"/>
      <c r="N209" s="168">
        <f>P208/100000</f>
        <v>0.223</v>
      </c>
      <c r="O209" s="168"/>
      <c r="P209" s="169"/>
      <c r="Q209" s="168">
        <f>S208/100000</f>
        <v>0.08</v>
      </c>
      <c r="R209" s="168"/>
      <c r="S209" s="169"/>
    </row>
    <row r="210" spans="1:21">
      <c r="A210" s="170" t="s">
        <v>99</v>
      </c>
      <c r="B210" s="171" t="s">
        <v>100</v>
      </c>
      <c r="C210" s="174"/>
      <c r="D210" s="128"/>
      <c r="E210" s="13"/>
      <c r="F210" s="7"/>
      <c r="G210" s="175"/>
      <c r="H210" s="13"/>
      <c r="I210" s="7"/>
      <c r="J210" s="175"/>
      <c r="K210" s="40" t="s">
        <v>88</v>
      </c>
      <c r="L210" s="7">
        <v>1</v>
      </c>
      <c r="M210" s="55">
        <f>0.6*10000/1.13</f>
        <v>5309.7345132743367</v>
      </c>
      <c r="N210" s="40" t="s">
        <v>216</v>
      </c>
      <c r="O210" s="7">
        <v>1</v>
      </c>
      <c r="P210" s="55">
        <v>5500</v>
      </c>
      <c r="Q210" s="40" t="s">
        <v>20</v>
      </c>
      <c r="R210" s="7">
        <v>1</v>
      </c>
      <c r="S210" s="181">
        <f>9040/1.13</f>
        <v>8000.0000000000009</v>
      </c>
      <c r="U210" s="53" t="s">
        <v>105</v>
      </c>
    </row>
    <row r="211" spans="1:21">
      <c r="A211" s="170"/>
      <c r="B211" s="172"/>
      <c r="C211" s="174"/>
      <c r="D211" s="128"/>
      <c r="E211" s="13"/>
      <c r="F211" s="26"/>
      <c r="G211" s="176"/>
      <c r="H211" s="13"/>
      <c r="I211" s="7"/>
      <c r="J211" s="176"/>
      <c r="K211" s="40" t="s">
        <v>89</v>
      </c>
      <c r="L211" s="7">
        <v>1</v>
      </c>
      <c r="M211" s="55">
        <f>0.7*10000/1.13</f>
        <v>6194.6902654867263</v>
      </c>
      <c r="N211" s="40" t="s">
        <v>35</v>
      </c>
      <c r="O211" s="7">
        <v>1</v>
      </c>
      <c r="P211" s="55">
        <v>6000</v>
      </c>
      <c r="Q211" s="40" t="s">
        <v>35</v>
      </c>
      <c r="R211" s="7">
        <v>1</v>
      </c>
      <c r="S211" s="182"/>
    </row>
    <row r="212" spans="1:21">
      <c r="A212" s="170"/>
      <c r="B212" s="172"/>
      <c r="C212" s="174"/>
      <c r="D212" s="128"/>
      <c r="E212" s="13"/>
      <c r="F212" s="26"/>
      <c r="G212" s="176"/>
      <c r="H212" s="13"/>
      <c r="I212" s="7"/>
      <c r="J212" s="176"/>
      <c r="K212" s="40" t="s">
        <v>108</v>
      </c>
      <c r="L212" s="7">
        <v>1</v>
      </c>
      <c r="M212" s="55">
        <f>0.6*10000/1.13</f>
        <v>5309.7345132743367</v>
      </c>
      <c r="N212" s="40" t="s">
        <v>25</v>
      </c>
      <c r="O212" s="7">
        <v>1</v>
      </c>
      <c r="P212" s="55">
        <v>4500</v>
      </c>
      <c r="Q212" s="40"/>
      <c r="R212" s="7"/>
      <c r="S212" s="182"/>
    </row>
    <row r="213" spans="1:21">
      <c r="A213" s="170"/>
      <c r="B213" s="172"/>
      <c r="C213" s="174"/>
      <c r="D213" s="128"/>
      <c r="E213" s="13"/>
      <c r="F213" s="26"/>
      <c r="G213" s="176"/>
      <c r="H213" s="13"/>
      <c r="I213" s="7"/>
      <c r="J213" s="176"/>
      <c r="K213" s="40"/>
      <c r="L213" s="7"/>
      <c r="M213" s="55"/>
      <c r="N213" s="40"/>
      <c r="O213" s="7"/>
      <c r="P213" s="55"/>
      <c r="Q213" s="40"/>
      <c r="R213" s="7"/>
      <c r="S213" s="182"/>
    </row>
    <row r="214" spans="1:21">
      <c r="A214" s="170"/>
      <c r="B214" s="172"/>
      <c r="C214" s="174"/>
      <c r="D214" s="128"/>
      <c r="E214" s="13"/>
      <c r="F214" s="26"/>
      <c r="G214" s="176"/>
      <c r="H214" s="13"/>
      <c r="I214" s="7"/>
      <c r="J214" s="176"/>
      <c r="K214" s="40"/>
      <c r="L214" s="7"/>
      <c r="M214" s="9"/>
      <c r="N214" s="40"/>
      <c r="O214" s="7"/>
      <c r="P214" s="9"/>
      <c r="Q214" s="40"/>
      <c r="R214" s="7"/>
      <c r="S214" s="182"/>
    </row>
    <row r="215" spans="1:21">
      <c r="A215" s="170"/>
      <c r="B215" s="172"/>
      <c r="C215" s="174"/>
      <c r="D215" s="128"/>
      <c r="E215" s="13"/>
      <c r="F215" s="26"/>
      <c r="G215" s="176"/>
      <c r="H215" s="13"/>
      <c r="I215" s="7"/>
      <c r="J215" s="176"/>
      <c r="K215" s="40"/>
      <c r="L215" s="7"/>
      <c r="M215" s="9"/>
      <c r="N215" s="40"/>
      <c r="O215" s="7"/>
      <c r="P215" s="9"/>
      <c r="Q215" s="40"/>
      <c r="R215" s="7"/>
      <c r="S215" s="182"/>
    </row>
    <row r="216" spans="1:21">
      <c r="A216" s="170"/>
      <c r="B216" s="172"/>
      <c r="C216" s="174"/>
      <c r="D216" s="128"/>
      <c r="E216" s="13"/>
      <c r="F216" s="26"/>
      <c r="G216" s="176"/>
      <c r="H216" s="13"/>
      <c r="I216" s="7"/>
      <c r="J216" s="176"/>
      <c r="K216" s="40"/>
      <c r="L216" s="7"/>
      <c r="M216" s="9"/>
      <c r="N216" s="40"/>
      <c r="O216" s="7"/>
      <c r="P216" s="9"/>
      <c r="Q216" s="40"/>
      <c r="R216" s="7"/>
      <c r="S216" s="182"/>
    </row>
    <row r="217" spans="1:21">
      <c r="A217" s="170"/>
      <c r="B217" s="172"/>
      <c r="C217" s="174"/>
      <c r="D217" s="128"/>
      <c r="E217" s="13"/>
      <c r="F217" s="7"/>
      <c r="G217" s="176"/>
      <c r="H217" s="13"/>
      <c r="I217" s="7"/>
      <c r="J217" s="176"/>
      <c r="K217" s="40"/>
      <c r="L217" s="7"/>
      <c r="M217" s="9"/>
      <c r="N217" s="40"/>
      <c r="O217" s="7"/>
      <c r="P217" s="9"/>
      <c r="Q217" s="40"/>
      <c r="R217" s="7"/>
      <c r="S217" s="183"/>
    </row>
    <row r="218" spans="1:21" ht="22.5" customHeight="1">
      <c r="A218" s="170"/>
      <c r="B218" s="173"/>
      <c r="C218" s="174"/>
      <c r="D218" s="128"/>
      <c r="E218" s="15" t="s">
        <v>7</v>
      </c>
      <c r="F218" s="15">
        <f>SUM(F210:F217)</f>
        <v>0</v>
      </c>
      <c r="G218" s="16">
        <f>SUM(G210:G217)</f>
        <v>0</v>
      </c>
      <c r="H218" s="15" t="s">
        <v>7</v>
      </c>
      <c r="I218" s="15">
        <f>SUM(I210:I217)</f>
        <v>0</v>
      </c>
      <c r="J218" s="16">
        <f>SUM(J210:J217)</f>
        <v>0</v>
      </c>
      <c r="K218" s="15" t="s">
        <v>7</v>
      </c>
      <c r="L218" s="15">
        <f>SUM(L210:L217)</f>
        <v>3</v>
      </c>
      <c r="M218" s="16">
        <f>SUM(M210:M217)</f>
        <v>16814.159292035398</v>
      </c>
      <c r="N218" s="15" t="s">
        <v>7</v>
      </c>
      <c r="O218" s="15">
        <f>SUM(O210:O217)</f>
        <v>3</v>
      </c>
      <c r="P218" s="16">
        <f>SUM(P210:P217)</f>
        <v>16000</v>
      </c>
      <c r="Q218" s="15" t="s">
        <v>7</v>
      </c>
      <c r="R218" s="15">
        <f>SUM(R210:R217)</f>
        <v>2</v>
      </c>
      <c r="S218" s="16">
        <f>SUM(S210:S217)</f>
        <v>8000.0000000000009</v>
      </c>
    </row>
    <row r="219" spans="1:21" s="12" customFormat="1" ht="23.25" customHeight="1">
      <c r="A219" s="180" t="s">
        <v>8</v>
      </c>
      <c r="B219" s="180"/>
      <c r="C219" s="180"/>
      <c r="D219" s="134"/>
      <c r="E219" s="178">
        <f>G218/100000</f>
        <v>0</v>
      </c>
      <c r="F219" s="178"/>
      <c r="G219" s="179"/>
      <c r="H219" s="178">
        <f>J218/100000</f>
        <v>0</v>
      </c>
      <c r="I219" s="178"/>
      <c r="J219" s="179"/>
      <c r="K219" s="168">
        <f>M218/100000</f>
        <v>0.16814159292035397</v>
      </c>
      <c r="L219" s="168"/>
      <c r="M219" s="169"/>
      <c r="N219" s="168">
        <f>P218/100000</f>
        <v>0.16</v>
      </c>
      <c r="O219" s="168"/>
      <c r="P219" s="169"/>
      <c r="Q219" s="168">
        <f>S218/100000</f>
        <v>8.0000000000000016E-2</v>
      </c>
      <c r="R219" s="168"/>
      <c r="S219" s="169"/>
    </row>
    <row r="220" spans="1:21">
      <c r="A220" s="170" t="s">
        <v>101</v>
      </c>
      <c r="B220" s="171" t="s">
        <v>109</v>
      </c>
      <c r="C220" s="174"/>
      <c r="D220" s="128"/>
      <c r="E220" s="13"/>
      <c r="F220" s="7"/>
      <c r="G220" s="175"/>
      <c r="H220" s="13"/>
      <c r="I220" s="7"/>
      <c r="J220" s="175"/>
      <c r="K220" s="40" t="s">
        <v>88</v>
      </c>
      <c r="L220" s="7">
        <v>1</v>
      </c>
      <c r="M220" s="55">
        <f>1.8*10000/1.13</f>
        <v>15929.203539823011</v>
      </c>
      <c r="N220" s="40" t="s">
        <v>216</v>
      </c>
      <c r="O220" s="7">
        <v>1</v>
      </c>
      <c r="P220" s="55">
        <v>8500</v>
      </c>
      <c r="Q220" s="40"/>
      <c r="R220" s="7"/>
      <c r="S220" s="181">
        <f>33900/1.13</f>
        <v>30000.000000000004</v>
      </c>
      <c r="U220" s="53" t="s">
        <v>105</v>
      </c>
    </row>
    <row r="221" spans="1:21">
      <c r="A221" s="170"/>
      <c r="B221" s="172"/>
      <c r="C221" s="174"/>
      <c r="D221" s="128"/>
      <c r="E221" s="13"/>
      <c r="F221" s="26"/>
      <c r="G221" s="176"/>
      <c r="H221" s="13"/>
      <c r="I221" s="7"/>
      <c r="J221" s="176"/>
      <c r="K221" s="40" t="s">
        <v>89</v>
      </c>
      <c r="L221" s="7">
        <v>1</v>
      </c>
      <c r="M221" s="55">
        <f>2*10000/1.13</f>
        <v>17699.115044247788</v>
      </c>
      <c r="N221" s="40" t="s">
        <v>217</v>
      </c>
      <c r="O221" s="7">
        <v>1</v>
      </c>
      <c r="P221" s="55">
        <v>8500</v>
      </c>
      <c r="Q221" s="40"/>
      <c r="R221" s="7"/>
      <c r="S221" s="182"/>
    </row>
    <row r="222" spans="1:21">
      <c r="A222" s="170"/>
      <c r="B222" s="172"/>
      <c r="C222" s="174"/>
      <c r="D222" s="128"/>
      <c r="E222" s="13"/>
      <c r="F222" s="26"/>
      <c r="G222" s="176"/>
      <c r="H222" s="13"/>
      <c r="I222" s="7"/>
      <c r="J222" s="176"/>
      <c r="K222" s="40" t="s">
        <v>90</v>
      </c>
      <c r="L222" s="7">
        <v>1</v>
      </c>
      <c r="M222" s="55">
        <f>2*10000/1.13</f>
        <v>17699.115044247788</v>
      </c>
      <c r="N222" s="40" t="s">
        <v>35</v>
      </c>
      <c r="O222" s="7">
        <v>1</v>
      </c>
      <c r="P222" s="55">
        <v>11500</v>
      </c>
      <c r="Q222" s="40"/>
      <c r="R222" s="7"/>
      <c r="S222" s="182"/>
    </row>
    <row r="223" spans="1:21">
      <c r="A223" s="170"/>
      <c r="B223" s="172"/>
      <c r="C223" s="174"/>
      <c r="D223" s="128"/>
      <c r="E223" s="13"/>
      <c r="F223" s="26"/>
      <c r="G223" s="176"/>
      <c r="H223" s="13"/>
      <c r="I223" s="7"/>
      <c r="J223" s="176"/>
      <c r="K223" s="40" t="s">
        <v>91</v>
      </c>
      <c r="L223" s="7">
        <v>1</v>
      </c>
      <c r="M223" s="55">
        <f>1.3*10000/1.13</f>
        <v>11504.424778761064</v>
      </c>
      <c r="N223" s="40" t="s">
        <v>24</v>
      </c>
      <c r="O223" s="7">
        <v>1</v>
      </c>
      <c r="P223" s="55">
        <v>4500</v>
      </c>
      <c r="Q223" s="40"/>
      <c r="R223" s="7"/>
      <c r="S223" s="182"/>
    </row>
    <row r="224" spans="1:21">
      <c r="A224" s="170"/>
      <c r="B224" s="172"/>
      <c r="C224" s="174"/>
      <c r="D224" s="128"/>
      <c r="E224" s="13"/>
      <c r="F224" s="26"/>
      <c r="G224" s="176"/>
      <c r="H224" s="13"/>
      <c r="I224" s="7"/>
      <c r="J224" s="176"/>
      <c r="K224" s="40" t="s">
        <v>91</v>
      </c>
      <c r="L224" s="7">
        <v>1</v>
      </c>
      <c r="M224" s="55">
        <f>1.3*10000/1.13</f>
        <v>11504.424778761064</v>
      </c>
      <c r="N224" s="40" t="s">
        <v>24</v>
      </c>
      <c r="O224" s="7">
        <v>1</v>
      </c>
      <c r="P224" s="55">
        <v>4500</v>
      </c>
      <c r="Q224" s="40"/>
      <c r="R224" s="7"/>
      <c r="S224" s="182"/>
    </row>
    <row r="225" spans="1:21">
      <c r="A225" s="170"/>
      <c r="B225" s="172"/>
      <c r="C225" s="174"/>
      <c r="D225" s="128"/>
      <c r="E225" s="13"/>
      <c r="F225" s="26"/>
      <c r="G225" s="176"/>
      <c r="H225" s="13"/>
      <c r="I225" s="7"/>
      <c r="J225" s="176"/>
      <c r="K225" s="40" t="s">
        <v>91</v>
      </c>
      <c r="L225" s="7">
        <v>1</v>
      </c>
      <c r="M225" s="55">
        <f>1.3*10000/1.13</f>
        <v>11504.424778761064</v>
      </c>
      <c r="N225" s="40" t="s">
        <v>25</v>
      </c>
      <c r="O225" s="7">
        <v>1</v>
      </c>
      <c r="P225" s="55">
        <v>6500</v>
      </c>
      <c r="Q225" s="40"/>
      <c r="R225" s="7"/>
      <c r="S225" s="182"/>
    </row>
    <row r="226" spans="1:21">
      <c r="A226" s="170"/>
      <c r="B226" s="172"/>
      <c r="C226" s="174"/>
      <c r="D226" s="128"/>
      <c r="E226" s="13"/>
      <c r="F226" s="26"/>
      <c r="G226" s="176"/>
      <c r="H226" s="13"/>
      <c r="I226" s="7"/>
      <c r="J226" s="176"/>
      <c r="K226" s="40" t="s">
        <v>93</v>
      </c>
      <c r="L226" s="7">
        <v>1</v>
      </c>
      <c r="M226" s="55">
        <f>0.4*10000/1.13</f>
        <v>3539.8230088495579</v>
      </c>
      <c r="N226" s="40"/>
      <c r="O226" s="7"/>
      <c r="P226" s="55"/>
      <c r="Q226" s="40"/>
      <c r="R226" s="7"/>
      <c r="S226" s="182"/>
    </row>
    <row r="227" spans="1:21">
      <c r="A227" s="170"/>
      <c r="B227" s="172"/>
      <c r="C227" s="174"/>
      <c r="D227" s="128"/>
      <c r="E227" s="13"/>
      <c r="F227" s="7"/>
      <c r="G227" s="176"/>
      <c r="H227" s="13"/>
      <c r="I227" s="7"/>
      <c r="J227" s="176"/>
      <c r="K227" s="40" t="s">
        <v>93</v>
      </c>
      <c r="L227" s="7">
        <v>1</v>
      </c>
      <c r="M227" s="55">
        <f>0.4*10000/1.13</f>
        <v>3539.8230088495579</v>
      </c>
      <c r="N227" s="40"/>
      <c r="O227" s="7"/>
      <c r="P227" s="55"/>
      <c r="Q227" s="40"/>
      <c r="R227" s="7"/>
      <c r="S227" s="183"/>
    </row>
    <row r="228" spans="1:21" ht="22.5" customHeight="1">
      <c r="A228" s="170"/>
      <c r="B228" s="173"/>
      <c r="C228" s="174"/>
      <c r="D228" s="128"/>
      <c r="E228" s="15" t="s">
        <v>7</v>
      </c>
      <c r="F228" s="15">
        <f>SUM(F220:F227)</f>
        <v>0</v>
      </c>
      <c r="G228" s="16">
        <f>SUM(G220:G227)</f>
        <v>0</v>
      </c>
      <c r="H228" s="15" t="s">
        <v>7</v>
      </c>
      <c r="I228" s="15">
        <f>SUM(I220:I227)</f>
        <v>0</v>
      </c>
      <c r="J228" s="16">
        <f>SUM(J220:J227)</f>
        <v>0</v>
      </c>
      <c r="K228" s="15" t="s">
        <v>7</v>
      </c>
      <c r="L228" s="15">
        <f>SUM(L220:L227)</f>
        <v>8</v>
      </c>
      <c r="M228" s="16">
        <f>SUM(M220:M227)</f>
        <v>92920.353982300905</v>
      </c>
      <c r="N228" s="15" t="s">
        <v>7</v>
      </c>
      <c r="O228" s="15">
        <f>SUM(O220:O227)</f>
        <v>6</v>
      </c>
      <c r="P228" s="16">
        <f>SUM(P220:P227)</f>
        <v>44000</v>
      </c>
      <c r="Q228" s="15" t="s">
        <v>7</v>
      </c>
      <c r="R228" s="15">
        <f>SUM(R220:R227)</f>
        <v>0</v>
      </c>
      <c r="S228" s="16">
        <f>SUM(S220:S227)</f>
        <v>30000.000000000004</v>
      </c>
    </row>
    <row r="229" spans="1:21" s="12" customFormat="1" ht="23.25" customHeight="1">
      <c r="A229" s="180" t="s">
        <v>8</v>
      </c>
      <c r="B229" s="180"/>
      <c r="C229" s="180"/>
      <c r="D229" s="134"/>
      <c r="E229" s="178">
        <f>G228/100000</f>
        <v>0</v>
      </c>
      <c r="F229" s="178"/>
      <c r="G229" s="179"/>
      <c r="H229" s="178">
        <f>J228/100000</f>
        <v>0</v>
      </c>
      <c r="I229" s="178"/>
      <c r="J229" s="179"/>
      <c r="K229" s="168">
        <f>M228/100000</f>
        <v>0.92920353982300907</v>
      </c>
      <c r="L229" s="168"/>
      <c r="M229" s="169"/>
      <c r="N229" s="168">
        <f>P228/100000</f>
        <v>0.44</v>
      </c>
      <c r="O229" s="168"/>
      <c r="P229" s="169"/>
      <c r="Q229" s="168">
        <f>S228/100000</f>
        <v>0.30000000000000004</v>
      </c>
      <c r="R229" s="168"/>
      <c r="S229" s="169"/>
    </row>
    <row r="230" spans="1:21">
      <c r="A230" s="170" t="s">
        <v>236</v>
      </c>
      <c r="B230" s="171" t="s">
        <v>237</v>
      </c>
      <c r="C230" s="174"/>
      <c r="D230" s="145"/>
      <c r="E230" s="13"/>
      <c r="F230" s="7"/>
      <c r="G230" s="175"/>
      <c r="H230" s="13"/>
      <c r="I230" s="7"/>
      <c r="J230" s="175"/>
      <c r="K230" s="40" t="s">
        <v>20</v>
      </c>
      <c r="L230" s="7">
        <v>1</v>
      </c>
      <c r="M230" s="55">
        <v>40000</v>
      </c>
      <c r="N230" s="40"/>
      <c r="O230" s="7"/>
      <c r="P230" s="55"/>
      <c r="Q230" s="40"/>
      <c r="R230" s="7"/>
      <c r="S230" s="150"/>
      <c r="U230" s="53" t="s">
        <v>105</v>
      </c>
    </row>
    <row r="231" spans="1:21">
      <c r="A231" s="170"/>
      <c r="B231" s="172"/>
      <c r="C231" s="174"/>
      <c r="D231" s="145"/>
      <c r="E231" s="13"/>
      <c r="F231" s="26"/>
      <c r="G231" s="176"/>
      <c r="H231" s="13"/>
      <c r="I231" s="7"/>
      <c r="J231" s="176"/>
      <c r="K231" s="40" t="s">
        <v>35</v>
      </c>
      <c r="L231" s="7">
        <v>1</v>
      </c>
      <c r="M231" s="55">
        <v>45000</v>
      </c>
      <c r="N231" s="40"/>
      <c r="O231" s="7"/>
      <c r="P231" s="55"/>
      <c r="Q231" s="40"/>
      <c r="R231" s="7"/>
      <c r="S231" s="150"/>
    </row>
    <row r="232" spans="1:21">
      <c r="A232" s="170"/>
      <c r="B232" s="172"/>
      <c r="C232" s="174"/>
      <c r="D232" s="145"/>
      <c r="E232" s="13"/>
      <c r="F232" s="26"/>
      <c r="G232" s="176"/>
      <c r="H232" s="13"/>
      <c r="I232" s="7"/>
      <c r="J232" s="176"/>
      <c r="K232" s="40" t="s">
        <v>252</v>
      </c>
      <c r="L232" s="7">
        <v>1</v>
      </c>
      <c r="M232" s="55">
        <v>40000</v>
      </c>
      <c r="N232" s="40"/>
      <c r="O232" s="7"/>
      <c r="P232" s="55"/>
      <c r="Q232" s="40"/>
      <c r="R232" s="7"/>
      <c r="S232" s="150"/>
    </row>
    <row r="233" spans="1:21">
      <c r="A233" s="170"/>
      <c r="B233" s="172"/>
      <c r="C233" s="174"/>
      <c r="D233" s="145"/>
      <c r="E233" s="13"/>
      <c r="F233" s="26"/>
      <c r="G233" s="176"/>
      <c r="H233" s="13"/>
      <c r="I233" s="7"/>
      <c r="J233" s="176"/>
      <c r="K233" s="40" t="s">
        <v>24</v>
      </c>
      <c r="L233" s="7">
        <v>1</v>
      </c>
      <c r="M233" s="55">
        <v>40000</v>
      </c>
      <c r="N233" s="40"/>
      <c r="O233" s="7"/>
      <c r="P233" s="55"/>
      <c r="Q233" s="40"/>
      <c r="R233" s="7"/>
      <c r="S233" s="150"/>
    </row>
    <row r="234" spans="1:21">
      <c r="A234" s="170"/>
      <c r="B234" s="172"/>
      <c r="C234" s="174"/>
      <c r="D234" s="145"/>
      <c r="E234" s="13"/>
      <c r="F234" s="26"/>
      <c r="G234" s="176"/>
      <c r="H234" s="13"/>
      <c r="I234" s="7"/>
      <c r="J234" s="176"/>
      <c r="K234" s="40" t="s">
        <v>238</v>
      </c>
      <c r="L234" s="7">
        <v>1</v>
      </c>
      <c r="M234" s="55">
        <v>40000</v>
      </c>
      <c r="N234" s="40"/>
      <c r="O234" s="7"/>
      <c r="P234" s="55"/>
      <c r="Q234" s="40"/>
      <c r="R234" s="7"/>
      <c r="S234" s="150"/>
    </row>
    <row r="235" spans="1:21">
      <c r="A235" s="170"/>
      <c r="B235" s="172"/>
      <c r="C235" s="174"/>
      <c r="D235" s="145"/>
      <c r="E235" s="13"/>
      <c r="F235" s="26"/>
      <c r="G235" s="176"/>
      <c r="H235" s="13"/>
      <c r="I235" s="7"/>
      <c r="J235" s="176"/>
      <c r="K235" s="40" t="s">
        <v>253</v>
      </c>
      <c r="L235" s="7">
        <v>1</v>
      </c>
      <c r="M235" s="55">
        <v>40000</v>
      </c>
      <c r="N235" s="40"/>
      <c r="O235" s="7"/>
      <c r="P235" s="55"/>
      <c r="Q235" s="40"/>
      <c r="R235" s="7"/>
      <c r="S235" s="150"/>
    </row>
    <row r="236" spans="1:21">
      <c r="A236" s="170"/>
      <c r="B236" s="172"/>
      <c r="C236" s="174"/>
      <c r="D236" s="145"/>
      <c r="E236" s="13"/>
      <c r="F236" s="26"/>
      <c r="G236" s="176"/>
      <c r="H236" s="13"/>
      <c r="I236" s="7"/>
      <c r="J236" s="176"/>
      <c r="K236" s="40"/>
      <c r="L236" s="7"/>
      <c r="M236" s="55"/>
      <c r="N236" s="40"/>
      <c r="O236" s="7"/>
      <c r="P236" s="55"/>
      <c r="Q236" s="40"/>
      <c r="R236" s="7"/>
      <c r="S236" s="150"/>
    </row>
    <row r="237" spans="1:21">
      <c r="A237" s="170"/>
      <c r="B237" s="172"/>
      <c r="C237" s="174"/>
      <c r="D237" s="145"/>
      <c r="E237" s="13"/>
      <c r="F237" s="7"/>
      <c r="G237" s="176"/>
      <c r="H237" s="13"/>
      <c r="I237" s="7"/>
      <c r="J237" s="176"/>
      <c r="K237" s="40"/>
      <c r="L237" s="7"/>
      <c r="M237" s="55"/>
      <c r="N237" s="40"/>
      <c r="O237" s="7"/>
      <c r="P237" s="55"/>
      <c r="Q237" s="40"/>
      <c r="R237" s="7"/>
      <c r="S237" s="150"/>
    </row>
    <row r="238" spans="1:21" ht="22.5" customHeight="1">
      <c r="A238" s="170"/>
      <c r="B238" s="173"/>
      <c r="C238" s="174"/>
      <c r="D238" s="145"/>
      <c r="E238" s="15" t="s">
        <v>7</v>
      </c>
      <c r="F238" s="15">
        <f>SUM(F230:F237)</f>
        <v>0</v>
      </c>
      <c r="G238" s="16">
        <f>SUM(G230:G237)</f>
        <v>0</v>
      </c>
      <c r="H238" s="15" t="s">
        <v>7</v>
      </c>
      <c r="I238" s="15">
        <f>SUM(I230:I237)</f>
        <v>0</v>
      </c>
      <c r="J238" s="16">
        <f>SUM(J230:J237)</f>
        <v>0</v>
      </c>
      <c r="K238" s="15" t="s">
        <v>7</v>
      </c>
      <c r="L238" s="15">
        <f>SUM(L230:L237)</f>
        <v>6</v>
      </c>
      <c r="M238" s="16">
        <f>SUM(M230:M237)</f>
        <v>245000</v>
      </c>
      <c r="N238" s="15" t="s">
        <v>7</v>
      </c>
      <c r="O238" s="15">
        <f>SUM(O230:O237)</f>
        <v>0</v>
      </c>
      <c r="P238" s="16">
        <f>SUM(P230:P237)</f>
        <v>0</v>
      </c>
      <c r="Q238" s="15" t="s">
        <v>7</v>
      </c>
      <c r="R238" s="15">
        <f>SUM(R230:R237)</f>
        <v>0</v>
      </c>
      <c r="S238" s="16">
        <f>SUM(S230:S237)</f>
        <v>0</v>
      </c>
    </row>
    <row r="239" spans="1:21" s="12" customFormat="1" ht="33.6" customHeight="1">
      <c r="A239" s="177" t="s">
        <v>243</v>
      </c>
      <c r="B239" s="177"/>
      <c r="C239" s="177"/>
      <c r="D239" s="134"/>
      <c r="E239" s="178">
        <f>G238/100000</f>
        <v>0</v>
      </c>
      <c r="F239" s="178"/>
      <c r="G239" s="179"/>
      <c r="H239" s="178">
        <f>J238/100000</f>
        <v>0</v>
      </c>
      <c r="I239" s="178"/>
      <c r="J239" s="179"/>
      <c r="K239" s="168">
        <f>M238*0.7/100000</f>
        <v>1.7150000000000001</v>
      </c>
      <c r="L239" s="168"/>
      <c r="M239" s="169"/>
      <c r="N239" s="168">
        <f>P238/100000</f>
        <v>0</v>
      </c>
      <c r="O239" s="168"/>
      <c r="P239" s="169"/>
      <c r="Q239" s="168">
        <f>S238/100000</f>
        <v>0</v>
      </c>
      <c r="R239" s="168"/>
      <c r="S239" s="169"/>
    </row>
    <row r="240" spans="1:21">
      <c r="A240" s="170" t="s">
        <v>240</v>
      </c>
      <c r="B240" s="171" t="s">
        <v>235</v>
      </c>
      <c r="C240" s="174"/>
      <c r="D240" s="145"/>
      <c r="E240" s="13"/>
      <c r="F240" s="7"/>
      <c r="G240" s="175"/>
      <c r="H240" s="13"/>
      <c r="I240" s="7"/>
      <c r="J240" s="175"/>
      <c r="K240" s="40" t="s">
        <v>88</v>
      </c>
      <c r="L240" s="7">
        <v>1</v>
      </c>
      <c r="M240" s="55">
        <v>40000</v>
      </c>
      <c r="N240" s="40"/>
      <c r="O240" s="7"/>
      <c r="P240" s="55"/>
      <c r="Q240" s="40"/>
      <c r="R240" s="7"/>
      <c r="S240" s="150"/>
      <c r="U240" s="53" t="s">
        <v>105</v>
      </c>
    </row>
    <row r="241" spans="1:19">
      <c r="A241" s="170"/>
      <c r="B241" s="172"/>
      <c r="C241" s="174"/>
      <c r="D241" s="145"/>
      <c r="E241" s="13"/>
      <c r="F241" s="26"/>
      <c r="G241" s="176"/>
      <c r="H241" s="13"/>
      <c r="I241" s="7"/>
      <c r="J241" s="176"/>
      <c r="K241" s="40" t="s">
        <v>89</v>
      </c>
      <c r="L241" s="7">
        <v>1</v>
      </c>
      <c r="M241" s="55">
        <v>45000</v>
      </c>
      <c r="N241" s="40"/>
      <c r="O241" s="7"/>
      <c r="P241" s="55"/>
      <c r="Q241" s="40"/>
      <c r="R241" s="7"/>
      <c r="S241" s="150"/>
    </row>
    <row r="242" spans="1:19">
      <c r="A242" s="170"/>
      <c r="B242" s="172"/>
      <c r="C242" s="174"/>
      <c r="D242" s="145"/>
      <c r="E242" s="13"/>
      <c r="F242" s="26"/>
      <c r="G242" s="176"/>
      <c r="H242" s="13"/>
      <c r="I242" s="7"/>
      <c r="J242" s="176"/>
      <c r="K242" s="40" t="s">
        <v>90</v>
      </c>
      <c r="L242" s="7">
        <v>1</v>
      </c>
      <c r="M242" s="55">
        <v>40000</v>
      </c>
      <c r="N242" s="40"/>
      <c r="O242" s="7"/>
      <c r="P242" s="55"/>
      <c r="Q242" s="40"/>
      <c r="R242" s="7"/>
      <c r="S242" s="150"/>
    </row>
    <row r="243" spans="1:19">
      <c r="A243" s="170"/>
      <c r="B243" s="172"/>
      <c r="C243" s="174"/>
      <c r="D243" s="145"/>
      <c r="E243" s="13"/>
      <c r="F243" s="26"/>
      <c r="G243" s="176"/>
      <c r="H243" s="13"/>
      <c r="I243" s="7"/>
      <c r="J243" s="176"/>
      <c r="K243" s="40" t="s">
        <v>91</v>
      </c>
      <c r="L243" s="7">
        <v>1</v>
      </c>
      <c r="M243" s="55">
        <v>40000</v>
      </c>
      <c r="N243" s="40"/>
      <c r="O243" s="7"/>
      <c r="P243" s="55"/>
      <c r="Q243" s="40"/>
      <c r="R243" s="7"/>
      <c r="S243" s="150"/>
    </row>
    <row r="244" spans="1:19">
      <c r="A244" s="170"/>
      <c r="B244" s="172"/>
      <c r="C244" s="174"/>
      <c r="D244" s="145"/>
      <c r="E244" s="13"/>
      <c r="F244" s="26"/>
      <c r="G244" s="176"/>
      <c r="H244" s="13"/>
      <c r="I244" s="7"/>
      <c r="J244" s="176"/>
      <c r="K244" s="40" t="s">
        <v>241</v>
      </c>
      <c r="L244" s="7">
        <v>1</v>
      </c>
      <c r="M244" s="55">
        <v>40000</v>
      </c>
      <c r="N244" s="40"/>
      <c r="O244" s="7"/>
      <c r="P244" s="55"/>
      <c r="Q244" s="40"/>
      <c r="R244" s="7"/>
      <c r="S244" s="150"/>
    </row>
    <row r="245" spans="1:19">
      <c r="A245" s="170"/>
      <c r="B245" s="172"/>
      <c r="C245" s="174"/>
      <c r="D245" s="145"/>
      <c r="E245" s="13"/>
      <c r="F245" s="26"/>
      <c r="G245" s="176"/>
      <c r="H245" s="13"/>
      <c r="I245" s="7"/>
      <c r="J245" s="176"/>
      <c r="K245" s="40" t="s">
        <v>242</v>
      </c>
      <c r="L245" s="7">
        <v>1</v>
      </c>
      <c r="M245" s="55">
        <v>40000</v>
      </c>
      <c r="N245" s="40"/>
      <c r="O245" s="7"/>
      <c r="P245" s="55"/>
      <c r="Q245" s="40"/>
      <c r="R245" s="7"/>
      <c r="S245" s="150"/>
    </row>
    <row r="246" spans="1:19">
      <c r="A246" s="170"/>
      <c r="B246" s="172"/>
      <c r="C246" s="174"/>
      <c r="D246" s="145"/>
      <c r="E246" s="13"/>
      <c r="F246" s="26"/>
      <c r="G246" s="176"/>
      <c r="H246" s="13"/>
      <c r="I246" s="7"/>
      <c r="J246" s="176"/>
      <c r="K246" s="40"/>
      <c r="L246" s="7"/>
      <c r="M246" s="55"/>
      <c r="N246" s="40"/>
      <c r="O246" s="7"/>
      <c r="P246" s="55"/>
      <c r="Q246" s="40"/>
      <c r="R246" s="7"/>
      <c r="S246" s="150"/>
    </row>
    <row r="247" spans="1:19">
      <c r="A247" s="170"/>
      <c r="B247" s="172"/>
      <c r="C247" s="174"/>
      <c r="D247" s="145"/>
      <c r="E247" s="13"/>
      <c r="F247" s="7"/>
      <c r="G247" s="176"/>
      <c r="H247" s="13"/>
      <c r="I247" s="7"/>
      <c r="J247" s="176"/>
      <c r="K247" s="40"/>
      <c r="L247" s="7"/>
      <c r="M247" s="55"/>
      <c r="N247" s="40"/>
      <c r="O247" s="7"/>
      <c r="P247" s="55"/>
      <c r="Q247" s="40"/>
      <c r="R247" s="7"/>
      <c r="S247" s="150"/>
    </row>
    <row r="248" spans="1:19" ht="22.5" customHeight="1">
      <c r="A248" s="170"/>
      <c r="B248" s="173"/>
      <c r="C248" s="174"/>
      <c r="D248" s="145"/>
      <c r="E248" s="15" t="s">
        <v>7</v>
      </c>
      <c r="F248" s="15">
        <f>SUM(F240:F247)</f>
        <v>0</v>
      </c>
      <c r="G248" s="16">
        <f>SUM(G240:G247)</f>
        <v>0</v>
      </c>
      <c r="H248" s="15" t="s">
        <v>7</v>
      </c>
      <c r="I248" s="15">
        <f>SUM(I240:I247)</f>
        <v>0</v>
      </c>
      <c r="J248" s="16">
        <f>SUM(J240:J247)</f>
        <v>0</v>
      </c>
      <c r="K248" s="15" t="s">
        <v>7</v>
      </c>
      <c r="L248" s="15">
        <f>SUM(L240:L247)</f>
        <v>6</v>
      </c>
      <c r="M248" s="16">
        <f>SUM(M240:M247)</f>
        <v>245000</v>
      </c>
      <c r="N248" s="15" t="s">
        <v>7</v>
      </c>
      <c r="O248" s="15">
        <f>SUM(O240:O247)</f>
        <v>0</v>
      </c>
      <c r="P248" s="16">
        <f>SUM(P240:P247)</f>
        <v>0</v>
      </c>
      <c r="Q248" s="15" t="s">
        <v>7</v>
      </c>
      <c r="R248" s="15">
        <f>SUM(R240:R247)</f>
        <v>0</v>
      </c>
      <c r="S248" s="16">
        <f>SUM(S240:S247)</f>
        <v>0</v>
      </c>
    </row>
    <row r="249" spans="1:19" s="12" customFormat="1" ht="30" customHeight="1">
      <c r="A249" s="177" t="s">
        <v>243</v>
      </c>
      <c r="B249" s="177"/>
      <c r="C249" s="177"/>
      <c r="D249" s="134"/>
      <c r="E249" s="178">
        <f>G248/100000</f>
        <v>0</v>
      </c>
      <c r="F249" s="178"/>
      <c r="G249" s="179"/>
      <c r="H249" s="178">
        <f>J248/100000</f>
        <v>0</v>
      </c>
      <c r="I249" s="178"/>
      <c r="J249" s="179"/>
      <c r="K249" s="168">
        <f>M248*0.7/100000</f>
        <v>1.7150000000000001</v>
      </c>
      <c r="L249" s="168"/>
      <c r="M249" s="169"/>
      <c r="N249" s="168">
        <f>P248/100000</f>
        <v>0</v>
      </c>
      <c r="O249" s="168"/>
      <c r="P249" s="169"/>
      <c r="Q249" s="168">
        <f>S248/100000</f>
        <v>0</v>
      </c>
      <c r="R249" s="168"/>
      <c r="S249" s="169"/>
    </row>
    <row r="250" spans="1:19">
      <c r="A250"/>
      <c r="B250"/>
      <c r="C250"/>
      <c r="D250"/>
      <c r="F250"/>
      <c r="G250"/>
      <c r="J250" s="11"/>
    </row>
    <row r="251" spans="1:19">
      <c r="A251"/>
      <c r="B251"/>
      <c r="C251"/>
      <c r="D251"/>
      <c r="F251"/>
      <c r="G251" s="10"/>
      <c r="J251" s="11"/>
      <c r="M251" s="11"/>
      <c r="P251" s="11"/>
      <c r="S251" s="11"/>
    </row>
    <row r="252" spans="1:19">
      <c r="A252"/>
      <c r="B252"/>
      <c r="C252"/>
      <c r="D252"/>
      <c r="F252"/>
      <c r="G252"/>
      <c r="J252" s="11"/>
      <c r="M252" s="4"/>
      <c r="P252" s="4"/>
      <c r="S252" s="4"/>
    </row>
    <row r="253" spans="1:19">
      <c r="A253"/>
      <c r="B253"/>
      <c r="C253"/>
      <c r="D253"/>
      <c r="F253"/>
      <c r="G253"/>
    </row>
    <row r="254" spans="1:19">
      <c r="A254"/>
      <c r="B254"/>
      <c r="C254"/>
      <c r="D254"/>
      <c r="F254"/>
      <c r="G254"/>
    </row>
    <row r="255" spans="1:19" ht="13.5" customHeight="1">
      <c r="A255"/>
      <c r="B255"/>
      <c r="C255"/>
      <c r="D255"/>
      <c r="F255"/>
      <c r="G255"/>
    </row>
    <row r="256" spans="1:19" ht="13.5" customHeight="1">
      <c r="A256"/>
      <c r="B256"/>
      <c r="C256"/>
      <c r="D256"/>
      <c r="F256"/>
      <c r="G256"/>
    </row>
    <row r="257" spans="1:7">
      <c r="A257"/>
      <c r="B257"/>
      <c r="C257"/>
      <c r="D257"/>
      <c r="F257"/>
      <c r="G257"/>
    </row>
    <row r="258" spans="1:7" ht="13.5" customHeight="1">
      <c r="A258"/>
      <c r="B258"/>
      <c r="C258"/>
      <c r="D258"/>
      <c r="F258"/>
      <c r="G258"/>
    </row>
    <row r="259" spans="1:7">
      <c r="A259"/>
      <c r="B259"/>
      <c r="C259"/>
      <c r="D259"/>
      <c r="F259"/>
      <c r="G259"/>
    </row>
    <row r="260" spans="1:7">
      <c r="A260"/>
      <c r="B260"/>
      <c r="C260"/>
      <c r="D260"/>
      <c r="F260"/>
      <c r="G260"/>
    </row>
    <row r="261" spans="1:7">
      <c r="A261"/>
      <c r="B261"/>
      <c r="C261"/>
      <c r="D261"/>
      <c r="F261"/>
      <c r="G261"/>
    </row>
    <row r="262" spans="1:7">
      <c r="A262"/>
      <c r="B262"/>
      <c r="C262"/>
      <c r="D262"/>
      <c r="F262"/>
      <c r="G262"/>
    </row>
    <row r="263" spans="1:7">
      <c r="A263"/>
      <c r="B263"/>
      <c r="C263"/>
      <c r="D263"/>
      <c r="F263"/>
      <c r="G263"/>
    </row>
    <row r="264" spans="1:7">
      <c r="A264"/>
      <c r="B264"/>
      <c r="C264"/>
      <c r="D264"/>
      <c r="F264"/>
      <c r="G264"/>
    </row>
    <row r="265" spans="1:7" ht="13.5" customHeight="1">
      <c r="A265"/>
      <c r="B265"/>
      <c r="C265"/>
      <c r="D265"/>
      <c r="F265"/>
      <c r="G265"/>
    </row>
    <row r="266" spans="1:7">
      <c r="A266"/>
      <c r="B266"/>
      <c r="C266"/>
      <c r="D266"/>
      <c r="F266"/>
      <c r="G266"/>
    </row>
    <row r="267" spans="1:7">
      <c r="A267"/>
      <c r="B267"/>
      <c r="C267"/>
      <c r="D267"/>
      <c r="F267"/>
      <c r="G267"/>
    </row>
    <row r="268" spans="1:7">
      <c r="A268"/>
      <c r="B268"/>
      <c r="C268"/>
      <c r="D268"/>
      <c r="F268"/>
      <c r="G268"/>
    </row>
    <row r="269" spans="1:7">
      <c r="A269"/>
      <c r="B269"/>
      <c r="C269"/>
      <c r="D269"/>
      <c r="F269"/>
      <c r="G269"/>
    </row>
    <row r="270" spans="1:7">
      <c r="A270"/>
      <c r="B270"/>
      <c r="C270"/>
      <c r="D270"/>
      <c r="F270"/>
      <c r="G270"/>
    </row>
    <row r="271" spans="1:7">
      <c r="A271"/>
      <c r="B271"/>
      <c r="C271"/>
      <c r="D271"/>
      <c r="F271"/>
      <c r="G271"/>
    </row>
    <row r="272" spans="1:7">
      <c r="A272"/>
      <c r="B272"/>
      <c r="C272"/>
      <c r="D272"/>
      <c r="F272"/>
      <c r="G272"/>
    </row>
    <row r="273" spans="1:7">
      <c r="A273"/>
      <c r="B273"/>
      <c r="C273"/>
      <c r="D273"/>
      <c r="F273"/>
      <c r="G273"/>
    </row>
    <row r="274" spans="1:7">
      <c r="A274"/>
      <c r="B274"/>
      <c r="C274"/>
      <c r="D274"/>
      <c r="F274"/>
      <c r="G274"/>
    </row>
    <row r="275" spans="1:7">
      <c r="A275"/>
      <c r="B275"/>
      <c r="C275"/>
      <c r="D275"/>
      <c r="F275"/>
      <c r="G275"/>
    </row>
    <row r="276" spans="1:7">
      <c r="A276"/>
      <c r="B276"/>
      <c r="C276"/>
      <c r="D276"/>
      <c r="F276"/>
      <c r="G276"/>
    </row>
    <row r="277" spans="1:7">
      <c r="A277"/>
      <c r="B277"/>
      <c r="C277"/>
      <c r="D277"/>
      <c r="F277"/>
      <c r="G277"/>
    </row>
    <row r="278" spans="1:7">
      <c r="A278"/>
      <c r="B278"/>
      <c r="C278"/>
      <c r="D278"/>
      <c r="F278"/>
      <c r="G278"/>
    </row>
    <row r="279" spans="1:7">
      <c r="A279"/>
      <c r="B279"/>
      <c r="C279"/>
      <c r="D279"/>
      <c r="F279"/>
      <c r="G279"/>
    </row>
    <row r="280" spans="1:7">
      <c r="A280"/>
      <c r="B280"/>
      <c r="C280"/>
      <c r="D280"/>
      <c r="F280"/>
      <c r="G280"/>
    </row>
    <row r="281" spans="1:7">
      <c r="A281"/>
      <c r="B281"/>
      <c r="C281"/>
      <c r="D281"/>
      <c r="F281"/>
      <c r="G281"/>
    </row>
    <row r="282" spans="1:7">
      <c r="A282"/>
      <c r="B282"/>
      <c r="C282"/>
      <c r="D282"/>
      <c r="F282"/>
      <c r="G282"/>
    </row>
    <row r="283" spans="1:7">
      <c r="A283"/>
      <c r="B283"/>
      <c r="C283"/>
      <c r="D283"/>
      <c r="F283"/>
      <c r="G283"/>
    </row>
    <row r="284" spans="1:7">
      <c r="A284"/>
      <c r="B284"/>
      <c r="C284"/>
      <c r="D284"/>
      <c r="F284"/>
      <c r="G284"/>
    </row>
    <row r="285" spans="1:7">
      <c r="A285"/>
      <c r="B285"/>
      <c r="C285"/>
      <c r="D285"/>
      <c r="F285"/>
      <c r="G285"/>
    </row>
    <row r="286" spans="1:7">
      <c r="A286"/>
      <c r="B286"/>
      <c r="C286"/>
      <c r="D286"/>
      <c r="F286"/>
      <c r="G286"/>
    </row>
    <row r="287" spans="1:7">
      <c r="A287"/>
      <c r="B287"/>
      <c r="C287"/>
      <c r="D287"/>
      <c r="F287"/>
      <c r="G287"/>
    </row>
    <row r="288" spans="1:7">
      <c r="A288"/>
      <c r="B288"/>
      <c r="C288"/>
      <c r="D288"/>
      <c r="F288"/>
      <c r="G288"/>
    </row>
    <row r="289" spans="1:7">
      <c r="A289"/>
      <c r="B289"/>
      <c r="C289"/>
      <c r="D289"/>
      <c r="F289"/>
      <c r="G289"/>
    </row>
    <row r="290" spans="1:7">
      <c r="A290"/>
      <c r="B290"/>
      <c r="C290"/>
      <c r="D290"/>
      <c r="F290"/>
      <c r="G290"/>
    </row>
    <row r="291" spans="1:7">
      <c r="A291"/>
      <c r="B291"/>
      <c r="C291"/>
      <c r="D291"/>
      <c r="F291"/>
      <c r="G291"/>
    </row>
    <row r="292" spans="1:7">
      <c r="A292"/>
      <c r="B292"/>
      <c r="C292"/>
      <c r="D292"/>
      <c r="F292"/>
      <c r="G292"/>
    </row>
    <row r="293" spans="1:7">
      <c r="A293"/>
      <c r="B293"/>
      <c r="C293"/>
      <c r="D293"/>
      <c r="F293"/>
      <c r="G293"/>
    </row>
    <row r="294" spans="1:7">
      <c r="A294"/>
      <c r="B294"/>
      <c r="C294"/>
      <c r="D294"/>
      <c r="F294"/>
      <c r="G294"/>
    </row>
    <row r="295" spans="1:7">
      <c r="A295"/>
      <c r="B295"/>
      <c r="C295"/>
      <c r="D295"/>
      <c r="F295"/>
      <c r="G295"/>
    </row>
    <row r="296" spans="1:7">
      <c r="A296"/>
      <c r="B296"/>
      <c r="C296"/>
      <c r="D296"/>
      <c r="F296"/>
      <c r="G296"/>
    </row>
    <row r="297" spans="1:7">
      <c r="A297"/>
      <c r="B297"/>
      <c r="C297"/>
      <c r="D297"/>
      <c r="F297"/>
      <c r="G297"/>
    </row>
    <row r="298" spans="1:7">
      <c r="A298"/>
      <c r="B298"/>
      <c r="C298"/>
      <c r="D298"/>
      <c r="F298"/>
      <c r="G298"/>
    </row>
    <row r="299" spans="1:7">
      <c r="A299"/>
      <c r="B299"/>
      <c r="C299"/>
      <c r="D299"/>
      <c r="F299"/>
      <c r="G299"/>
    </row>
    <row r="300" spans="1:7">
      <c r="A300"/>
      <c r="B300"/>
      <c r="C300"/>
      <c r="D300"/>
      <c r="F300"/>
      <c r="G300"/>
    </row>
    <row r="301" spans="1:7">
      <c r="A301"/>
      <c r="B301"/>
      <c r="C301"/>
      <c r="D301"/>
      <c r="F301"/>
      <c r="G301"/>
    </row>
    <row r="302" spans="1:7">
      <c r="A302"/>
      <c r="B302"/>
      <c r="C302"/>
      <c r="D302"/>
      <c r="F302"/>
      <c r="G302"/>
    </row>
    <row r="303" spans="1:7">
      <c r="A303"/>
      <c r="B303"/>
      <c r="C303"/>
      <c r="D303"/>
      <c r="F303"/>
      <c r="G303"/>
    </row>
    <row r="304" spans="1:7">
      <c r="A304"/>
      <c r="B304"/>
      <c r="C304"/>
      <c r="D304"/>
      <c r="F304"/>
      <c r="G304"/>
    </row>
    <row r="305" spans="1:7">
      <c r="A305"/>
      <c r="B305"/>
      <c r="C305"/>
      <c r="D305"/>
      <c r="F305"/>
      <c r="G305"/>
    </row>
    <row r="306" spans="1:7">
      <c r="A306"/>
      <c r="B306"/>
      <c r="C306"/>
      <c r="D306"/>
      <c r="F306"/>
      <c r="G306"/>
    </row>
    <row r="307" spans="1:7">
      <c r="A307"/>
      <c r="B307"/>
      <c r="C307"/>
      <c r="D307"/>
      <c r="F307"/>
      <c r="G307"/>
    </row>
    <row r="308" spans="1:7">
      <c r="A308"/>
      <c r="B308"/>
      <c r="C308"/>
      <c r="D308"/>
      <c r="F308"/>
      <c r="G308"/>
    </row>
    <row r="309" spans="1:7">
      <c r="A309"/>
      <c r="B309"/>
      <c r="C309"/>
      <c r="D309"/>
      <c r="F309"/>
      <c r="G309"/>
    </row>
    <row r="310" spans="1:7">
      <c r="A310"/>
      <c r="B310"/>
      <c r="C310"/>
      <c r="D310"/>
      <c r="F310"/>
      <c r="G310"/>
    </row>
    <row r="311" spans="1:7">
      <c r="A311"/>
      <c r="B311"/>
      <c r="C311"/>
      <c r="D311"/>
      <c r="F311"/>
      <c r="G311"/>
    </row>
    <row r="312" spans="1:7">
      <c r="A312"/>
      <c r="B312"/>
      <c r="C312"/>
      <c r="D312"/>
      <c r="F312"/>
      <c r="G312"/>
    </row>
    <row r="313" spans="1:7">
      <c r="A313"/>
      <c r="B313"/>
      <c r="C313"/>
      <c r="D313"/>
      <c r="F313"/>
      <c r="G313"/>
    </row>
    <row r="314" spans="1:7">
      <c r="A314"/>
      <c r="B314"/>
      <c r="C314"/>
      <c r="D314"/>
      <c r="F314"/>
      <c r="G314"/>
    </row>
    <row r="315" spans="1:7">
      <c r="A315"/>
      <c r="B315"/>
      <c r="C315"/>
      <c r="D315"/>
      <c r="F315"/>
      <c r="G315"/>
    </row>
    <row r="316" spans="1:7">
      <c r="A316"/>
      <c r="B316"/>
      <c r="C316"/>
      <c r="D316"/>
      <c r="F316"/>
      <c r="G316"/>
    </row>
    <row r="317" spans="1:7">
      <c r="A317"/>
      <c r="B317"/>
      <c r="C317"/>
      <c r="D317"/>
      <c r="F317"/>
      <c r="G317"/>
    </row>
    <row r="318" spans="1:7">
      <c r="A318"/>
      <c r="B318"/>
      <c r="C318"/>
      <c r="D318"/>
      <c r="F318"/>
      <c r="G318"/>
    </row>
    <row r="319" spans="1:7">
      <c r="A319"/>
      <c r="B319"/>
      <c r="C319"/>
      <c r="D319"/>
      <c r="F319"/>
      <c r="G319"/>
    </row>
    <row r="320" spans="1:7">
      <c r="A320"/>
      <c r="B320"/>
      <c r="C320"/>
      <c r="D320"/>
      <c r="F320"/>
      <c r="G320"/>
    </row>
    <row r="321" spans="1:7">
      <c r="A321"/>
      <c r="B321"/>
      <c r="C321"/>
      <c r="D321"/>
      <c r="F321"/>
      <c r="G321"/>
    </row>
    <row r="322" spans="1:7">
      <c r="A322"/>
      <c r="B322"/>
      <c r="C322"/>
      <c r="D322"/>
      <c r="F322"/>
      <c r="G322"/>
    </row>
    <row r="323" spans="1:7">
      <c r="A323"/>
      <c r="B323"/>
      <c r="C323"/>
      <c r="D323"/>
      <c r="F323"/>
      <c r="G323"/>
    </row>
    <row r="324" spans="1:7">
      <c r="A324"/>
      <c r="B324"/>
      <c r="C324"/>
      <c r="D324"/>
      <c r="F324"/>
      <c r="G324"/>
    </row>
    <row r="325" spans="1:7">
      <c r="A325"/>
      <c r="B325"/>
      <c r="C325"/>
      <c r="D325"/>
      <c r="F325"/>
      <c r="G325"/>
    </row>
    <row r="326" spans="1:7">
      <c r="A326"/>
      <c r="B326"/>
      <c r="C326"/>
      <c r="D326"/>
      <c r="F326"/>
      <c r="G326"/>
    </row>
    <row r="327" spans="1:7">
      <c r="A327"/>
      <c r="B327"/>
      <c r="C327"/>
      <c r="D327"/>
      <c r="F327"/>
      <c r="G327"/>
    </row>
    <row r="328" spans="1:7">
      <c r="A328"/>
      <c r="B328"/>
      <c r="C328"/>
      <c r="D328"/>
      <c r="F328"/>
      <c r="G328"/>
    </row>
    <row r="329" spans="1:7">
      <c r="A329"/>
      <c r="B329"/>
      <c r="C329"/>
      <c r="D329"/>
      <c r="F329"/>
      <c r="G329"/>
    </row>
    <row r="330" spans="1:7">
      <c r="A330"/>
      <c r="B330"/>
      <c r="C330"/>
      <c r="D330"/>
      <c r="F330"/>
      <c r="G330"/>
    </row>
    <row r="331" spans="1:7">
      <c r="A331"/>
      <c r="B331"/>
      <c r="C331"/>
      <c r="D331"/>
      <c r="F331"/>
      <c r="G331"/>
    </row>
    <row r="332" spans="1:7">
      <c r="A332"/>
      <c r="B332"/>
      <c r="C332"/>
      <c r="D332"/>
      <c r="F332"/>
      <c r="G332"/>
    </row>
    <row r="333" spans="1:7">
      <c r="A333"/>
      <c r="B333"/>
      <c r="C333"/>
      <c r="D333"/>
      <c r="F333"/>
      <c r="G333"/>
    </row>
  </sheetData>
  <autoFilter ref="A2:U2" xr:uid="{00000000-0001-0000-0000-000000000000}">
    <filterColumn colId="4" showButton="0"/>
    <filterColumn colId="5" showButton="0"/>
    <filterColumn colId="7" showButton="0"/>
    <filterColumn colId="8" showButton="0"/>
    <filterColumn colId="10" showButton="0"/>
    <filterColumn colId="11" showButton="0"/>
    <filterColumn colId="13" showButton="0"/>
    <filterColumn colId="14" showButton="0"/>
    <filterColumn colId="16" showButton="0"/>
    <filterColumn colId="17" showButton="0"/>
  </autoFilter>
  <mergeCells count="333">
    <mergeCell ref="Q184:S184"/>
    <mergeCell ref="Q189:S189"/>
    <mergeCell ref="Q199:S199"/>
    <mergeCell ref="Q209:S209"/>
    <mergeCell ref="Q219:S219"/>
    <mergeCell ref="Q229:S229"/>
    <mergeCell ref="S185:S187"/>
    <mergeCell ref="S190:S197"/>
    <mergeCell ref="S200:S207"/>
    <mergeCell ref="S210:S217"/>
    <mergeCell ref="S220:S227"/>
    <mergeCell ref="Q102:S102"/>
    <mergeCell ref="Q110:S110"/>
    <mergeCell ref="Q118:S118"/>
    <mergeCell ref="Q126:S126"/>
    <mergeCell ref="S127:S138"/>
    <mergeCell ref="Q140:S140"/>
    <mergeCell ref="Q151:S151"/>
    <mergeCell ref="Q162:S162"/>
    <mergeCell ref="Q173:S173"/>
    <mergeCell ref="S48:S53"/>
    <mergeCell ref="Q55:S55"/>
    <mergeCell ref="Q63:S63"/>
    <mergeCell ref="Q71:S71"/>
    <mergeCell ref="Q79:S79"/>
    <mergeCell ref="S80:S84"/>
    <mergeCell ref="Q86:S86"/>
    <mergeCell ref="S87:S92"/>
    <mergeCell ref="Q94:S94"/>
    <mergeCell ref="Q2:S2"/>
    <mergeCell ref="Q10:S10"/>
    <mergeCell ref="S11:S20"/>
    <mergeCell ref="Q22:S22"/>
    <mergeCell ref="S23:S30"/>
    <mergeCell ref="Q32:S32"/>
    <mergeCell ref="S33:S38"/>
    <mergeCell ref="Q40:S40"/>
    <mergeCell ref="Q47:S47"/>
    <mergeCell ref="N184:P184"/>
    <mergeCell ref="N189:P189"/>
    <mergeCell ref="N199:P199"/>
    <mergeCell ref="N209:P209"/>
    <mergeCell ref="N219:P219"/>
    <mergeCell ref="N229:P229"/>
    <mergeCell ref="N102:P102"/>
    <mergeCell ref="N110:P110"/>
    <mergeCell ref="N118:P118"/>
    <mergeCell ref="N126:P126"/>
    <mergeCell ref="P127:P138"/>
    <mergeCell ref="N140:P140"/>
    <mergeCell ref="N151:P151"/>
    <mergeCell ref="N162:P162"/>
    <mergeCell ref="N173:P173"/>
    <mergeCell ref="P48:P53"/>
    <mergeCell ref="N55:P55"/>
    <mergeCell ref="N63:P63"/>
    <mergeCell ref="N71:P71"/>
    <mergeCell ref="N79:P79"/>
    <mergeCell ref="P80:P84"/>
    <mergeCell ref="N86:P86"/>
    <mergeCell ref="P87:P92"/>
    <mergeCell ref="N94:P94"/>
    <mergeCell ref="N2:P2"/>
    <mergeCell ref="N10:P10"/>
    <mergeCell ref="P11:P20"/>
    <mergeCell ref="N22:P22"/>
    <mergeCell ref="P23:P30"/>
    <mergeCell ref="N32:P32"/>
    <mergeCell ref="P33:P38"/>
    <mergeCell ref="N40:P40"/>
    <mergeCell ref="N47:P47"/>
    <mergeCell ref="A220:A228"/>
    <mergeCell ref="B220:B228"/>
    <mergeCell ref="C220:C228"/>
    <mergeCell ref="G220:G227"/>
    <mergeCell ref="J220:J227"/>
    <mergeCell ref="A229:C229"/>
    <mergeCell ref="E229:G229"/>
    <mergeCell ref="H229:J229"/>
    <mergeCell ref="K229:M229"/>
    <mergeCell ref="A210:A218"/>
    <mergeCell ref="B210:B218"/>
    <mergeCell ref="C210:C218"/>
    <mergeCell ref="G210:G217"/>
    <mergeCell ref="J210:J217"/>
    <mergeCell ref="A219:C219"/>
    <mergeCell ref="E219:G219"/>
    <mergeCell ref="H219:J219"/>
    <mergeCell ref="K219:M219"/>
    <mergeCell ref="A200:A208"/>
    <mergeCell ref="B200:B208"/>
    <mergeCell ref="C200:C208"/>
    <mergeCell ref="G200:G207"/>
    <mergeCell ref="J200:J207"/>
    <mergeCell ref="A209:C209"/>
    <mergeCell ref="E209:G209"/>
    <mergeCell ref="H209:J209"/>
    <mergeCell ref="K209:M209"/>
    <mergeCell ref="A190:A198"/>
    <mergeCell ref="B190:B198"/>
    <mergeCell ref="C190:C198"/>
    <mergeCell ref="G190:G197"/>
    <mergeCell ref="J190:J197"/>
    <mergeCell ref="A199:C199"/>
    <mergeCell ref="E199:G199"/>
    <mergeCell ref="H199:J199"/>
    <mergeCell ref="K199:M199"/>
    <mergeCell ref="A185:A188"/>
    <mergeCell ref="B185:B188"/>
    <mergeCell ref="C185:C188"/>
    <mergeCell ref="G185:G187"/>
    <mergeCell ref="J185:J187"/>
    <mergeCell ref="A189:C189"/>
    <mergeCell ref="E189:G189"/>
    <mergeCell ref="H189:J189"/>
    <mergeCell ref="K189:M189"/>
    <mergeCell ref="H184:J184"/>
    <mergeCell ref="K184:M184"/>
    <mergeCell ref="A174:A183"/>
    <mergeCell ref="B174:B183"/>
    <mergeCell ref="C174:C183"/>
    <mergeCell ref="G174:G182"/>
    <mergeCell ref="A184:C184"/>
    <mergeCell ref="E184:G184"/>
    <mergeCell ref="J174:J182"/>
    <mergeCell ref="H151:J151"/>
    <mergeCell ref="J152:J160"/>
    <mergeCell ref="A173:C173"/>
    <mergeCell ref="E173:G173"/>
    <mergeCell ref="H173:J173"/>
    <mergeCell ref="K173:M173"/>
    <mergeCell ref="H162:J162"/>
    <mergeCell ref="K162:M162"/>
    <mergeCell ref="A163:A172"/>
    <mergeCell ref="B163:B172"/>
    <mergeCell ref="C163:C172"/>
    <mergeCell ref="G163:G171"/>
    <mergeCell ref="J163:J171"/>
    <mergeCell ref="E140:G140"/>
    <mergeCell ref="A152:A161"/>
    <mergeCell ref="B152:B161"/>
    <mergeCell ref="C152:C161"/>
    <mergeCell ref="G152:G160"/>
    <mergeCell ref="A162:C162"/>
    <mergeCell ref="E162:G162"/>
    <mergeCell ref="A151:C151"/>
    <mergeCell ref="E151:G151"/>
    <mergeCell ref="A126:C126"/>
    <mergeCell ref="E126:G126"/>
    <mergeCell ref="H126:J126"/>
    <mergeCell ref="K151:M151"/>
    <mergeCell ref="K126:M126"/>
    <mergeCell ref="H118:J118"/>
    <mergeCell ref="K118:M118"/>
    <mergeCell ref="A119:A125"/>
    <mergeCell ref="B119:B125"/>
    <mergeCell ref="C119:C125"/>
    <mergeCell ref="G119:G124"/>
    <mergeCell ref="G127:G138"/>
    <mergeCell ref="J127:J138"/>
    <mergeCell ref="H140:J140"/>
    <mergeCell ref="K140:M140"/>
    <mergeCell ref="A141:A150"/>
    <mergeCell ref="B141:B150"/>
    <mergeCell ref="C141:C150"/>
    <mergeCell ref="G141:G149"/>
    <mergeCell ref="J141:J149"/>
    <mergeCell ref="A127:A139"/>
    <mergeCell ref="B127:B139"/>
    <mergeCell ref="C127:C139"/>
    <mergeCell ref="A140:C140"/>
    <mergeCell ref="A111:A117"/>
    <mergeCell ref="B111:B117"/>
    <mergeCell ref="C111:C117"/>
    <mergeCell ref="G111:G116"/>
    <mergeCell ref="A118:C118"/>
    <mergeCell ref="E118:G118"/>
    <mergeCell ref="A110:C110"/>
    <mergeCell ref="E110:G110"/>
    <mergeCell ref="H110:J110"/>
    <mergeCell ref="K110:M110"/>
    <mergeCell ref="H102:J102"/>
    <mergeCell ref="K102:M102"/>
    <mergeCell ref="A103:A109"/>
    <mergeCell ref="B103:B109"/>
    <mergeCell ref="C103:C109"/>
    <mergeCell ref="G103:G108"/>
    <mergeCell ref="A95:A101"/>
    <mergeCell ref="B95:B101"/>
    <mergeCell ref="C95:C101"/>
    <mergeCell ref="G95:G100"/>
    <mergeCell ref="A102:C102"/>
    <mergeCell ref="E102:G102"/>
    <mergeCell ref="A94:C94"/>
    <mergeCell ref="E94:G94"/>
    <mergeCell ref="H94:J94"/>
    <mergeCell ref="J95:J100"/>
    <mergeCell ref="K94:M94"/>
    <mergeCell ref="H86:J86"/>
    <mergeCell ref="K86:M86"/>
    <mergeCell ref="A87:A93"/>
    <mergeCell ref="B87:B93"/>
    <mergeCell ref="C87:C93"/>
    <mergeCell ref="G87:G92"/>
    <mergeCell ref="A80:A85"/>
    <mergeCell ref="B80:B85"/>
    <mergeCell ref="C80:C85"/>
    <mergeCell ref="G80:G84"/>
    <mergeCell ref="A86:C86"/>
    <mergeCell ref="E86:G86"/>
    <mergeCell ref="A79:C79"/>
    <mergeCell ref="E79:G79"/>
    <mergeCell ref="H79:J79"/>
    <mergeCell ref="B72:B78"/>
    <mergeCell ref="C72:C78"/>
    <mergeCell ref="G72:G77"/>
    <mergeCell ref="A64:A70"/>
    <mergeCell ref="B64:B70"/>
    <mergeCell ref="C64:C70"/>
    <mergeCell ref="G64:G69"/>
    <mergeCell ref="A71:C71"/>
    <mergeCell ref="E71:G71"/>
    <mergeCell ref="E10:G10"/>
    <mergeCell ref="H10:J10"/>
    <mergeCell ref="K10:M10"/>
    <mergeCell ref="E32:G32"/>
    <mergeCell ref="H32:J32"/>
    <mergeCell ref="K32:M32"/>
    <mergeCell ref="A22:C22"/>
    <mergeCell ref="E22:G22"/>
    <mergeCell ref="H22:J22"/>
    <mergeCell ref="K22:M22"/>
    <mergeCell ref="A10:C10"/>
    <mergeCell ref="B11:B21"/>
    <mergeCell ref="B23:B31"/>
    <mergeCell ref="M11:M20"/>
    <mergeCell ref="J11:J20"/>
    <mergeCell ref="A1:M1"/>
    <mergeCell ref="E2:G2"/>
    <mergeCell ref="H2:J2"/>
    <mergeCell ref="K2:M2"/>
    <mergeCell ref="A2:A3"/>
    <mergeCell ref="C2:C3"/>
    <mergeCell ref="B2:B3"/>
    <mergeCell ref="B4:B9"/>
    <mergeCell ref="C4:C9"/>
    <mergeCell ref="A4:A9"/>
    <mergeCell ref="J4:J7"/>
    <mergeCell ref="D2:D3"/>
    <mergeCell ref="G4:G8"/>
    <mergeCell ref="B33:B39"/>
    <mergeCell ref="A32:C32"/>
    <mergeCell ref="E47:G47"/>
    <mergeCell ref="C11:C21"/>
    <mergeCell ref="C23:C31"/>
    <mergeCell ref="C33:C39"/>
    <mergeCell ref="A11:A21"/>
    <mergeCell ref="A23:A31"/>
    <mergeCell ref="A33:A39"/>
    <mergeCell ref="G11:G20"/>
    <mergeCell ref="G23:G30"/>
    <mergeCell ref="G33:G38"/>
    <mergeCell ref="A41:A46"/>
    <mergeCell ref="B41:B46"/>
    <mergeCell ref="C41:C46"/>
    <mergeCell ref="G41:G45"/>
    <mergeCell ref="A40:C40"/>
    <mergeCell ref="E40:G40"/>
    <mergeCell ref="J64:J69"/>
    <mergeCell ref="J72:J77"/>
    <mergeCell ref="J80:J84"/>
    <mergeCell ref="J87:J92"/>
    <mergeCell ref="J103:J108"/>
    <mergeCell ref="K40:M40"/>
    <mergeCell ref="K79:M79"/>
    <mergeCell ref="H71:J71"/>
    <mergeCell ref="K71:M71"/>
    <mergeCell ref="J33:J38"/>
    <mergeCell ref="J23:J30"/>
    <mergeCell ref="H47:J47"/>
    <mergeCell ref="K47:M47"/>
    <mergeCell ref="H40:J40"/>
    <mergeCell ref="H63:J63"/>
    <mergeCell ref="K63:M63"/>
    <mergeCell ref="H55:J55"/>
    <mergeCell ref="K55:M55"/>
    <mergeCell ref="J41:J45"/>
    <mergeCell ref="J48:J53"/>
    <mergeCell ref="J56:J61"/>
    <mergeCell ref="N239:P239"/>
    <mergeCell ref="Q239:S239"/>
    <mergeCell ref="A47:C47"/>
    <mergeCell ref="M127:M138"/>
    <mergeCell ref="M23:M30"/>
    <mergeCell ref="M33:M38"/>
    <mergeCell ref="M48:M53"/>
    <mergeCell ref="M80:M84"/>
    <mergeCell ref="M87:M92"/>
    <mergeCell ref="J119:J124"/>
    <mergeCell ref="J111:J116"/>
    <mergeCell ref="A63:C63"/>
    <mergeCell ref="E63:G63"/>
    <mergeCell ref="G48:G53"/>
    <mergeCell ref="A56:A62"/>
    <mergeCell ref="B56:B62"/>
    <mergeCell ref="C56:C62"/>
    <mergeCell ref="G56:G61"/>
    <mergeCell ref="A48:A54"/>
    <mergeCell ref="B48:B54"/>
    <mergeCell ref="C48:C54"/>
    <mergeCell ref="A55:C55"/>
    <mergeCell ref="E55:G55"/>
    <mergeCell ref="A72:A78"/>
    <mergeCell ref="A230:A238"/>
    <mergeCell ref="B230:B238"/>
    <mergeCell ref="C230:C238"/>
    <mergeCell ref="G230:G237"/>
    <mergeCell ref="J230:J237"/>
    <mergeCell ref="A239:C239"/>
    <mergeCell ref="E239:G239"/>
    <mergeCell ref="H239:J239"/>
    <mergeCell ref="K239:M239"/>
    <mergeCell ref="N249:P249"/>
    <mergeCell ref="Q249:S249"/>
    <mergeCell ref="A240:A248"/>
    <mergeCell ref="B240:B248"/>
    <mergeCell ref="C240:C248"/>
    <mergeCell ref="G240:G247"/>
    <mergeCell ref="J240:J247"/>
    <mergeCell ref="A249:C249"/>
    <mergeCell ref="E249:G249"/>
    <mergeCell ref="H249:J249"/>
    <mergeCell ref="K249:M249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81D2-A5AA-42A8-AF04-DF7E254E739E}">
  <dimension ref="A1:AG211"/>
  <sheetViews>
    <sheetView view="pageBreakPreview" zoomScale="70" zoomScaleNormal="87" zoomScaleSheetLayoutView="70" workbookViewId="0">
      <pane xSplit="11" ySplit="3" topLeftCell="M154" activePane="bottomRight" state="frozen"/>
      <selection pane="topRight" activeCell="I1" sqref="I1"/>
      <selection pane="bottomLeft" activeCell="A4" sqref="A4"/>
      <selection pane="bottomRight" activeCell="F192" sqref="F192:F201"/>
    </sheetView>
  </sheetViews>
  <sheetFormatPr defaultColWidth="9" defaultRowHeight="14.4"/>
  <cols>
    <col min="1" max="1" width="3.44140625" style="61" customWidth="1"/>
    <col min="2" max="2" width="4.33203125" style="61" customWidth="1"/>
    <col min="3" max="3" width="12.21875" style="61" customWidth="1"/>
    <col min="4" max="4" width="6.6640625" style="61" customWidth="1"/>
    <col min="5" max="5" width="11.109375" style="83" customWidth="1"/>
    <col min="6" max="6" width="9.21875" style="83" customWidth="1"/>
    <col min="7" max="7" width="11.33203125" style="83" customWidth="1"/>
    <col min="8" max="8" width="16.88671875" style="61" customWidth="1"/>
    <col min="9" max="9" width="14.44140625" style="61" customWidth="1"/>
    <col min="10" max="10" width="12.109375" style="61" customWidth="1"/>
    <col min="11" max="11" width="4.21875" style="61" customWidth="1"/>
    <col min="12" max="14" width="8" style="84" customWidth="1"/>
    <col min="15" max="16" width="9.109375" style="85" customWidth="1"/>
    <col min="17" max="17" width="9.5546875" style="86" customWidth="1"/>
    <col min="18" max="18" width="7.6640625" style="86" customWidth="1"/>
    <col min="19" max="19" width="10.109375" style="86" customWidth="1"/>
    <col min="20" max="20" width="12.44140625" style="85" customWidth="1"/>
    <col min="21" max="21" width="8" style="87" customWidth="1"/>
    <col min="22" max="22" width="13.109375" style="88" customWidth="1"/>
    <col min="23" max="23" width="7.44140625" style="89" customWidth="1"/>
    <col min="24" max="24" width="6.44140625" style="88" customWidth="1"/>
    <col min="25" max="25" width="7.109375" style="89" customWidth="1"/>
    <col min="26" max="26" width="6.77734375" style="89" customWidth="1"/>
    <col min="27" max="27" width="8.109375" style="89" customWidth="1"/>
    <col min="28" max="28" width="12.21875" style="90" customWidth="1"/>
    <col min="29" max="29" width="12.109375" style="61" customWidth="1"/>
    <col min="30" max="30" width="9.6640625" style="61" customWidth="1"/>
    <col min="31" max="31" width="15" style="61" customWidth="1"/>
    <col min="32" max="32" width="13.88671875" style="88" customWidth="1"/>
    <col min="33" max="16384" width="9" style="61"/>
  </cols>
  <sheetData>
    <row r="1" spans="1:31" ht="17.399999999999999">
      <c r="A1" s="239" t="s">
        <v>234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</row>
    <row r="2" spans="1:31" ht="13.5" customHeight="1">
      <c r="A2" s="62" t="s">
        <v>119</v>
      </c>
      <c r="B2" s="225" t="s">
        <v>120</v>
      </c>
      <c r="C2" s="225" t="s">
        <v>121</v>
      </c>
      <c r="D2" s="225" t="s">
        <v>122</v>
      </c>
      <c r="E2" s="240" t="s">
        <v>123</v>
      </c>
      <c r="F2" s="242" t="s">
        <v>124</v>
      </c>
      <c r="G2" s="244" t="s">
        <v>162</v>
      </c>
      <c r="H2" s="244" t="s">
        <v>125</v>
      </c>
      <c r="I2" s="244" t="s">
        <v>164</v>
      </c>
      <c r="J2" s="244" t="s">
        <v>9</v>
      </c>
      <c r="K2" s="244" t="s">
        <v>126</v>
      </c>
      <c r="L2" s="247" t="s">
        <v>127</v>
      </c>
      <c r="M2" s="247"/>
      <c r="N2" s="247"/>
      <c r="O2" s="248" t="s">
        <v>128</v>
      </c>
      <c r="P2" s="249"/>
      <c r="Q2" s="250" t="s">
        <v>129</v>
      </c>
      <c r="R2" s="251"/>
      <c r="S2" s="252"/>
      <c r="T2" s="236" t="s">
        <v>130</v>
      </c>
      <c r="U2" s="248" t="s">
        <v>131</v>
      </c>
      <c r="V2" s="253"/>
      <c r="W2" s="253"/>
      <c r="X2" s="253"/>
      <c r="Y2" s="249"/>
      <c r="Z2" s="236" t="s">
        <v>132</v>
      </c>
      <c r="AA2" s="257" t="s">
        <v>133</v>
      </c>
      <c r="AB2" s="254" t="s">
        <v>134</v>
      </c>
      <c r="AC2" s="242" t="s">
        <v>135</v>
      </c>
      <c r="AD2" s="256" t="s">
        <v>136</v>
      </c>
      <c r="AE2" s="242" t="s">
        <v>137</v>
      </c>
    </row>
    <row r="3" spans="1:31" ht="25.5" customHeight="1">
      <c r="A3" s="63" t="s">
        <v>138</v>
      </c>
      <c r="B3" s="227"/>
      <c r="C3" s="227"/>
      <c r="D3" s="227"/>
      <c r="E3" s="241"/>
      <c r="F3" s="243"/>
      <c r="G3" s="246"/>
      <c r="H3" s="245"/>
      <c r="I3" s="246"/>
      <c r="J3" s="245"/>
      <c r="K3" s="246"/>
      <c r="L3" s="64" t="s">
        <v>139</v>
      </c>
      <c r="M3" s="64" t="s">
        <v>140</v>
      </c>
      <c r="N3" s="64" t="s">
        <v>141</v>
      </c>
      <c r="O3" s="65" t="s">
        <v>142</v>
      </c>
      <c r="P3" s="65" t="s">
        <v>143</v>
      </c>
      <c r="Q3" s="66" t="s">
        <v>144</v>
      </c>
      <c r="R3" s="66" t="s">
        <v>145</v>
      </c>
      <c r="S3" s="66" t="s">
        <v>143</v>
      </c>
      <c r="T3" s="237"/>
      <c r="U3" s="65" t="s">
        <v>3</v>
      </c>
      <c r="V3" s="65" t="s">
        <v>146</v>
      </c>
      <c r="W3" s="65" t="s">
        <v>147</v>
      </c>
      <c r="X3" s="67" t="s">
        <v>148</v>
      </c>
      <c r="Y3" s="68" t="s">
        <v>7</v>
      </c>
      <c r="Z3" s="238"/>
      <c r="AA3" s="258"/>
      <c r="AB3" s="255"/>
      <c r="AC3" s="243"/>
      <c r="AD3" s="242"/>
      <c r="AE3" s="243"/>
    </row>
    <row r="4" spans="1:31" ht="18.600000000000001" customHeight="1">
      <c r="A4" s="225"/>
      <c r="B4" s="225"/>
      <c r="C4" s="228">
        <v>44456</v>
      </c>
      <c r="D4" s="231"/>
      <c r="E4" s="234" t="s">
        <v>15</v>
      </c>
      <c r="F4" s="234" t="s">
        <v>16</v>
      </c>
      <c r="G4" s="234"/>
      <c r="H4" s="91" t="s">
        <v>16</v>
      </c>
      <c r="I4" s="91"/>
      <c r="J4" s="91" t="s">
        <v>77</v>
      </c>
      <c r="K4" s="93">
        <v>1</v>
      </c>
      <c r="L4" s="82"/>
      <c r="M4" s="82"/>
      <c r="N4" s="75">
        <v>3</v>
      </c>
      <c r="O4" s="92">
        <v>6.7</v>
      </c>
      <c r="P4" s="92">
        <v>3.4</v>
      </c>
      <c r="Q4" s="92">
        <f>R4/0.7</f>
        <v>5.6285714285714286E-2</v>
      </c>
      <c r="R4" s="76">
        <v>3.9399999999999998E-2</v>
      </c>
      <c r="S4" s="77">
        <f>Q4-R4</f>
        <v>1.6885714285714289E-2</v>
      </c>
      <c r="T4" s="78">
        <f>K4*(Q4*O4-P4*S4)</f>
        <v>0.31970285714285718</v>
      </c>
      <c r="U4" s="13" t="s">
        <v>20</v>
      </c>
      <c r="V4" s="70" t="s">
        <v>155</v>
      </c>
      <c r="W4" s="71">
        <v>0.05</v>
      </c>
      <c r="X4" s="72">
        <v>1</v>
      </c>
      <c r="Y4" s="71">
        <f>W4/X4</f>
        <v>0.05</v>
      </c>
      <c r="Z4" s="235">
        <v>1.2</v>
      </c>
      <c r="AA4" s="236">
        <f>(T10+Y10)*Z4</f>
        <v>0.62364342857142863</v>
      </c>
      <c r="AB4" s="213">
        <f>AA4/1.13</f>
        <v>0.55189683944374224</v>
      </c>
      <c r="AC4" s="217">
        <v>5752.2123893805319</v>
      </c>
      <c r="AD4" s="217">
        <v>100000</v>
      </c>
      <c r="AE4" s="220">
        <f>AB4+AC4/AD4</f>
        <v>0.60941896333754753</v>
      </c>
    </row>
    <row r="5" spans="1:31">
      <c r="A5" s="226"/>
      <c r="B5" s="226"/>
      <c r="C5" s="229"/>
      <c r="D5" s="232"/>
      <c r="E5" s="229"/>
      <c r="F5" s="229"/>
      <c r="G5" s="229"/>
      <c r="H5" s="91"/>
      <c r="I5" s="91"/>
      <c r="J5" s="91"/>
      <c r="K5" s="93"/>
      <c r="L5" s="82"/>
      <c r="M5" s="82"/>
      <c r="N5" s="75"/>
      <c r="O5" s="92"/>
      <c r="P5" s="92"/>
      <c r="Q5" s="92"/>
      <c r="R5" s="76"/>
      <c r="S5" s="77"/>
      <c r="T5" s="78"/>
      <c r="U5" s="13" t="s">
        <v>21</v>
      </c>
      <c r="V5" s="70" t="s">
        <v>155</v>
      </c>
      <c r="W5" s="71">
        <v>0.05</v>
      </c>
      <c r="X5" s="72">
        <v>1</v>
      </c>
      <c r="Y5" s="71">
        <f>W5/X5</f>
        <v>0.05</v>
      </c>
      <c r="Z5" s="235"/>
      <c r="AA5" s="237"/>
      <c r="AB5" s="214"/>
      <c r="AC5" s="218"/>
      <c r="AD5" s="218"/>
      <c r="AE5" s="221"/>
    </row>
    <row r="6" spans="1:31">
      <c r="A6" s="226"/>
      <c r="B6" s="226"/>
      <c r="C6" s="229"/>
      <c r="D6" s="232"/>
      <c r="E6" s="229"/>
      <c r="F6" s="229"/>
      <c r="G6" s="229"/>
      <c r="H6" s="91"/>
      <c r="I6" s="91"/>
      <c r="J6" s="91"/>
      <c r="K6" s="93"/>
      <c r="L6" s="82"/>
      <c r="M6" s="82"/>
      <c r="N6" s="75"/>
      <c r="O6" s="92"/>
      <c r="P6" s="92"/>
      <c r="Q6" s="92"/>
      <c r="R6" s="76"/>
      <c r="S6" s="77"/>
      <c r="T6" s="78"/>
      <c r="U6" s="13" t="s">
        <v>23</v>
      </c>
      <c r="V6" s="70" t="s">
        <v>155</v>
      </c>
      <c r="W6" s="71">
        <v>0.05</v>
      </c>
      <c r="X6" s="72">
        <v>1</v>
      </c>
      <c r="Y6" s="71">
        <f>W6/X6</f>
        <v>0.05</v>
      </c>
      <c r="Z6" s="235"/>
      <c r="AA6" s="237"/>
      <c r="AB6" s="214"/>
      <c r="AC6" s="218"/>
      <c r="AD6" s="218"/>
      <c r="AE6" s="221"/>
    </row>
    <row r="7" spans="1:31">
      <c r="A7" s="226"/>
      <c r="B7" s="226"/>
      <c r="C7" s="229"/>
      <c r="D7" s="232"/>
      <c r="E7" s="229"/>
      <c r="F7" s="229"/>
      <c r="G7" s="229"/>
      <c r="H7" s="91"/>
      <c r="I7" s="91"/>
      <c r="J7" s="91"/>
      <c r="K7" s="93"/>
      <c r="L7" s="82"/>
      <c r="M7" s="82"/>
      <c r="N7" s="75"/>
      <c r="O7" s="92"/>
      <c r="P7" s="92"/>
      <c r="Q7" s="92"/>
      <c r="R7" s="76"/>
      <c r="S7" s="77"/>
      <c r="T7" s="78"/>
      <c r="U7" s="13" t="s">
        <v>24</v>
      </c>
      <c r="V7" s="70" t="s">
        <v>155</v>
      </c>
      <c r="W7" s="71">
        <v>0.05</v>
      </c>
      <c r="X7" s="72">
        <v>1</v>
      </c>
      <c r="Y7" s="71">
        <f>W7/X7</f>
        <v>0.05</v>
      </c>
      <c r="Z7" s="235"/>
      <c r="AA7" s="237"/>
      <c r="AB7" s="214"/>
      <c r="AC7" s="218"/>
      <c r="AD7" s="218"/>
      <c r="AE7" s="221"/>
    </row>
    <row r="8" spans="1:31">
      <c r="A8" s="226"/>
      <c r="B8" s="226"/>
      <c r="C8" s="229"/>
      <c r="D8" s="232"/>
      <c r="E8" s="229"/>
      <c r="F8" s="229"/>
      <c r="G8" s="229"/>
      <c r="H8" s="91"/>
      <c r="I8" s="91"/>
      <c r="J8" s="91"/>
      <c r="K8" s="93"/>
      <c r="L8" s="82"/>
      <c r="M8" s="82"/>
      <c r="N8" s="75"/>
      <c r="O8" s="92"/>
      <c r="P8" s="92"/>
      <c r="Q8" s="92"/>
      <c r="R8" s="76"/>
      <c r="S8" s="77"/>
      <c r="T8" s="78"/>
      <c r="U8" s="13"/>
      <c r="V8" s="73"/>
      <c r="W8" s="74"/>
      <c r="X8" s="72"/>
      <c r="Y8" s="71"/>
      <c r="Z8" s="235"/>
      <c r="AA8" s="237"/>
      <c r="AB8" s="214"/>
      <c r="AC8" s="218"/>
      <c r="AD8" s="218"/>
      <c r="AE8" s="221"/>
    </row>
    <row r="9" spans="1:31">
      <c r="A9" s="226"/>
      <c r="B9" s="226"/>
      <c r="C9" s="229"/>
      <c r="D9" s="232"/>
      <c r="E9" s="229"/>
      <c r="F9" s="229"/>
      <c r="G9" s="229"/>
      <c r="H9" s="91"/>
      <c r="I9" s="91"/>
      <c r="J9" s="91"/>
      <c r="K9" s="93"/>
      <c r="L9" s="82"/>
      <c r="M9" s="82"/>
      <c r="N9" s="75"/>
      <c r="O9" s="92"/>
      <c r="P9" s="92"/>
      <c r="Q9" s="92"/>
      <c r="R9" s="76"/>
      <c r="S9" s="77"/>
      <c r="T9" s="78"/>
      <c r="U9" s="69"/>
      <c r="V9" s="73"/>
      <c r="W9" s="74"/>
      <c r="X9" s="72"/>
      <c r="Y9" s="71"/>
      <c r="Z9" s="235"/>
      <c r="AA9" s="237"/>
      <c r="AB9" s="214"/>
      <c r="AC9" s="218"/>
      <c r="AD9" s="218"/>
      <c r="AE9" s="221"/>
    </row>
    <row r="10" spans="1:31">
      <c r="A10" s="227"/>
      <c r="B10" s="227"/>
      <c r="C10" s="230"/>
      <c r="D10" s="233"/>
      <c r="E10" s="230"/>
      <c r="F10" s="230"/>
      <c r="G10" s="230"/>
      <c r="H10" s="223" t="s">
        <v>150</v>
      </c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80">
        <f>SUM(T4:T9)</f>
        <v>0.31970285714285718</v>
      </c>
      <c r="U10" s="224" t="s">
        <v>151</v>
      </c>
      <c r="V10" s="224"/>
      <c r="W10" s="224"/>
      <c r="X10" s="224"/>
      <c r="Y10" s="81">
        <f>SUM(Y4:Y9)</f>
        <v>0.2</v>
      </c>
      <c r="Z10" s="235"/>
      <c r="AA10" s="238"/>
      <c r="AB10" s="215"/>
      <c r="AC10" s="219"/>
      <c r="AD10" s="219"/>
      <c r="AE10" s="222"/>
    </row>
    <row r="11" spans="1:31" ht="30" customHeight="1">
      <c r="A11" s="225"/>
      <c r="B11" s="225"/>
      <c r="C11" s="228">
        <v>44456</v>
      </c>
      <c r="D11" s="231"/>
      <c r="E11" s="234" t="s">
        <v>26</v>
      </c>
      <c r="F11" s="234" t="s">
        <v>27</v>
      </c>
      <c r="G11" s="234"/>
      <c r="H11" s="91" t="s">
        <v>27</v>
      </c>
      <c r="I11" s="91" t="s">
        <v>167</v>
      </c>
      <c r="J11" s="91" t="s">
        <v>160</v>
      </c>
      <c r="K11" s="93">
        <v>1</v>
      </c>
      <c r="L11" s="82"/>
      <c r="M11" s="82"/>
      <c r="N11" s="75">
        <v>2.5</v>
      </c>
      <c r="O11" s="92">
        <v>7</v>
      </c>
      <c r="P11" s="92">
        <v>3.4</v>
      </c>
      <c r="Q11" s="92">
        <f>R11/0.7</f>
        <v>0.55028571428571427</v>
      </c>
      <c r="R11" s="76">
        <v>0.38519999999999999</v>
      </c>
      <c r="S11" s="77">
        <f>Q11-R11</f>
        <v>0.16508571428571428</v>
      </c>
      <c r="T11" s="78">
        <f>K11*(Q11*O11-P11*S11)</f>
        <v>3.2907085714285715</v>
      </c>
      <c r="U11" s="13" t="s">
        <v>20</v>
      </c>
      <c r="V11" s="70" t="s">
        <v>153</v>
      </c>
      <c r="W11" s="71">
        <v>0.1</v>
      </c>
      <c r="X11" s="72">
        <v>1</v>
      </c>
      <c r="Y11" s="71">
        <f t="shared" ref="Y11:Y17" si="0">W11/X11</f>
        <v>0.1</v>
      </c>
      <c r="Z11" s="235">
        <v>1.2</v>
      </c>
      <c r="AA11" s="236">
        <f>(T20+Y20)*Z11</f>
        <v>5.5937965714285722</v>
      </c>
      <c r="AB11" s="213">
        <f>AA11/1.13</f>
        <v>4.950262452591657</v>
      </c>
      <c r="AC11" s="217">
        <f>8000/1.13</f>
        <v>7079.6460176991159</v>
      </c>
      <c r="AD11" s="217">
        <v>100000</v>
      </c>
      <c r="AE11" s="220">
        <f>AB11+AC11/AD11</f>
        <v>5.0210589127686482</v>
      </c>
    </row>
    <row r="12" spans="1:31" ht="24">
      <c r="A12" s="226"/>
      <c r="B12" s="226"/>
      <c r="C12" s="229"/>
      <c r="D12" s="232"/>
      <c r="E12" s="229"/>
      <c r="F12" s="229"/>
      <c r="G12" s="229"/>
      <c r="H12" s="91" t="s">
        <v>166</v>
      </c>
      <c r="I12" s="91" t="s">
        <v>165</v>
      </c>
      <c r="J12" s="91" t="s">
        <v>161</v>
      </c>
      <c r="K12" s="93">
        <v>1</v>
      </c>
      <c r="L12" s="82"/>
      <c r="M12" s="82"/>
      <c r="N12" s="75">
        <v>4</v>
      </c>
      <c r="O12" s="92">
        <v>6.3</v>
      </c>
      <c r="P12" s="92">
        <v>3.4</v>
      </c>
      <c r="Q12" s="92">
        <f>R12/0.7</f>
        <v>5.1285714285714289E-2</v>
      </c>
      <c r="R12" s="76">
        <v>3.5900000000000001E-2</v>
      </c>
      <c r="S12" s="77">
        <f>Q12-R12</f>
        <v>1.5385714285714287E-2</v>
      </c>
      <c r="T12" s="78">
        <f>K12*(Q12*O12-P12*S12)</f>
        <v>0.27078857142857143</v>
      </c>
      <c r="U12" s="13" t="s">
        <v>36</v>
      </c>
      <c r="V12" s="70" t="s">
        <v>153</v>
      </c>
      <c r="W12" s="71">
        <v>0.1</v>
      </c>
      <c r="X12" s="72">
        <v>1</v>
      </c>
      <c r="Y12" s="71">
        <f t="shared" si="0"/>
        <v>0.1</v>
      </c>
      <c r="Z12" s="235"/>
      <c r="AA12" s="237"/>
      <c r="AB12" s="214"/>
      <c r="AC12" s="218"/>
      <c r="AD12" s="218"/>
      <c r="AE12" s="221"/>
    </row>
    <row r="13" spans="1:31">
      <c r="A13" s="226"/>
      <c r="B13" s="226"/>
      <c r="C13" s="229"/>
      <c r="D13" s="232"/>
      <c r="E13" s="229"/>
      <c r="F13" s="229"/>
      <c r="G13" s="229"/>
      <c r="H13" s="91"/>
      <c r="I13" s="91"/>
      <c r="J13" s="91"/>
      <c r="K13" s="93"/>
      <c r="L13" s="82"/>
      <c r="M13" s="82"/>
      <c r="N13" s="75"/>
      <c r="O13" s="92"/>
      <c r="P13" s="92"/>
      <c r="Q13" s="92"/>
      <c r="R13" s="76"/>
      <c r="S13" s="77"/>
      <c r="T13" s="78"/>
      <c r="U13" s="13" t="s">
        <v>86</v>
      </c>
      <c r="V13" s="70" t="s">
        <v>153</v>
      </c>
      <c r="W13" s="71">
        <v>0.1</v>
      </c>
      <c r="X13" s="72">
        <v>1</v>
      </c>
      <c r="Y13" s="71">
        <f t="shared" si="0"/>
        <v>0.1</v>
      </c>
      <c r="Z13" s="235"/>
      <c r="AA13" s="237"/>
      <c r="AB13" s="214"/>
      <c r="AC13" s="218"/>
      <c r="AD13" s="218"/>
      <c r="AE13" s="221"/>
    </row>
    <row r="14" spans="1:31">
      <c r="A14" s="226"/>
      <c r="B14" s="226"/>
      <c r="C14" s="229"/>
      <c r="D14" s="232"/>
      <c r="E14" s="229"/>
      <c r="F14" s="229"/>
      <c r="G14" s="229"/>
      <c r="H14" s="91"/>
      <c r="I14" s="91"/>
      <c r="J14" s="91"/>
      <c r="K14" s="93"/>
      <c r="L14" s="82"/>
      <c r="M14" s="82"/>
      <c r="N14" s="75"/>
      <c r="O14" s="92"/>
      <c r="P14" s="92"/>
      <c r="Q14" s="92"/>
      <c r="R14" s="76"/>
      <c r="S14" s="77"/>
      <c r="T14" s="78"/>
      <c r="U14" s="13" t="s">
        <v>24</v>
      </c>
      <c r="V14" s="70" t="s">
        <v>153</v>
      </c>
      <c r="W14" s="71">
        <v>0.1</v>
      </c>
      <c r="X14" s="72">
        <v>1</v>
      </c>
      <c r="Y14" s="71">
        <f t="shared" si="0"/>
        <v>0.1</v>
      </c>
      <c r="Z14" s="235"/>
      <c r="AA14" s="237"/>
      <c r="AB14" s="214"/>
      <c r="AC14" s="218"/>
      <c r="AD14" s="218"/>
      <c r="AE14" s="221"/>
    </row>
    <row r="15" spans="1:31">
      <c r="A15" s="226"/>
      <c r="B15" s="226"/>
      <c r="C15" s="229"/>
      <c r="D15" s="232"/>
      <c r="E15" s="229"/>
      <c r="F15" s="229"/>
      <c r="G15" s="229"/>
      <c r="H15" s="91"/>
      <c r="I15" s="91"/>
      <c r="J15" s="91"/>
      <c r="K15" s="93"/>
      <c r="L15" s="82"/>
      <c r="M15" s="82"/>
      <c r="N15" s="75"/>
      <c r="O15" s="92"/>
      <c r="P15" s="92"/>
      <c r="Q15" s="92"/>
      <c r="R15" s="76"/>
      <c r="S15" s="77"/>
      <c r="T15" s="78"/>
      <c r="U15" s="13" t="s">
        <v>20</v>
      </c>
      <c r="V15" s="70" t="s">
        <v>155</v>
      </c>
      <c r="W15" s="71">
        <v>0.05</v>
      </c>
      <c r="X15" s="72">
        <v>1</v>
      </c>
      <c r="Y15" s="71">
        <f t="shared" si="0"/>
        <v>0.05</v>
      </c>
      <c r="Z15" s="235"/>
      <c r="AA15" s="237"/>
      <c r="AB15" s="214"/>
      <c r="AC15" s="218"/>
      <c r="AD15" s="218"/>
      <c r="AE15" s="221"/>
    </row>
    <row r="16" spans="1:31">
      <c r="A16" s="226"/>
      <c r="B16" s="226"/>
      <c r="C16" s="229"/>
      <c r="D16" s="232"/>
      <c r="E16" s="229"/>
      <c r="F16" s="229"/>
      <c r="G16" s="229"/>
      <c r="H16" s="91"/>
      <c r="I16" s="91"/>
      <c r="J16" s="91"/>
      <c r="K16" s="93"/>
      <c r="L16" s="82"/>
      <c r="M16" s="82"/>
      <c r="N16" s="75"/>
      <c r="O16" s="92"/>
      <c r="P16" s="92"/>
      <c r="Q16" s="92"/>
      <c r="R16" s="76"/>
      <c r="S16" s="77"/>
      <c r="T16" s="78"/>
      <c r="U16" s="13" t="s">
        <v>36</v>
      </c>
      <c r="V16" s="70" t="s">
        <v>155</v>
      </c>
      <c r="W16" s="71">
        <v>0.05</v>
      </c>
      <c r="X16" s="72">
        <v>1</v>
      </c>
      <c r="Y16" s="71">
        <f t="shared" si="0"/>
        <v>0.05</v>
      </c>
      <c r="Z16" s="235"/>
      <c r="AA16" s="237"/>
      <c r="AB16" s="214"/>
      <c r="AC16" s="218"/>
      <c r="AD16" s="218"/>
      <c r="AE16" s="221"/>
    </row>
    <row r="17" spans="1:31">
      <c r="A17" s="226"/>
      <c r="B17" s="226"/>
      <c r="C17" s="229"/>
      <c r="D17" s="232"/>
      <c r="E17" s="229"/>
      <c r="F17" s="229"/>
      <c r="G17" s="229"/>
      <c r="H17" s="91"/>
      <c r="I17" s="91"/>
      <c r="J17" s="91"/>
      <c r="K17" s="93"/>
      <c r="L17" s="82"/>
      <c r="M17" s="82"/>
      <c r="N17" s="75"/>
      <c r="O17" s="92"/>
      <c r="P17" s="92"/>
      <c r="Q17" s="92"/>
      <c r="R17" s="76"/>
      <c r="S17" s="77"/>
      <c r="T17" s="78"/>
      <c r="U17" s="13" t="s">
        <v>159</v>
      </c>
      <c r="V17" s="73">
        <v>12</v>
      </c>
      <c r="W17" s="74">
        <f>0.05*V17</f>
        <v>0.60000000000000009</v>
      </c>
      <c r="X17" s="72">
        <v>1</v>
      </c>
      <c r="Y17" s="71">
        <f t="shared" si="0"/>
        <v>0.60000000000000009</v>
      </c>
      <c r="Z17" s="235"/>
      <c r="AA17" s="237"/>
      <c r="AB17" s="214"/>
      <c r="AC17" s="218"/>
      <c r="AD17" s="218"/>
      <c r="AE17" s="221"/>
    </row>
    <row r="18" spans="1:31">
      <c r="A18" s="226"/>
      <c r="B18" s="226"/>
      <c r="C18" s="229"/>
      <c r="D18" s="232"/>
      <c r="E18" s="229"/>
      <c r="F18" s="229"/>
      <c r="G18" s="229"/>
      <c r="H18" s="91"/>
      <c r="I18" s="91"/>
      <c r="J18" s="91"/>
      <c r="K18" s="93"/>
      <c r="L18" s="82"/>
      <c r="M18" s="82"/>
      <c r="N18" s="75"/>
      <c r="O18" s="92"/>
      <c r="P18" s="92"/>
      <c r="Q18" s="92"/>
      <c r="R18" s="76"/>
      <c r="S18" s="77"/>
      <c r="T18" s="78"/>
      <c r="U18" s="13"/>
      <c r="V18" s="73"/>
      <c r="W18" s="74"/>
      <c r="X18" s="72"/>
      <c r="Y18" s="71"/>
      <c r="Z18" s="235"/>
      <c r="AA18" s="237"/>
      <c r="AB18" s="214"/>
      <c r="AC18" s="218"/>
      <c r="AD18" s="218"/>
      <c r="AE18" s="221"/>
    </row>
    <row r="19" spans="1:31">
      <c r="A19" s="226"/>
      <c r="B19" s="226"/>
      <c r="C19" s="229"/>
      <c r="D19" s="232"/>
      <c r="E19" s="229"/>
      <c r="F19" s="229"/>
      <c r="G19" s="229"/>
      <c r="H19" s="91"/>
      <c r="I19" s="91"/>
      <c r="J19" s="91"/>
      <c r="K19" s="93"/>
      <c r="L19" s="82"/>
      <c r="M19" s="82"/>
      <c r="N19" s="75"/>
      <c r="O19" s="92"/>
      <c r="P19" s="92"/>
      <c r="Q19" s="92"/>
      <c r="R19" s="76"/>
      <c r="S19" s="77"/>
      <c r="T19" s="78"/>
      <c r="U19" s="13"/>
      <c r="V19" s="73"/>
      <c r="W19" s="74"/>
      <c r="X19" s="72"/>
      <c r="Y19" s="71"/>
      <c r="Z19" s="235"/>
      <c r="AA19" s="237"/>
      <c r="AB19" s="214"/>
      <c r="AC19" s="218"/>
      <c r="AD19" s="218"/>
      <c r="AE19" s="221"/>
    </row>
    <row r="20" spans="1:31">
      <c r="A20" s="227"/>
      <c r="B20" s="227"/>
      <c r="C20" s="230"/>
      <c r="D20" s="233"/>
      <c r="E20" s="230"/>
      <c r="F20" s="230"/>
      <c r="G20" s="230"/>
      <c r="H20" s="223" t="s">
        <v>150</v>
      </c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80">
        <f>SUM(T11:T19)</f>
        <v>3.5614971428571431</v>
      </c>
      <c r="U20" s="224" t="s">
        <v>151</v>
      </c>
      <c r="V20" s="224"/>
      <c r="W20" s="224"/>
      <c r="X20" s="224"/>
      <c r="Y20" s="81">
        <f>SUM(Y11:Y19)</f>
        <v>1.1000000000000001</v>
      </c>
      <c r="Z20" s="235"/>
      <c r="AA20" s="238"/>
      <c r="AB20" s="215"/>
      <c r="AC20" s="218"/>
      <c r="AD20" s="219"/>
      <c r="AE20" s="222"/>
    </row>
    <row r="21" spans="1:31" ht="27" customHeight="1">
      <c r="A21" s="225"/>
      <c r="B21" s="225"/>
      <c r="C21" s="228">
        <v>44456</v>
      </c>
      <c r="D21" s="231"/>
      <c r="E21" s="234" t="s">
        <v>33</v>
      </c>
      <c r="F21" s="234" t="s">
        <v>34</v>
      </c>
      <c r="G21" s="234"/>
      <c r="H21" s="91" t="s">
        <v>163</v>
      </c>
      <c r="I21" s="91" t="s">
        <v>168</v>
      </c>
      <c r="J21" s="91" t="s">
        <v>160</v>
      </c>
      <c r="K21" s="93">
        <v>1</v>
      </c>
      <c r="L21" s="82"/>
      <c r="M21" s="82"/>
      <c r="N21" s="82">
        <v>2.5</v>
      </c>
      <c r="O21" s="92">
        <v>7</v>
      </c>
      <c r="P21" s="92">
        <v>3.4</v>
      </c>
      <c r="Q21" s="92">
        <f>R21/0.7</f>
        <v>0.55028571428571427</v>
      </c>
      <c r="R21" s="76">
        <v>0.38519999999999999</v>
      </c>
      <c r="S21" s="77">
        <f>Q21-R21</f>
        <v>0.16508571428571428</v>
      </c>
      <c r="T21" s="78">
        <f>K21*(Q21*O21-P21*S21)</f>
        <v>3.2907085714285715</v>
      </c>
      <c r="U21" s="13" t="s">
        <v>20</v>
      </c>
      <c r="V21" s="70" t="s">
        <v>152</v>
      </c>
      <c r="W21" s="71">
        <v>0.15</v>
      </c>
      <c r="X21" s="72">
        <v>1</v>
      </c>
      <c r="Y21" s="71">
        <f t="shared" ref="Y21:Y27" si="1">W21/X21</f>
        <v>0.15</v>
      </c>
      <c r="Z21" s="235">
        <v>1.2</v>
      </c>
      <c r="AA21" s="236">
        <f>(T29+Y29)*Z21</f>
        <v>6.6992502857142844</v>
      </c>
      <c r="AB21" s="213">
        <f>AA21/1.13</f>
        <v>5.9285400758533493</v>
      </c>
      <c r="AC21" s="217">
        <f>12000/1.13</f>
        <v>10619.469026548673</v>
      </c>
      <c r="AD21" s="217">
        <v>100000</v>
      </c>
      <c r="AE21" s="220">
        <f>AB21+AC21/AD21</f>
        <v>6.0347347661188362</v>
      </c>
    </row>
    <row r="22" spans="1:31">
      <c r="A22" s="226"/>
      <c r="B22" s="226"/>
      <c r="C22" s="229"/>
      <c r="D22" s="232"/>
      <c r="E22" s="229"/>
      <c r="F22" s="229"/>
      <c r="G22" s="229"/>
      <c r="H22" s="91" t="s">
        <v>154</v>
      </c>
      <c r="I22" s="91" t="s">
        <v>201</v>
      </c>
      <c r="J22" s="91"/>
      <c r="K22" s="93">
        <v>1</v>
      </c>
      <c r="L22" s="82"/>
      <c r="M22" s="82"/>
      <c r="N22" s="75"/>
      <c r="O22" s="78">
        <v>0.32</v>
      </c>
      <c r="P22" s="92"/>
      <c r="Q22" s="92"/>
      <c r="R22" s="76"/>
      <c r="S22" s="77"/>
      <c r="T22" s="78">
        <f>K22*O22</f>
        <v>0.32</v>
      </c>
      <c r="U22" s="13" t="s">
        <v>35</v>
      </c>
      <c r="V22" s="70" t="s">
        <v>152</v>
      </c>
      <c r="W22" s="71">
        <v>0.15</v>
      </c>
      <c r="X22" s="72">
        <v>1</v>
      </c>
      <c r="Y22" s="71">
        <f t="shared" si="1"/>
        <v>0.15</v>
      </c>
      <c r="Z22" s="235"/>
      <c r="AA22" s="237"/>
      <c r="AB22" s="214"/>
      <c r="AC22" s="218"/>
      <c r="AD22" s="218"/>
      <c r="AE22" s="221"/>
    </row>
    <row r="23" spans="1:31">
      <c r="A23" s="226"/>
      <c r="B23" s="226"/>
      <c r="C23" s="229"/>
      <c r="D23" s="232"/>
      <c r="E23" s="229"/>
      <c r="F23" s="229"/>
      <c r="G23" s="229"/>
      <c r="H23" s="91" t="s">
        <v>170</v>
      </c>
      <c r="I23" s="94" t="s">
        <v>171</v>
      </c>
      <c r="J23" s="91"/>
      <c r="K23" s="93">
        <v>1</v>
      </c>
      <c r="L23" s="82"/>
      <c r="M23" s="82"/>
      <c r="N23" s="75"/>
      <c r="O23" s="78">
        <v>1</v>
      </c>
      <c r="P23" s="92"/>
      <c r="Q23" s="92"/>
      <c r="R23" s="76"/>
      <c r="S23" s="77"/>
      <c r="T23" s="78">
        <f>K23*O23</f>
        <v>1</v>
      </c>
      <c r="U23" s="13" t="s">
        <v>24</v>
      </c>
      <c r="V23" s="70" t="s">
        <v>153</v>
      </c>
      <c r="W23" s="71">
        <v>0.1</v>
      </c>
      <c r="X23" s="72">
        <v>1</v>
      </c>
      <c r="Y23" s="71">
        <f t="shared" si="1"/>
        <v>0.1</v>
      </c>
      <c r="Z23" s="235"/>
      <c r="AA23" s="237"/>
      <c r="AB23" s="214"/>
      <c r="AC23" s="218"/>
      <c r="AD23" s="218"/>
      <c r="AE23" s="221"/>
    </row>
    <row r="24" spans="1:31">
      <c r="A24" s="226"/>
      <c r="B24" s="226"/>
      <c r="C24" s="229"/>
      <c r="D24" s="232"/>
      <c r="E24" s="229"/>
      <c r="F24" s="229"/>
      <c r="G24" s="229"/>
      <c r="H24" s="91" t="s">
        <v>175</v>
      </c>
      <c r="I24" s="91" t="s">
        <v>169</v>
      </c>
      <c r="J24" s="91"/>
      <c r="K24" s="93">
        <v>1</v>
      </c>
      <c r="L24" s="82"/>
      <c r="M24" s="82"/>
      <c r="N24" s="75"/>
      <c r="O24" s="97">
        <v>4.2000000000000003E-2</v>
      </c>
      <c r="P24" s="92"/>
      <c r="Q24" s="92"/>
      <c r="R24" s="76"/>
      <c r="S24" s="77"/>
      <c r="T24" s="97">
        <f>K24*O24</f>
        <v>4.2000000000000003E-2</v>
      </c>
      <c r="U24" s="13" t="s">
        <v>24</v>
      </c>
      <c r="V24" s="70" t="s">
        <v>153</v>
      </c>
      <c r="W24" s="71">
        <v>0.1</v>
      </c>
      <c r="X24" s="72">
        <v>1</v>
      </c>
      <c r="Y24" s="71">
        <f t="shared" si="1"/>
        <v>0.1</v>
      </c>
      <c r="Z24" s="235"/>
      <c r="AA24" s="237"/>
      <c r="AB24" s="214"/>
      <c r="AC24" s="218"/>
      <c r="AD24" s="218"/>
      <c r="AE24" s="221"/>
    </row>
    <row r="25" spans="1:31">
      <c r="A25" s="226"/>
      <c r="B25" s="226"/>
      <c r="C25" s="229"/>
      <c r="D25" s="232"/>
      <c r="E25" s="229"/>
      <c r="F25" s="229"/>
      <c r="G25" s="229"/>
      <c r="H25" s="91"/>
      <c r="I25" s="91"/>
      <c r="J25" s="91"/>
      <c r="K25" s="93"/>
      <c r="L25" s="82"/>
      <c r="M25" s="82"/>
      <c r="N25" s="75"/>
      <c r="O25" s="92"/>
      <c r="P25" s="92"/>
      <c r="Q25" s="92"/>
      <c r="R25" s="76"/>
      <c r="S25" s="77"/>
      <c r="T25" s="78"/>
      <c r="U25" s="13" t="s">
        <v>36</v>
      </c>
      <c r="V25" s="70" t="s">
        <v>152</v>
      </c>
      <c r="W25" s="71">
        <v>0.15</v>
      </c>
      <c r="X25" s="72">
        <v>1</v>
      </c>
      <c r="Y25" s="71">
        <f t="shared" si="1"/>
        <v>0.15</v>
      </c>
      <c r="Z25" s="235"/>
      <c r="AA25" s="237"/>
      <c r="AB25" s="214"/>
      <c r="AC25" s="218"/>
      <c r="AD25" s="218"/>
      <c r="AE25" s="221"/>
    </row>
    <row r="26" spans="1:31">
      <c r="A26" s="226"/>
      <c r="B26" s="226"/>
      <c r="C26" s="229"/>
      <c r="D26" s="232"/>
      <c r="E26" s="229"/>
      <c r="F26" s="229"/>
      <c r="G26" s="229"/>
      <c r="H26" s="91"/>
      <c r="I26" s="91"/>
      <c r="J26" s="91"/>
      <c r="K26" s="93"/>
      <c r="L26" s="82"/>
      <c r="M26" s="82"/>
      <c r="N26" s="75"/>
      <c r="O26" s="92"/>
      <c r="P26" s="92"/>
      <c r="Q26" s="92"/>
      <c r="R26" s="76"/>
      <c r="S26" s="77"/>
      <c r="T26" s="78"/>
      <c r="U26" s="13" t="s">
        <v>205</v>
      </c>
      <c r="V26" s="70" t="s">
        <v>156</v>
      </c>
      <c r="W26" s="71">
        <v>0.04</v>
      </c>
      <c r="X26" s="72">
        <v>1</v>
      </c>
      <c r="Y26" s="71">
        <f t="shared" si="1"/>
        <v>0.04</v>
      </c>
      <c r="Z26" s="235"/>
      <c r="AA26" s="237"/>
      <c r="AB26" s="214"/>
      <c r="AC26" s="218"/>
      <c r="AD26" s="218"/>
      <c r="AE26" s="221"/>
    </row>
    <row r="27" spans="1:31">
      <c r="A27" s="226"/>
      <c r="B27" s="226"/>
      <c r="C27" s="229"/>
      <c r="D27" s="232"/>
      <c r="E27" s="229"/>
      <c r="F27" s="229"/>
      <c r="G27" s="229"/>
      <c r="H27" s="91"/>
      <c r="I27" s="91"/>
      <c r="J27" s="91"/>
      <c r="K27" s="93"/>
      <c r="L27" s="82"/>
      <c r="M27" s="82"/>
      <c r="N27" s="75"/>
      <c r="O27" s="92"/>
      <c r="P27" s="92"/>
      <c r="Q27" s="92"/>
      <c r="R27" s="76"/>
      <c r="S27" s="77"/>
      <c r="T27" s="78"/>
      <c r="U27" s="13" t="s">
        <v>205</v>
      </c>
      <c r="V27" s="70" t="s">
        <v>156</v>
      </c>
      <c r="W27" s="71">
        <v>0.04</v>
      </c>
      <c r="X27" s="72">
        <v>1</v>
      </c>
      <c r="Y27" s="71">
        <f t="shared" si="1"/>
        <v>0.04</v>
      </c>
      <c r="Z27" s="235"/>
      <c r="AA27" s="237"/>
      <c r="AB27" s="214"/>
      <c r="AC27" s="218"/>
      <c r="AD27" s="218"/>
      <c r="AE27" s="221"/>
    </row>
    <row r="28" spans="1:31">
      <c r="A28" s="226"/>
      <c r="B28" s="226"/>
      <c r="C28" s="229"/>
      <c r="D28" s="232"/>
      <c r="E28" s="229"/>
      <c r="F28" s="229"/>
      <c r="G28" s="229"/>
      <c r="H28" s="91"/>
      <c r="I28" s="91"/>
      <c r="J28" s="91"/>
      <c r="K28" s="93"/>
      <c r="L28" s="82"/>
      <c r="M28" s="82"/>
      <c r="N28" s="75"/>
      <c r="O28" s="92"/>
      <c r="P28" s="92"/>
      <c r="Q28" s="92"/>
      <c r="R28" s="76"/>
      <c r="S28" s="77"/>
      <c r="T28" s="78"/>
      <c r="U28" s="69" t="s">
        <v>159</v>
      </c>
      <c r="V28" s="73">
        <v>4</v>
      </c>
      <c r="W28" s="79">
        <v>0.05</v>
      </c>
      <c r="X28" s="72">
        <v>1</v>
      </c>
      <c r="Y28" s="71">
        <f>V28*W28/X28</f>
        <v>0.2</v>
      </c>
      <c r="Z28" s="235"/>
      <c r="AA28" s="237"/>
      <c r="AB28" s="214"/>
      <c r="AC28" s="218"/>
      <c r="AD28" s="218"/>
      <c r="AE28" s="221"/>
    </row>
    <row r="29" spans="1:31">
      <c r="A29" s="227"/>
      <c r="B29" s="227"/>
      <c r="C29" s="230"/>
      <c r="D29" s="233"/>
      <c r="E29" s="230"/>
      <c r="F29" s="230"/>
      <c r="G29" s="230"/>
      <c r="H29" s="223" t="s">
        <v>150</v>
      </c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80">
        <f>SUM(T21:T28)</f>
        <v>4.6527085714285707</v>
      </c>
      <c r="U29" s="224" t="s">
        <v>151</v>
      </c>
      <c r="V29" s="224"/>
      <c r="W29" s="224"/>
      <c r="X29" s="224"/>
      <c r="Y29" s="81">
        <f>SUM(Y21:Y28)</f>
        <v>0.93000000000000016</v>
      </c>
      <c r="Z29" s="235"/>
      <c r="AA29" s="238"/>
      <c r="AB29" s="215"/>
      <c r="AC29" s="218"/>
      <c r="AD29" s="219"/>
      <c r="AE29" s="222"/>
    </row>
    <row r="30" spans="1:31" ht="27" customHeight="1">
      <c r="A30" s="225"/>
      <c r="B30" s="225"/>
      <c r="C30" s="228">
        <v>44456</v>
      </c>
      <c r="D30" s="231"/>
      <c r="E30" s="234" t="s">
        <v>37</v>
      </c>
      <c r="F30" s="234" t="s">
        <v>38</v>
      </c>
      <c r="G30" s="234"/>
      <c r="H30" s="91" t="s">
        <v>38</v>
      </c>
      <c r="I30" s="91" t="s">
        <v>37</v>
      </c>
      <c r="J30" s="91" t="s">
        <v>172</v>
      </c>
      <c r="K30" s="93">
        <v>1</v>
      </c>
      <c r="L30" s="95">
        <v>514</v>
      </c>
      <c r="M30" s="95">
        <v>93</v>
      </c>
      <c r="N30" s="95">
        <v>3</v>
      </c>
      <c r="O30" s="92">
        <v>6.7</v>
      </c>
      <c r="P30" s="92">
        <v>3.4</v>
      </c>
      <c r="Q30" s="92">
        <f>L30*M30*N30*7.85/1000000</f>
        <v>1.1257370999999998</v>
      </c>
      <c r="R30" s="76">
        <v>0.36099999999999999</v>
      </c>
      <c r="S30" s="77">
        <f>Q30-R30</f>
        <v>0.76473709999999984</v>
      </c>
      <c r="T30" s="78">
        <f>K30*(Q30*O30-P30*S30)</f>
        <v>4.9423324299999996</v>
      </c>
      <c r="U30" s="13" t="s">
        <v>39</v>
      </c>
      <c r="V30" s="70" t="s">
        <v>152</v>
      </c>
      <c r="W30" s="71">
        <v>0.15</v>
      </c>
      <c r="X30" s="72">
        <v>1</v>
      </c>
      <c r="Y30" s="71">
        <f>W30/X30</f>
        <v>0.15</v>
      </c>
      <c r="Z30" s="235">
        <v>1.2</v>
      </c>
      <c r="AA30" s="236">
        <f>(T36+Y36)*Z30</f>
        <v>6.4707989159999997</v>
      </c>
      <c r="AB30" s="213">
        <f>AA30/1.13</f>
        <v>5.7263707221238942</v>
      </c>
      <c r="AC30" s="217">
        <f>6500/1.13</f>
        <v>5752.2123893805319</v>
      </c>
      <c r="AD30" s="217">
        <v>100000</v>
      </c>
      <c r="AE30" s="220">
        <f>AB30+AC30/AD30</f>
        <v>5.7838928460176993</v>
      </c>
    </row>
    <row r="31" spans="1:31">
      <c r="A31" s="226"/>
      <c r="B31" s="226"/>
      <c r="C31" s="229"/>
      <c r="D31" s="232"/>
      <c r="E31" s="229"/>
      <c r="F31" s="229"/>
      <c r="G31" s="229"/>
      <c r="H31" s="91"/>
      <c r="I31" s="91"/>
      <c r="J31" s="91"/>
      <c r="K31" s="93"/>
      <c r="L31" s="82"/>
      <c r="M31" s="82"/>
      <c r="N31" s="75"/>
      <c r="O31" s="92"/>
      <c r="P31" s="92"/>
      <c r="Q31" s="92"/>
      <c r="R31" s="76"/>
      <c r="S31" s="77"/>
      <c r="T31" s="78"/>
      <c r="U31" s="13" t="s">
        <v>35</v>
      </c>
      <c r="V31" s="70" t="s">
        <v>152</v>
      </c>
      <c r="W31" s="71">
        <v>0.15</v>
      </c>
      <c r="X31" s="72">
        <v>1</v>
      </c>
      <c r="Y31" s="71">
        <f>W31/X31</f>
        <v>0.15</v>
      </c>
      <c r="Z31" s="235"/>
      <c r="AA31" s="237"/>
      <c r="AB31" s="214"/>
      <c r="AC31" s="218"/>
      <c r="AD31" s="218"/>
      <c r="AE31" s="221"/>
    </row>
    <row r="32" spans="1:31">
      <c r="A32" s="226"/>
      <c r="B32" s="226"/>
      <c r="C32" s="229"/>
      <c r="D32" s="232"/>
      <c r="E32" s="229"/>
      <c r="F32" s="229"/>
      <c r="G32" s="229"/>
      <c r="H32" s="91"/>
      <c r="I32" s="94"/>
      <c r="J32" s="91"/>
      <c r="K32" s="93"/>
      <c r="L32" s="82"/>
      <c r="M32" s="82"/>
      <c r="N32" s="75"/>
      <c r="O32" s="92"/>
      <c r="P32" s="92"/>
      <c r="Q32" s="92"/>
      <c r="R32" s="76"/>
      <c r="S32" s="77"/>
      <c r="T32" s="78"/>
      <c r="U32" s="13" t="s">
        <v>24</v>
      </c>
      <c r="V32" s="70" t="s">
        <v>152</v>
      </c>
      <c r="W32" s="71">
        <v>0.15</v>
      </c>
      <c r="X32" s="72">
        <v>1</v>
      </c>
      <c r="Y32" s="71">
        <f>W32/X32</f>
        <v>0.15</v>
      </c>
      <c r="Z32" s="235"/>
      <c r="AA32" s="237"/>
      <c r="AB32" s="214"/>
      <c r="AC32" s="218"/>
      <c r="AD32" s="218"/>
      <c r="AE32" s="221"/>
    </row>
    <row r="33" spans="1:31">
      <c r="A33" s="226"/>
      <c r="B33" s="226"/>
      <c r="C33" s="229"/>
      <c r="D33" s="232"/>
      <c r="E33" s="229"/>
      <c r="F33" s="229"/>
      <c r="G33" s="229"/>
      <c r="H33" s="91"/>
      <c r="I33" s="91"/>
      <c r="J33" s="91"/>
      <c r="K33" s="93"/>
      <c r="L33" s="82"/>
      <c r="M33" s="82"/>
      <c r="N33" s="75"/>
      <c r="O33" s="92"/>
      <c r="P33" s="92"/>
      <c r="Q33" s="92"/>
      <c r="R33" s="76"/>
      <c r="S33" s="77"/>
      <c r="T33" s="78"/>
      <c r="U33" s="13"/>
      <c r="V33" s="70"/>
      <c r="W33" s="71"/>
      <c r="X33" s="72"/>
      <c r="Y33" s="71"/>
      <c r="Z33" s="235"/>
      <c r="AA33" s="237"/>
      <c r="AB33" s="214"/>
      <c r="AC33" s="218"/>
      <c r="AD33" s="218"/>
      <c r="AE33" s="221"/>
    </row>
    <row r="34" spans="1:31">
      <c r="A34" s="226"/>
      <c r="B34" s="226"/>
      <c r="C34" s="229"/>
      <c r="D34" s="232"/>
      <c r="E34" s="229"/>
      <c r="F34" s="229"/>
      <c r="G34" s="229"/>
      <c r="H34" s="91"/>
      <c r="I34" s="91"/>
      <c r="J34" s="91"/>
      <c r="K34" s="93"/>
      <c r="L34" s="82"/>
      <c r="M34" s="82"/>
      <c r="N34" s="75"/>
      <c r="O34" s="92"/>
      <c r="P34" s="92"/>
      <c r="Q34" s="92"/>
      <c r="R34" s="76"/>
      <c r="S34" s="77"/>
      <c r="T34" s="78"/>
      <c r="U34" s="13"/>
      <c r="V34" s="70"/>
      <c r="W34" s="71"/>
      <c r="X34" s="72"/>
      <c r="Y34" s="71"/>
      <c r="Z34" s="235"/>
      <c r="AA34" s="237"/>
      <c r="AB34" s="214"/>
      <c r="AC34" s="218"/>
      <c r="AD34" s="218"/>
      <c r="AE34" s="221"/>
    </row>
    <row r="35" spans="1:31">
      <c r="A35" s="226"/>
      <c r="B35" s="226"/>
      <c r="C35" s="229"/>
      <c r="D35" s="232"/>
      <c r="E35" s="229"/>
      <c r="F35" s="229"/>
      <c r="G35" s="229"/>
      <c r="H35" s="91"/>
      <c r="I35" s="91"/>
      <c r="J35" s="91"/>
      <c r="K35" s="93"/>
      <c r="L35" s="82"/>
      <c r="M35" s="82"/>
      <c r="N35" s="75"/>
      <c r="O35" s="92"/>
      <c r="P35" s="92"/>
      <c r="Q35" s="92"/>
      <c r="R35" s="76"/>
      <c r="S35" s="77"/>
      <c r="T35" s="78"/>
      <c r="U35" s="69"/>
      <c r="V35" s="73"/>
      <c r="W35" s="74"/>
      <c r="X35" s="72"/>
      <c r="Y35" s="71"/>
      <c r="Z35" s="235"/>
      <c r="AA35" s="237"/>
      <c r="AB35" s="214"/>
      <c r="AC35" s="218"/>
      <c r="AD35" s="218"/>
      <c r="AE35" s="221"/>
    </row>
    <row r="36" spans="1:31">
      <c r="A36" s="227"/>
      <c r="B36" s="227"/>
      <c r="C36" s="230"/>
      <c r="D36" s="233"/>
      <c r="E36" s="230"/>
      <c r="F36" s="230"/>
      <c r="G36" s="230"/>
      <c r="H36" s="223" t="s">
        <v>150</v>
      </c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80">
        <f>SUM(T30:T35)</f>
        <v>4.9423324299999996</v>
      </c>
      <c r="U36" s="224" t="s">
        <v>151</v>
      </c>
      <c r="V36" s="224"/>
      <c r="W36" s="224"/>
      <c r="X36" s="224"/>
      <c r="Y36" s="81">
        <f>SUM(Y30:Y35)</f>
        <v>0.44999999999999996</v>
      </c>
      <c r="Z36" s="235"/>
      <c r="AA36" s="238"/>
      <c r="AB36" s="215"/>
      <c r="AC36" s="218"/>
      <c r="AD36" s="219"/>
      <c r="AE36" s="222"/>
    </row>
    <row r="37" spans="1:31" ht="27" customHeight="1">
      <c r="A37" s="225"/>
      <c r="B37" s="225"/>
      <c r="C37" s="228">
        <v>44456</v>
      </c>
      <c r="D37" s="231"/>
      <c r="E37" s="234" t="s">
        <v>40</v>
      </c>
      <c r="F37" s="234" t="s">
        <v>41</v>
      </c>
      <c r="G37" s="234"/>
      <c r="H37" s="91" t="s">
        <v>41</v>
      </c>
      <c r="I37" s="91" t="s">
        <v>40</v>
      </c>
      <c r="J37" s="91" t="s">
        <v>172</v>
      </c>
      <c r="K37" s="93">
        <v>1</v>
      </c>
      <c r="L37" s="95"/>
      <c r="M37" s="95"/>
      <c r="N37" s="95">
        <v>3</v>
      </c>
      <c r="O37" s="92">
        <v>6.7</v>
      </c>
      <c r="P37" s="92">
        <v>3.4</v>
      </c>
      <c r="Q37" s="92">
        <f>R37/0.7</f>
        <v>0.26</v>
      </c>
      <c r="R37" s="76">
        <v>0.182</v>
      </c>
      <c r="S37" s="77">
        <f>Q37-R37</f>
        <v>7.8000000000000014E-2</v>
      </c>
      <c r="T37" s="78">
        <f>K37*(Q37*O37-P37*S37)</f>
        <v>1.4768000000000001</v>
      </c>
      <c r="U37" s="13" t="s">
        <v>39</v>
      </c>
      <c r="V37" s="70" t="s">
        <v>152</v>
      </c>
      <c r="W37" s="71">
        <v>0.15</v>
      </c>
      <c r="X37" s="72">
        <v>1</v>
      </c>
      <c r="Y37" s="71">
        <f>W37/X37</f>
        <v>0.15</v>
      </c>
      <c r="Z37" s="235">
        <v>1.2</v>
      </c>
      <c r="AA37" s="236">
        <f>(T43+Y43)*Z37</f>
        <v>2.31216</v>
      </c>
      <c r="AB37" s="213">
        <f>AA37/1.13</f>
        <v>2.0461592920353984</v>
      </c>
      <c r="AC37" s="217">
        <f>6500/1.13</f>
        <v>5752.2123893805319</v>
      </c>
      <c r="AD37" s="217">
        <v>100000</v>
      </c>
      <c r="AE37" s="220">
        <f>AB37+AC37/AD37</f>
        <v>2.1036814159292039</v>
      </c>
    </row>
    <row r="38" spans="1:31">
      <c r="A38" s="226"/>
      <c r="B38" s="226"/>
      <c r="C38" s="229"/>
      <c r="D38" s="232"/>
      <c r="E38" s="229"/>
      <c r="F38" s="229"/>
      <c r="G38" s="229"/>
      <c r="H38" s="91"/>
      <c r="I38" s="91"/>
      <c r="J38" s="91"/>
      <c r="K38" s="93"/>
      <c r="L38" s="82"/>
      <c r="M38" s="82"/>
      <c r="N38" s="75"/>
      <c r="O38" s="92"/>
      <c r="P38" s="92"/>
      <c r="Q38" s="92"/>
      <c r="R38" s="76"/>
      <c r="S38" s="77"/>
      <c r="T38" s="78"/>
      <c r="U38" s="13" t="s">
        <v>35</v>
      </c>
      <c r="V38" s="70" t="s">
        <v>152</v>
      </c>
      <c r="W38" s="71">
        <v>0.15</v>
      </c>
      <c r="X38" s="72">
        <v>1</v>
      </c>
      <c r="Y38" s="71">
        <f>W38/X38</f>
        <v>0.15</v>
      </c>
      <c r="Z38" s="235"/>
      <c r="AA38" s="237"/>
      <c r="AB38" s="214"/>
      <c r="AC38" s="218"/>
      <c r="AD38" s="218"/>
      <c r="AE38" s="221"/>
    </row>
    <row r="39" spans="1:31">
      <c r="A39" s="226"/>
      <c r="B39" s="226"/>
      <c r="C39" s="229"/>
      <c r="D39" s="232"/>
      <c r="E39" s="229"/>
      <c r="F39" s="229"/>
      <c r="G39" s="229"/>
      <c r="H39" s="91"/>
      <c r="I39" s="94"/>
      <c r="J39" s="91"/>
      <c r="K39" s="93"/>
      <c r="L39" s="82"/>
      <c r="M39" s="82"/>
      <c r="N39" s="75"/>
      <c r="O39" s="92"/>
      <c r="P39" s="92"/>
      <c r="Q39" s="92"/>
      <c r="R39" s="76"/>
      <c r="S39" s="77"/>
      <c r="T39" s="78"/>
      <c r="U39" s="13" t="s">
        <v>24</v>
      </c>
      <c r="V39" s="70" t="s">
        <v>152</v>
      </c>
      <c r="W39" s="71">
        <v>0.15</v>
      </c>
      <c r="X39" s="72">
        <v>1</v>
      </c>
      <c r="Y39" s="71">
        <f>W39/X39</f>
        <v>0.15</v>
      </c>
      <c r="Z39" s="235"/>
      <c r="AA39" s="237"/>
      <c r="AB39" s="214"/>
      <c r="AC39" s="218"/>
      <c r="AD39" s="218"/>
      <c r="AE39" s="221"/>
    </row>
    <row r="40" spans="1:31">
      <c r="A40" s="226"/>
      <c r="B40" s="226"/>
      <c r="C40" s="229"/>
      <c r="D40" s="232"/>
      <c r="E40" s="229"/>
      <c r="F40" s="229"/>
      <c r="G40" s="229"/>
      <c r="H40" s="91"/>
      <c r="I40" s="91"/>
      <c r="J40" s="91"/>
      <c r="K40" s="93"/>
      <c r="L40" s="82"/>
      <c r="M40" s="82"/>
      <c r="N40" s="75"/>
      <c r="O40" s="92"/>
      <c r="P40" s="92"/>
      <c r="Q40" s="92"/>
      <c r="R40" s="76"/>
      <c r="S40" s="77"/>
      <c r="T40" s="78"/>
      <c r="U40" s="13"/>
      <c r="V40" s="70"/>
      <c r="W40" s="71"/>
      <c r="X40" s="72"/>
      <c r="Y40" s="71"/>
      <c r="Z40" s="235"/>
      <c r="AA40" s="237"/>
      <c r="AB40" s="214"/>
      <c r="AC40" s="218"/>
      <c r="AD40" s="218"/>
      <c r="AE40" s="221"/>
    </row>
    <row r="41" spans="1:31">
      <c r="A41" s="226"/>
      <c r="B41" s="226"/>
      <c r="C41" s="229"/>
      <c r="D41" s="232"/>
      <c r="E41" s="229"/>
      <c r="F41" s="229"/>
      <c r="G41" s="229"/>
      <c r="H41" s="91"/>
      <c r="I41" s="91"/>
      <c r="J41" s="91"/>
      <c r="K41" s="93"/>
      <c r="L41" s="82"/>
      <c r="M41" s="82"/>
      <c r="N41" s="75"/>
      <c r="O41" s="92"/>
      <c r="P41" s="92"/>
      <c r="Q41" s="92"/>
      <c r="R41" s="76"/>
      <c r="S41" s="77"/>
      <c r="T41" s="78"/>
      <c r="U41" s="13"/>
      <c r="V41" s="70"/>
      <c r="W41" s="71"/>
      <c r="X41" s="72"/>
      <c r="Y41" s="71"/>
      <c r="Z41" s="235"/>
      <c r="AA41" s="237"/>
      <c r="AB41" s="214"/>
      <c r="AC41" s="218"/>
      <c r="AD41" s="218"/>
      <c r="AE41" s="221"/>
    </row>
    <row r="42" spans="1:31">
      <c r="A42" s="226"/>
      <c r="B42" s="226"/>
      <c r="C42" s="229"/>
      <c r="D42" s="232"/>
      <c r="E42" s="229"/>
      <c r="F42" s="229"/>
      <c r="G42" s="229"/>
      <c r="H42" s="91"/>
      <c r="I42" s="91"/>
      <c r="J42" s="91"/>
      <c r="K42" s="93"/>
      <c r="L42" s="82"/>
      <c r="M42" s="82"/>
      <c r="N42" s="75"/>
      <c r="O42" s="92"/>
      <c r="P42" s="92"/>
      <c r="Q42" s="92"/>
      <c r="R42" s="76"/>
      <c r="S42" s="77"/>
      <c r="T42" s="78"/>
      <c r="U42" s="69"/>
      <c r="V42" s="73"/>
      <c r="W42" s="74"/>
      <c r="X42" s="72"/>
      <c r="Y42" s="71"/>
      <c r="Z42" s="235"/>
      <c r="AA42" s="237"/>
      <c r="AB42" s="214"/>
      <c r="AC42" s="218"/>
      <c r="AD42" s="218"/>
      <c r="AE42" s="221"/>
    </row>
    <row r="43" spans="1:31">
      <c r="A43" s="227"/>
      <c r="B43" s="227"/>
      <c r="C43" s="230"/>
      <c r="D43" s="233"/>
      <c r="E43" s="230"/>
      <c r="F43" s="230"/>
      <c r="G43" s="230"/>
      <c r="H43" s="223" t="s">
        <v>150</v>
      </c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80">
        <f>SUM(T37:T42)</f>
        <v>1.4768000000000001</v>
      </c>
      <c r="U43" s="224" t="s">
        <v>151</v>
      </c>
      <c r="V43" s="224"/>
      <c r="W43" s="224"/>
      <c r="X43" s="224"/>
      <c r="Y43" s="81">
        <f>SUM(Y37:Y42)</f>
        <v>0.44999999999999996</v>
      </c>
      <c r="Z43" s="235"/>
      <c r="AA43" s="238"/>
      <c r="AB43" s="215"/>
      <c r="AC43" s="218"/>
      <c r="AD43" s="219"/>
      <c r="AE43" s="222"/>
    </row>
    <row r="44" spans="1:31" ht="27" customHeight="1">
      <c r="A44" s="225"/>
      <c r="B44" s="225"/>
      <c r="C44" s="228">
        <v>44456</v>
      </c>
      <c r="D44" s="231"/>
      <c r="E44" s="234" t="s">
        <v>42</v>
      </c>
      <c r="F44" s="234" t="s">
        <v>43</v>
      </c>
      <c r="G44" s="234"/>
      <c r="H44" s="91" t="s">
        <v>43</v>
      </c>
      <c r="I44" s="91" t="s">
        <v>42</v>
      </c>
      <c r="J44" s="91" t="s">
        <v>172</v>
      </c>
      <c r="K44" s="93">
        <v>1</v>
      </c>
      <c r="L44" s="95"/>
      <c r="M44" s="95"/>
      <c r="N44" s="95">
        <v>3</v>
      </c>
      <c r="O44" s="92">
        <v>6.7</v>
      </c>
      <c r="P44" s="92">
        <v>3.4</v>
      </c>
      <c r="Q44" s="92">
        <f>R44/0.7</f>
        <v>0.96285714285714297</v>
      </c>
      <c r="R44" s="76">
        <v>0.67400000000000004</v>
      </c>
      <c r="S44" s="77">
        <f>Q44-R44</f>
        <v>0.28885714285714292</v>
      </c>
      <c r="T44" s="78">
        <f>K44*(Q44*O44-P44*S44)</f>
        <v>5.4690285714285718</v>
      </c>
      <c r="U44" s="40" t="s">
        <v>88</v>
      </c>
      <c r="V44" s="96" t="s">
        <v>153</v>
      </c>
      <c r="W44" s="71">
        <v>0.1</v>
      </c>
      <c r="X44" s="72">
        <v>1</v>
      </c>
      <c r="Y44" s="71">
        <f>W44/X44</f>
        <v>0.1</v>
      </c>
      <c r="Z44" s="235">
        <v>1.2</v>
      </c>
      <c r="AA44" s="236">
        <f>(T50+Y50)*Z44</f>
        <v>7.1628342857142862</v>
      </c>
      <c r="AB44" s="213">
        <f>AA44/1.13</f>
        <v>6.3387914032869794</v>
      </c>
      <c r="AC44" s="217">
        <v>44000</v>
      </c>
      <c r="AD44" s="217">
        <v>100000</v>
      </c>
      <c r="AE44" s="220">
        <f>AB44+AC44/AD44</f>
        <v>6.7787914032869798</v>
      </c>
    </row>
    <row r="45" spans="1:31">
      <c r="A45" s="226"/>
      <c r="B45" s="226"/>
      <c r="C45" s="229"/>
      <c r="D45" s="232"/>
      <c r="E45" s="229"/>
      <c r="F45" s="229"/>
      <c r="G45" s="229"/>
      <c r="H45" s="91"/>
      <c r="I45" s="91"/>
      <c r="J45" s="91"/>
      <c r="K45" s="93"/>
      <c r="L45" s="82"/>
      <c r="M45" s="82"/>
      <c r="N45" s="75"/>
      <c r="O45" s="92"/>
      <c r="P45" s="92"/>
      <c r="Q45" s="92"/>
      <c r="R45" s="76"/>
      <c r="S45" s="77"/>
      <c r="T45" s="78"/>
      <c r="U45" s="40" t="s">
        <v>89</v>
      </c>
      <c r="V45" s="96" t="s">
        <v>153</v>
      </c>
      <c r="W45" s="71">
        <v>0.1</v>
      </c>
      <c r="X45" s="72">
        <v>1</v>
      </c>
      <c r="Y45" s="71">
        <f>W45/X45</f>
        <v>0.1</v>
      </c>
      <c r="Z45" s="235"/>
      <c r="AA45" s="237"/>
      <c r="AB45" s="214"/>
      <c r="AC45" s="218"/>
      <c r="AD45" s="218"/>
      <c r="AE45" s="221"/>
    </row>
    <row r="46" spans="1:31">
      <c r="A46" s="226"/>
      <c r="B46" s="226"/>
      <c r="C46" s="229"/>
      <c r="D46" s="232"/>
      <c r="E46" s="229"/>
      <c r="F46" s="229"/>
      <c r="G46" s="229"/>
      <c r="H46" s="91"/>
      <c r="I46" s="94"/>
      <c r="J46" s="91"/>
      <c r="K46" s="93"/>
      <c r="L46" s="82"/>
      <c r="M46" s="82"/>
      <c r="N46" s="75"/>
      <c r="O46" s="92"/>
      <c r="P46" s="92"/>
      <c r="Q46" s="92"/>
      <c r="R46" s="76"/>
      <c r="S46" s="77"/>
      <c r="T46" s="78"/>
      <c r="U46" s="40" t="s">
        <v>90</v>
      </c>
      <c r="V46" s="96" t="s">
        <v>153</v>
      </c>
      <c r="W46" s="71">
        <v>0.1</v>
      </c>
      <c r="X46" s="72">
        <v>1</v>
      </c>
      <c r="Y46" s="71">
        <f>W46/X46</f>
        <v>0.1</v>
      </c>
      <c r="Z46" s="235"/>
      <c r="AA46" s="237"/>
      <c r="AB46" s="214"/>
      <c r="AC46" s="218"/>
      <c r="AD46" s="218"/>
      <c r="AE46" s="221"/>
    </row>
    <row r="47" spans="1:31">
      <c r="A47" s="226"/>
      <c r="B47" s="226"/>
      <c r="C47" s="229"/>
      <c r="D47" s="232"/>
      <c r="E47" s="229"/>
      <c r="F47" s="229"/>
      <c r="G47" s="229"/>
      <c r="H47" s="91"/>
      <c r="I47" s="91"/>
      <c r="J47" s="91"/>
      <c r="K47" s="93"/>
      <c r="L47" s="82"/>
      <c r="M47" s="82"/>
      <c r="N47" s="75"/>
      <c r="O47" s="92"/>
      <c r="P47" s="92"/>
      <c r="Q47" s="92"/>
      <c r="R47" s="76"/>
      <c r="S47" s="77"/>
      <c r="T47" s="78"/>
      <c r="U47" s="40" t="s">
        <v>91</v>
      </c>
      <c r="V47" s="96" t="s">
        <v>153</v>
      </c>
      <c r="W47" s="71">
        <v>0.1</v>
      </c>
      <c r="X47" s="72">
        <v>1</v>
      </c>
      <c r="Y47" s="71">
        <f>W47/X47</f>
        <v>0.1</v>
      </c>
      <c r="Z47" s="235"/>
      <c r="AA47" s="237"/>
      <c r="AB47" s="214"/>
      <c r="AC47" s="218"/>
      <c r="AD47" s="218"/>
      <c r="AE47" s="221"/>
    </row>
    <row r="48" spans="1:31">
      <c r="A48" s="226"/>
      <c r="B48" s="226"/>
      <c r="C48" s="229"/>
      <c r="D48" s="232"/>
      <c r="E48" s="229"/>
      <c r="F48" s="229"/>
      <c r="G48" s="229"/>
      <c r="H48" s="91"/>
      <c r="I48" s="91"/>
      <c r="J48" s="91"/>
      <c r="K48" s="93"/>
      <c r="L48" s="82"/>
      <c r="M48" s="82"/>
      <c r="N48" s="75"/>
      <c r="O48" s="92"/>
      <c r="P48" s="92"/>
      <c r="Q48" s="92"/>
      <c r="R48" s="76"/>
      <c r="S48" s="77"/>
      <c r="T48" s="78"/>
      <c r="U48" s="40" t="s">
        <v>91</v>
      </c>
      <c r="V48" s="96" t="s">
        <v>153</v>
      </c>
      <c r="W48" s="71">
        <v>0.1</v>
      </c>
      <c r="X48" s="72">
        <v>1</v>
      </c>
      <c r="Y48" s="71">
        <f>W48/X48</f>
        <v>0.1</v>
      </c>
      <c r="Z48" s="235"/>
      <c r="AA48" s="237"/>
      <c r="AB48" s="214"/>
      <c r="AC48" s="218"/>
      <c r="AD48" s="218"/>
      <c r="AE48" s="221"/>
    </row>
    <row r="49" spans="1:31">
      <c r="A49" s="226"/>
      <c r="B49" s="226"/>
      <c r="C49" s="229"/>
      <c r="D49" s="232"/>
      <c r="E49" s="229"/>
      <c r="F49" s="229"/>
      <c r="G49" s="229"/>
      <c r="H49" s="91"/>
      <c r="I49" s="91"/>
      <c r="J49" s="91"/>
      <c r="K49" s="93"/>
      <c r="L49" s="82"/>
      <c r="M49" s="82"/>
      <c r="N49" s="75"/>
      <c r="O49" s="92"/>
      <c r="P49" s="92"/>
      <c r="Q49" s="92"/>
      <c r="R49" s="76"/>
      <c r="S49" s="77"/>
      <c r="T49" s="78"/>
      <c r="U49" s="69"/>
      <c r="V49" s="73"/>
      <c r="W49" s="74"/>
      <c r="X49" s="72"/>
      <c r="Y49" s="71"/>
      <c r="Z49" s="235"/>
      <c r="AA49" s="237"/>
      <c r="AB49" s="214"/>
      <c r="AC49" s="218"/>
      <c r="AD49" s="218"/>
      <c r="AE49" s="221"/>
    </row>
    <row r="50" spans="1:31">
      <c r="A50" s="227"/>
      <c r="B50" s="227"/>
      <c r="C50" s="230"/>
      <c r="D50" s="233"/>
      <c r="E50" s="230"/>
      <c r="F50" s="230"/>
      <c r="G50" s="230"/>
      <c r="H50" s="223" t="s">
        <v>150</v>
      </c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80">
        <f>SUM(T44:T49)</f>
        <v>5.4690285714285718</v>
      </c>
      <c r="U50" s="224" t="s">
        <v>151</v>
      </c>
      <c r="V50" s="224"/>
      <c r="W50" s="224"/>
      <c r="X50" s="224"/>
      <c r="Y50" s="81">
        <f>SUM(Y44:Y49)</f>
        <v>0.5</v>
      </c>
      <c r="Z50" s="235"/>
      <c r="AA50" s="238"/>
      <c r="AB50" s="215"/>
      <c r="AC50" s="218"/>
      <c r="AD50" s="219"/>
      <c r="AE50" s="222"/>
    </row>
    <row r="51" spans="1:31" ht="27" customHeight="1">
      <c r="A51" s="225"/>
      <c r="B51" s="225"/>
      <c r="C51" s="228">
        <v>44456</v>
      </c>
      <c r="D51" s="231"/>
      <c r="E51" s="234" t="s">
        <v>44</v>
      </c>
      <c r="F51" s="234" t="s">
        <v>45</v>
      </c>
      <c r="G51" s="234"/>
      <c r="H51" s="91" t="s">
        <v>45</v>
      </c>
      <c r="I51" s="91" t="s">
        <v>44</v>
      </c>
      <c r="J51" s="91" t="s">
        <v>172</v>
      </c>
      <c r="K51" s="93">
        <v>1</v>
      </c>
      <c r="L51" s="95"/>
      <c r="M51" s="95"/>
      <c r="N51" s="95">
        <v>3</v>
      </c>
      <c r="O51" s="92">
        <v>6.7</v>
      </c>
      <c r="P51" s="92">
        <v>3.4</v>
      </c>
      <c r="Q51" s="92">
        <f>R51/0.7</f>
        <v>0.55428571428571438</v>
      </c>
      <c r="R51" s="76">
        <v>0.38800000000000001</v>
      </c>
      <c r="S51" s="77">
        <f>Q51-R51</f>
        <v>0.16628571428571437</v>
      </c>
      <c r="T51" s="78">
        <f>K51*(Q51*O51-P51*S51)</f>
        <v>3.1483428571428576</v>
      </c>
      <c r="U51" s="13" t="s">
        <v>20</v>
      </c>
      <c r="V51" s="96" t="s">
        <v>158</v>
      </c>
      <c r="W51" s="71">
        <v>7.0000000000000007E-2</v>
      </c>
      <c r="X51" s="72">
        <v>1</v>
      </c>
      <c r="Y51" s="71">
        <f>W51/X51</f>
        <v>7.0000000000000007E-2</v>
      </c>
      <c r="Z51" s="235">
        <v>1.2</v>
      </c>
      <c r="AA51" s="236">
        <f>(T57+Y57)*Z51</f>
        <v>4.1140114285714295</v>
      </c>
      <c r="AB51" s="213">
        <f>AA51/1.13</f>
        <v>3.6407180783817963</v>
      </c>
      <c r="AC51" s="217">
        <f>7000/1.13</f>
        <v>6194.6902654867263</v>
      </c>
      <c r="AD51" s="217">
        <v>100000</v>
      </c>
      <c r="AE51" s="220">
        <f>AB51+AC51/AD51</f>
        <v>3.7026649810366634</v>
      </c>
    </row>
    <row r="52" spans="1:31">
      <c r="A52" s="226"/>
      <c r="B52" s="226"/>
      <c r="C52" s="229"/>
      <c r="D52" s="232"/>
      <c r="E52" s="229"/>
      <c r="F52" s="229"/>
      <c r="G52" s="229"/>
      <c r="H52" s="91"/>
      <c r="I52" s="91"/>
      <c r="J52" s="91"/>
      <c r="K52" s="93"/>
      <c r="L52" s="82"/>
      <c r="M52" s="82"/>
      <c r="N52" s="75"/>
      <c r="O52" s="92"/>
      <c r="P52" s="92"/>
      <c r="Q52" s="92"/>
      <c r="R52" s="76"/>
      <c r="S52" s="77"/>
      <c r="T52" s="78"/>
      <c r="U52" s="13" t="s">
        <v>36</v>
      </c>
      <c r="V52" s="96" t="s">
        <v>158</v>
      </c>
      <c r="W52" s="71">
        <v>7.0000000000000007E-2</v>
      </c>
      <c r="X52" s="72">
        <v>1</v>
      </c>
      <c r="Y52" s="71">
        <f>W52/X52</f>
        <v>7.0000000000000007E-2</v>
      </c>
      <c r="Z52" s="235"/>
      <c r="AA52" s="237"/>
      <c r="AB52" s="214"/>
      <c r="AC52" s="218"/>
      <c r="AD52" s="218"/>
      <c r="AE52" s="221"/>
    </row>
    <row r="53" spans="1:31">
      <c r="A53" s="226"/>
      <c r="B53" s="226"/>
      <c r="C53" s="229"/>
      <c r="D53" s="232"/>
      <c r="E53" s="229"/>
      <c r="F53" s="229"/>
      <c r="G53" s="229"/>
      <c r="H53" s="91"/>
      <c r="I53" s="94"/>
      <c r="J53" s="91"/>
      <c r="K53" s="93"/>
      <c r="L53" s="82"/>
      <c r="M53" s="82"/>
      <c r="N53" s="75"/>
      <c r="O53" s="92"/>
      <c r="P53" s="92"/>
      <c r="Q53" s="92"/>
      <c r="R53" s="76"/>
      <c r="S53" s="77"/>
      <c r="T53" s="78"/>
      <c r="U53" s="13" t="s">
        <v>36</v>
      </c>
      <c r="V53" s="96" t="s">
        <v>158</v>
      </c>
      <c r="W53" s="71">
        <v>7.0000000000000007E-2</v>
      </c>
      <c r="X53" s="72">
        <v>1</v>
      </c>
      <c r="Y53" s="71">
        <f>W53/X53</f>
        <v>7.0000000000000007E-2</v>
      </c>
      <c r="Z53" s="235"/>
      <c r="AA53" s="237"/>
      <c r="AB53" s="214"/>
      <c r="AC53" s="218"/>
      <c r="AD53" s="218"/>
      <c r="AE53" s="221"/>
    </row>
    <row r="54" spans="1:31">
      <c r="A54" s="226"/>
      <c r="B54" s="226"/>
      <c r="C54" s="229"/>
      <c r="D54" s="232"/>
      <c r="E54" s="229"/>
      <c r="F54" s="229"/>
      <c r="G54" s="229"/>
      <c r="H54" s="91"/>
      <c r="I54" s="91"/>
      <c r="J54" s="91"/>
      <c r="K54" s="93"/>
      <c r="L54" s="82"/>
      <c r="M54" s="82"/>
      <c r="N54" s="75"/>
      <c r="O54" s="92"/>
      <c r="P54" s="92"/>
      <c r="Q54" s="92"/>
      <c r="R54" s="76"/>
      <c r="S54" s="77"/>
      <c r="T54" s="78"/>
      <c r="U54" s="13" t="s">
        <v>24</v>
      </c>
      <c r="V54" s="96" t="s">
        <v>158</v>
      </c>
      <c r="W54" s="71">
        <v>7.0000000000000007E-2</v>
      </c>
      <c r="X54" s="72">
        <v>1</v>
      </c>
      <c r="Y54" s="71">
        <f>W54/X54</f>
        <v>7.0000000000000007E-2</v>
      </c>
      <c r="Z54" s="235"/>
      <c r="AA54" s="237"/>
      <c r="AB54" s="214"/>
      <c r="AC54" s="218"/>
      <c r="AD54" s="218"/>
      <c r="AE54" s="221"/>
    </row>
    <row r="55" spans="1:31">
      <c r="A55" s="226"/>
      <c r="B55" s="226"/>
      <c r="C55" s="229"/>
      <c r="D55" s="232"/>
      <c r="E55" s="229"/>
      <c r="F55" s="229"/>
      <c r="G55" s="229"/>
      <c r="H55" s="91"/>
      <c r="I55" s="91"/>
      <c r="J55" s="91"/>
      <c r="K55" s="93"/>
      <c r="L55" s="82"/>
      <c r="M55" s="82"/>
      <c r="N55" s="75"/>
      <c r="O55" s="92"/>
      <c r="P55" s="92"/>
      <c r="Q55" s="92"/>
      <c r="R55" s="76"/>
      <c r="S55" s="77"/>
      <c r="T55" s="78"/>
      <c r="U55" s="7"/>
      <c r="V55" s="96"/>
      <c r="W55" s="71"/>
      <c r="X55" s="72"/>
      <c r="Y55" s="71"/>
      <c r="Z55" s="235"/>
      <c r="AA55" s="237"/>
      <c r="AB55" s="214"/>
      <c r="AC55" s="218"/>
      <c r="AD55" s="218"/>
      <c r="AE55" s="221"/>
    </row>
    <row r="56" spans="1:31">
      <c r="A56" s="226"/>
      <c r="B56" s="226"/>
      <c r="C56" s="229"/>
      <c r="D56" s="232"/>
      <c r="E56" s="229"/>
      <c r="F56" s="229"/>
      <c r="G56" s="229"/>
      <c r="H56" s="91"/>
      <c r="I56" s="91"/>
      <c r="J56" s="91"/>
      <c r="K56" s="93"/>
      <c r="L56" s="82"/>
      <c r="M56" s="82"/>
      <c r="N56" s="75"/>
      <c r="O56" s="92"/>
      <c r="P56" s="92"/>
      <c r="Q56" s="92"/>
      <c r="R56" s="76"/>
      <c r="S56" s="77"/>
      <c r="T56" s="78"/>
      <c r="U56" s="69"/>
      <c r="V56" s="73"/>
      <c r="W56" s="74"/>
      <c r="X56" s="72"/>
      <c r="Y56" s="71"/>
      <c r="Z56" s="235"/>
      <c r="AA56" s="237"/>
      <c r="AB56" s="214"/>
      <c r="AC56" s="218"/>
      <c r="AD56" s="218"/>
      <c r="AE56" s="221"/>
    </row>
    <row r="57" spans="1:31">
      <c r="A57" s="227"/>
      <c r="B57" s="227"/>
      <c r="C57" s="230"/>
      <c r="D57" s="233"/>
      <c r="E57" s="230"/>
      <c r="F57" s="230"/>
      <c r="G57" s="230"/>
      <c r="H57" s="223" t="s">
        <v>150</v>
      </c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80">
        <f>SUM(T51:T56)</f>
        <v>3.1483428571428576</v>
      </c>
      <c r="U57" s="224" t="s">
        <v>151</v>
      </c>
      <c r="V57" s="224"/>
      <c r="W57" s="224"/>
      <c r="X57" s="224"/>
      <c r="Y57" s="81">
        <f>SUM(Y51:Y56)</f>
        <v>0.28000000000000003</v>
      </c>
      <c r="Z57" s="235"/>
      <c r="AA57" s="238"/>
      <c r="AB57" s="215"/>
      <c r="AC57" s="218"/>
      <c r="AD57" s="219"/>
      <c r="AE57" s="222"/>
    </row>
    <row r="58" spans="1:31" ht="27" customHeight="1">
      <c r="A58" s="225"/>
      <c r="B58" s="225"/>
      <c r="C58" s="228">
        <v>44456</v>
      </c>
      <c r="D58" s="231"/>
      <c r="E58" s="234" t="s">
        <v>47</v>
      </c>
      <c r="F58" s="234" t="s">
        <v>48</v>
      </c>
      <c r="G58" s="234"/>
      <c r="H58" s="91" t="s">
        <v>48</v>
      </c>
      <c r="I58" s="91" t="s">
        <v>47</v>
      </c>
      <c r="J58" s="91" t="s">
        <v>172</v>
      </c>
      <c r="K58" s="93">
        <v>1</v>
      </c>
      <c r="L58" s="95">
        <v>88</v>
      </c>
      <c r="M58" s="95">
        <v>33</v>
      </c>
      <c r="N58" s="95">
        <v>3</v>
      </c>
      <c r="O58" s="92">
        <v>6.7</v>
      </c>
      <c r="P58" s="92">
        <v>3.4</v>
      </c>
      <c r="Q58" s="92">
        <f>L58*M58*N58*7.85/1000000</f>
        <v>6.8389199999999997E-2</v>
      </c>
      <c r="R58" s="76">
        <v>3.5999999999999997E-2</v>
      </c>
      <c r="S58" s="77">
        <f>Q58-R58</f>
        <v>3.23892E-2</v>
      </c>
      <c r="T58" s="78">
        <f>K58*(Q58*O58-P58*S58)</f>
        <v>0.34808435999999998</v>
      </c>
      <c r="U58" s="13" t="s">
        <v>20</v>
      </c>
      <c r="V58" s="7" t="s">
        <v>155</v>
      </c>
      <c r="W58" s="71">
        <v>0.05</v>
      </c>
      <c r="X58" s="72">
        <v>1</v>
      </c>
      <c r="Y58" s="71">
        <f>W58/X58</f>
        <v>0.05</v>
      </c>
      <c r="Z58" s="235">
        <v>1.2</v>
      </c>
      <c r="AA58" s="236">
        <f>(T64+Y64)*Z58</f>
        <v>0.53770123199999997</v>
      </c>
      <c r="AB58" s="213">
        <f>AA58/1.13</f>
        <v>0.47584179823008854</v>
      </c>
      <c r="AC58" s="217">
        <f>2000/1.13</f>
        <v>1769.911504424779</v>
      </c>
      <c r="AD58" s="217">
        <v>100000</v>
      </c>
      <c r="AE58" s="220">
        <f>AB58+AC58/AD58</f>
        <v>0.49354091327433636</v>
      </c>
    </row>
    <row r="59" spans="1:31">
      <c r="A59" s="226"/>
      <c r="B59" s="226"/>
      <c r="C59" s="229"/>
      <c r="D59" s="232"/>
      <c r="E59" s="229"/>
      <c r="F59" s="229"/>
      <c r="G59" s="229"/>
      <c r="H59" s="91"/>
      <c r="I59" s="91"/>
      <c r="J59" s="91"/>
      <c r="K59" s="93"/>
      <c r="L59" s="82"/>
      <c r="M59" s="82"/>
      <c r="N59" s="75"/>
      <c r="O59" s="92"/>
      <c r="P59" s="92"/>
      <c r="Q59" s="92"/>
      <c r="R59" s="76"/>
      <c r="S59" s="77"/>
      <c r="T59" s="78"/>
      <c r="U59" s="13" t="s">
        <v>36</v>
      </c>
      <c r="V59" s="7" t="s">
        <v>155</v>
      </c>
      <c r="W59" s="71">
        <v>0.05</v>
      </c>
      <c r="X59" s="72">
        <v>1</v>
      </c>
      <c r="Y59" s="71">
        <f>W59/X59</f>
        <v>0.05</v>
      </c>
      <c r="Z59" s="235"/>
      <c r="AA59" s="237"/>
      <c r="AB59" s="214"/>
      <c r="AC59" s="218"/>
      <c r="AD59" s="218"/>
      <c r="AE59" s="221"/>
    </row>
    <row r="60" spans="1:31">
      <c r="A60" s="226"/>
      <c r="B60" s="226"/>
      <c r="C60" s="229"/>
      <c r="D60" s="232"/>
      <c r="E60" s="229"/>
      <c r="F60" s="229"/>
      <c r="G60" s="229"/>
      <c r="H60" s="91"/>
      <c r="I60" s="94"/>
      <c r="J60" s="91"/>
      <c r="K60" s="93"/>
      <c r="L60" s="82"/>
      <c r="M60" s="82"/>
      <c r="N60" s="75"/>
      <c r="O60" s="92"/>
      <c r="P60" s="92"/>
      <c r="Q60" s="92"/>
      <c r="R60" s="76"/>
      <c r="S60" s="77"/>
      <c r="T60" s="78"/>
      <c r="U60" s="13"/>
      <c r="V60" s="96"/>
      <c r="W60" s="71"/>
      <c r="X60" s="72"/>
      <c r="Y60" s="71"/>
      <c r="Z60" s="235"/>
      <c r="AA60" s="237"/>
      <c r="AB60" s="214"/>
      <c r="AC60" s="218"/>
      <c r="AD60" s="218"/>
      <c r="AE60" s="221"/>
    </row>
    <row r="61" spans="1:31">
      <c r="A61" s="226"/>
      <c r="B61" s="226"/>
      <c r="C61" s="229"/>
      <c r="D61" s="232"/>
      <c r="E61" s="229"/>
      <c r="F61" s="229"/>
      <c r="G61" s="229"/>
      <c r="H61" s="91"/>
      <c r="I61" s="91"/>
      <c r="J61" s="91"/>
      <c r="K61" s="93"/>
      <c r="L61" s="82"/>
      <c r="M61" s="82"/>
      <c r="N61" s="75"/>
      <c r="O61" s="92"/>
      <c r="P61" s="92"/>
      <c r="Q61" s="92"/>
      <c r="R61" s="76"/>
      <c r="S61" s="77"/>
      <c r="T61" s="78"/>
      <c r="U61" s="13"/>
      <c r="V61" s="96"/>
      <c r="W61" s="71"/>
      <c r="X61" s="72"/>
      <c r="Y61" s="71"/>
      <c r="Z61" s="235"/>
      <c r="AA61" s="237"/>
      <c r="AB61" s="214"/>
      <c r="AC61" s="218"/>
      <c r="AD61" s="218"/>
      <c r="AE61" s="221"/>
    </row>
    <row r="62" spans="1:31">
      <c r="A62" s="226"/>
      <c r="B62" s="226"/>
      <c r="C62" s="229"/>
      <c r="D62" s="232"/>
      <c r="E62" s="229"/>
      <c r="F62" s="229"/>
      <c r="G62" s="229"/>
      <c r="H62" s="91"/>
      <c r="I62" s="91"/>
      <c r="J62" s="91"/>
      <c r="K62" s="93"/>
      <c r="L62" s="82"/>
      <c r="M62" s="82"/>
      <c r="N62" s="75"/>
      <c r="O62" s="92"/>
      <c r="P62" s="92"/>
      <c r="Q62" s="92"/>
      <c r="R62" s="76"/>
      <c r="S62" s="77"/>
      <c r="T62" s="78"/>
      <c r="U62" s="7"/>
      <c r="V62" s="96"/>
      <c r="W62" s="71"/>
      <c r="X62" s="72"/>
      <c r="Y62" s="71"/>
      <c r="Z62" s="235"/>
      <c r="AA62" s="237"/>
      <c r="AB62" s="214"/>
      <c r="AC62" s="218"/>
      <c r="AD62" s="218"/>
      <c r="AE62" s="221"/>
    </row>
    <row r="63" spans="1:31">
      <c r="A63" s="226"/>
      <c r="B63" s="226"/>
      <c r="C63" s="229"/>
      <c r="D63" s="232"/>
      <c r="E63" s="229"/>
      <c r="F63" s="229"/>
      <c r="G63" s="229"/>
      <c r="H63" s="91"/>
      <c r="I63" s="91"/>
      <c r="J63" s="91"/>
      <c r="K63" s="93"/>
      <c r="L63" s="82"/>
      <c r="M63" s="82"/>
      <c r="N63" s="75"/>
      <c r="O63" s="92"/>
      <c r="P63" s="92"/>
      <c r="Q63" s="92"/>
      <c r="R63" s="76"/>
      <c r="S63" s="77"/>
      <c r="T63" s="78"/>
      <c r="U63" s="69"/>
      <c r="V63" s="73"/>
      <c r="W63" s="74"/>
      <c r="X63" s="72"/>
      <c r="Y63" s="71"/>
      <c r="Z63" s="235"/>
      <c r="AA63" s="237"/>
      <c r="AB63" s="214"/>
      <c r="AC63" s="218"/>
      <c r="AD63" s="218"/>
      <c r="AE63" s="221"/>
    </row>
    <row r="64" spans="1:31">
      <c r="A64" s="227"/>
      <c r="B64" s="227"/>
      <c r="C64" s="230"/>
      <c r="D64" s="233"/>
      <c r="E64" s="230"/>
      <c r="F64" s="230"/>
      <c r="G64" s="230"/>
      <c r="H64" s="223" t="s">
        <v>150</v>
      </c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80">
        <f>SUM(T58:T63)</f>
        <v>0.34808435999999998</v>
      </c>
      <c r="U64" s="224" t="s">
        <v>151</v>
      </c>
      <c r="V64" s="224"/>
      <c r="W64" s="224"/>
      <c r="X64" s="224"/>
      <c r="Y64" s="81">
        <f>SUM(Y58:Y63)</f>
        <v>0.1</v>
      </c>
      <c r="Z64" s="235"/>
      <c r="AA64" s="238"/>
      <c r="AB64" s="215"/>
      <c r="AC64" s="218"/>
      <c r="AD64" s="219"/>
      <c r="AE64" s="222"/>
    </row>
    <row r="65" spans="1:31" ht="27" customHeight="1">
      <c r="A65" s="225"/>
      <c r="B65" s="225"/>
      <c r="C65" s="228">
        <v>44456</v>
      </c>
      <c r="D65" s="231"/>
      <c r="E65" s="234" t="s">
        <v>49</v>
      </c>
      <c r="F65" s="234" t="s">
        <v>50</v>
      </c>
      <c r="G65" s="234"/>
      <c r="H65" s="91" t="s">
        <v>50</v>
      </c>
      <c r="I65" s="91" t="s">
        <v>49</v>
      </c>
      <c r="J65" s="91" t="s">
        <v>161</v>
      </c>
      <c r="K65" s="93">
        <v>1</v>
      </c>
      <c r="L65" s="95">
        <v>61</v>
      </c>
      <c r="M65" s="95">
        <v>19</v>
      </c>
      <c r="N65" s="95">
        <v>2</v>
      </c>
      <c r="O65" s="92">
        <v>6.45</v>
      </c>
      <c r="P65" s="92">
        <v>3.4</v>
      </c>
      <c r="Q65" s="92">
        <f>L65*M65*N65*7.85/1000000</f>
        <v>1.8196299999999999E-2</v>
      </c>
      <c r="R65" s="76">
        <v>6.0000000000000001E-3</v>
      </c>
      <c r="S65" s="77">
        <f>Q65-R65</f>
        <v>1.2196299999999998E-2</v>
      </c>
      <c r="T65" s="78">
        <f>K65*(Q65*O65-P65*S65)</f>
        <v>7.5898715000000005E-2</v>
      </c>
      <c r="U65" s="13" t="s">
        <v>20</v>
      </c>
      <c r="V65" s="7" t="s">
        <v>155</v>
      </c>
      <c r="W65" s="71">
        <v>0.05</v>
      </c>
      <c r="X65" s="72">
        <v>1</v>
      </c>
      <c r="Y65" s="71">
        <f>W65/X65</f>
        <v>0.05</v>
      </c>
      <c r="Z65" s="235">
        <v>1.2</v>
      </c>
      <c r="AA65" s="236">
        <f>(T71+Y71)*Z65</f>
        <v>0.211078458</v>
      </c>
      <c r="AB65" s="213">
        <f>AA65/1.13</f>
        <v>0.18679509557522125</v>
      </c>
      <c r="AC65" s="217">
        <f>1500/1.13</f>
        <v>1327.4336283185842</v>
      </c>
      <c r="AD65" s="217">
        <v>100000</v>
      </c>
      <c r="AE65" s="220">
        <f>AB65+AC65/AD65</f>
        <v>0.20006943185840709</v>
      </c>
    </row>
    <row r="66" spans="1:31">
      <c r="A66" s="226"/>
      <c r="B66" s="226"/>
      <c r="C66" s="229"/>
      <c r="D66" s="232"/>
      <c r="E66" s="229"/>
      <c r="F66" s="229"/>
      <c r="G66" s="229"/>
      <c r="H66" s="91"/>
      <c r="I66" s="91"/>
      <c r="J66" s="91"/>
      <c r="K66" s="93"/>
      <c r="L66" s="82"/>
      <c r="M66" s="82"/>
      <c r="N66" s="75"/>
      <c r="O66" s="92"/>
      <c r="P66" s="92"/>
      <c r="Q66" s="92"/>
      <c r="R66" s="76"/>
      <c r="S66" s="77"/>
      <c r="T66" s="78"/>
      <c r="U66" s="13" t="s">
        <v>36</v>
      </c>
      <c r="V66" s="7" t="s">
        <v>155</v>
      </c>
      <c r="W66" s="71">
        <v>0.05</v>
      </c>
      <c r="X66" s="72">
        <v>1</v>
      </c>
      <c r="Y66" s="71">
        <f>W66/X66</f>
        <v>0.05</v>
      </c>
      <c r="Z66" s="235"/>
      <c r="AA66" s="237"/>
      <c r="AB66" s="214"/>
      <c r="AC66" s="218"/>
      <c r="AD66" s="218"/>
      <c r="AE66" s="221"/>
    </row>
    <row r="67" spans="1:31">
      <c r="A67" s="226"/>
      <c r="B67" s="226"/>
      <c r="C67" s="229"/>
      <c r="D67" s="232"/>
      <c r="E67" s="229"/>
      <c r="F67" s="229"/>
      <c r="G67" s="229"/>
      <c r="H67" s="91"/>
      <c r="I67" s="94"/>
      <c r="J67" s="91"/>
      <c r="K67" s="93"/>
      <c r="L67" s="82"/>
      <c r="M67" s="82"/>
      <c r="N67" s="75"/>
      <c r="O67" s="92"/>
      <c r="P67" s="92"/>
      <c r="Q67" s="92"/>
      <c r="R67" s="76"/>
      <c r="S67" s="77"/>
      <c r="T67" s="78"/>
      <c r="U67" s="13"/>
      <c r="V67" s="96"/>
      <c r="W67" s="71"/>
      <c r="X67" s="72"/>
      <c r="Y67" s="71"/>
      <c r="Z67" s="235"/>
      <c r="AA67" s="237"/>
      <c r="AB67" s="214"/>
      <c r="AC67" s="218"/>
      <c r="AD67" s="218"/>
      <c r="AE67" s="221"/>
    </row>
    <row r="68" spans="1:31">
      <c r="A68" s="226"/>
      <c r="B68" s="226"/>
      <c r="C68" s="229"/>
      <c r="D68" s="232"/>
      <c r="E68" s="229"/>
      <c r="F68" s="229"/>
      <c r="G68" s="229"/>
      <c r="H68" s="91"/>
      <c r="I68" s="91"/>
      <c r="J68" s="91"/>
      <c r="K68" s="93"/>
      <c r="L68" s="82"/>
      <c r="M68" s="82"/>
      <c r="N68" s="75"/>
      <c r="O68" s="92"/>
      <c r="P68" s="92"/>
      <c r="Q68" s="92"/>
      <c r="R68" s="76"/>
      <c r="S68" s="77"/>
      <c r="T68" s="78"/>
      <c r="U68" s="13"/>
      <c r="V68" s="96"/>
      <c r="W68" s="71"/>
      <c r="X68" s="72"/>
      <c r="Y68" s="71"/>
      <c r="Z68" s="235"/>
      <c r="AA68" s="237"/>
      <c r="AB68" s="214"/>
      <c r="AC68" s="218"/>
      <c r="AD68" s="218"/>
      <c r="AE68" s="221"/>
    </row>
    <row r="69" spans="1:31">
      <c r="A69" s="226"/>
      <c r="B69" s="226"/>
      <c r="C69" s="229"/>
      <c r="D69" s="232"/>
      <c r="E69" s="229"/>
      <c r="F69" s="229"/>
      <c r="G69" s="229"/>
      <c r="H69" s="91"/>
      <c r="I69" s="91"/>
      <c r="J69" s="91"/>
      <c r="K69" s="93"/>
      <c r="L69" s="82"/>
      <c r="M69" s="82"/>
      <c r="N69" s="75"/>
      <c r="O69" s="92"/>
      <c r="P69" s="92"/>
      <c r="Q69" s="92"/>
      <c r="R69" s="76"/>
      <c r="S69" s="77"/>
      <c r="T69" s="78"/>
      <c r="U69" s="7"/>
      <c r="V69" s="96"/>
      <c r="W69" s="71"/>
      <c r="X69" s="72"/>
      <c r="Y69" s="71"/>
      <c r="Z69" s="235"/>
      <c r="AA69" s="237"/>
      <c r="AB69" s="214"/>
      <c r="AC69" s="218"/>
      <c r="AD69" s="218"/>
      <c r="AE69" s="221"/>
    </row>
    <row r="70" spans="1:31">
      <c r="A70" s="226"/>
      <c r="B70" s="226"/>
      <c r="C70" s="229"/>
      <c r="D70" s="232"/>
      <c r="E70" s="229"/>
      <c r="F70" s="229"/>
      <c r="G70" s="229"/>
      <c r="H70" s="91"/>
      <c r="I70" s="91"/>
      <c r="J70" s="91"/>
      <c r="K70" s="93"/>
      <c r="L70" s="82"/>
      <c r="M70" s="82"/>
      <c r="N70" s="75"/>
      <c r="O70" s="92"/>
      <c r="P70" s="92"/>
      <c r="Q70" s="92"/>
      <c r="R70" s="76"/>
      <c r="S70" s="77"/>
      <c r="T70" s="78"/>
      <c r="U70" s="69"/>
      <c r="V70" s="73"/>
      <c r="W70" s="74"/>
      <c r="X70" s="72"/>
      <c r="Y70" s="71"/>
      <c r="Z70" s="235"/>
      <c r="AA70" s="237"/>
      <c r="AB70" s="214"/>
      <c r="AC70" s="218"/>
      <c r="AD70" s="218"/>
      <c r="AE70" s="221"/>
    </row>
    <row r="71" spans="1:31">
      <c r="A71" s="227"/>
      <c r="B71" s="227"/>
      <c r="C71" s="230"/>
      <c r="D71" s="233"/>
      <c r="E71" s="230"/>
      <c r="F71" s="230"/>
      <c r="G71" s="230"/>
      <c r="H71" s="223" t="s">
        <v>150</v>
      </c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80">
        <f>SUM(T65:T70)</f>
        <v>7.5898715000000005E-2</v>
      </c>
      <c r="U71" s="224" t="s">
        <v>151</v>
      </c>
      <c r="V71" s="224"/>
      <c r="W71" s="224"/>
      <c r="X71" s="224"/>
      <c r="Y71" s="81">
        <f>SUM(Y65:Y70)</f>
        <v>0.1</v>
      </c>
      <c r="Z71" s="235"/>
      <c r="AA71" s="238"/>
      <c r="AB71" s="215"/>
      <c r="AC71" s="218"/>
      <c r="AD71" s="219"/>
      <c r="AE71" s="222"/>
    </row>
    <row r="72" spans="1:31" ht="27" customHeight="1">
      <c r="A72" s="225"/>
      <c r="B72" s="225"/>
      <c r="C72" s="228">
        <v>44456</v>
      </c>
      <c r="D72" s="231"/>
      <c r="E72" s="234" t="s">
        <v>51</v>
      </c>
      <c r="F72" s="234" t="s">
        <v>52</v>
      </c>
      <c r="G72" s="234"/>
      <c r="H72" s="91" t="s">
        <v>178</v>
      </c>
      <c r="I72" s="91" t="s">
        <v>173</v>
      </c>
      <c r="J72" s="91" t="s">
        <v>174</v>
      </c>
      <c r="K72" s="93">
        <v>1</v>
      </c>
      <c r="L72" s="95">
        <v>185</v>
      </c>
      <c r="M72" s="95">
        <v>104</v>
      </c>
      <c r="N72" s="95">
        <v>3</v>
      </c>
      <c r="O72" s="92">
        <v>6.7</v>
      </c>
      <c r="P72" s="92">
        <v>3.4</v>
      </c>
      <c r="Q72" s="92">
        <f>L72*M72*N72*7.85/1000000</f>
        <v>0.453102</v>
      </c>
      <c r="R72" s="76">
        <v>0.3503</v>
      </c>
      <c r="S72" s="77">
        <f>Q72-R72</f>
        <v>0.102802</v>
      </c>
      <c r="T72" s="78">
        <f>K72*(Q72*O72-P72*S72)</f>
        <v>2.6862566000000001</v>
      </c>
      <c r="U72" s="13" t="s">
        <v>20</v>
      </c>
      <c r="V72" s="7" t="s">
        <v>153</v>
      </c>
      <c r="W72" s="71">
        <v>0.1</v>
      </c>
      <c r="X72" s="72">
        <v>1</v>
      </c>
      <c r="Y72" s="71">
        <f>W72/X72</f>
        <v>0.1</v>
      </c>
      <c r="Z72" s="235">
        <v>1.2</v>
      </c>
      <c r="AA72" s="236">
        <f>(T78+Y78)*Z72</f>
        <v>3.9243079199999999</v>
      </c>
      <c r="AB72" s="213">
        <f>AA72/1.13</f>
        <v>3.4728388672566375</v>
      </c>
      <c r="AC72" s="217">
        <f>5500/1.13</f>
        <v>4867.2566371681423</v>
      </c>
      <c r="AD72" s="217">
        <v>100000</v>
      </c>
      <c r="AE72" s="220">
        <f>AB72+AC72/AD72</f>
        <v>3.5215114336283189</v>
      </c>
    </row>
    <row r="73" spans="1:31">
      <c r="A73" s="226"/>
      <c r="B73" s="226"/>
      <c r="C73" s="229"/>
      <c r="D73" s="232"/>
      <c r="E73" s="229"/>
      <c r="F73" s="229"/>
      <c r="G73" s="229"/>
      <c r="H73" s="91" t="s">
        <v>175</v>
      </c>
      <c r="I73" s="91" t="s">
        <v>169</v>
      </c>
      <c r="J73" s="91"/>
      <c r="K73" s="93">
        <v>2</v>
      </c>
      <c r="L73" s="82"/>
      <c r="M73" s="82"/>
      <c r="N73" s="75"/>
      <c r="O73" s="97">
        <v>4.2000000000000003E-2</v>
      </c>
      <c r="P73" s="92"/>
      <c r="Q73" s="92"/>
      <c r="R73" s="76"/>
      <c r="S73" s="77"/>
      <c r="T73" s="97">
        <f>K73*O73</f>
        <v>8.4000000000000005E-2</v>
      </c>
      <c r="U73" s="13" t="s">
        <v>35</v>
      </c>
      <c r="V73" s="7" t="s">
        <v>153</v>
      </c>
      <c r="W73" s="71">
        <v>0.1</v>
      </c>
      <c r="X73" s="72">
        <v>1</v>
      </c>
      <c r="Y73" s="71">
        <f>W73/X73</f>
        <v>0.1</v>
      </c>
      <c r="Z73" s="235"/>
      <c r="AA73" s="237"/>
      <c r="AB73" s="214"/>
      <c r="AC73" s="218"/>
      <c r="AD73" s="218"/>
      <c r="AE73" s="221"/>
    </row>
    <row r="74" spans="1:31">
      <c r="A74" s="226"/>
      <c r="B74" s="226"/>
      <c r="C74" s="229"/>
      <c r="D74" s="232"/>
      <c r="E74" s="229"/>
      <c r="F74" s="229"/>
      <c r="G74" s="229"/>
      <c r="H74" s="91"/>
      <c r="I74" s="94"/>
      <c r="J74" s="91"/>
      <c r="K74" s="93"/>
      <c r="L74" s="82"/>
      <c r="M74" s="82"/>
      <c r="N74" s="75"/>
      <c r="O74" s="92"/>
      <c r="P74" s="92"/>
      <c r="Q74" s="92"/>
      <c r="R74" s="76"/>
      <c r="S74" s="77"/>
      <c r="T74" s="78"/>
      <c r="U74" s="13" t="s">
        <v>24</v>
      </c>
      <c r="V74" s="7" t="s">
        <v>153</v>
      </c>
      <c r="W74" s="71">
        <v>0.1</v>
      </c>
      <c r="X74" s="72">
        <v>1</v>
      </c>
      <c r="Y74" s="71">
        <f>W74/X74</f>
        <v>0.1</v>
      </c>
      <c r="Z74" s="235"/>
      <c r="AA74" s="237"/>
      <c r="AB74" s="214"/>
      <c r="AC74" s="218"/>
      <c r="AD74" s="218"/>
      <c r="AE74" s="221"/>
    </row>
    <row r="75" spans="1:31">
      <c r="A75" s="226"/>
      <c r="B75" s="226"/>
      <c r="C75" s="229"/>
      <c r="D75" s="232"/>
      <c r="E75" s="229"/>
      <c r="F75" s="229"/>
      <c r="G75" s="229"/>
      <c r="H75" s="91"/>
      <c r="I75" s="91"/>
      <c r="J75" s="91"/>
      <c r="K75" s="93"/>
      <c r="L75" s="82"/>
      <c r="M75" s="82"/>
      <c r="N75" s="75"/>
      <c r="O75" s="92"/>
      <c r="P75" s="92"/>
      <c r="Q75" s="92"/>
      <c r="R75" s="76"/>
      <c r="S75" s="77"/>
      <c r="T75" s="78"/>
      <c r="U75" s="13" t="s">
        <v>159</v>
      </c>
      <c r="V75" s="96">
        <v>4</v>
      </c>
      <c r="W75" s="71">
        <v>0.05</v>
      </c>
      <c r="X75" s="72">
        <v>1</v>
      </c>
      <c r="Y75" s="71">
        <f>V75*W75/X75</f>
        <v>0.2</v>
      </c>
      <c r="Z75" s="235"/>
      <c r="AA75" s="237"/>
      <c r="AB75" s="214"/>
      <c r="AC75" s="218"/>
      <c r="AD75" s="218"/>
      <c r="AE75" s="221"/>
    </row>
    <row r="76" spans="1:31">
      <c r="A76" s="226"/>
      <c r="B76" s="226"/>
      <c r="C76" s="229"/>
      <c r="D76" s="232"/>
      <c r="E76" s="229"/>
      <c r="F76" s="229"/>
      <c r="G76" s="229"/>
      <c r="H76" s="91"/>
      <c r="I76" s="91"/>
      <c r="J76" s="91"/>
      <c r="K76" s="93"/>
      <c r="L76" s="82"/>
      <c r="M76" s="82"/>
      <c r="N76" s="75"/>
      <c r="O76" s="92"/>
      <c r="P76" s="92"/>
      <c r="Q76" s="92"/>
      <c r="R76" s="76"/>
      <c r="S76" s="77"/>
      <c r="T76" s="78"/>
      <c r="U76" s="7"/>
      <c r="V76" s="96"/>
      <c r="W76" s="71"/>
      <c r="X76" s="72"/>
      <c r="Y76" s="71"/>
      <c r="Z76" s="235"/>
      <c r="AA76" s="237"/>
      <c r="AB76" s="214"/>
      <c r="AC76" s="218"/>
      <c r="AD76" s="218"/>
      <c r="AE76" s="221"/>
    </row>
    <row r="77" spans="1:31">
      <c r="A77" s="226"/>
      <c r="B77" s="226"/>
      <c r="C77" s="229"/>
      <c r="D77" s="232"/>
      <c r="E77" s="229"/>
      <c r="F77" s="229"/>
      <c r="G77" s="229"/>
      <c r="H77" s="91"/>
      <c r="I77" s="91"/>
      <c r="J77" s="91"/>
      <c r="K77" s="93"/>
      <c r="L77" s="82"/>
      <c r="M77" s="82"/>
      <c r="N77" s="75"/>
      <c r="O77" s="92"/>
      <c r="P77" s="92"/>
      <c r="Q77" s="92"/>
      <c r="R77" s="76"/>
      <c r="S77" s="77"/>
      <c r="T77" s="78"/>
      <c r="U77" s="69"/>
      <c r="V77" s="73"/>
      <c r="W77" s="74"/>
      <c r="X77" s="72"/>
      <c r="Y77" s="71"/>
      <c r="Z77" s="235"/>
      <c r="AA77" s="237"/>
      <c r="AB77" s="214"/>
      <c r="AC77" s="218"/>
      <c r="AD77" s="218"/>
      <c r="AE77" s="221"/>
    </row>
    <row r="78" spans="1:31">
      <c r="A78" s="227"/>
      <c r="B78" s="227"/>
      <c r="C78" s="230"/>
      <c r="D78" s="233"/>
      <c r="E78" s="230"/>
      <c r="F78" s="230"/>
      <c r="G78" s="230"/>
      <c r="H78" s="223" t="s">
        <v>150</v>
      </c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80">
        <f>SUM(T72:T77)</f>
        <v>2.7702566000000002</v>
      </c>
      <c r="U78" s="224" t="s">
        <v>151</v>
      </c>
      <c r="V78" s="224"/>
      <c r="W78" s="224"/>
      <c r="X78" s="224"/>
      <c r="Y78" s="81">
        <f>SUM(Y72:Y77)</f>
        <v>0.5</v>
      </c>
      <c r="Z78" s="235"/>
      <c r="AA78" s="238"/>
      <c r="AB78" s="215"/>
      <c r="AC78" s="218"/>
      <c r="AD78" s="219"/>
      <c r="AE78" s="222"/>
    </row>
    <row r="79" spans="1:31" ht="27" customHeight="1">
      <c r="A79" s="225"/>
      <c r="B79" s="225"/>
      <c r="C79" s="228">
        <v>44456</v>
      </c>
      <c r="D79" s="231"/>
      <c r="E79" s="234" t="s">
        <v>53</v>
      </c>
      <c r="F79" s="234" t="s">
        <v>54</v>
      </c>
      <c r="G79" s="234"/>
      <c r="H79" s="91" t="s">
        <v>177</v>
      </c>
      <c r="I79" s="91" t="s">
        <v>176</v>
      </c>
      <c r="J79" s="91" t="s">
        <v>174</v>
      </c>
      <c r="K79" s="93">
        <v>1</v>
      </c>
      <c r="L79" s="95">
        <v>207</v>
      </c>
      <c r="M79" s="95">
        <v>194</v>
      </c>
      <c r="N79" s="95">
        <v>3</v>
      </c>
      <c r="O79" s="92">
        <v>6.7</v>
      </c>
      <c r="P79" s="92">
        <v>3.4</v>
      </c>
      <c r="Q79" s="92">
        <f>L79*M79*N79*7.85/1000000</f>
        <v>0.94572089999999986</v>
      </c>
      <c r="R79" s="76">
        <v>0.8115</v>
      </c>
      <c r="S79" s="77">
        <f>Q79-R79</f>
        <v>0.13422089999999987</v>
      </c>
      <c r="T79" s="78">
        <f>K79*(Q79*O79-P79*S79)</f>
        <v>5.8799789699999998</v>
      </c>
      <c r="U79" s="40" t="s">
        <v>88</v>
      </c>
      <c r="V79" s="7" t="s">
        <v>153</v>
      </c>
      <c r="W79" s="71">
        <v>0.1</v>
      </c>
      <c r="X79" s="72">
        <v>1</v>
      </c>
      <c r="Y79" s="71">
        <f>W79/X79</f>
        <v>0.1</v>
      </c>
      <c r="Z79" s="235">
        <v>1.2</v>
      </c>
      <c r="AA79" s="236">
        <f>(T85+Y85)*Z79</f>
        <v>7.8767747639999985</v>
      </c>
      <c r="AB79" s="213">
        <f>AA79/1.13</f>
        <v>6.9705971362831853</v>
      </c>
      <c r="AC79" s="217">
        <v>36000</v>
      </c>
      <c r="AD79" s="217">
        <v>100000</v>
      </c>
      <c r="AE79" s="220">
        <f>AB79+AC79/AD79</f>
        <v>7.3305971362831857</v>
      </c>
    </row>
    <row r="80" spans="1:31">
      <c r="A80" s="226"/>
      <c r="B80" s="226"/>
      <c r="C80" s="229"/>
      <c r="D80" s="232"/>
      <c r="E80" s="229"/>
      <c r="F80" s="229"/>
      <c r="G80" s="229"/>
      <c r="H80" s="91" t="s">
        <v>175</v>
      </c>
      <c r="I80" s="91"/>
      <c r="J80" s="91"/>
      <c r="K80" s="93">
        <v>2</v>
      </c>
      <c r="L80" s="82"/>
      <c r="M80" s="82"/>
      <c r="N80" s="75"/>
      <c r="O80" s="97">
        <v>4.2000000000000003E-2</v>
      </c>
      <c r="P80" s="92"/>
      <c r="Q80" s="92"/>
      <c r="R80" s="76"/>
      <c r="S80" s="77"/>
      <c r="T80" s="97">
        <f>K80*O80</f>
        <v>8.4000000000000005E-2</v>
      </c>
      <c r="U80" s="40" t="s">
        <v>89</v>
      </c>
      <c r="V80" s="7" t="s">
        <v>153</v>
      </c>
      <c r="W80" s="71">
        <v>0.1</v>
      </c>
      <c r="X80" s="72">
        <v>1</v>
      </c>
      <c r="Y80" s="71">
        <f>W80/X80</f>
        <v>0.1</v>
      </c>
      <c r="Z80" s="235"/>
      <c r="AA80" s="237"/>
      <c r="AB80" s="214"/>
      <c r="AC80" s="218"/>
      <c r="AD80" s="218"/>
      <c r="AE80" s="221"/>
    </row>
    <row r="81" spans="1:31">
      <c r="A81" s="226"/>
      <c r="B81" s="226"/>
      <c r="C81" s="229"/>
      <c r="D81" s="232"/>
      <c r="E81" s="229"/>
      <c r="F81" s="229"/>
      <c r="G81" s="229"/>
      <c r="H81" s="91"/>
      <c r="I81" s="94"/>
      <c r="J81" s="91"/>
      <c r="K81" s="93"/>
      <c r="L81" s="82"/>
      <c r="M81" s="82"/>
      <c r="N81" s="75"/>
      <c r="O81" s="92"/>
      <c r="P81" s="92"/>
      <c r="Q81" s="92"/>
      <c r="R81" s="76"/>
      <c r="S81" s="77"/>
      <c r="T81" s="78"/>
      <c r="U81" s="40" t="s">
        <v>90</v>
      </c>
      <c r="V81" s="7" t="s">
        <v>153</v>
      </c>
      <c r="W81" s="71">
        <v>0.1</v>
      </c>
      <c r="X81" s="72">
        <v>1</v>
      </c>
      <c r="Y81" s="71">
        <f>W81/X81</f>
        <v>0.1</v>
      </c>
      <c r="Z81" s="235"/>
      <c r="AA81" s="237"/>
      <c r="AB81" s="214"/>
      <c r="AC81" s="218"/>
      <c r="AD81" s="218"/>
      <c r="AE81" s="221"/>
    </row>
    <row r="82" spans="1:31">
      <c r="A82" s="226"/>
      <c r="B82" s="226"/>
      <c r="C82" s="229"/>
      <c r="D82" s="232"/>
      <c r="E82" s="229"/>
      <c r="F82" s="229"/>
      <c r="G82" s="229"/>
      <c r="H82" s="91"/>
      <c r="I82" s="91"/>
      <c r="J82" s="91"/>
      <c r="K82" s="93"/>
      <c r="L82" s="82"/>
      <c r="M82" s="82"/>
      <c r="N82" s="75"/>
      <c r="O82" s="92"/>
      <c r="P82" s="92"/>
      <c r="Q82" s="92"/>
      <c r="R82" s="76"/>
      <c r="S82" s="77"/>
      <c r="T82" s="78"/>
      <c r="U82" s="40" t="s">
        <v>91</v>
      </c>
      <c r="V82" s="7" t="s">
        <v>153</v>
      </c>
      <c r="W82" s="71">
        <v>0.1</v>
      </c>
      <c r="X82" s="72">
        <v>1</v>
      </c>
      <c r="Y82" s="71">
        <f>W82/X82</f>
        <v>0.1</v>
      </c>
      <c r="Z82" s="235"/>
      <c r="AA82" s="237"/>
      <c r="AB82" s="214"/>
      <c r="AC82" s="218"/>
      <c r="AD82" s="218"/>
      <c r="AE82" s="221"/>
    </row>
    <row r="83" spans="1:31">
      <c r="A83" s="226"/>
      <c r="B83" s="226"/>
      <c r="C83" s="229"/>
      <c r="D83" s="232"/>
      <c r="E83" s="229"/>
      <c r="F83" s="229"/>
      <c r="G83" s="229"/>
      <c r="H83" s="91"/>
      <c r="I83" s="91"/>
      <c r="J83" s="91"/>
      <c r="K83" s="93"/>
      <c r="L83" s="82"/>
      <c r="M83" s="82"/>
      <c r="N83" s="75"/>
      <c r="O83" s="92"/>
      <c r="P83" s="92"/>
      <c r="Q83" s="92"/>
      <c r="R83" s="76"/>
      <c r="S83" s="77"/>
      <c r="T83" s="78"/>
      <c r="U83" s="13" t="s">
        <v>159</v>
      </c>
      <c r="V83" s="96">
        <v>4</v>
      </c>
      <c r="W83" s="71">
        <v>0.05</v>
      </c>
      <c r="X83" s="72">
        <v>1</v>
      </c>
      <c r="Y83" s="71">
        <f>V83*W83/X83</f>
        <v>0.2</v>
      </c>
      <c r="Z83" s="235"/>
      <c r="AA83" s="237"/>
      <c r="AB83" s="214"/>
      <c r="AC83" s="218"/>
      <c r="AD83" s="218"/>
      <c r="AE83" s="221"/>
    </row>
    <row r="84" spans="1:31">
      <c r="A84" s="226"/>
      <c r="B84" s="226"/>
      <c r="C84" s="229"/>
      <c r="D84" s="232"/>
      <c r="E84" s="229"/>
      <c r="F84" s="229"/>
      <c r="G84" s="229"/>
      <c r="H84" s="91"/>
      <c r="I84" s="91"/>
      <c r="J84" s="91"/>
      <c r="K84" s="93"/>
      <c r="L84" s="82"/>
      <c r="M84" s="82"/>
      <c r="N84" s="75"/>
      <c r="O84" s="92"/>
      <c r="P84" s="92"/>
      <c r="Q84" s="92"/>
      <c r="R84" s="76"/>
      <c r="S84" s="77"/>
      <c r="T84" s="78"/>
      <c r="U84" s="69"/>
      <c r="V84" s="73"/>
      <c r="W84" s="74"/>
      <c r="X84" s="72"/>
      <c r="Y84" s="71"/>
      <c r="Z84" s="235"/>
      <c r="AA84" s="237"/>
      <c r="AB84" s="214"/>
      <c r="AC84" s="218"/>
      <c r="AD84" s="218"/>
      <c r="AE84" s="221"/>
    </row>
    <row r="85" spans="1:31">
      <c r="A85" s="227"/>
      <c r="B85" s="227"/>
      <c r="C85" s="230"/>
      <c r="D85" s="233"/>
      <c r="E85" s="230"/>
      <c r="F85" s="230"/>
      <c r="G85" s="230"/>
      <c r="H85" s="223" t="s">
        <v>150</v>
      </c>
      <c r="I85" s="223"/>
      <c r="J85" s="223"/>
      <c r="K85" s="223"/>
      <c r="L85" s="223"/>
      <c r="M85" s="223"/>
      <c r="N85" s="223"/>
      <c r="O85" s="223"/>
      <c r="P85" s="223"/>
      <c r="Q85" s="223"/>
      <c r="R85" s="223"/>
      <c r="S85" s="223"/>
      <c r="T85" s="80">
        <f>SUM(T79:T84)</f>
        <v>5.9639789699999994</v>
      </c>
      <c r="U85" s="224" t="s">
        <v>151</v>
      </c>
      <c r="V85" s="224"/>
      <c r="W85" s="224"/>
      <c r="X85" s="224"/>
      <c r="Y85" s="81">
        <f>SUM(Y79:Y84)</f>
        <v>0.60000000000000009</v>
      </c>
      <c r="Z85" s="235"/>
      <c r="AA85" s="238"/>
      <c r="AB85" s="215"/>
      <c r="AC85" s="218"/>
      <c r="AD85" s="219"/>
      <c r="AE85" s="222"/>
    </row>
    <row r="86" spans="1:31" ht="27" customHeight="1">
      <c r="A86" s="225"/>
      <c r="B86" s="225"/>
      <c r="C86" s="228">
        <v>44456</v>
      </c>
      <c r="D86" s="231"/>
      <c r="E86" s="234" t="s">
        <v>56</v>
      </c>
      <c r="F86" s="234" t="s">
        <v>57</v>
      </c>
      <c r="G86" s="234"/>
      <c r="H86" s="91" t="s">
        <v>57</v>
      </c>
      <c r="I86" s="91" t="s">
        <v>56</v>
      </c>
      <c r="J86" s="91" t="s">
        <v>179</v>
      </c>
      <c r="K86" s="93">
        <v>1</v>
      </c>
      <c r="L86" s="95">
        <v>170</v>
      </c>
      <c r="M86" s="95">
        <v>25</v>
      </c>
      <c r="N86" s="95">
        <v>6</v>
      </c>
      <c r="O86" s="92">
        <v>5.85</v>
      </c>
      <c r="P86" s="92">
        <v>3.4</v>
      </c>
      <c r="Q86" s="92">
        <f>L86*M86*N86*7.85/1000000</f>
        <v>0.20017499999999999</v>
      </c>
      <c r="R86" s="76">
        <v>0.191</v>
      </c>
      <c r="S86" s="77">
        <f>Q86-R86</f>
        <v>9.1749999999999887E-3</v>
      </c>
      <c r="T86" s="78">
        <f>K86*(Q86*O86-P86*S86)</f>
        <v>1.1398287499999999</v>
      </c>
      <c r="U86" s="13" t="s">
        <v>39</v>
      </c>
      <c r="V86" s="7" t="s">
        <v>157</v>
      </c>
      <c r="W86" s="71">
        <v>0.08</v>
      </c>
      <c r="X86" s="72">
        <v>1</v>
      </c>
      <c r="Y86" s="71">
        <f>W86/X86</f>
        <v>0.08</v>
      </c>
      <c r="Z86" s="235">
        <v>1.2</v>
      </c>
      <c r="AA86" s="236">
        <f>(T92+Y92)*Z86</f>
        <v>1.4637944999999999</v>
      </c>
      <c r="AB86" s="213">
        <f>AA86/1.13</f>
        <v>1.2953933628318584</v>
      </c>
      <c r="AC86" s="217">
        <f>1200/1.13</f>
        <v>1061.9469026548672</v>
      </c>
      <c r="AD86" s="217">
        <v>100000</v>
      </c>
      <c r="AE86" s="220">
        <f>AB86+AC86/AD86</f>
        <v>1.306012831858407</v>
      </c>
    </row>
    <row r="87" spans="1:31">
      <c r="A87" s="226"/>
      <c r="B87" s="226"/>
      <c r="C87" s="229"/>
      <c r="D87" s="232"/>
      <c r="E87" s="229"/>
      <c r="F87" s="229"/>
      <c r="G87" s="229"/>
      <c r="H87" s="91"/>
      <c r="I87" s="91"/>
      <c r="J87" s="91"/>
      <c r="K87" s="93"/>
      <c r="L87" s="82"/>
      <c r="M87" s="82"/>
      <c r="N87" s="75"/>
      <c r="O87" s="97"/>
      <c r="P87" s="92"/>
      <c r="Q87" s="92"/>
      <c r="R87" s="76"/>
      <c r="S87" s="77"/>
      <c r="T87" s="97"/>
      <c r="U87" s="40"/>
      <c r="V87" s="7"/>
      <c r="W87" s="71"/>
      <c r="X87" s="72"/>
      <c r="Y87" s="71"/>
      <c r="Z87" s="235"/>
      <c r="AA87" s="237"/>
      <c r="AB87" s="214"/>
      <c r="AC87" s="218"/>
      <c r="AD87" s="218"/>
      <c r="AE87" s="221"/>
    </row>
    <row r="88" spans="1:31">
      <c r="A88" s="226"/>
      <c r="B88" s="226"/>
      <c r="C88" s="229"/>
      <c r="D88" s="232"/>
      <c r="E88" s="229"/>
      <c r="F88" s="229"/>
      <c r="G88" s="229"/>
      <c r="H88" s="91"/>
      <c r="I88" s="94"/>
      <c r="J88" s="91"/>
      <c r="K88" s="93"/>
      <c r="L88" s="82"/>
      <c r="M88" s="82"/>
      <c r="N88" s="75"/>
      <c r="O88" s="92"/>
      <c r="P88" s="92"/>
      <c r="Q88" s="92"/>
      <c r="R88" s="76"/>
      <c r="S88" s="77"/>
      <c r="T88" s="78"/>
      <c r="U88" s="40"/>
      <c r="V88" s="7"/>
      <c r="W88" s="71"/>
      <c r="X88" s="72"/>
      <c r="Y88" s="71"/>
      <c r="Z88" s="235"/>
      <c r="AA88" s="237"/>
      <c r="AB88" s="214"/>
      <c r="AC88" s="218"/>
      <c r="AD88" s="218"/>
      <c r="AE88" s="221"/>
    </row>
    <row r="89" spans="1:31">
      <c r="A89" s="226"/>
      <c r="B89" s="226"/>
      <c r="C89" s="229"/>
      <c r="D89" s="232"/>
      <c r="E89" s="229"/>
      <c r="F89" s="229"/>
      <c r="G89" s="229"/>
      <c r="H89" s="91"/>
      <c r="I89" s="91"/>
      <c r="J89" s="91"/>
      <c r="K89" s="93"/>
      <c r="L89" s="82"/>
      <c r="M89" s="82"/>
      <c r="N89" s="75"/>
      <c r="O89" s="92"/>
      <c r="P89" s="92"/>
      <c r="Q89" s="92"/>
      <c r="R89" s="76"/>
      <c r="S89" s="77"/>
      <c r="T89" s="78"/>
      <c r="U89" s="40"/>
      <c r="V89" s="7"/>
      <c r="W89" s="71"/>
      <c r="X89" s="72"/>
      <c r="Y89" s="71"/>
      <c r="Z89" s="235"/>
      <c r="AA89" s="237"/>
      <c r="AB89" s="214"/>
      <c r="AC89" s="218"/>
      <c r="AD89" s="218"/>
      <c r="AE89" s="221"/>
    </row>
    <row r="90" spans="1:31">
      <c r="A90" s="226"/>
      <c r="B90" s="226"/>
      <c r="C90" s="229"/>
      <c r="D90" s="232"/>
      <c r="E90" s="229"/>
      <c r="F90" s="229"/>
      <c r="G90" s="229"/>
      <c r="H90" s="91"/>
      <c r="I90" s="91"/>
      <c r="J90" s="91"/>
      <c r="K90" s="93"/>
      <c r="L90" s="82"/>
      <c r="M90" s="82"/>
      <c r="N90" s="75"/>
      <c r="O90" s="92"/>
      <c r="P90" s="92"/>
      <c r="Q90" s="92"/>
      <c r="R90" s="76"/>
      <c r="S90" s="77"/>
      <c r="T90" s="78"/>
      <c r="U90" s="13"/>
      <c r="V90" s="96"/>
      <c r="W90" s="71"/>
      <c r="X90" s="72"/>
      <c r="Y90" s="71"/>
      <c r="Z90" s="235"/>
      <c r="AA90" s="237"/>
      <c r="AB90" s="214"/>
      <c r="AC90" s="218"/>
      <c r="AD90" s="218"/>
      <c r="AE90" s="221"/>
    </row>
    <row r="91" spans="1:31">
      <c r="A91" s="226"/>
      <c r="B91" s="226"/>
      <c r="C91" s="229"/>
      <c r="D91" s="232"/>
      <c r="E91" s="229"/>
      <c r="F91" s="229"/>
      <c r="G91" s="229"/>
      <c r="H91" s="91"/>
      <c r="I91" s="91"/>
      <c r="J91" s="91"/>
      <c r="K91" s="93"/>
      <c r="L91" s="82"/>
      <c r="M91" s="82"/>
      <c r="N91" s="75"/>
      <c r="O91" s="92"/>
      <c r="P91" s="92"/>
      <c r="Q91" s="92"/>
      <c r="R91" s="76"/>
      <c r="S91" s="77"/>
      <c r="T91" s="78"/>
      <c r="U91" s="69"/>
      <c r="V91" s="73"/>
      <c r="W91" s="74"/>
      <c r="X91" s="72"/>
      <c r="Y91" s="71"/>
      <c r="Z91" s="235"/>
      <c r="AA91" s="237"/>
      <c r="AB91" s="214"/>
      <c r="AC91" s="218"/>
      <c r="AD91" s="218"/>
      <c r="AE91" s="221"/>
    </row>
    <row r="92" spans="1:31">
      <c r="A92" s="227"/>
      <c r="B92" s="227"/>
      <c r="C92" s="230"/>
      <c r="D92" s="233"/>
      <c r="E92" s="230"/>
      <c r="F92" s="230"/>
      <c r="G92" s="230"/>
      <c r="H92" s="223" t="s">
        <v>150</v>
      </c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80">
        <f>SUM(T86:T91)</f>
        <v>1.1398287499999999</v>
      </c>
      <c r="U92" s="224" t="s">
        <v>151</v>
      </c>
      <c r="V92" s="224"/>
      <c r="W92" s="224"/>
      <c r="X92" s="224"/>
      <c r="Y92" s="81">
        <f>SUM(Y86:Y91)</f>
        <v>0.08</v>
      </c>
      <c r="Z92" s="235"/>
      <c r="AA92" s="238"/>
      <c r="AB92" s="215"/>
      <c r="AC92" s="218"/>
      <c r="AD92" s="219"/>
      <c r="AE92" s="222"/>
    </row>
    <row r="93" spans="1:31" ht="27" customHeight="1">
      <c r="A93" s="225"/>
      <c r="B93" s="225"/>
      <c r="C93" s="228">
        <v>44456</v>
      </c>
      <c r="D93" s="231"/>
      <c r="E93" s="234" t="s">
        <v>58</v>
      </c>
      <c r="F93" s="234" t="s">
        <v>59</v>
      </c>
      <c r="G93" s="234"/>
      <c r="H93" s="91" t="s">
        <v>59</v>
      </c>
      <c r="I93" s="91" t="s">
        <v>58</v>
      </c>
      <c r="J93" s="91" t="s">
        <v>172</v>
      </c>
      <c r="K93" s="93">
        <v>1</v>
      </c>
      <c r="L93" s="95">
        <v>31</v>
      </c>
      <c r="M93" s="95">
        <v>14</v>
      </c>
      <c r="N93" s="95">
        <v>3</v>
      </c>
      <c r="O93" s="92">
        <v>6.7</v>
      </c>
      <c r="P93" s="92">
        <v>3.4</v>
      </c>
      <c r="Q93" s="92">
        <f>L93*M93*N93*7.85/1000000</f>
        <v>1.0220699999999999E-2</v>
      </c>
      <c r="R93" s="76">
        <v>7.0000000000000001E-3</v>
      </c>
      <c r="S93" s="77">
        <f>Q93-R93</f>
        <v>3.2206999999999991E-3</v>
      </c>
      <c r="T93" s="78">
        <f>K93*(Q93*O93-P93*S93)</f>
        <v>5.7528309999999999E-2</v>
      </c>
      <c r="U93" s="13" t="s">
        <v>20</v>
      </c>
      <c r="V93" s="7" t="s">
        <v>155</v>
      </c>
      <c r="W93" s="71">
        <v>0.05</v>
      </c>
      <c r="X93" s="72">
        <v>1</v>
      </c>
      <c r="Y93" s="71">
        <f>W93/X93</f>
        <v>0.05</v>
      </c>
      <c r="Z93" s="235">
        <v>1.2</v>
      </c>
      <c r="AA93" s="236">
        <f>(T99+Y99)*Z93</f>
        <v>0.129033972</v>
      </c>
      <c r="AB93" s="213">
        <f>AA93/1.13</f>
        <v>0.1141893557522124</v>
      </c>
      <c r="AC93" s="217">
        <f>600/1.13</f>
        <v>530.97345132743362</v>
      </c>
      <c r="AD93" s="217">
        <v>100000</v>
      </c>
      <c r="AE93" s="220">
        <f>AB93+AC93/AD93</f>
        <v>0.11949909026548673</v>
      </c>
    </row>
    <row r="94" spans="1:31">
      <c r="A94" s="226"/>
      <c r="B94" s="226"/>
      <c r="C94" s="229"/>
      <c r="D94" s="232"/>
      <c r="E94" s="229"/>
      <c r="F94" s="229"/>
      <c r="G94" s="229"/>
      <c r="H94" s="91"/>
      <c r="I94" s="91"/>
      <c r="J94" s="91"/>
      <c r="K94" s="93"/>
      <c r="L94" s="82"/>
      <c r="M94" s="82"/>
      <c r="N94" s="75"/>
      <c r="O94" s="97"/>
      <c r="P94" s="92"/>
      <c r="Q94" s="92"/>
      <c r="R94" s="76"/>
      <c r="S94" s="77"/>
      <c r="T94" s="97"/>
      <c r="U94" s="40"/>
      <c r="V94" s="7"/>
      <c r="W94" s="71"/>
      <c r="X94" s="72"/>
      <c r="Y94" s="71"/>
      <c r="Z94" s="235"/>
      <c r="AA94" s="237"/>
      <c r="AB94" s="214"/>
      <c r="AC94" s="218"/>
      <c r="AD94" s="218"/>
      <c r="AE94" s="221"/>
    </row>
    <row r="95" spans="1:31">
      <c r="A95" s="226"/>
      <c r="B95" s="226"/>
      <c r="C95" s="229"/>
      <c r="D95" s="232"/>
      <c r="E95" s="229"/>
      <c r="F95" s="229"/>
      <c r="G95" s="229"/>
      <c r="H95" s="91"/>
      <c r="I95" s="94"/>
      <c r="J95" s="91"/>
      <c r="K95" s="93"/>
      <c r="L95" s="82"/>
      <c r="M95" s="82"/>
      <c r="N95" s="75"/>
      <c r="O95" s="92"/>
      <c r="P95" s="92"/>
      <c r="Q95" s="92"/>
      <c r="R95" s="76"/>
      <c r="S95" s="77"/>
      <c r="T95" s="78"/>
      <c r="U95" s="40"/>
      <c r="V95" s="7"/>
      <c r="W95" s="71"/>
      <c r="X95" s="72"/>
      <c r="Y95" s="71"/>
      <c r="Z95" s="235"/>
      <c r="AA95" s="237"/>
      <c r="AB95" s="214"/>
      <c r="AC95" s="218"/>
      <c r="AD95" s="218"/>
      <c r="AE95" s="221"/>
    </row>
    <row r="96" spans="1:31">
      <c r="A96" s="226"/>
      <c r="B96" s="226"/>
      <c r="C96" s="229"/>
      <c r="D96" s="232"/>
      <c r="E96" s="229"/>
      <c r="F96" s="229"/>
      <c r="G96" s="229"/>
      <c r="H96" s="91"/>
      <c r="I96" s="91"/>
      <c r="J96" s="91"/>
      <c r="K96" s="93"/>
      <c r="L96" s="82"/>
      <c r="M96" s="82"/>
      <c r="N96" s="75"/>
      <c r="O96" s="92"/>
      <c r="P96" s="92"/>
      <c r="Q96" s="92"/>
      <c r="R96" s="76"/>
      <c r="S96" s="77"/>
      <c r="T96" s="78"/>
      <c r="U96" s="40"/>
      <c r="V96" s="7"/>
      <c r="W96" s="71"/>
      <c r="X96" s="72"/>
      <c r="Y96" s="71"/>
      <c r="Z96" s="235"/>
      <c r="AA96" s="237"/>
      <c r="AB96" s="214"/>
      <c r="AC96" s="218"/>
      <c r="AD96" s="218"/>
      <c r="AE96" s="221"/>
    </row>
    <row r="97" spans="1:31">
      <c r="A97" s="226"/>
      <c r="B97" s="226"/>
      <c r="C97" s="229"/>
      <c r="D97" s="232"/>
      <c r="E97" s="229"/>
      <c r="F97" s="229"/>
      <c r="G97" s="229"/>
      <c r="H97" s="91"/>
      <c r="I97" s="91"/>
      <c r="J97" s="91"/>
      <c r="K97" s="93"/>
      <c r="L97" s="82"/>
      <c r="M97" s="82"/>
      <c r="N97" s="75"/>
      <c r="O97" s="92"/>
      <c r="P97" s="92"/>
      <c r="Q97" s="92"/>
      <c r="R97" s="76"/>
      <c r="S97" s="77"/>
      <c r="T97" s="78"/>
      <c r="U97" s="13"/>
      <c r="V97" s="96"/>
      <c r="W97" s="71"/>
      <c r="X97" s="72"/>
      <c r="Y97" s="71"/>
      <c r="Z97" s="235"/>
      <c r="AA97" s="237"/>
      <c r="AB97" s="214"/>
      <c r="AC97" s="218"/>
      <c r="AD97" s="218"/>
      <c r="AE97" s="221"/>
    </row>
    <row r="98" spans="1:31">
      <c r="A98" s="226"/>
      <c r="B98" s="226"/>
      <c r="C98" s="229"/>
      <c r="D98" s="232"/>
      <c r="E98" s="229"/>
      <c r="F98" s="229"/>
      <c r="G98" s="229"/>
      <c r="H98" s="91"/>
      <c r="I98" s="91"/>
      <c r="J98" s="91"/>
      <c r="K98" s="93"/>
      <c r="L98" s="82"/>
      <c r="M98" s="82"/>
      <c r="N98" s="75"/>
      <c r="O98" s="92"/>
      <c r="P98" s="92"/>
      <c r="Q98" s="92"/>
      <c r="R98" s="76"/>
      <c r="S98" s="77"/>
      <c r="T98" s="78"/>
      <c r="U98" s="69"/>
      <c r="V98" s="73"/>
      <c r="W98" s="74"/>
      <c r="X98" s="72"/>
      <c r="Y98" s="71"/>
      <c r="Z98" s="235"/>
      <c r="AA98" s="237"/>
      <c r="AB98" s="214"/>
      <c r="AC98" s="218"/>
      <c r="AD98" s="218"/>
      <c r="AE98" s="221"/>
    </row>
    <row r="99" spans="1:31">
      <c r="A99" s="227"/>
      <c r="B99" s="227"/>
      <c r="C99" s="230"/>
      <c r="D99" s="233"/>
      <c r="E99" s="230"/>
      <c r="F99" s="230"/>
      <c r="G99" s="230"/>
      <c r="H99" s="223" t="s">
        <v>150</v>
      </c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80">
        <f>SUM(T93:T98)</f>
        <v>5.7528309999999999E-2</v>
      </c>
      <c r="U99" s="224" t="s">
        <v>151</v>
      </c>
      <c r="V99" s="224"/>
      <c r="W99" s="224"/>
      <c r="X99" s="224"/>
      <c r="Y99" s="81">
        <f>SUM(Y93:Y98)</f>
        <v>0.05</v>
      </c>
      <c r="Z99" s="235"/>
      <c r="AA99" s="238"/>
      <c r="AB99" s="215"/>
      <c r="AC99" s="218"/>
      <c r="AD99" s="219"/>
      <c r="AE99" s="222"/>
    </row>
    <row r="100" spans="1:31" ht="27" customHeight="1">
      <c r="A100" s="225"/>
      <c r="B100" s="225"/>
      <c r="C100" s="228">
        <v>44456</v>
      </c>
      <c r="D100" s="231"/>
      <c r="E100" s="234" t="s">
        <v>60</v>
      </c>
      <c r="F100" s="234" t="s">
        <v>61</v>
      </c>
      <c r="G100" s="234"/>
      <c r="H100" s="91" t="s">
        <v>61</v>
      </c>
      <c r="I100" s="91" t="s">
        <v>60</v>
      </c>
      <c r="J100" s="91" t="s">
        <v>172</v>
      </c>
      <c r="K100" s="93">
        <v>1</v>
      </c>
      <c r="L100" s="95">
        <v>31</v>
      </c>
      <c r="M100" s="95">
        <v>14</v>
      </c>
      <c r="N100" s="95">
        <v>3</v>
      </c>
      <c r="O100" s="92">
        <v>6.7</v>
      </c>
      <c r="P100" s="92">
        <v>3.4</v>
      </c>
      <c r="Q100" s="92">
        <f>L100*M100*N100*7.85/1000000</f>
        <v>1.0220699999999999E-2</v>
      </c>
      <c r="R100" s="76">
        <v>3.0000000000000001E-3</v>
      </c>
      <c r="S100" s="77">
        <f>Q100-R100</f>
        <v>7.2206999999999992E-3</v>
      </c>
      <c r="T100" s="78">
        <f>K100*(Q100*O100-P100*S100)</f>
        <v>4.3928309999999998E-2</v>
      </c>
      <c r="U100" s="13" t="s">
        <v>20</v>
      </c>
      <c r="V100" s="7" t="s">
        <v>155</v>
      </c>
      <c r="W100" s="71">
        <v>0.05</v>
      </c>
      <c r="X100" s="72">
        <v>1</v>
      </c>
      <c r="Y100" s="71">
        <f>W100/X100</f>
        <v>0.05</v>
      </c>
      <c r="Z100" s="235">
        <v>1.2</v>
      </c>
      <c r="AA100" s="236">
        <f>(T106+Y106)*Z100</f>
        <v>0.112713972</v>
      </c>
      <c r="AB100" s="213">
        <f>AA100/1.13</f>
        <v>9.9746877876106199E-2</v>
      </c>
      <c r="AC100" s="217">
        <f>600/1.13</f>
        <v>530.97345132743362</v>
      </c>
      <c r="AD100" s="217">
        <v>100000</v>
      </c>
      <c r="AE100" s="220">
        <f>AB100+AC100/AD100</f>
        <v>0.10505661238938054</v>
      </c>
    </row>
    <row r="101" spans="1:31">
      <c r="A101" s="226"/>
      <c r="B101" s="226"/>
      <c r="C101" s="229"/>
      <c r="D101" s="232"/>
      <c r="E101" s="229"/>
      <c r="F101" s="229"/>
      <c r="G101" s="229"/>
      <c r="H101" s="91"/>
      <c r="I101" s="91"/>
      <c r="J101" s="91"/>
      <c r="K101" s="93"/>
      <c r="L101" s="82"/>
      <c r="M101" s="82"/>
      <c r="N101" s="75"/>
      <c r="O101" s="97"/>
      <c r="P101" s="92"/>
      <c r="Q101" s="92"/>
      <c r="R101" s="76"/>
      <c r="S101" s="77"/>
      <c r="T101" s="97"/>
      <c r="U101" s="40"/>
      <c r="V101" s="7"/>
      <c r="W101" s="71"/>
      <c r="X101" s="72"/>
      <c r="Y101" s="71"/>
      <c r="Z101" s="235"/>
      <c r="AA101" s="237"/>
      <c r="AB101" s="214"/>
      <c r="AC101" s="218"/>
      <c r="AD101" s="218"/>
      <c r="AE101" s="221"/>
    </row>
    <row r="102" spans="1:31">
      <c r="A102" s="226"/>
      <c r="B102" s="226"/>
      <c r="C102" s="229"/>
      <c r="D102" s="232"/>
      <c r="E102" s="229"/>
      <c r="F102" s="229"/>
      <c r="G102" s="229"/>
      <c r="H102" s="91"/>
      <c r="I102" s="94"/>
      <c r="J102" s="91"/>
      <c r="K102" s="93"/>
      <c r="L102" s="82"/>
      <c r="M102" s="82"/>
      <c r="N102" s="75"/>
      <c r="O102" s="92"/>
      <c r="P102" s="92"/>
      <c r="Q102" s="92"/>
      <c r="R102" s="76"/>
      <c r="S102" s="77"/>
      <c r="T102" s="78"/>
      <c r="U102" s="40"/>
      <c r="V102" s="7"/>
      <c r="W102" s="71"/>
      <c r="X102" s="72"/>
      <c r="Y102" s="71"/>
      <c r="Z102" s="235"/>
      <c r="AA102" s="237"/>
      <c r="AB102" s="214"/>
      <c r="AC102" s="218"/>
      <c r="AD102" s="218"/>
      <c r="AE102" s="221"/>
    </row>
    <row r="103" spans="1:31">
      <c r="A103" s="226"/>
      <c r="B103" s="226"/>
      <c r="C103" s="229"/>
      <c r="D103" s="232"/>
      <c r="E103" s="229"/>
      <c r="F103" s="229"/>
      <c r="G103" s="229"/>
      <c r="H103" s="91"/>
      <c r="I103" s="91"/>
      <c r="J103" s="91"/>
      <c r="K103" s="93"/>
      <c r="L103" s="82"/>
      <c r="M103" s="82"/>
      <c r="N103" s="75"/>
      <c r="O103" s="92"/>
      <c r="P103" s="92"/>
      <c r="Q103" s="92"/>
      <c r="R103" s="76"/>
      <c r="S103" s="77"/>
      <c r="T103" s="78"/>
      <c r="U103" s="40"/>
      <c r="V103" s="7"/>
      <c r="W103" s="71"/>
      <c r="X103" s="72"/>
      <c r="Y103" s="71"/>
      <c r="Z103" s="235"/>
      <c r="AA103" s="237"/>
      <c r="AB103" s="214"/>
      <c r="AC103" s="218"/>
      <c r="AD103" s="218"/>
      <c r="AE103" s="221"/>
    </row>
    <row r="104" spans="1:31">
      <c r="A104" s="226"/>
      <c r="B104" s="226"/>
      <c r="C104" s="229"/>
      <c r="D104" s="232"/>
      <c r="E104" s="229"/>
      <c r="F104" s="229"/>
      <c r="G104" s="229"/>
      <c r="H104" s="91"/>
      <c r="I104" s="91"/>
      <c r="J104" s="91"/>
      <c r="K104" s="93"/>
      <c r="L104" s="82"/>
      <c r="M104" s="82"/>
      <c r="N104" s="75"/>
      <c r="O104" s="92"/>
      <c r="P104" s="92"/>
      <c r="Q104" s="92"/>
      <c r="R104" s="76"/>
      <c r="S104" s="77"/>
      <c r="T104" s="78"/>
      <c r="U104" s="13"/>
      <c r="V104" s="96"/>
      <c r="W104" s="71"/>
      <c r="X104" s="72"/>
      <c r="Y104" s="71"/>
      <c r="Z104" s="235"/>
      <c r="AA104" s="237"/>
      <c r="AB104" s="214"/>
      <c r="AC104" s="218"/>
      <c r="AD104" s="218"/>
      <c r="AE104" s="221"/>
    </row>
    <row r="105" spans="1:31">
      <c r="A105" s="226"/>
      <c r="B105" s="226"/>
      <c r="C105" s="229"/>
      <c r="D105" s="232"/>
      <c r="E105" s="229"/>
      <c r="F105" s="229"/>
      <c r="G105" s="229"/>
      <c r="H105" s="91"/>
      <c r="I105" s="91"/>
      <c r="J105" s="91"/>
      <c r="K105" s="93"/>
      <c r="L105" s="82"/>
      <c r="M105" s="82"/>
      <c r="N105" s="75"/>
      <c r="O105" s="92"/>
      <c r="P105" s="92"/>
      <c r="Q105" s="92"/>
      <c r="R105" s="76"/>
      <c r="S105" s="77"/>
      <c r="T105" s="78"/>
      <c r="U105" s="69"/>
      <c r="V105" s="73"/>
      <c r="W105" s="74"/>
      <c r="X105" s="72"/>
      <c r="Y105" s="71"/>
      <c r="Z105" s="235"/>
      <c r="AA105" s="237"/>
      <c r="AB105" s="214"/>
      <c r="AC105" s="218"/>
      <c r="AD105" s="218"/>
      <c r="AE105" s="221"/>
    </row>
    <row r="106" spans="1:31">
      <c r="A106" s="227"/>
      <c r="B106" s="227"/>
      <c r="C106" s="230"/>
      <c r="D106" s="233"/>
      <c r="E106" s="230"/>
      <c r="F106" s="230"/>
      <c r="G106" s="230"/>
      <c r="H106" s="223" t="s">
        <v>150</v>
      </c>
      <c r="I106" s="223"/>
      <c r="J106" s="223"/>
      <c r="K106" s="223"/>
      <c r="L106" s="223"/>
      <c r="M106" s="223"/>
      <c r="N106" s="223"/>
      <c r="O106" s="223"/>
      <c r="P106" s="223"/>
      <c r="Q106" s="223"/>
      <c r="R106" s="223"/>
      <c r="S106" s="223"/>
      <c r="T106" s="80">
        <f>SUM(T100:T105)</f>
        <v>4.3928309999999998E-2</v>
      </c>
      <c r="U106" s="224" t="s">
        <v>151</v>
      </c>
      <c r="V106" s="224"/>
      <c r="W106" s="224"/>
      <c r="X106" s="224"/>
      <c r="Y106" s="81">
        <f>SUM(Y100:Y105)</f>
        <v>0.05</v>
      </c>
      <c r="Z106" s="235"/>
      <c r="AA106" s="238"/>
      <c r="AB106" s="215"/>
      <c r="AC106" s="218"/>
      <c r="AD106" s="219"/>
      <c r="AE106" s="222"/>
    </row>
    <row r="107" spans="1:31" ht="27" customHeight="1">
      <c r="A107" s="225"/>
      <c r="B107" s="225"/>
      <c r="C107" s="228">
        <v>44456</v>
      </c>
      <c r="D107" s="231"/>
      <c r="E107" s="234" t="s">
        <v>62</v>
      </c>
      <c r="F107" s="234" t="s">
        <v>63</v>
      </c>
      <c r="G107" s="234"/>
      <c r="H107" s="91" t="s">
        <v>63</v>
      </c>
      <c r="I107" s="91" t="s">
        <v>62</v>
      </c>
      <c r="J107" s="91" t="s">
        <v>180</v>
      </c>
      <c r="K107" s="93">
        <v>1</v>
      </c>
      <c r="L107" s="95"/>
      <c r="M107" s="95"/>
      <c r="N107" s="95">
        <v>2</v>
      </c>
      <c r="O107" s="92">
        <v>5.9</v>
      </c>
      <c r="P107" s="92">
        <v>3.4</v>
      </c>
      <c r="Q107" s="92">
        <f>R107/0.7</f>
        <v>9.5714285714285724E-2</v>
      </c>
      <c r="R107" s="76">
        <v>6.7000000000000004E-2</v>
      </c>
      <c r="S107" s="77">
        <f>Q107-R107</f>
        <v>2.871428571428572E-2</v>
      </c>
      <c r="T107" s="78">
        <f>K107*(Q107*O107-P107*S107)</f>
        <v>0.46708571428571438</v>
      </c>
      <c r="U107" s="13" t="s">
        <v>20</v>
      </c>
      <c r="V107" s="71" t="s">
        <v>157</v>
      </c>
      <c r="W107" s="71">
        <v>0.08</v>
      </c>
      <c r="X107" s="72">
        <v>1</v>
      </c>
      <c r="Y107" s="71">
        <f>W107/X107</f>
        <v>0.08</v>
      </c>
      <c r="Z107" s="235">
        <v>1.2</v>
      </c>
      <c r="AA107" s="236">
        <f>(T113+Y113)*Z107</f>
        <v>0.75250285714285725</v>
      </c>
      <c r="AB107" s="213">
        <f>AA107/1.13</f>
        <v>0.66593173198482947</v>
      </c>
      <c r="AC107" s="217">
        <f>2000/1.13</f>
        <v>1769.911504424779</v>
      </c>
      <c r="AD107" s="217">
        <v>100000</v>
      </c>
      <c r="AE107" s="220">
        <f>AB107+AC107/AD107</f>
        <v>0.68363084702907728</v>
      </c>
    </row>
    <row r="108" spans="1:31">
      <c r="A108" s="226"/>
      <c r="B108" s="226"/>
      <c r="C108" s="229"/>
      <c r="D108" s="232"/>
      <c r="E108" s="229"/>
      <c r="F108" s="229"/>
      <c r="G108" s="229"/>
      <c r="H108" s="91"/>
      <c r="I108" s="91"/>
      <c r="J108" s="91"/>
      <c r="K108" s="93"/>
      <c r="L108" s="82"/>
      <c r="M108" s="82"/>
      <c r="N108" s="75"/>
      <c r="O108" s="97"/>
      <c r="P108" s="92"/>
      <c r="Q108" s="92"/>
      <c r="R108" s="76"/>
      <c r="S108" s="77"/>
      <c r="T108" s="97"/>
      <c r="U108" s="13" t="s">
        <v>36</v>
      </c>
      <c r="V108" s="71" t="s">
        <v>157</v>
      </c>
      <c r="W108" s="71">
        <v>0.08</v>
      </c>
      <c r="X108" s="72">
        <v>1</v>
      </c>
      <c r="Y108" s="71">
        <f>W108/X108</f>
        <v>0.08</v>
      </c>
      <c r="Z108" s="235"/>
      <c r="AA108" s="237"/>
      <c r="AB108" s="214"/>
      <c r="AC108" s="218"/>
      <c r="AD108" s="218"/>
      <c r="AE108" s="221"/>
    </row>
    <row r="109" spans="1:31">
      <c r="A109" s="226"/>
      <c r="B109" s="226"/>
      <c r="C109" s="229"/>
      <c r="D109" s="232"/>
      <c r="E109" s="229"/>
      <c r="F109" s="229"/>
      <c r="G109" s="229"/>
      <c r="H109" s="91"/>
      <c r="I109" s="94"/>
      <c r="J109" s="91"/>
      <c r="K109" s="93"/>
      <c r="L109" s="82"/>
      <c r="M109" s="82"/>
      <c r="N109" s="75"/>
      <c r="O109" s="92"/>
      <c r="P109" s="92"/>
      <c r="Q109" s="92"/>
      <c r="R109" s="76"/>
      <c r="S109" s="77"/>
      <c r="T109" s="78"/>
      <c r="U109" s="40"/>
      <c r="V109" s="7"/>
      <c r="W109" s="71"/>
      <c r="X109" s="72"/>
      <c r="Y109" s="71"/>
      <c r="Z109" s="235"/>
      <c r="AA109" s="237"/>
      <c r="AB109" s="214"/>
      <c r="AC109" s="218"/>
      <c r="AD109" s="218"/>
      <c r="AE109" s="221"/>
    </row>
    <row r="110" spans="1:31">
      <c r="A110" s="226"/>
      <c r="B110" s="226"/>
      <c r="C110" s="229"/>
      <c r="D110" s="232"/>
      <c r="E110" s="229"/>
      <c r="F110" s="229"/>
      <c r="G110" s="229"/>
      <c r="H110" s="91"/>
      <c r="I110" s="91"/>
      <c r="J110" s="91"/>
      <c r="K110" s="93"/>
      <c r="L110" s="82"/>
      <c r="M110" s="82"/>
      <c r="N110" s="75"/>
      <c r="O110" s="92"/>
      <c r="P110" s="92"/>
      <c r="Q110" s="92"/>
      <c r="R110" s="76"/>
      <c r="S110" s="77"/>
      <c r="T110" s="78"/>
      <c r="U110" s="40"/>
      <c r="V110" s="7"/>
      <c r="W110" s="71"/>
      <c r="X110" s="72"/>
      <c r="Y110" s="71"/>
      <c r="Z110" s="235"/>
      <c r="AA110" s="237"/>
      <c r="AB110" s="214"/>
      <c r="AC110" s="218"/>
      <c r="AD110" s="218"/>
      <c r="AE110" s="221"/>
    </row>
    <row r="111" spans="1:31">
      <c r="A111" s="226"/>
      <c r="B111" s="226"/>
      <c r="C111" s="229"/>
      <c r="D111" s="232"/>
      <c r="E111" s="229"/>
      <c r="F111" s="229"/>
      <c r="G111" s="229"/>
      <c r="H111" s="91"/>
      <c r="I111" s="91"/>
      <c r="J111" s="91"/>
      <c r="K111" s="93"/>
      <c r="L111" s="82"/>
      <c r="M111" s="82"/>
      <c r="N111" s="75"/>
      <c r="O111" s="92"/>
      <c r="P111" s="92"/>
      <c r="Q111" s="92"/>
      <c r="R111" s="76"/>
      <c r="S111" s="77"/>
      <c r="T111" s="78"/>
      <c r="U111" s="13"/>
      <c r="V111" s="96"/>
      <c r="W111" s="71"/>
      <c r="X111" s="72"/>
      <c r="Y111" s="71"/>
      <c r="Z111" s="235"/>
      <c r="AA111" s="237"/>
      <c r="AB111" s="214"/>
      <c r="AC111" s="218"/>
      <c r="AD111" s="218"/>
      <c r="AE111" s="221"/>
    </row>
    <row r="112" spans="1:31">
      <c r="A112" s="226"/>
      <c r="B112" s="226"/>
      <c r="C112" s="229"/>
      <c r="D112" s="232"/>
      <c r="E112" s="229"/>
      <c r="F112" s="229"/>
      <c r="G112" s="229"/>
      <c r="H112" s="91"/>
      <c r="I112" s="91"/>
      <c r="J112" s="91"/>
      <c r="K112" s="93"/>
      <c r="L112" s="82"/>
      <c r="M112" s="82"/>
      <c r="N112" s="75"/>
      <c r="O112" s="92"/>
      <c r="P112" s="92"/>
      <c r="Q112" s="92"/>
      <c r="R112" s="76"/>
      <c r="S112" s="77"/>
      <c r="T112" s="78"/>
      <c r="U112" s="69"/>
      <c r="V112" s="73"/>
      <c r="W112" s="74"/>
      <c r="X112" s="72"/>
      <c r="Y112" s="71"/>
      <c r="Z112" s="235"/>
      <c r="AA112" s="237"/>
      <c r="AB112" s="214"/>
      <c r="AC112" s="218"/>
      <c r="AD112" s="218"/>
      <c r="AE112" s="221"/>
    </row>
    <row r="113" spans="1:31">
      <c r="A113" s="227"/>
      <c r="B113" s="227"/>
      <c r="C113" s="230"/>
      <c r="D113" s="233"/>
      <c r="E113" s="230"/>
      <c r="F113" s="230"/>
      <c r="G113" s="230"/>
      <c r="H113" s="223" t="s">
        <v>150</v>
      </c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80">
        <f>SUM(T107:T112)</f>
        <v>0.46708571428571438</v>
      </c>
      <c r="U113" s="224" t="s">
        <v>151</v>
      </c>
      <c r="V113" s="224"/>
      <c r="W113" s="224"/>
      <c r="X113" s="224"/>
      <c r="Y113" s="81">
        <f>SUM(Y107:Y112)</f>
        <v>0.16</v>
      </c>
      <c r="Z113" s="235"/>
      <c r="AA113" s="238"/>
      <c r="AB113" s="215"/>
      <c r="AC113" s="218"/>
      <c r="AD113" s="219"/>
      <c r="AE113" s="222"/>
    </row>
    <row r="114" spans="1:31" ht="27" customHeight="1">
      <c r="A114" s="225"/>
      <c r="B114" s="225"/>
      <c r="C114" s="228">
        <v>44456</v>
      </c>
      <c r="D114" s="231"/>
      <c r="E114" s="234" t="s">
        <v>64</v>
      </c>
      <c r="F114" s="234" t="s">
        <v>65</v>
      </c>
      <c r="G114" s="234"/>
      <c r="H114" s="91" t="s">
        <v>181</v>
      </c>
      <c r="I114" s="91" t="s">
        <v>182</v>
      </c>
      <c r="J114" s="91" t="s">
        <v>160</v>
      </c>
      <c r="K114" s="93">
        <v>1</v>
      </c>
      <c r="L114" s="95"/>
      <c r="M114" s="95"/>
      <c r="N114" s="95">
        <v>3.5</v>
      </c>
      <c r="O114" s="92">
        <v>7</v>
      </c>
      <c r="P114" s="92">
        <v>3.4</v>
      </c>
      <c r="Q114" s="92">
        <f>R114/0.7</f>
        <v>1.0900000000000001</v>
      </c>
      <c r="R114" s="76">
        <v>0.76300000000000001</v>
      </c>
      <c r="S114" s="77">
        <f>Q114-R114</f>
        <v>0.32700000000000007</v>
      </c>
      <c r="T114" s="78">
        <f>K114*(Q114*O114-P114*S114)</f>
        <v>6.5182000000000002</v>
      </c>
      <c r="U114" s="7" t="s">
        <v>88</v>
      </c>
      <c r="V114" s="70" t="s">
        <v>152</v>
      </c>
      <c r="W114" s="71">
        <v>0.15</v>
      </c>
      <c r="X114" s="72">
        <v>1</v>
      </c>
      <c r="Y114" s="71">
        <f t="shared" ref="Y114:Y123" si="2">W114/X114</f>
        <v>0.15</v>
      </c>
      <c r="Z114" s="235">
        <v>1.2</v>
      </c>
      <c r="AA114" s="236">
        <f>(T125+Y125)*Z114</f>
        <v>11.147223428571428</v>
      </c>
      <c r="AB114" s="213">
        <f>AA114/1.13</f>
        <v>9.8647994943109989</v>
      </c>
      <c r="AC114" s="217">
        <f>25000/1.13</f>
        <v>22123.893805309737</v>
      </c>
      <c r="AD114" s="217">
        <v>100000</v>
      </c>
      <c r="AE114" s="220">
        <f>AB114+AC114/AD114</f>
        <v>10.086038432364097</v>
      </c>
    </row>
    <row r="115" spans="1:31" ht="24">
      <c r="A115" s="226"/>
      <c r="B115" s="226"/>
      <c r="C115" s="229"/>
      <c r="D115" s="232"/>
      <c r="E115" s="229"/>
      <c r="F115" s="229"/>
      <c r="G115" s="229"/>
      <c r="H115" s="91" t="s">
        <v>166</v>
      </c>
      <c r="I115" s="91" t="s">
        <v>165</v>
      </c>
      <c r="J115" s="91" t="s">
        <v>161</v>
      </c>
      <c r="K115" s="93">
        <v>1</v>
      </c>
      <c r="L115" s="82"/>
      <c r="M115" s="82"/>
      <c r="N115" s="75">
        <v>4</v>
      </c>
      <c r="O115" s="92">
        <v>6.3</v>
      </c>
      <c r="P115" s="92">
        <v>3.4</v>
      </c>
      <c r="Q115" s="92">
        <f>R115/0.7</f>
        <v>5.1285714285714289E-2</v>
      </c>
      <c r="R115" s="76">
        <v>3.5900000000000001E-2</v>
      </c>
      <c r="S115" s="77">
        <f>Q115-R115</f>
        <v>1.5385714285714287E-2</v>
      </c>
      <c r="T115" s="78">
        <f>K115*(Q115*O115-P115*S115)</f>
        <v>0.27078857142857143</v>
      </c>
      <c r="U115" s="7" t="s">
        <v>185</v>
      </c>
      <c r="V115" s="70" t="s">
        <v>152</v>
      </c>
      <c r="W115" s="71">
        <v>0.15</v>
      </c>
      <c r="X115" s="72">
        <v>1</v>
      </c>
      <c r="Y115" s="71">
        <f t="shared" si="2"/>
        <v>0.15</v>
      </c>
      <c r="Z115" s="235"/>
      <c r="AA115" s="237"/>
      <c r="AB115" s="214"/>
      <c r="AC115" s="218"/>
      <c r="AD115" s="218"/>
      <c r="AE115" s="221"/>
    </row>
    <row r="116" spans="1:31" ht="24">
      <c r="A116" s="226"/>
      <c r="B116" s="226"/>
      <c r="C116" s="229"/>
      <c r="D116" s="232"/>
      <c r="E116" s="229"/>
      <c r="F116" s="229"/>
      <c r="G116" s="229"/>
      <c r="H116" s="91" t="s">
        <v>184</v>
      </c>
      <c r="I116" s="91" t="s">
        <v>183</v>
      </c>
      <c r="J116" s="91" t="s">
        <v>160</v>
      </c>
      <c r="K116" s="93">
        <v>1</v>
      </c>
      <c r="L116" s="82"/>
      <c r="M116" s="82"/>
      <c r="N116" s="75">
        <v>2.5</v>
      </c>
      <c r="O116" s="92">
        <v>7.05</v>
      </c>
      <c r="P116" s="92">
        <v>3.4</v>
      </c>
      <c r="Q116" s="92">
        <f>R116/0.7</f>
        <v>0.10928571428571429</v>
      </c>
      <c r="R116" s="76">
        <v>7.6499999999999999E-2</v>
      </c>
      <c r="S116" s="77">
        <v>7.6499999999999999E-2</v>
      </c>
      <c r="T116" s="78">
        <f>K116*(Q116*O116-P116*S116)</f>
        <v>0.51036428571428571</v>
      </c>
      <c r="U116" s="7" t="s">
        <v>108</v>
      </c>
      <c r="V116" s="70" t="s">
        <v>152</v>
      </c>
      <c r="W116" s="71">
        <v>0.15</v>
      </c>
      <c r="X116" s="72">
        <v>1</v>
      </c>
      <c r="Y116" s="71">
        <f t="shared" si="2"/>
        <v>0.15</v>
      </c>
      <c r="Z116" s="235"/>
      <c r="AA116" s="237"/>
      <c r="AB116" s="214"/>
      <c r="AC116" s="218"/>
      <c r="AD116" s="218"/>
      <c r="AE116" s="221"/>
    </row>
    <row r="117" spans="1:31">
      <c r="A117" s="226"/>
      <c r="B117" s="226"/>
      <c r="C117" s="229"/>
      <c r="D117" s="232"/>
      <c r="E117" s="229"/>
      <c r="F117" s="229"/>
      <c r="G117" s="229"/>
      <c r="H117" s="91"/>
      <c r="I117" s="91"/>
      <c r="J117" s="91"/>
      <c r="K117" s="93"/>
      <c r="L117" s="82"/>
      <c r="M117" s="82"/>
      <c r="N117" s="75"/>
      <c r="O117" s="92"/>
      <c r="P117" s="92"/>
      <c r="Q117" s="92"/>
      <c r="R117" s="76"/>
      <c r="S117" s="77"/>
      <c r="T117" s="78"/>
      <c r="U117" s="7" t="s">
        <v>91</v>
      </c>
      <c r="V117" s="70" t="s">
        <v>153</v>
      </c>
      <c r="W117" s="71">
        <v>0.1</v>
      </c>
      <c r="X117" s="72">
        <v>1</v>
      </c>
      <c r="Y117" s="71">
        <f t="shared" si="2"/>
        <v>0.1</v>
      </c>
      <c r="Z117" s="235"/>
      <c r="AA117" s="237"/>
      <c r="AB117" s="214"/>
      <c r="AC117" s="218"/>
      <c r="AD117" s="218"/>
      <c r="AE117" s="221"/>
    </row>
    <row r="118" spans="1:31">
      <c r="A118" s="226"/>
      <c r="B118" s="226"/>
      <c r="C118" s="229"/>
      <c r="D118" s="232"/>
      <c r="E118" s="229"/>
      <c r="F118" s="229"/>
      <c r="G118" s="229"/>
      <c r="H118" s="91"/>
      <c r="I118" s="91"/>
      <c r="J118" s="91"/>
      <c r="K118" s="93"/>
      <c r="L118" s="82"/>
      <c r="M118" s="82"/>
      <c r="N118" s="75"/>
      <c r="O118" s="92"/>
      <c r="P118" s="92"/>
      <c r="Q118" s="92"/>
      <c r="R118" s="76"/>
      <c r="S118" s="77"/>
      <c r="T118" s="78"/>
      <c r="U118" s="7" t="s">
        <v>91</v>
      </c>
      <c r="V118" s="70" t="s">
        <v>153</v>
      </c>
      <c r="W118" s="71">
        <v>0.1</v>
      </c>
      <c r="X118" s="72">
        <v>1</v>
      </c>
      <c r="Y118" s="71">
        <f t="shared" si="2"/>
        <v>0.1</v>
      </c>
      <c r="Z118" s="235"/>
      <c r="AA118" s="237"/>
      <c r="AB118" s="214"/>
      <c r="AC118" s="218"/>
      <c r="AD118" s="218"/>
      <c r="AE118" s="221"/>
    </row>
    <row r="119" spans="1:31">
      <c r="A119" s="226"/>
      <c r="B119" s="226"/>
      <c r="C119" s="229"/>
      <c r="D119" s="232"/>
      <c r="E119" s="229"/>
      <c r="F119" s="229"/>
      <c r="G119" s="229"/>
      <c r="H119" s="91"/>
      <c r="I119" s="91"/>
      <c r="J119" s="91"/>
      <c r="K119" s="93"/>
      <c r="L119" s="82"/>
      <c r="M119" s="82"/>
      <c r="N119" s="75"/>
      <c r="O119" s="92"/>
      <c r="P119" s="92"/>
      <c r="Q119" s="92"/>
      <c r="R119" s="76"/>
      <c r="S119" s="77"/>
      <c r="T119" s="78"/>
      <c r="U119" s="7" t="s">
        <v>88</v>
      </c>
      <c r="V119" s="7" t="s">
        <v>155</v>
      </c>
      <c r="W119" s="71">
        <v>0.05</v>
      </c>
      <c r="X119" s="72">
        <v>1</v>
      </c>
      <c r="Y119" s="71">
        <f t="shared" si="2"/>
        <v>0.05</v>
      </c>
      <c r="Z119" s="235"/>
      <c r="AA119" s="237"/>
      <c r="AB119" s="214"/>
      <c r="AC119" s="218"/>
      <c r="AD119" s="218"/>
      <c r="AE119" s="221"/>
    </row>
    <row r="120" spans="1:31">
      <c r="A120" s="226"/>
      <c r="B120" s="226"/>
      <c r="C120" s="229"/>
      <c r="D120" s="232"/>
      <c r="E120" s="229"/>
      <c r="F120" s="229"/>
      <c r="G120" s="229"/>
      <c r="H120" s="91"/>
      <c r="I120" s="91"/>
      <c r="J120" s="91"/>
      <c r="K120" s="93"/>
      <c r="L120" s="82"/>
      <c r="M120" s="82"/>
      <c r="N120" s="75"/>
      <c r="O120" s="92"/>
      <c r="P120" s="92"/>
      <c r="Q120" s="92"/>
      <c r="R120" s="76"/>
      <c r="S120" s="77"/>
      <c r="T120" s="78"/>
      <c r="U120" s="7" t="s">
        <v>185</v>
      </c>
      <c r="V120" s="7" t="s">
        <v>155</v>
      </c>
      <c r="W120" s="71">
        <v>0.05</v>
      </c>
      <c r="X120" s="72">
        <v>1</v>
      </c>
      <c r="Y120" s="71">
        <f t="shared" si="2"/>
        <v>0.05</v>
      </c>
      <c r="Z120" s="235"/>
      <c r="AA120" s="237"/>
      <c r="AB120" s="214"/>
      <c r="AC120" s="218"/>
      <c r="AD120" s="218"/>
      <c r="AE120" s="221"/>
    </row>
    <row r="121" spans="1:31">
      <c r="A121" s="226"/>
      <c r="B121" s="226"/>
      <c r="C121" s="229"/>
      <c r="D121" s="232"/>
      <c r="E121" s="229"/>
      <c r="F121" s="229"/>
      <c r="G121" s="229"/>
      <c r="H121" s="91"/>
      <c r="I121" s="91"/>
      <c r="J121" s="91"/>
      <c r="K121" s="93"/>
      <c r="L121" s="82"/>
      <c r="M121" s="82"/>
      <c r="N121" s="75"/>
      <c r="O121" s="92"/>
      <c r="P121" s="92"/>
      <c r="Q121" s="92"/>
      <c r="R121" s="76"/>
      <c r="S121" s="77"/>
      <c r="T121" s="78"/>
      <c r="U121" s="7" t="s">
        <v>88</v>
      </c>
      <c r="V121" s="7" t="s">
        <v>157</v>
      </c>
      <c r="W121" s="71">
        <v>0.08</v>
      </c>
      <c r="X121" s="72">
        <v>1</v>
      </c>
      <c r="Y121" s="71">
        <f t="shared" si="2"/>
        <v>0.08</v>
      </c>
      <c r="Z121" s="235"/>
      <c r="AA121" s="237"/>
      <c r="AB121" s="214"/>
      <c r="AC121" s="218"/>
      <c r="AD121" s="218"/>
      <c r="AE121" s="221"/>
    </row>
    <row r="122" spans="1:31">
      <c r="A122" s="226"/>
      <c r="B122" s="226"/>
      <c r="C122" s="229"/>
      <c r="D122" s="232"/>
      <c r="E122" s="229"/>
      <c r="F122" s="229"/>
      <c r="G122" s="229"/>
      <c r="H122" s="91"/>
      <c r="I122" s="91"/>
      <c r="J122" s="91"/>
      <c r="K122" s="93"/>
      <c r="L122" s="82"/>
      <c r="M122" s="82"/>
      <c r="N122" s="75"/>
      <c r="O122" s="92"/>
      <c r="P122" s="92"/>
      <c r="Q122" s="92"/>
      <c r="R122" s="76"/>
      <c r="S122" s="77"/>
      <c r="T122" s="78"/>
      <c r="U122" s="7" t="s">
        <v>185</v>
      </c>
      <c r="V122" s="7" t="s">
        <v>157</v>
      </c>
      <c r="W122" s="71">
        <v>0.08</v>
      </c>
      <c r="X122" s="72">
        <v>1</v>
      </c>
      <c r="Y122" s="71">
        <f t="shared" si="2"/>
        <v>0.08</v>
      </c>
      <c r="Z122" s="235"/>
      <c r="AA122" s="237"/>
      <c r="AB122" s="214"/>
      <c r="AC122" s="218"/>
      <c r="AD122" s="218"/>
      <c r="AE122" s="221"/>
    </row>
    <row r="123" spans="1:31">
      <c r="A123" s="226"/>
      <c r="B123" s="226"/>
      <c r="C123" s="229"/>
      <c r="D123" s="232"/>
      <c r="E123" s="229"/>
      <c r="F123" s="229"/>
      <c r="G123" s="229"/>
      <c r="H123" s="91"/>
      <c r="I123" s="91"/>
      <c r="J123" s="91"/>
      <c r="K123" s="93"/>
      <c r="L123" s="82"/>
      <c r="M123" s="82"/>
      <c r="N123" s="75"/>
      <c r="O123" s="92"/>
      <c r="P123" s="92"/>
      <c r="Q123" s="92"/>
      <c r="R123" s="76"/>
      <c r="S123" s="77"/>
      <c r="T123" s="78"/>
      <c r="U123" s="40" t="s">
        <v>91</v>
      </c>
      <c r="V123" s="7" t="s">
        <v>157</v>
      </c>
      <c r="W123" s="71">
        <v>0.08</v>
      </c>
      <c r="X123" s="72">
        <v>1</v>
      </c>
      <c r="Y123" s="71">
        <f t="shared" si="2"/>
        <v>0.08</v>
      </c>
      <c r="Z123" s="235"/>
      <c r="AA123" s="237"/>
      <c r="AB123" s="214"/>
      <c r="AC123" s="218"/>
      <c r="AD123" s="218"/>
      <c r="AE123" s="221"/>
    </row>
    <row r="124" spans="1:31">
      <c r="A124" s="226"/>
      <c r="B124" s="226"/>
      <c r="C124" s="229"/>
      <c r="D124" s="232"/>
      <c r="E124" s="229"/>
      <c r="F124" s="229"/>
      <c r="G124" s="229"/>
      <c r="H124" s="91"/>
      <c r="I124" s="91"/>
      <c r="J124" s="91"/>
      <c r="K124" s="93"/>
      <c r="L124" s="82"/>
      <c r="M124" s="82"/>
      <c r="N124" s="75"/>
      <c r="O124" s="92"/>
      <c r="P124" s="92"/>
      <c r="Q124" s="92"/>
      <c r="R124" s="76"/>
      <c r="S124" s="77"/>
      <c r="T124" s="78"/>
      <c r="U124" s="40" t="s">
        <v>159</v>
      </c>
      <c r="V124" s="7">
        <f>4+16</f>
        <v>20</v>
      </c>
      <c r="W124" s="71">
        <v>0.05</v>
      </c>
      <c r="X124" s="72">
        <v>1</v>
      </c>
      <c r="Y124" s="71">
        <f>V124*W124/X124</f>
        <v>1</v>
      </c>
      <c r="Z124" s="235"/>
      <c r="AA124" s="237"/>
      <c r="AB124" s="214"/>
      <c r="AC124" s="218"/>
      <c r="AD124" s="218"/>
      <c r="AE124" s="221"/>
    </row>
    <row r="125" spans="1:31">
      <c r="A125" s="227"/>
      <c r="B125" s="227"/>
      <c r="C125" s="230"/>
      <c r="D125" s="233"/>
      <c r="E125" s="230"/>
      <c r="F125" s="230"/>
      <c r="G125" s="230"/>
      <c r="H125" s="223" t="s">
        <v>150</v>
      </c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80">
        <f>SUM(T114:T124)</f>
        <v>7.2993528571428579</v>
      </c>
      <c r="U125" s="224" t="s">
        <v>151</v>
      </c>
      <c r="V125" s="224"/>
      <c r="W125" s="224"/>
      <c r="X125" s="224"/>
      <c r="Y125" s="81">
        <f>SUM(Y114:Y124)</f>
        <v>1.9899999999999998</v>
      </c>
      <c r="Z125" s="235"/>
      <c r="AA125" s="238"/>
      <c r="AB125" s="215"/>
      <c r="AC125" s="218"/>
      <c r="AD125" s="219"/>
      <c r="AE125" s="222"/>
    </row>
    <row r="126" spans="1:31" ht="27" customHeight="1">
      <c r="A126" s="225"/>
      <c r="B126" s="225"/>
      <c r="C126" s="228">
        <v>44456</v>
      </c>
      <c r="D126" s="231"/>
      <c r="E126" s="234" t="s">
        <v>69</v>
      </c>
      <c r="F126" s="234" t="s">
        <v>70</v>
      </c>
      <c r="G126" s="234"/>
      <c r="H126" s="91" t="s">
        <v>186</v>
      </c>
      <c r="I126" s="91" t="s">
        <v>187</v>
      </c>
      <c r="J126" s="91" t="s">
        <v>174</v>
      </c>
      <c r="K126" s="93">
        <v>1</v>
      </c>
      <c r="L126" s="95"/>
      <c r="M126" s="95"/>
      <c r="N126" s="95">
        <v>3</v>
      </c>
      <c r="O126" s="92">
        <v>6.7</v>
      </c>
      <c r="P126" s="92">
        <v>3.4</v>
      </c>
      <c r="Q126" s="92">
        <f>R126/0.7</f>
        <v>0.21285714285714286</v>
      </c>
      <c r="R126" s="76">
        <v>0.14899999999999999</v>
      </c>
      <c r="S126" s="77">
        <f>Q126-R126</f>
        <v>6.3857142857142862E-2</v>
      </c>
      <c r="T126" s="78">
        <f>K126*(Q126*O126-P126*S126)</f>
        <v>1.2090285714285713</v>
      </c>
      <c r="U126" s="13" t="s">
        <v>20</v>
      </c>
      <c r="V126" s="7" t="s">
        <v>155</v>
      </c>
      <c r="W126" s="71">
        <v>0.05</v>
      </c>
      <c r="X126" s="72">
        <v>1</v>
      </c>
      <c r="Y126" s="71">
        <f>W126/X126</f>
        <v>0.05</v>
      </c>
      <c r="Z126" s="235">
        <v>1.2</v>
      </c>
      <c r="AA126" s="236">
        <f>(T132+Y132)*Z126</f>
        <v>7.3061142857142842</v>
      </c>
      <c r="AB126" s="213">
        <f>AA126/1.13</f>
        <v>6.465587863463969</v>
      </c>
      <c r="AC126" s="217">
        <f>8000/1.13</f>
        <v>7079.6460176991159</v>
      </c>
      <c r="AD126" s="217">
        <v>100000</v>
      </c>
      <c r="AE126" s="220">
        <f>AB126+AC126/AD126</f>
        <v>6.5363843236409602</v>
      </c>
    </row>
    <row r="127" spans="1:31">
      <c r="A127" s="226"/>
      <c r="B127" s="226"/>
      <c r="C127" s="229"/>
      <c r="D127" s="232"/>
      <c r="E127" s="229"/>
      <c r="F127" s="229"/>
      <c r="G127" s="229"/>
      <c r="H127" s="91" t="s">
        <v>190</v>
      </c>
      <c r="I127" s="91" t="s">
        <v>188</v>
      </c>
      <c r="J127" s="91" t="s">
        <v>189</v>
      </c>
      <c r="K127" s="93">
        <v>1</v>
      </c>
      <c r="L127" s="82"/>
      <c r="M127" s="82"/>
      <c r="N127" s="75"/>
      <c r="O127" s="97"/>
      <c r="P127" s="92"/>
      <c r="Q127" s="92"/>
      <c r="R127" s="76"/>
      <c r="S127" s="77"/>
      <c r="T127" s="97">
        <v>2.2999999999999998</v>
      </c>
      <c r="U127" s="13" t="s">
        <v>35</v>
      </c>
      <c r="V127" s="7" t="s">
        <v>155</v>
      </c>
      <c r="W127" s="71">
        <v>0.05</v>
      </c>
      <c r="X127" s="72">
        <v>1</v>
      </c>
      <c r="Y127" s="71">
        <f>W127/X127</f>
        <v>0.05</v>
      </c>
      <c r="Z127" s="235"/>
      <c r="AA127" s="237"/>
      <c r="AB127" s="214"/>
      <c r="AC127" s="218"/>
      <c r="AD127" s="218"/>
      <c r="AE127" s="221"/>
    </row>
    <row r="128" spans="1:31">
      <c r="A128" s="226"/>
      <c r="B128" s="226"/>
      <c r="C128" s="229"/>
      <c r="D128" s="232"/>
      <c r="E128" s="229"/>
      <c r="F128" s="229"/>
      <c r="G128" s="229"/>
      <c r="H128" s="91" t="s">
        <v>149</v>
      </c>
      <c r="I128" s="94" t="s">
        <v>192</v>
      </c>
      <c r="J128" s="91" t="s">
        <v>191</v>
      </c>
      <c r="K128" s="93">
        <v>2</v>
      </c>
      <c r="L128" s="82"/>
      <c r="M128" s="82"/>
      <c r="N128" s="75"/>
      <c r="O128" s="92"/>
      <c r="P128" s="92"/>
      <c r="Q128" s="92"/>
      <c r="R128" s="76"/>
      <c r="S128" s="77"/>
      <c r="T128" s="78">
        <v>1.77</v>
      </c>
      <c r="U128" s="13" t="s">
        <v>24</v>
      </c>
      <c r="V128" s="7" t="s">
        <v>155</v>
      </c>
      <c r="W128" s="71">
        <v>0.05</v>
      </c>
      <c r="X128" s="72">
        <v>1</v>
      </c>
      <c r="Y128" s="71">
        <f>W128/X128</f>
        <v>0.05</v>
      </c>
      <c r="Z128" s="235"/>
      <c r="AA128" s="237"/>
      <c r="AB128" s="214"/>
      <c r="AC128" s="218"/>
      <c r="AD128" s="218"/>
      <c r="AE128" s="221"/>
    </row>
    <row r="129" spans="1:31">
      <c r="A129" s="226"/>
      <c r="B129" s="226"/>
      <c r="C129" s="229"/>
      <c r="D129" s="232"/>
      <c r="E129" s="229"/>
      <c r="F129" s="229"/>
      <c r="G129" s="229"/>
      <c r="H129" s="91"/>
      <c r="I129" s="91"/>
      <c r="J129" s="91"/>
      <c r="K129" s="93"/>
      <c r="L129" s="82"/>
      <c r="M129" s="82"/>
      <c r="N129" s="75"/>
      <c r="O129" s="92"/>
      <c r="P129" s="92"/>
      <c r="Q129" s="92"/>
      <c r="R129" s="76"/>
      <c r="S129" s="77"/>
      <c r="T129" s="78"/>
      <c r="U129" s="98" t="s">
        <v>159</v>
      </c>
      <c r="V129" s="7">
        <f>0.9*3.14*3+1.5*3.14</f>
        <v>13.187999999999999</v>
      </c>
      <c r="W129" s="71">
        <v>0.05</v>
      </c>
      <c r="X129" s="72">
        <v>1</v>
      </c>
      <c r="Y129" s="71">
        <f>V129*W129/X129</f>
        <v>0.65939999999999999</v>
      </c>
      <c r="Z129" s="235"/>
      <c r="AA129" s="237"/>
      <c r="AB129" s="214"/>
      <c r="AC129" s="218"/>
      <c r="AD129" s="218"/>
      <c r="AE129" s="221"/>
    </row>
    <row r="130" spans="1:31">
      <c r="A130" s="226"/>
      <c r="B130" s="226"/>
      <c r="C130" s="229"/>
      <c r="D130" s="232"/>
      <c r="E130" s="229"/>
      <c r="F130" s="229"/>
      <c r="G130" s="229"/>
      <c r="H130" s="91"/>
      <c r="I130" s="91"/>
      <c r="J130" s="91"/>
      <c r="K130" s="93"/>
      <c r="L130" s="82"/>
      <c r="M130" s="82"/>
      <c r="N130" s="75"/>
      <c r="O130" s="92"/>
      <c r="P130" s="92"/>
      <c r="Q130" s="92"/>
      <c r="R130" s="76"/>
      <c r="S130" s="77"/>
      <c r="T130" s="78"/>
      <c r="U130" s="13"/>
      <c r="V130" s="96"/>
      <c r="W130" s="71"/>
      <c r="X130" s="72"/>
      <c r="Y130" s="71"/>
      <c r="Z130" s="235"/>
      <c r="AA130" s="237"/>
      <c r="AB130" s="214"/>
      <c r="AC130" s="218"/>
      <c r="AD130" s="218"/>
      <c r="AE130" s="221"/>
    </row>
    <row r="131" spans="1:31">
      <c r="A131" s="226"/>
      <c r="B131" s="226"/>
      <c r="C131" s="229"/>
      <c r="D131" s="232"/>
      <c r="E131" s="229"/>
      <c r="F131" s="229"/>
      <c r="G131" s="229"/>
      <c r="H131" s="91"/>
      <c r="I131" s="91"/>
      <c r="J131" s="91"/>
      <c r="K131" s="93"/>
      <c r="L131" s="82"/>
      <c r="M131" s="82"/>
      <c r="N131" s="75"/>
      <c r="O131" s="92"/>
      <c r="P131" s="92"/>
      <c r="Q131" s="92"/>
      <c r="R131" s="76"/>
      <c r="S131" s="77"/>
      <c r="T131" s="78"/>
      <c r="U131" s="69"/>
      <c r="V131" s="73"/>
      <c r="W131" s="74"/>
      <c r="X131" s="72"/>
      <c r="Y131" s="71"/>
      <c r="Z131" s="235"/>
      <c r="AA131" s="237"/>
      <c r="AB131" s="214"/>
      <c r="AC131" s="218"/>
      <c r="AD131" s="218"/>
      <c r="AE131" s="221"/>
    </row>
    <row r="132" spans="1:31">
      <c r="A132" s="227"/>
      <c r="B132" s="227"/>
      <c r="C132" s="230"/>
      <c r="D132" s="233"/>
      <c r="E132" s="230"/>
      <c r="F132" s="230"/>
      <c r="G132" s="230"/>
      <c r="H132" s="223" t="s">
        <v>150</v>
      </c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23"/>
      <c r="T132" s="80">
        <f>SUM(T126:T131)</f>
        <v>5.2790285714285705</v>
      </c>
      <c r="U132" s="224" t="s">
        <v>151</v>
      </c>
      <c r="V132" s="224"/>
      <c r="W132" s="224"/>
      <c r="X132" s="224"/>
      <c r="Y132" s="81">
        <f>SUM(Y126:Y131)</f>
        <v>0.80940000000000001</v>
      </c>
      <c r="Z132" s="235"/>
      <c r="AA132" s="238"/>
      <c r="AB132" s="215"/>
      <c r="AC132" s="218"/>
      <c r="AD132" s="219"/>
      <c r="AE132" s="222"/>
    </row>
    <row r="133" spans="1:31" ht="27" customHeight="1">
      <c r="A133" s="225"/>
      <c r="B133" s="225"/>
      <c r="C133" s="228">
        <v>44456</v>
      </c>
      <c r="D133" s="231"/>
      <c r="E133" s="234" t="s">
        <v>71</v>
      </c>
      <c r="F133" s="234" t="s">
        <v>72</v>
      </c>
      <c r="G133" s="234"/>
      <c r="H133" s="91" t="s">
        <v>72</v>
      </c>
      <c r="I133" s="91" t="s">
        <v>71</v>
      </c>
      <c r="J133" s="91" t="s">
        <v>174</v>
      </c>
      <c r="K133" s="93">
        <v>1</v>
      </c>
      <c r="L133" s="95">
        <v>25</v>
      </c>
      <c r="M133" s="95">
        <v>10</v>
      </c>
      <c r="N133" s="95">
        <v>3</v>
      </c>
      <c r="O133" s="92">
        <v>6.7</v>
      </c>
      <c r="P133" s="92">
        <v>3.4</v>
      </c>
      <c r="Q133" s="92">
        <f>L133*M133*N133*7.85/1000000</f>
        <v>5.8875000000000004E-3</v>
      </c>
      <c r="R133" s="76">
        <v>5.0000000000000001E-3</v>
      </c>
      <c r="S133" s="77">
        <f>Q133-R133</f>
        <v>8.8750000000000027E-4</v>
      </c>
      <c r="T133" s="78">
        <f>K133*(Q133*O133-P133*S133)</f>
        <v>3.6428750000000003E-2</v>
      </c>
      <c r="U133" s="13" t="s">
        <v>20</v>
      </c>
      <c r="V133" s="7" t="s">
        <v>155</v>
      </c>
      <c r="W133" s="71">
        <v>0.05</v>
      </c>
      <c r="X133" s="72">
        <v>1</v>
      </c>
      <c r="Y133" s="71">
        <f>W133/X133</f>
        <v>0.05</v>
      </c>
      <c r="Z133" s="235">
        <v>1.2</v>
      </c>
      <c r="AA133" s="236">
        <f>(T139+Y139)*Z133</f>
        <v>0.1037145</v>
      </c>
      <c r="AB133" s="213">
        <f>AA133/1.13</f>
        <v>9.1782743362831862E-2</v>
      </c>
      <c r="AC133" s="217">
        <f>600/1.13</f>
        <v>530.97345132743362</v>
      </c>
      <c r="AD133" s="217">
        <v>100000</v>
      </c>
      <c r="AE133" s="220">
        <f>AB133+AC133/AD133</f>
        <v>9.7092477876106198E-2</v>
      </c>
    </row>
    <row r="134" spans="1:31">
      <c r="A134" s="226"/>
      <c r="B134" s="226"/>
      <c r="C134" s="229"/>
      <c r="D134" s="232"/>
      <c r="E134" s="229"/>
      <c r="F134" s="229"/>
      <c r="G134" s="229"/>
      <c r="H134" s="91"/>
      <c r="I134" s="91"/>
      <c r="J134" s="91"/>
      <c r="K134" s="93"/>
      <c r="L134" s="82"/>
      <c r="M134" s="82"/>
      <c r="N134" s="75"/>
      <c r="O134" s="97"/>
      <c r="P134" s="92"/>
      <c r="Q134" s="92"/>
      <c r="R134" s="76"/>
      <c r="S134" s="77"/>
      <c r="T134" s="97"/>
      <c r="U134" s="13"/>
      <c r="V134" s="7"/>
      <c r="W134" s="71"/>
      <c r="X134" s="72"/>
      <c r="Y134" s="71"/>
      <c r="Z134" s="235"/>
      <c r="AA134" s="237"/>
      <c r="AB134" s="214"/>
      <c r="AC134" s="218"/>
      <c r="AD134" s="218"/>
      <c r="AE134" s="221"/>
    </row>
    <row r="135" spans="1:31">
      <c r="A135" s="226"/>
      <c r="B135" s="226"/>
      <c r="C135" s="229"/>
      <c r="D135" s="232"/>
      <c r="E135" s="229"/>
      <c r="F135" s="229"/>
      <c r="G135" s="229"/>
      <c r="H135" s="91"/>
      <c r="I135" s="94"/>
      <c r="J135" s="91"/>
      <c r="K135" s="93"/>
      <c r="L135" s="82"/>
      <c r="M135" s="82"/>
      <c r="N135" s="75"/>
      <c r="O135" s="92"/>
      <c r="P135" s="92"/>
      <c r="Q135" s="92"/>
      <c r="R135" s="76"/>
      <c r="S135" s="77"/>
      <c r="T135" s="78"/>
      <c r="U135" s="13"/>
      <c r="V135" s="7"/>
      <c r="W135" s="71"/>
      <c r="X135" s="72"/>
      <c r="Y135" s="71"/>
      <c r="Z135" s="235"/>
      <c r="AA135" s="237"/>
      <c r="AB135" s="214"/>
      <c r="AC135" s="218"/>
      <c r="AD135" s="218"/>
      <c r="AE135" s="221"/>
    </row>
    <row r="136" spans="1:31">
      <c r="A136" s="226"/>
      <c r="B136" s="226"/>
      <c r="C136" s="229"/>
      <c r="D136" s="232"/>
      <c r="E136" s="229"/>
      <c r="F136" s="229"/>
      <c r="G136" s="229"/>
      <c r="H136" s="91"/>
      <c r="I136" s="91"/>
      <c r="J136" s="91"/>
      <c r="K136" s="93"/>
      <c r="L136" s="82"/>
      <c r="M136" s="82"/>
      <c r="N136" s="75"/>
      <c r="O136" s="92"/>
      <c r="P136" s="92"/>
      <c r="Q136" s="92"/>
      <c r="R136" s="76"/>
      <c r="S136" s="77"/>
      <c r="T136" s="78"/>
      <c r="U136" s="98"/>
      <c r="V136" s="7"/>
      <c r="W136" s="71"/>
      <c r="X136" s="72"/>
      <c r="Y136" s="71"/>
      <c r="Z136" s="235"/>
      <c r="AA136" s="237"/>
      <c r="AB136" s="214"/>
      <c r="AC136" s="218"/>
      <c r="AD136" s="218"/>
      <c r="AE136" s="221"/>
    </row>
    <row r="137" spans="1:31">
      <c r="A137" s="226"/>
      <c r="B137" s="226"/>
      <c r="C137" s="229"/>
      <c r="D137" s="232"/>
      <c r="E137" s="229"/>
      <c r="F137" s="229"/>
      <c r="G137" s="229"/>
      <c r="H137" s="91"/>
      <c r="I137" s="91"/>
      <c r="J137" s="91"/>
      <c r="K137" s="93"/>
      <c r="L137" s="82"/>
      <c r="M137" s="82"/>
      <c r="N137" s="75"/>
      <c r="O137" s="92"/>
      <c r="P137" s="92"/>
      <c r="Q137" s="92"/>
      <c r="R137" s="76"/>
      <c r="S137" s="77"/>
      <c r="T137" s="78"/>
      <c r="U137" s="13"/>
      <c r="V137" s="96"/>
      <c r="W137" s="71"/>
      <c r="X137" s="72"/>
      <c r="Y137" s="71"/>
      <c r="Z137" s="235"/>
      <c r="AA137" s="237"/>
      <c r="AB137" s="214"/>
      <c r="AC137" s="218"/>
      <c r="AD137" s="218"/>
      <c r="AE137" s="221"/>
    </row>
    <row r="138" spans="1:31">
      <c r="A138" s="226"/>
      <c r="B138" s="226"/>
      <c r="C138" s="229"/>
      <c r="D138" s="232"/>
      <c r="E138" s="229"/>
      <c r="F138" s="229"/>
      <c r="G138" s="229"/>
      <c r="H138" s="91"/>
      <c r="I138" s="91"/>
      <c r="J138" s="91"/>
      <c r="K138" s="93"/>
      <c r="L138" s="82"/>
      <c r="M138" s="82"/>
      <c r="N138" s="75"/>
      <c r="O138" s="92"/>
      <c r="P138" s="92"/>
      <c r="Q138" s="92"/>
      <c r="R138" s="76"/>
      <c r="S138" s="77"/>
      <c r="T138" s="78"/>
      <c r="U138" s="69"/>
      <c r="V138" s="73"/>
      <c r="W138" s="74"/>
      <c r="X138" s="72"/>
      <c r="Y138" s="71"/>
      <c r="Z138" s="235"/>
      <c r="AA138" s="237"/>
      <c r="AB138" s="214"/>
      <c r="AC138" s="218"/>
      <c r="AD138" s="218"/>
      <c r="AE138" s="221"/>
    </row>
    <row r="139" spans="1:31">
      <c r="A139" s="227"/>
      <c r="B139" s="227"/>
      <c r="C139" s="230"/>
      <c r="D139" s="233"/>
      <c r="E139" s="230"/>
      <c r="F139" s="230"/>
      <c r="G139" s="230"/>
      <c r="H139" s="223" t="s">
        <v>150</v>
      </c>
      <c r="I139" s="223"/>
      <c r="J139" s="223"/>
      <c r="K139" s="223"/>
      <c r="L139" s="223"/>
      <c r="M139" s="223"/>
      <c r="N139" s="223"/>
      <c r="O139" s="223"/>
      <c r="P139" s="223"/>
      <c r="Q139" s="223"/>
      <c r="R139" s="223"/>
      <c r="S139" s="223"/>
      <c r="T139" s="80">
        <f>SUM(T133:T138)</f>
        <v>3.6428750000000003E-2</v>
      </c>
      <c r="U139" s="224" t="s">
        <v>151</v>
      </c>
      <c r="V139" s="224"/>
      <c r="W139" s="224"/>
      <c r="X139" s="224"/>
      <c r="Y139" s="81">
        <f>SUM(Y133:Y138)</f>
        <v>0.05</v>
      </c>
      <c r="Z139" s="235"/>
      <c r="AA139" s="238"/>
      <c r="AB139" s="215"/>
      <c r="AC139" s="218"/>
      <c r="AD139" s="219"/>
      <c r="AE139" s="222"/>
    </row>
    <row r="140" spans="1:31" ht="27" customHeight="1">
      <c r="A140" s="225"/>
      <c r="B140" s="225"/>
      <c r="C140" s="228">
        <v>44456</v>
      </c>
      <c r="D140" s="231"/>
      <c r="E140" s="234" t="s">
        <v>73</v>
      </c>
      <c r="F140" s="234" t="s">
        <v>74</v>
      </c>
      <c r="G140" s="234"/>
      <c r="H140" s="91" t="s">
        <v>74</v>
      </c>
      <c r="I140" s="91" t="s">
        <v>73</v>
      </c>
      <c r="J140" s="91" t="s">
        <v>174</v>
      </c>
      <c r="K140" s="93">
        <v>1</v>
      </c>
      <c r="L140" s="95"/>
      <c r="M140" s="95"/>
      <c r="N140" s="95">
        <v>3</v>
      </c>
      <c r="O140" s="92">
        <v>6.7</v>
      </c>
      <c r="P140" s="92">
        <v>3.4</v>
      </c>
      <c r="Q140" s="92">
        <f>R140/0.7</f>
        <v>0.11857142857142859</v>
      </c>
      <c r="R140" s="76">
        <v>8.3000000000000004E-2</v>
      </c>
      <c r="S140" s="77">
        <f>Q140-R140</f>
        <v>3.5571428571428587E-2</v>
      </c>
      <c r="T140" s="78">
        <f>K140*(Q140*O140-P140*S140)</f>
        <v>0.67348571428571435</v>
      </c>
      <c r="U140" s="13" t="s">
        <v>20</v>
      </c>
      <c r="V140" s="7" t="s">
        <v>155</v>
      </c>
      <c r="W140" s="71">
        <v>0.05</v>
      </c>
      <c r="X140" s="72">
        <v>1</v>
      </c>
      <c r="Y140" s="71">
        <f>W140/X140</f>
        <v>0.05</v>
      </c>
      <c r="Z140" s="235">
        <v>1.2</v>
      </c>
      <c r="AA140" s="236">
        <f>(T146+Y146)*Z140</f>
        <v>0.98818285714285725</v>
      </c>
      <c r="AB140" s="213">
        <f>AA140/1.13</f>
        <v>0.87449810366624547</v>
      </c>
      <c r="AC140" s="217">
        <f>3500/1.13</f>
        <v>3097.3451327433631</v>
      </c>
      <c r="AD140" s="217">
        <v>100000</v>
      </c>
      <c r="AE140" s="220">
        <f>AB140+AC140/AD140</f>
        <v>0.90547155499367915</v>
      </c>
    </row>
    <row r="141" spans="1:31">
      <c r="A141" s="226"/>
      <c r="B141" s="226"/>
      <c r="C141" s="229"/>
      <c r="D141" s="232"/>
      <c r="E141" s="229"/>
      <c r="F141" s="229"/>
      <c r="G141" s="229"/>
      <c r="H141" s="91"/>
      <c r="I141" s="91"/>
      <c r="J141" s="91"/>
      <c r="K141" s="93"/>
      <c r="L141" s="82"/>
      <c r="M141" s="82"/>
      <c r="N141" s="75"/>
      <c r="O141" s="97"/>
      <c r="P141" s="92"/>
      <c r="Q141" s="92"/>
      <c r="R141" s="76"/>
      <c r="S141" s="77"/>
      <c r="T141" s="97"/>
      <c r="U141" s="13" t="s">
        <v>35</v>
      </c>
      <c r="V141" s="7" t="s">
        <v>155</v>
      </c>
      <c r="W141" s="71">
        <v>0.05</v>
      </c>
      <c r="X141" s="72">
        <v>1</v>
      </c>
      <c r="Y141" s="71">
        <f>W141/X141</f>
        <v>0.05</v>
      </c>
      <c r="Z141" s="235"/>
      <c r="AA141" s="237"/>
      <c r="AB141" s="214"/>
      <c r="AC141" s="218"/>
      <c r="AD141" s="218"/>
      <c r="AE141" s="221"/>
    </row>
    <row r="142" spans="1:31">
      <c r="A142" s="226"/>
      <c r="B142" s="226"/>
      <c r="C142" s="229"/>
      <c r="D142" s="232"/>
      <c r="E142" s="229"/>
      <c r="F142" s="229"/>
      <c r="G142" s="229"/>
      <c r="H142" s="91"/>
      <c r="I142" s="94"/>
      <c r="J142" s="91"/>
      <c r="K142" s="93"/>
      <c r="L142" s="82"/>
      <c r="M142" s="82"/>
      <c r="N142" s="75"/>
      <c r="O142" s="92"/>
      <c r="P142" s="92"/>
      <c r="Q142" s="92"/>
      <c r="R142" s="76"/>
      <c r="S142" s="77"/>
      <c r="T142" s="78"/>
      <c r="U142" s="13" t="s">
        <v>24</v>
      </c>
      <c r="V142" s="7" t="s">
        <v>155</v>
      </c>
      <c r="W142" s="71">
        <v>0.05</v>
      </c>
      <c r="X142" s="72">
        <v>1</v>
      </c>
      <c r="Y142" s="71">
        <f>W142/X142</f>
        <v>0.05</v>
      </c>
      <c r="Z142" s="235"/>
      <c r="AA142" s="237"/>
      <c r="AB142" s="214"/>
      <c r="AC142" s="218"/>
      <c r="AD142" s="218"/>
      <c r="AE142" s="221"/>
    </row>
    <row r="143" spans="1:31">
      <c r="A143" s="226"/>
      <c r="B143" s="226"/>
      <c r="C143" s="229"/>
      <c r="D143" s="232"/>
      <c r="E143" s="229"/>
      <c r="F143" s="229"/>
      <c r="G143" s="229"/>
      <c r="H143" s="91"/>
      <c r="I143" s="91"/>
      <c r="J143" s="91"/>
      <c r="K143" s="93"/>
      <c r="L143" s="82"/>
      <c r="M143" s="82"/>
      <c r="N143" s="75"/>
      <c r="O143" s="92"/>
      <c r="P143" s="92"/>
      <c r="Q143" s="92"/>
      <c r="R143" s="76"/>
      <c r="S143" s="77"/>
      <c r="T143" s="78"/>
      <c r="U143" s="98"/>
      <c r="V143" s="7"/>
      <c r="W143" s="71"/>
      <c r="X143" s="72"/>
      <c r="Y143" s="71"/>
      <c r="Z143" s="235"/>
      <c r="AA143" s="237"/>
      <c r="AB143" s="214"/>
      <c r="AC143" s="218"/>
      <c r="AD143" s="218"/>
      <c r="AE143" s="221"/>
    </row>
    <row r="144" spans="1:31">
      <c r="A144" s="226"/>
      <c r="B144" s="226"/>
      <c r="C144" s="229"/>
      <c r="D144" s="232"/>
      <c r="E144" s="229"/>
      <c r="F144" s="229"/>
      <c r="G144" s="229"/>
      <c r="H144" s="91"/>
      <c r="I144" s="91"/>
      <c r="J144" s="91"/>
      <c r="K144" s="93"/>
      <c r="L144" s="82"/>
      <c r="M144" s="82"/>
      <c r="N144" s="75"/>
      <c r="O144" s="92"/>
      <c r="P144" s="92"/>
      <c r="Q144" s="92"/>
      <c r="R144" s="76"/>
      <c r="S144" s="77"/>
      <c r="T144" s="78"/>
      <c r="U144" s="13"/>
      <c r="V144" s="96"/>
      <c r="W144" s="71"/>
      <c r="X144" s="72"/>
      <c r="Y144" s="71"/>
      <c r="Z144" s="235"/>
      <c r="AA144" s="237"/>
      <c r="AB144" s="214"/>
      <c r="AC144" s="218"/>
      <c r="AD144" s="218"/>
      <c r="AE144" s="221"/>
    </row>
    <row r="145" spans="1:31">
      <c r="A145" s="226"/>
      <c r="B145" s="226"/>
      <c r="C145" s="229"/>
      <c r="D145" s="232"/>
      <c r="E145" s="229"/>
      <c r="F145" s="229"/>
      <c r="G145" s="229"/>
      <c r="H145" s="91"/>
      <c r="I145" s="91"/>
      <c r="J145" s="91"/>
      <c r="K145" s="93"/>
      <c r="L145" s="82"/>
      <c r="M145" s="82"/>
      <c r="N145" s="75"/>
      <c r="O145" s="92"/>
      <c r="P145" s="92"/>
      <c r="Q145" s="92"/>
      <c r="R145" s="76"/>
      <c r="S145" s="77"/>
      <c r="T145" s="78"/>
      <c r="U145" s="69"/>
      <c r="V145" s="73"/>
      <c r="W145" s="74"/>
      <c r="X145" s="72"/>
      <c r="Y145" s="71"/>
      <c r="Z145" s="235"/>
      <c r="AA145" s="237"/>
      <c r="AB145" s="214"/>
      <c r="AC145" s="218"/>
      <c r="AD145" s="218"/>
      <c r="AE145" s="221"/>
    </row>
    <row r="146" spans="1:31">
      <c r="A146" s="227"/>
      <c r="B146" s="227"/>
      <c r="C146" s="230"/>
      <c r="D146" s="233"/>
      <c r="E146" s="230"/>
      <c r="F146" s="230"/>
      <c r="G146" s="230"/>
      <c r="H146" s="223" t="s">
        <v>150</v>
      </c>
      <c r="I146" s="223"/>
      <c r="J146" s="223"/>
      <c r="K146" s="223"/>
      <c r="L146" s="223"/>
      <c r="M146" s="223"/>
      <c r="N146" s="223"/>
      <c r="O146" s="223"/>
      <c r="P146" s="223"/>
      <c r="Q146" s="223"/>
      <c r="R146" s="223"/>
      <c r="S146" s="223"/>
      <c r="T146" s="80">
        <f>SUM(T140:T145)</f>
        <v>0.67348571428571435</v>
      </c>
      <c r="U146" s="224" t="s">
        <v>151</v>
      </c>
      <c r="V146" s="224"/>
      <c r="W146" s="224"/>
      <c r="X146" s="224"/>
      <c r="Y146" s="81">
        <f>SUM(Y140:Y145)</f>
        <v>0.15000000000000002</v>
      </c>
      <c r="Z146" s="235"/>
      <c r="AA146" s="238"/>
      <c r="AB146" s="215"/>
      <c r="AC146" s="218"/>
      <c r="AD146" s="219"/>
      <c r="AE146" s="222"/>
    </row>
    <row r="147" spans="1:31" ht="27" customHeight="1">
      <c r="A147" s="225"/>
      <c r="B147" s="225"/>
      <c r="C147" s="228">
        <v>44456</v>
      </c>
      <c r="D147" s="231"/>
      <c r="E147" s="234" t="s">
        <v>75</v>
      </c>
      <c r="F147" s="234" t="s">
        <v>76</v>
      </c>
      <c r="G147" s="234"/>
      <c r="H147" s="91" t="s">
        <v>76</v>
      </c>
      <c r="I147" s="91" t="s">
        <v>75</v>
      </c>
      <c r="J147" s="91" t="s">
        <v>174</v>
      </c>
      <c r="K147" s="93">
        <v>1</v>
      </c>
      <c r="L147" s="95"/>
      <c r="M147" s="95"/>
      <c r="N147" s="95">
        <v>3</v>
      </c>
      <c r="O147" s="92">
        <v>6.7</v>
      </c>
      <c r="P147" s="92">
        <v>3.4</v>
      </c>
      <c r="Q147" s="92">
        <f>R147/0.7</f>
        <v>6.5714285714285711E-2</v>
      </c>
      <c r="R147" s="76">
        <v>4.5999999999999999E-2</v>
      </c>
      <c r="S147" s="77">
        <f>Q147-R147</f>
        <v>1.9714285714285712E-2</v>
      </c>
      <c r="T147" s="78">
        <f>K147*(Q147*O147-P147*S147)</f>
        <v>0.37325714285714284</v>
      </c>
      <c r="U147" s="13" t="s">
        <v>39</v>
      </c>
      <c r="V147" s="7" t="s">
        <v>155</v>
      </c>
      <c r="W147" s="71">
        <v>0.05</v>
      </c>
      <c r="X147" s="72">
        <v>1</v>
      </c>
      <c r="Y147" s="71">
        <f>W147/X147</f>
        <v>0.05</v>
      </c>
      <c r="Z147" s="235">
        <v>1.2</v>
      </c>
      <c r="AA147" s="236">
        <f>(T153+Y153)*Z147</f>
        <v>0.56790857142857132</v>
      </c>
      <c r="AB147" s="213">
        <f>AA147/1.13</f>
        <v>0.50257395701643481</v>
      </c>
      <c r="AC147" s="217">
        <f>3500/1.13</f>
        <v>3097.3451327433631</v>
      </c>
      <c r="AD147" s="217">
        <v>100000</v>
      </c>
      <c r="AE147" s="220">
        <f>AB147+AC147/AD147</f>
        <v>0.53354740834386849</v>
      </c>
    </row>
    <row r="148" spans="1:31">
      <c r="A148" s="226"/>
      <c r="B148" s="226"/>
      <c r="C148" s="229"/>
      <c r="D148" s="232"/>
      <c r="E148" s="229"/>
      <c r="F148" s="229"/>
      <c r="G148" s="229"/>
      <c r="H148" s="91"/>
      <c r="I148" s="91"/>
      <c r="J148" s="91"/>
      <c r="K148" s="93"/>
      <c r="L148" s="82"/>
      <c r="M148" s="82"/>
      <c r="N148" s="75"/>
      <c r="O148" s="97"/>
      <c r="P148" s="92"/>
      <c r="Q148" s="92"/>
      <c r="R148" s="76"/>
      <c r="S148" s="77"/>
      <c r="T148" s="97"/>
      <c r="U148" s="13" t="s">
        <v>35</v>
      </c>
      <c r="V148" s="7" t="s">
        <v>155</v>
      </c>
      <c r="W148" s="71">
        <v>0.05</v>
      </c>
      <c r="X148" s="72">
        <v>1</v>
      </c>
      <c r="Y148" s="71">
        <f>W148/X148</f>
        <v>0.05</v>
      </c>
      <c r="Z148" s="235"/>
      <c r="AA148" s="237"/>
      <c r="AB148" s="214"/>
      <c r="AC148" s="218"/>
      <c r="AD148" s="218"/>
      <c r="AE148" s="221"/>
    </row>
    <row r="149" spans="1:31">
      <c r="A149" s="226"/>
      <c r="B149" s="226"/>
      <c r="C149" s="229"/>
      <c r="D149" s="232"/>
      <c r="E149" s="229"/>
      <c r="F149" s="229"/>
      <c r="G149" s="229"/>
      <c r="H149" s="91"/>
      <c r="I149" s="94"/>
      <c r="J149" s="91"/>
      <c r="K149" s="93"/>
      <c r="L149" s="82"/>
      <c r="M149" s="82"/>
      <c r="N149" s="75"/>
      <c r="O149" s="92"/>
      <c r="P149" s="92"/>
      <c r="Q149" s="92"/>
      <c r="R149" s="76"/>
      <c r="S149" s="77"/>
      <c r="T149" s="78"/>
      <c r="U149" s="13"/>
      <c r="V149" s="7"/>
      <c r="W149" s="71"/>
      <c r="X149" s="72"/>
      <c r="Y149" s="71"/>
      <c r="Z149" s="235"/>
      <c r="AA149" s="237"/>
      <c r="AB149" s="214"/>
      <c r="AC149" s="218"/>
      <c r="AD149" s="218"/>
      <c r="AE149" s="221"/>
    </row>
    <row r="150" spans="1:31">
      <c r="A150" s="226"/>
      <c r="B150" s="226"/>
      <c r="C150" s="229"/>
      <c r="D150" s="232"/>
      <c r="E150" s="229"/>
      <c r="F150" s="229"/>
      <c r="G150" s="229"/>
      <c r="H150" s="91"/>
      <c r="I150" s="91"/>
      <c r="J150" s="91"/>
      <c r="K150" s="93"/>
      <c r="L150" s="82"/>
      <c r="M150" s="82"/>
      <c r="N150" s="75"/>
      <c r="O150" s="92"/>
      <c r="P150" s="92"/>
      <c r="Q150" s="92"/>
      <c r="R150" s="76"/>
      <c r="S150" s="77"/>
      <c r="T150" s="78"/>
      <c r="U150" s="98"/>
      <c r="V150" s="7"/>
      <c r="W150" s="71"/>
      <c r="X150" s="72"/>
      <c r="Y150" s="71"/>
      <c r="Z150" s="235"/>
      <c r="AA150" s="237"/>
      <c r="AB150" s="214"/>
      <c r="AC150" s="218"/>
      <c r="AD150" s="218"/>
      <c r="AE150" s="221"/>
    </row>
    <row r="151" spans="1:31">
      <c r="A151" s="226"/>
      <c r="B151" s="226"/>
      <c r="C151" s="229"/>
      <c r="D151" s="232"/>
      <c r="E151" s="229"/>
      <c r="F151" s="229"/>
      <c r="G151" s="229"/>
      <c r="H151" s="91"/>
      <c r="I151" s="91"/>
      <c r="J151" s="91"/>
      <c r="K151" s="93"/>
      <c r="L151" s="82"/>
      <c r="M151" s="82"/>
      <c r="N151" s="75"/>
      <c r="O151" s="92"/>
      <c r="P151" s="92"/>
      <c r="Q151" s="92"/>
      <c r="R151" s="76"/>
      <c r="S151" s="77"/>
      <c r="T151" s="78"/>
      <c r="U151" s="13"/>
      <c r="V151" s="96"/>
      <c r="W151" s="71"/>
      <c r="X151" s="72"/>
      <c r="Y151" s="71"/>
      <c r="Z151" s="235"/>
      <c r="AA151" s="237"/>
      <c r="AB151" s="214"/>
      <c r="AC151" s="218"/>
      <c r="AD151" s="218"/>
      <c r="AE151" s="221"/>
    </row>
    <row r="152" spans="1:31">
      <c r="A152" s="226"/>
      <c r="B152" s="226"/>
      <c r="C152" s="229"/>
      <c r="D152" s="232"/>
      <c r="E152" s="229"/>
      <c r="F152" s="229"/>
      <c r="G152" s="229"/>
      <c r="H152" s="91"/>
      <c r="I152" s="91"/>
      <c r="J152" s="91"/>
      <c r="K152" s="93"/>
      <c r="L152" s="82"/>
      <c r="M152" s="82"/>
      <c r="N152" s="75"/>
      <c r="O152" s="92"/>
      <c r="P152" s="92"/>
      <c r="Q152" s="92"/>
      <c r="R152" s="76"/>
      <c r="S152" s="77"/>
      <c r="T152" s="78"/>
      <c r="U152" s="69"/>
      <c r="V152" s="73"/>
      <c r="W152" s="74"/>
      <c r="X152" s="72"/>
      <c r="Y152" s="71"/>
      <c r="Z152" s="235"/>
      <c r="AA152" s="237"/>
      <c r="AB152" s="214"/>
      <c r="AC152" s="218"/>
      <c r="AD152" s="218"/>
      <c r="AE152" s="221"/>
    </row>
    <row r="153" spans="1:31">
      <c r="A153" s="227"/>
      <c r="B153" s="227"/>
      <c r="C153" s="230"/>
      <c r="D153" s="233"/>
      <c r="E153" s="230"/>
      <c r="F153" s="230"/>
      <c r="G153" s="230"/>
      <c r="H153" s="223" t="s">
        <v>150</v>
      </c>
      <c r="I153" s="223"/>
      <c r="J153" s="223"/>
      <c r="K153" s="223"/>
      <c r="L153" s="223"/>
      <c r="M153" s="223"/>
      <c r="N153" s="223"/>
      <c r="O153" s="223"/>
      <c r="P153" s="223"/>
      <c r="Q153" s="223"/>
      <c r="R153" s="223"/>
      <c r="S153" s="223"/>
      <c r="T153" s="80">
        <f>SUM(T147:T152)</f>
        <v>0.37325714285714284</v>
      </c>
      <c r="U153" s="224" t="s">
        <v>151</v>
      </c>
      <c r="V153" s="224"/>
      <c r="W153" s="224"/>
      <c r="X153" s="224"/>
      <c r="Y153" s="81">
        <f>SUM(Y147:Y152)</f>
        <v>0.1</v>
      </c>
      <c r="Z153" s="235"/>
      <c r="AA153" s="238"/>
      <c r="AB153" s="215"/>
      <c r="AC153" s="218"/>
      <c r="AD153" s="219"/>
      <c r="AE153" s="222"/>
    </row>
    <row r="154" spans="1:31" ht="27" customHeight="1">
      <c r="A154" s="225"/>
      <c r="B154" s="225"/>
      <c r="C154" s="228">
        <v>44456</v>
      </c>
      <c r="D154" s="231"/>
      <c r="E154" s="234" t="s">
        <v>106</v>
      </c>
      <c r="F154" s="234" t="s">
        <v>107</v>
      </c>
      <c r="G154" s="234"/>
      <c r="H154" s="91" t="s">
        <v>107</v>
      </c>
      <c r="I154" s="91" t="s">
        <v>106</v>
      </c>
      <c r="J154" s="91" t="s">
        <v>161</v>
      </c>
      <c r="K154" s="93">
        <v>1</v>
      </c>
      <c r="L154" s="95">
        <v>86</v>
      </c>
      <c r="M154" s="95">
        <v>77</v>
      </c>
      <c r="N154" s="95">
        <v>3</v>
      </c>
      <c r="O154" s="92">
        <v>6.3</v>
      </c>
      <c r="P154" s="92">
        <v>3.4</v>
      </c>
      <c r="Q154" s="92">
        <f>L154*M154*N154*7.85/1000000</f>
        <v>0.15594810000000001</v>
      </c>
      <c r="R154" s="76">
        <v>9.8000000000000004E-2</v>
      </c>
      <c r="S154" s="77">
        <f>Q154-R154</f>
        <v>5.7948100000000002E-2</v>
      </c>
      <c r="T154" s="78">
        <f>K154*(Q154*O154-P154*S154)</f>
        <v>0.78544948999999997</v>
      </c>
      <c r="U154" s="13" t="s">
        <v>20</v>
      </c>
      <c r="V154" s="7" t="s">
        <v>155</v>
      </c>
      <c r="W154" s="71">
        <v>0.05</v>
      </c>
      <c r="X154" s="72">
        <v>1</v>
      </c>
      <c r="Y154" s="71">
        <f>W154/X154</f>
        <v>0.05</v>
      </c>
      <c r="Z154" s="235">
        <v>1.2</v>
      </c>
      <c r="AA154" s="236">
        <f>(T160+Y160)*Z154</f>
        <v>1.0625393879999998</v>
      </c>
      <c r="AB154" s="213">
        <f>AA154/1.13</f>
        <v>0.94030034336283175</v>
      </c>
      <c r="AC154" s="217">
        <f>24000/1.13</f>
        <v>21238.938053097347</v>
      </c>
      <c r="AD154" s="217">
        <v>100000</v>
      </c>
      <c r="AE154" s="220">
        <f>AB154+AC154/AD154</f>
        <v>1.1526897238938052</v>
      </c>
    </row>
    <row r="155" spans="1:31">
      <c r="A155" s="226"/>
      <c r="B155" s="226"/>
      <c r="C155" s="229"/>
      <c r="D155" s="232"/>
      <c r="E155" s="229"/>
      <c r="F155" s="229"/>
      <c r="G155" s="229"/>
      <c r="H155" s="91"/>
      <c r="I155" s="91"/>
      <c r="J155" s="91"/>
      <c r="K155" s="93"/>
      <c r="L155" s="82"/>
      <c r="M155" s="82"/>
      <c r="N155" s="75"/>
      <c r="O155" s="97"/>
      <c r="P155" s="92"/>
      <c r="Q155" s="92"/>
      <c r="R155" s="76"/>
      <c r="S155" s="77"/>
      <c r="T155" s="97"/>
      <c r="U155" s="13" t="s">
        <v>35</v>
      </c>
      <c r="V155" s="7" t="s">
        <v>155</v>
      </c>
      <c r="W155" s="71">
        <v>0.05</v>
      </c>
      <c r="X155" s="72">
        <v>1</v>
      </c>
      <c r="Y155" s="71">
        <f>W155/X155</f>
        <v>0.05</v>
      </c>
      <c r="Z155" s="235"/>
      <c r="AA155" s="237"/>
      <c r="AB155" s="214"/>
      <c r="AC155" s="218"/>
      <c r="AD155" s="218"/>
      <c r="AE155" s="221"/>
    </row>
    <row r="156" spans="1:31">
      <c r="A156" s="226"/>
      <c r="B156" s="226"/>
      <c r="C156" s="229"/>
      <c r="D156" s="232"/>
      <c r="E156" s="229"/>
      <c r="F156" s="229"/>
      <c r="G156" s="229"/>
      <c r="H156" s="91"/>
      <c r="I156" s="94"/>
      <c r="J156" s="91"/>
      <c r="K156" s="93"/>
      <c r="L156" s="82"/>
      <c r="M156" s="82"/>
      <c r="N156" s="75"/>
      <c r="O156" s="92"/>
      <c r="P156" s="92"/>
      <c r="Q156" s="92"/>
      <c r="R156" s="76"/>
      <c r="S156" s="77"/>
      <c r="T156" s="78"/>
      <c r="U156" s="13"/>
      <c r="V156" s="7"/>
      <c r="W156" s="71"/>
      <c r="X156" s="72"/>
      <c r="Y156" s="71"/>
      <c r="Z156" s="235"/>
      <c r="AA156" s="237"/>
      <c r="AB156" s="214"/>
      <c r="AC156" s="218"/>
      <c r="AD156" s="218"/>
      <c r="AE156" s="221"/>
    </row>
    <row r="157" spans="1:31">
      <c r="A157" s="226"/>
      <c r="B157" s="226"/>
      <c r="C157" s="229"/>
      <c r="D157" s="232"/>
      <c r="E157" s="229"/>
      <c r="F157" s="229"/>
      <c r="G157" s="229"/>
      <c r="H157" s="91"/>
      <c r="I157" s="91"/>
      <c r="J157" s="91"/>
      <c r="K157" s="93"/>
      <c r="L157" s="82"/>
      <c r="M157" s="82"/>
      <c r="N157" s="75"/>
      <c r="O157" s="92"/>
      <c r="P157" s="92"/>
      <c r="Q157" s="92"/>
      <c r="R157" s="76"/>
      <c r="S157" s="77"/>
      <c r="T157" s="78"/>
      <c r="U157" s="98"/>
      <c r="V157" s="7"/>
      <c r="W157" s="71"/>
      <c r="X157" s="72"/>
      <c r="Y157" s="71"/>
      <c r="Z157" s="235"/>
      <c r="AA157" s="237"/>
      <c r="AB157" s="214"/>
      <c r="AC157" s="218"/>
      <c r="AD157" s="218"/>
      <c r="AE157" s="221"/>
    </row>
    <row r="158" spans="1:31">
      <c r="A158" s="226"/>
      <c r="B158" s="226"/>
      <c r="C158" s="229"/>
      <c r="D158" s="232"/>
      <c r="E158" s="229"/>
      <c r="F158" s="229"/>
      <c r="G158" s="229"/>
      <c r="H158" s="91"/>
      <c r="I158" s="91"/>
      <c r="J158" s="91"/>
      <c r="K158" s="93"/>
      <c r="L158" s="82"/>
      <c r="M158" s="82"/>
      <c r="N158" s="75"/>
      <c r="O158" s="92"/>
      <c r="P158" s="92"/>
      <c r="Q158" s="92"/>
      <c r="R158" s="76"/>
      <c r="S158" s="77"/>
      <c r="T158" s="78"/>
      <c r="U158" s="13"/>
      <c r="V158" s="96"/>
      <c r="W158" s="71"/>
      <c r="X158" s="72"/>
      <c r="Y158" s="71"/>
      <c r="Z158" s="235"/>
      <c r="AA158" s="237"/>
      <c r="AB158" s="214"/>
      <c r="AC158" s="218"/>
      <c r="AD158" s="218"/>
      <c r="AE158" s="221"/>
    </row>
    <row r="159" spans="1:31">
      <c r="A159" s="226"/>
      <c r="B159" s="226"/>
      <c r="C159" s="229"/>
      <c r="D159" s="232"/>
      <c r="E159" s="229"/>
      <c r="F159" s="229"/>
      <c r="G159" s="229"/>
      <c r="H159" s="91"/>
      <c r="I159" s="91"/>
      <c r="J159" s="91"/>
      <c r="K159" s="93"/>
      <c r="L159" s="82"/>
      <c r="M159" s="82"/>
      <c r="N159" s="75"/>
      <c r="O159" s="92"/>
      <c r="P159" s="92"/>
      <c r="Q159" s="92"/>
      <c r="R159" s="76"/>
      <c r="S159" s="77"/>
      <c r="T159" s="78"/>
      <c r="U159" s="69"/>
      <c r="V159" s="73"/>
      <c r="W159" s="74"/>
      <c r="X159" s="72"/>
      <c r="Y159" s="71"/>
      <c r="Z159" s="235"/>
      <c r="AA159" s="237"/>
      <c r="AB159" s="214"/>
      <c r="AC159" s="218"/>
      <c r="AD159" s="218"/>
      <c r="AE159" s="221"/>
    </row>
    <row r="160" spans="1:31">
      <c r="A160" s="227"/>
      <c r="B160" s="227"/>
      <c r="C160" s="230"/>
      <c r="D160" s="233"/>
      <c r="E160" s="230"/>
      <c r="F160" s="230"/>
      <c r="G160" s="230"/>
      <c r="H160" s="223" t="s">
        <v>150</v>
      </c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80">
        <f>SUM(T154:T159)</f>
        <v>0.78544948999999997</v>
      </c>
      <c r="U160" s="224" t="s">
        <v>151</v>
      </c>
      <c r="V160" s="224"/>
      <c r="W160" s="224"/>
      <c r="X160" s="224"/>
      <c r="Y160" s="81">
        <f>SUM(Y154:Y159)</f>
        <v>0.1</v>
      </c>
      <c r="Z160" s="235"/>
      <c r="AA160" s="238"/>
      <c r="AB160" s="215"/>
      <c r="AC160" s="218"/>
      <c r="AD160" s="219"/>
      <c r="AE160" s="222"/>
    </row>
    <row r="161" spans="1:31" ht="27" customHeight="1">
      <c r="A161" s="225"/>
      <c r="B161" s="225"/>
      <c r="C161" s="228">
        <v>44456</v>
      </c>
      <c r="D161" s="231"/>
      <c r="E161" s="234" t="s">
        <v>114</v>
      </c>
      <c r="F161" s="234" t="s">
        <v>118</v>
      </c>
      <c r="G161" s="234"/>
      <c r="H161" s="91" t="s">
        <v>96</v>
      </c>
      <c r="I161" s="91" t="s">
        <v>95</v>
      </c>
      <c r="J161" s="141" t="s">
        <v>174</v>
      </c>
      <c r="K161" s="93">
        <v>1</v>
      </c>
      <c r="L161" s="95">
        <v>352</v>
      </c>
      <c r="M161" s="95">
        <v>47</v>
      </c>
      <c r="N161" s="99">
        <v>6</v>
      </c>
      <c r="O161" s="142">
        <v>7.89</v>
      </c>
      <c r="P161" s="92">
        <v>3.4</v>
      </c>
      <c r="Q161" s="92">
        <f>L161*M161*N161*7.85/1000000</f>
        <v>0.77922239999999987</v>
      </c>
      <c r="R161" s="76">
        <v>0.498</v>
      </c>
      <c r="S161" s="77">
        <f>Q161-R161</f>
        <v>0.28122239999999987</v>
      </c>
      <c r="T161" s="78">
        <f>K161*(Q161*O161-P161*S161)</f>
        <v>5.1919085759999986</v>
      </c>
      <c r="U161" s="13" t="s">
        <v>20</v>
      </c>
      <c r="V161" s="7" t="s">
        <v>155</v>
      </c>
      <c r="W161" s="71">
        <v>0.05</v>
      </c>
      <c r="X161" s="72">
        <v>1</v>
      </c>
      <c r="Y161" s="71">
        <f>W161/X161</f>
        <v>0.05</v>
      </c>
      <c r="Z161" s="235">
        <v>1.2</v>
      </c>
      <c r="AA161" s="236">
        <f>(T167+Y167)*Z161</f>
        <v>13.678604137353844</v>
      </c>
      <c r="AB161" s="213">
        <f>AA161/1.13</f>
        <v>12.104959413587473</v>
      </c>
      <c r="AC161" s="217">
        <f>45000/1.13</f>
        <v>39823.008849557526</v>
      </c>
      <c r="AD161" s="217">
        <v>100000</v>
      </c>
      <c r="AE161" s="220">
        <f>AB161+AC161/AD161</f>
        <v>12.503189502083048</v>
      </c>
    </row>
    <row r="162" spans="1:31">
      <c r="A162" s="226"/>
      <c r="B162" s="226"/>
      <c r="C162" s="229"/>
      <c r="D162" s="232"/>
      <c r="E162" s="229"/>
      <c r="F162" s="229"/>
      <c r="G162" s="229"/>
      <c r="H162" s="101" t="s">
        <v>193</v>
      </c>
      <c r="I162" s="100" t="s">
        <v>233</v>
      </c>
      <c r="J162" s="101"/>
      <c r="K162" s="93">
        <v>1</v>
      </c>
      <c r="L162" s="82"/>
      <c r="M162" s="82"/>
      <c r="N162" s="75"/>
      <c r="O162" s="97">
        <v>0.6</v>
      </c>
      <c r="P162" s="92"/>
      <c r="Q162" s="92"/>
      <c r="R162" s="76"/>
      <c r="S162" s="77"/>
      <c r="T162" s="259">
        <v>5.6</v>
      </c>
      <c r="U162" s="13" t="s">
        <v>35</v>
      </c>
      <c r="V162" s="7" t="s">
        <v>155</v>
      </c>
      <c r="W162" s="71">
        <v>0.05</v>
      </c>
      <c r="X162" s="72">
        <v>1</v>
      </c>
      <c r="Y162" s="71">
        <f>W162/X162</f>
        <v>0.05</v>
      </c>
      <c r="Z162" s="235"/>
      <c r="AA162" s="237"/>
      <c r="AB162" s="214"/>
      <c r="AC162" s="218"/>
      <c r="AD162" s="218"/>
      <c r="AE162" s="221"/>
    </row>
    <row r="163" spans="1:31">
      <c r="A163" s="226"/>
      <c r="B163" s="226"/>
      <c r="C163" s="229"/>
      <c r="D163" s="232"/>
      <c r="E163" s="229"/>
      <c r="F163" s="229"/>
      <c r="G163" s="229"/>
      <c r="H163" s="102" t="s">
        <v>195</v>
      </c>
      <c r="I163" s="100" t="s">
        <v>194</v>
      </c>
      <c r="J163" s="102"/>
      <c r="K163" s="93">
        <v>1</v>
      </c>
      <c r="L163" s="82"/>
      <c r="M163" s="82"/>
      <c r="N163" s="75"/>
      <c r="O163" s="92">
        <v>1.33</v>
      </c>
      <c r="P163" s="92"/>
      <c r="Q163" s="92"/>
      <c r="R163" s="76"/>
      <c r="S163" s="77"/>
      <c r="T163" s="260"/>
      <c r="U163" s="13" t="s">
        <v>24</v>
      </c>
      <c r="V163" s="7" t="s">
        <v>155</v>
      </c>
      <c r="W163" s="71">
        <v>0.05</v>
      </c>
      <c r="X163" s="72">
        <v>1</v>
      </c>
      <c r="Y163" s="71">
        <f>W163/X163</f>
        <v>0.05</v>
      </c>
      <c r="Z163" s="235"/>
      <c r="AA163" s="237"/>
      <c r="AB163" s="214"/>
      <c r="AC163" s="218"/>
      <c r="AD163" s="218"/>
      <c r="AE163" s="221"/>
    </row>
    <row r="164" spans="1:31">
      <c r="A164" s="226"/>
      <c r="B164" s="226"/>
      <c r="C164" s="229"/>
      <c r="D164" s="232"/>
      <c r="E164" s="229"/>
      <c r="F164" s="229"/>
      <c r="G164" s="229"/>
      <c r="H164" s="91"/>
      <c r="I164" s="91"/>
      <c r="J164" s="91"/>
      <c r="K164" s="93"/>
      <c r="L164" s="82"/>
      <c r="M164" s="82"/>
      <c r="N164" s="75"/>
      <c r="O164" s="92"/>
      <c r="P164" s="92"/>
      <c r="Q164" s="92"/>
      <c r="R164" s="76"/>
      <c r="S164" s="77"/>
      <c r="T164" s="78"/>
      <c r="U164" s="98" t="s">
        <v>196</v>
      </c>
      <c r="V164" s="7"/>
      <c r="W164" s="71">
        <f>6000/26/8/3600*10</f>
        <v>8.0128205128205121E-2</v>
      </c>
      <c r="X164" s="72">
        <v>1</v>
      </c>
      <c r="Y164" s="71">
        <f>W164/X164</f>
        <v>8.0128205128205121E-2</v>
      </c>
      <c r="Z164" s="235"/>
      <c r="AA164" s="237"/>
      <c r="AB164" s="214"/>
      <c r="AC164" s="218"/>
      <c r="AD164" s="218"/>
      <c r="AE164" s="221"/>
    </row>
    <row r="165" spans="1:31">
      <c r="A165" s="226"/>
      <c r="B165" s="226"/>
      <c r="C165" s="229"/>
      <c r="D165" s="232"/>
      <c r="E165" s="229"/>
      <c r="F165" s="229"/>
      <c r="G165" s="229"/>
      <c r="H165" s="91"/>
      <c r="I165" s="91"/>
      <c r="J165" s="91"/>
      <c r="K165" s="93"/>
      <c r="L165" s="82"/>
      <c r="M165" s="82"/>
      <c r="N165" s="75"/>
      <c r="O165" s="92"/>
      <c r="P165" s="92"/>
      <c r="Q165" s="92"/>
      <c r="R165" s="76"/>
      <c r="S165" s="77"/>
      <c r="T165" s="78"/>
      <c r="U165" s="13" t="s">
        <v>159</v>
      </c>
      <c r="V165" s="96">
        <f>2.4*3.14</f>
        <v>7.5359999999999996</v>
      </c>
      <c r="W165" s="71">
        <v>0.05</v>
      </c>
      <c r="X165" s="72">
        <v>1</v>
      </c>
      <c r="Y165" s="71">
        <f>V165*W165/X165</f>
        <v>0.37680000000000002</v>
      </c>
      <c r="Z165" s="235"/>
      <c r="AA165" s="237"/>
      <c r="AB165" s="214"/>
      <c r="AC165" s="218"/>
      <c r="AD165" s="218"/>
      <c r="AE165" s="221"/>
    </row>
    <row r="166" spans="1:31">
      <c r="A166" s="226"/>
      <c r="B166" s="226"/>
      <c r="C166" s="229"/>
      <c r="D166" s="232"/>
      <c r="E166" s="229"/>
      <c r="F166" s="229"/>
      <c r="G166" s="229"/>
      <c r="H166" s="91"/>
      <c r="I166" s="91"/>
      <c r="J166" s="91"/>
      <c r="K166" s="93"/>
      <c r="L166" s="82"/>
      <c r="M166" s="82"/>
      <c r="N166" s="75"/>
      <c r="O166" s="92"/>
      <c r="P166" s="92"/>
      <c r="Q166" s="92"/>
      <c r="R166" s="76"/>
      <c r="S166" s="77"/>
      <c r="T166" s="78"/>
      <c r="U166" s="69"/>
      <c r="V166" s="73"/>
      <c r="W166" s="74"/>
      <c r="X166" s="72"/>
      <c r="Y166" s="71"/>
      <c r="Z166" s="235"/>
      <c r="AA166" s="237"/>
      <c r="AB166" s="214"/>
      <c r="AC166" s="218"/>
      <c r="AD166" s="218"/>
      <c r="AE166" s="221"/>
    </row>
    <row r="167" spans="1:31">
      <c r="A167" s="227"/>
      <c r="B167" s="227"/>
      <c r="C167" s="230"/>
      <c r="D167" s="233"/>
      <c r="E167" s="230"/>
      <c r="F167" s="230"/>
      <c r="G167" s="230"/>
      <c r="H167" s="223" t="s">
        <v>150</v>
      </c>
      <c r="I167" s="223"/>
      <c r="J167" s="223"/>
      <c r="K167" s="223"/>
      <c r="L167" s="223"/>
      <c r="M167" s="223"/>
      <c r="N167" s="223"/>
      <c r="O167" s="223"/>
      <c r="P167" s="223"/>
      <c r="Q167" s="223"/>
      <c r="R167" s="223"/>
      <c r="S167" s="223"/>
      <c r="T167" s="80">
        <f>SUM(T161:T166)</f>
        <v>10.791908575999997</v>
      </c>
      <c r="U167" s="224" t="s">
        <v>151</v>
      </c>
      <c r="V167" s="224"/>
      <c r="W167" s="224"/>
      <c r="X167" s="224"/>
      <c r="Y167" s="81">
        <f>SUM(Y161:Y166)</f>
        <v>0.60692820512820522</v>
      </c>
      <c r="Z167" s="235"/>
      <c r="AA167" s="238"/>
      <c r="AB167" s="215"/>
      <c r="AC167" s="218"/>
      <c r="AD167" s="219"/>
      <c r="AE167" s="222"/>
    </row>
    <row r="168" spans="1:31" ht="27" customHeight="1">
      <c r="A168" s="225"/>
      <c r="B168" s="225"/>
      <c r="C168" s="228">
        <v>44456</v>
      </c>
      <c r="D168" s="231"/>
      <c r="E168" s="234" t="s">
        <v>116</v>
      </c>
      <c r="F168" s="234" t="s">
        <v>117</v>
      </c>
      <c r="G168" s="234"/>
      <c r="H168" s="91" t="s">
        <v>98</v>
      </c>
      <c r="I168" s="91" t="s">
        <v>97</v>
      </c>
      <c r="J168" s="141" t="s">
        <v>174</v>
      </c>
      <c r="K168" s="93">
        <v>1</v>
      </c>
      <c r="L168" s="95">
        <v>334</v>
      </c>
      <c r="M168" s="95">
        <v>45</v>
      </c>
      <c r="N168" s="99">
        <v>6</v>
      </c>
      <c r="O168" s="142">
        <v>7.89</v>
      </c>
      <c r="P168" s="92">
        <v>3.4</v>
      </c>
      <c r="Q168" s="92">
        <f>L168*M168*N168*7.85/1000000</f>
        <v>0.70791300000000001</v>
      </c>
      <c r="R168" s="76">
        <v>0.498</v>
      </c>
      <c r="S168" s="77">
        <f>Q168-R168</f>
        <v>0.20991300000000002</v>
      </c>
      <c r="T168" s="78">
        <f>K168*(Q168*O168-P168*S168)</f>
        <v>4.8717293700000006</v>
      </c>
      <c r="U168" s="13" t="s">
        <v>20</v>
      </c>
      <c r="V168" s="7" t="s">
        <v>155</v>
      </c>
      <c r="W168" s="71">
        <v>0.05</v>
      </c>
      <c r="X168" s="72">
        <v>1</v>
      </c>
      <c r="Y168" s="71">
        <f>W168/X168</f>
        <v>0.05</v>
      </c>
      <c r="Z168" s="235">
        <v>1.2</v>
      </c>
      <c r="AA168" s="236">
        <f>(T174+Y174)*Z168</f>
        <v>8.6754416156814127</v>
      </c>
      <c r="AB168" s="213">
        <f>AA168/1.13</f>
        <v>7.6773819607800116</v>
      </c>
      <c r="AC168" s="217">
        <f>24000/1.13</f>
        <v>21238.938053097347</v>
      </c>
      <c r="AD168" s="217">
        <v>100000</v>
      </c>
      <c r="AE168" s="220">
        <f>AB168+AC168/AD168</f>
        <v>7.8897713413109853</v>
      </c>
    </row>
    <row r="169" spans="1:31">
      <c r="A169" s="226"/>
      <c r="B169" s="226"/>
      <c r="C169" s="229"/>
      <c r="D169" s="232"/>
      <c r="E169" s="229"/>
      <c r="F169" s="229"/>
      <c r="G169" s="229"/>
      <c r="H169" s="101" t="s">
        <v>198</v>
      </c>
      <c r="I169" s="100" t="s">
        <v>197</v>
      </c>
      <c r="J169" s="101"/>
      <c r="K169" s="93">
        <v>1</v>
      </c>
      <c r="L169" s="82"/>
      <c r="M169" s="82"/>
      <c r="N169" s="75"/>
      <c r="O169" s="97">
        <v>1.89380530973451</v>
      </c>
      <c r="P169" s="92"/>
      <c r="Q169" s="92"/>
      <c r="R169" s="76"/>
      <c r="S169" s="77"/>
      <c r="T169" s="97">
        <f>K169*O169</f>
        <v>1.89380530973451</v>
      </c>
      <c r="U169" s="13" t="s">
        <v>35</v>
      </c>
      <c r="V169" s="7" t="s">
        <v>155</v>
      </c>
      <c r="W169" s="71">
        <v>0.05</v>
      </c>
      <c r="X169" s="72">
        <v>1</v>
      </c>
      <c r="Y169" s="71">
        <f>W169/X169</f>
        <v>0.05</v>
      </c>
      <c r="Z169" s="235"/>
      <c r="AA169" s="237"/>
      <c r="AB169" s="214"/>
      <c r="AC169" s="218"/>
      <c r="AD169" s="218"/>
      <c r="AE169" s="221"/>
    </row>
    <row r="170" spans="1:31">
      <c r="A170" s="226"/>
      <c r="B170" s="226"/>
      <c r="C170" s="229"/>
      <c r="D170" s="232"/>
      <c r="E170" s="229"/>
      <c r="F170" s="229"/>
      <c r="G170" s="229"/>
      <c r="H170" s="102"/>
      <c r="I170" s="100"/>
      <c r="J170" s="102"/>
      <c r="K170" s="93"/>
      <c r="L170" s="82"/>
      <c r="M170" s="82"/>
      <c r="N170" s="75"/>
      <c r="O170" s="92"/>
      <c r="P170" s="92"/>
      <c r="Q170" s="92"/>
      <c r="R170" s="76"/>
      <c r="S170" s="77"/>
      <c r="T170" s="97"/>
      <c r="U170" s="13" t="s">
        <v>24</v>
      </c>
      <c r="V170" s="7" t="s">
        <v>155</v>
      </c>
      <c r="W170" s="71">
        <v>0.05</v>
      </c>
      <c r="X170" s="72">
        <v>1</v>
      </c>
      <c r="Y170" s="71">
        <f>W170/X170</f>
        <v>0.05</v>
      </c>
      <c r="Z170" s="235"/>
      <c r="AA170" s="237"/>
      <c r="AB170" s="214"/>
      <c r="AC170" s="218"/>
      <c r="AD170" s="218"/>
      <c r="AE170" s="221"/>
    </row>
    <row r="171" spans="1:31">
      <c r="A171" s="226"/>
      <c r="B171" s="226"/>
      <c r="C171" s="229"/>
      <c r="D171" s="232"/>
      <c r="E171" s="229"/>
      <c r="F171" s="229"/>
      <c r="G171" s="229"/>
      <c r="H171" s="91"/>
      <c r="I171" s="91"/>
      <c r="J171" s="91"/>
      <c r="K171" s="93"/>
      <c r="L171" s="82"/>
      <c r="M171" s="82"/>
      <c r="N171" s="75"/>
      <c r="O171" s="92"/>
      <c r="P171" s="92"/>
      <c r="Q171" s="92"/>
      <c r="R171" s="76"/>
      <c r="S171" s="77"/>
      <c r="T171" s="78"/>
      <c r="U171" s="98" t="s">
        <v>159</v>
      </c>
      <c r="V171" s="96">
        <f>2*3.14</f>
        <v>6.28</v>
      </c>
      <c r="W171" s="71">
        <v>0.05</v>
      </c>
      <c r="X171" s="72">
        <v>1</v>
      </c>
      <c r="Y171" s="71">
        <f>V171*W171/X171</f>
        <v>0.31400000000000006</v>
      </c>
      <c r="Z171" s="235"/>
      <c r="AA171" s="237"/>
      <c r="AB171" s="214"/>
      <c r="AC171" s="218"/>
      <c r="AD171" s="218"/>
      <c r="AE171" s="221"/>
    </row>
    <row r="172" spans="1:31">
      <c r="A172" s="226"/>
      <c r="B172" s="226"/>
      <c r="C172" s="229"/>
      <c r="D172" s="232"/>
      <c r="E172" s="229"/>
      <c r="F172" s="229"/>
      <c r="G172" s="229"/>
      <c r="H172" s="91"/>
      <c r="I172" s="91"/>
      <c r="J172" s="91"/>
      <c r="K172" s="93"/>
      <c r="L172" s="82"/>
      <c r="M172" s="82"/>
      <c r="N172" s="75"/>
      <c r="O172" s="92"/>
      <c r="P172" s="92"/>
      <c r="Q172" s="92"/>
      <c r="R172" s="76"/>
      <c r="S172" s="77"/>
      <c r="T172" s="78"/>
      <c r="U172" s="13"/>
      <c r="V172" s="96"/>
      <c r="W172" s="71"/>
      <c r="X172" s="72"/>
      <c r="Y172" s="71"/>
      <c r="Z172" s="235"/>
      <c r="AA172" s="237"/>
      <c r="AB172" s="214"/>
      <c r="AC172" s="218"/>
      <c r="AD172" s="218"/>
      <c r="AE172" s="221"/>
    </row>
    <row r="173" spans="1:31">
      <c r="A173" s="226"/>
      <c r="B173" s="226"/>
      <c r="C173" s="229"/>
      <c r="D173" s="232"/>
      <c r="E173" s="229"/>
      <c r="F173" s="229"/>
      <c r="G173" s="229"/>
      <c r="H173" s="91"/>
      <c r="I173" s="91"/>
      <c r="J173" s="91"/>
      <c r="K173" s="93"/>
      <c r="L173" s="82"/>
      <c r="M173" s="82"/>
      <c r="N173" s="75"/>
      <c r="O173" s="92"/>
      <c r="P173" s="92"/>
      <c r="Q173" s="92"/>
      <c r="R173" s="76"/>
      <c r="S173" s="77"/>
      <c r="T173" s="78"/>
      <c r="U173" s="69"/>
      <c r="V173" s="73"/>
      <c r="W173" s="74"/>
      <c r="X173" s="72"/>
      <c r="Y173" s="71"/>
      <c r="Z173" s="235"/>
      <c r="AA173" s="237"/>
      <c r="AB173" s="214"/>
      <c r="AC173" s="218"/>
      <c r="AD173" s="218"/>
      <c r="AE173" s="221"/>
    </row>
    <row r="174" spans="1:31">
      <c r="A174" s="227"/>
      <c r="B174" s="227"/>
      <c r="C174" s="230"/>
      <c r="D174" s="233"/>
      <c r="E174" s="230"/>
      <c r="F174" s="230"/>
      <c r="G174" s="230"/>
      <c r="H174" s="223" t="s">
        <v>150</v>
      </c>
      <c r="I174" s="223"/>
      <c r="J174" s="223"/>
      <c r="K174" s="223"/>
      <c r="L174" s="223"/>
      <c r="M174" s="223"/>
      <c r="N174" s="223"/>
      <c r="O174" s="223"/>
      <c r="P174" s="223"/>
      <c r="Q174" s="223"/>
      <c r="R174" s="223"/>
      <c r="S174" s="223"/>
      <c r="T174" s="80">
        <f>SUM(T168:T173)</f>
        <v>6.7655346797345111</v>
      </c>
      <c r="U174" s="224" t="s">
        <v>151</v>
      </c>
      <c r="V174" s="224"/>
      <c r="W174" s="224"/>
      <c r="X174" s="224"/>
      <c r="Y174" s="81">
        <f>SUM(Y168:Y173)</f>
        <v>0.46400000000000008</v>
      </c>
      <c r="Z174" s="235"/>
      <c r="AA174" s="238"/>
      <c r="AB174" s="215"/>
      <c r="AC174" s="218"/>
      <c r="AD174" s="219"/>
      <c r="AE174" s="222"/>
    </row>
    <row r="175" spans="1:31" ht="27" customHeight="1">
      <c r="A175" s="225"/>
      <c r="B175" s="225"/>
      <c r="C175" s="228">
        <v>44456</v>
      </c>
      <c r="D175" s="231"/>
      <c r="E175" s="234" t="s">
        <v>99</v>
      </c>
      <c r="F175" s="234" t="s">
        <v>100</v>
      </c>
      <c r="G175" s="234"/>
      <c r="H175" s="91" t="s">
        <v>100</v>
      </c>
      <c r="I175" s="91" t="s">
        <v>97</v>
      </c>
      <c r="J175" s="91" t="s">
        <v>161</v>
      </c>
      <c r="K175" s="93">
        <v>1</v>
      </c>
      <c r="L175" s="95">
        <v>81</v>
      </c>
      <c r="M175" s="95">
        <v>77</v>
      </c>
      <c r="N175" s="99">
        <v>3</v>
      </c>
      <c r="O175" s="92">
        <v>6.3</v>
      </c>
      <c r="P175" s="92">
        <v>3.4</v>
      </c>
      <c r="Q175" s="92">
        <f>L175*M175*N175*7.85/1000000</f>
        <v>0.14688134999999999</v>
      </c>
      <c r="R175" s="76">
        <v>9.6000000000000002E-2</v>
      </c>
      <c r="S175" s="77">
        <f>Q175-R175</f>
        <v>5.0881349999999992E-2</v>
      </c>
      <c r="T175" s="78">
        <f>K175*(Q175*O175-P175*S175)</f>
        <v>0.75235591499999988</v>
      </c>
      <c r="U175" s="13" t="s">
        <v>20</v>
      </c>
      <c r="V175" s="7" t="s">
        <v>155</v>
      </c>
      <c r="W175" s="71">
        <v>0.05</v>
      </c>
      <c r="X175" s="72">
        <v>1</v>
      </c>
      <c r="Y175" s="71">
        <f>W175/X175</f>
        <v>0.05</v>
      </c>
      <c r="Z175" s="235">
        <v>1.2</v>
      </c>
      <c r="AA175" s="236">
        <f>(T181+Y181)*Z175</f>
        <v>1.0228270979999998</v>
      </c>
      <c r="AB175" s="213">
        <f>AA175/1.13</f>
        <v>0.90515672389380519</v>
      </c>
      <c r="AC175" s="217">
        <f>24000/1.13</f>
        <v>21238.938053097347</v>
      </c>
      <c r="AD175" s="217">
        <v>100000</v>
      </c>
      <c r="AE175" s="220">
        <f>AB175+AC175/AD175</f>
        <v>1.1175461044247788</v>
      </c>
    </row>
    <row r="176" spans="1:31">
      <c r="A176" s="226"/>
      <c r="B176" s="226"/>
      <c r="C176" s="229"/>
      <c r="D176" s="232"/>
      <c r="E176" s="229"/>
      <c r="F176" s="229"/>
      <c r="G176" s="229"/>
      <c r="H176" s="103"/>
      <c r="I176" s="104"/>
      <c r="J176" s="103"/>
      <c r="K176" s="105"/>
      <c r="L176" s="106"/>
      <c r="M176" s="106"/>
      <c r="N176" s="107"/>
      <c r="O176" s="108"/>
      <c r="P176" s="109"/>
      <c r="Q176" s="109"/>
      <c r="R176" s="110"/>
      <c r="S176" s="77"/>
      <c r="T176" s="108"/>
      <c r="U176" s="13" t="s">
        <v>35</v>
      </c>
      <c r="V176" s="7" t="s">
        <v>155</v>
      </c>
      <c r="W176" s="71">
        <v>0.05</v>
      </c>
      <c r="X176" s="72">
        <v>1</v>
      </c>
      <c r="Y176" s="71">
        <f>W176/X176</f>
        <v>0.05</v>
      </c>
      <c r="Z176" s="235"/>
      <c r="AA176" s="237"/>
      <c r="AB176" s="214"/>
      <c r="AC176" s="218"/>
      <c r="AD176" s="218"/>
      <c r="AE176" s="221"/>
    </row>
    <row r="177" spans="1:31">
      <c r="A177" s="226"/>
      <c r="B177" s="226"/>
      <c r="C177" s="229"/>
      <c r="D177" s="232"/>
      <c r="E177" s="229"/>
      <c r="F177" s="229"/>
      <c r="G177" s="229"/>
      <c r="H177" s="111"/>
      <c r="I177" s="104"/>
      <c r="J177" s="111"/>
      <c r="K177" s="105"/>
      <c r="L177" s="106"/>
      <c r="M177" s="106"/>
      <c r="N177" s="107"/>
      <c r="O177" s="109"/>
      <c r="P177" s="109"/>
      <c r="Q177" s="109"/>
      <c r="R177" s="110"/>
      <c r="S177" s="77"/>
      <c r="T177" s="108"/>
      <c r="U177" s="13"/>
      <c r="V177" s="7"/>
      <c r="W177" s="71"/>
      <c r="X177" s="72"/>
      <c r="Y177" s="71"/>
      <c r="Z177" s="235"/>
      <c r="AA177" s="237"/>
      <c r="AB177" s="214"/>
      <c r="AC177" s="218"/>
      <c r="AD177" s="218"/>
      <c r="AE177" s="221"/>
    </row>
    <row r="178" spans="1:31">
      <c r="A178" s="226"/>
      <c r="B178" s="226"/>
      <c r="C178" s="229"/>
      <c r="D178" s="232"/>
      <c r="E178" s="229"/>
      <c r="F178" s="229"/>
      <c r="G178" s="229"/>
      <c r="H178" s="91"/>
      <c r="I178" s="91"/>
      <c r="J178" s="91"/>
      <c r="K178" s="93"/>
      <c r="L178" s="82"/>
      <c r="M178" s="82"/>
      <c r="N178" s="75"/>
      <c r="O178" s="92"/>
      <c r="P178" s="92"/>
      <c r="Q178" s="92"/>
      <c r="R178" s="76"/>
      <c r="S178" s="77"/>
      <c r="T178" s="78"/>
      <c r="U178" s="98"/>
      <c r="V178" s="96"/>
      <c r="W178" s="71"/>
      <c r="X178" s="72"/>
      <c r="Y178" s="71"/>
      <c r="Z178" s="235"/>
      <c r="AA178" s="237"/>
      <c r="AB178" s="214"/>
      <c r="AC178" s="218"/>
      <c r="AD178" s="218"/>
      <c r="AE178" s="221"/>
    </row>
    <row r="179" spans="1:31">
      <c r="A179" s="226"/>
      <c r="B179" s="226"/>
      <c r="C179" s="229"/>
      <c r="D179" s="232"/>
      <c r="E179" s="229"/>
      <c r="F179" s="229"/>
      <c r="G179" s="229"/>
      <c r="H179" s="91"/>
      <c r="I179" s="91"/>
      <c r="J179" s="91"/>
      <c r="K179" s="93"/>
      <c r="L179" s="82"/>
      <c r="M179" s="82"/>
      <c r="N179" s="75"/>
      <c r="O179" s="92"/>
      <c r="P179" s="92"/>
      <c r="Q179" s="92"/>
      <c r="R179" s="76"/>
      <c r="S179" s="77"/>
      <c r="T179" s="78"/>
      <c r="U179" s="13"/>
      <c r="V179" s="96"/>
      <c r="W179" s="71"/>
      <c r="X179" s="72"/>
      <c r="Y179" s="71"/>
      <c r="Z179" s="235"/>
      <c r="AA179" s="237"/>
      <c r="AB179" s="214"/>
      <c r="AC179" s="218"/>
      <c r="AD179" s="218"/>
      <c r="AE179" s="221"/>
    </row>
    <row r="180" spans="1:31">
      <c r="A180" s="226"/>
      <c r="B180" s="226"/>
      <c r="C180" s="229"/>
      <c r="D180" s="232"/>
      <c r="E180" s="229"/>
      <c r="F180" s="229"/>
      <c r="G180" s="229"/>
      <c r="H180" s="91"/>
      <c r="I180" s="91"/>
      <c r="J180" s="91"/>
      <c r="K180" s="93"/>
      <c r="L180" s="82"/>
      <c r="M180" s="82"/>
      <c r="N180" s="75"/>
      <c r="O180" s="92"/>
      <c r="P180" s="92"/>
      <c r="Q180" s="92"/>
      <c r="R180" s="76"/>
      <c r="S180" s="77"/>
      <c r="T180" s="78"/>
      <c r="U180" s="69"/>
      <c r="V180" s="73"/>
      <c r="W180" s="74"/>
      <c r="X180" s="72"/>
      <c r="Y180" s="71"/>
      <c r="Z180" s="235"/>
      <c r="AA180" s="237"/>
      <c r="AB180" s="214"/>
      <c r="AC180" s="218"/>
      <c r="AD180" s="218"/>
      <c r="AE180" s="221"/>
    </row>
    <row r="181" spans="1:31">
      <c r="A181" s="227"/>
      <c r="B181" s="227"/>
      <c r="C181" s="230"/>
      <c r="D181" s="233"/>
      <c r="E181" s="230"/>
      <c r="F181" s="230"/>
      <c r="G181" s="230"/>
      <c r="H181" s="223" t="s">
        <v>150</v>
      </c>
      <c r="I181" s="223"/>
      <c r="J181" s="223"/>
      <c r="K181" s="223"/>
      <c r="L181" s="223"/>
      <c r="M181" s="223"/>
      <c r="N181" s="223"/>
      <c r="O181" s="223"/>
      <c r="P181" s="223"/>
      <c r="Q181" s="223"/>
      <c r="R181" s="223"/>
      <c r="S181" s="223"/>
      <c r="T181" s="80">
        <f>SUM(T175:T180)</f>
        <v>0.75235591499999988</v>
      </c>
      <c r="U181" s="224" t="s">
        <v>151</v>
      </c>
      <c r="V181" s="224"/>
      <c r="W181" s="224"/>
      <c r="X181" s="224"/>
      <c r="Y181" s="81">
        <f>SUM(Y175:Y180)</f>
        <v>0.1</v>
      </c>
      <c r="Z181" s="235"/>
      <c r="AA181" s="238"/>
      <c r="AB181" s="215"/>
      <c r="AC181" s="218"/>
      <c r="AD181" s="219"/>
      <c r="AE181" s="222"/>
    </row>
    <row r="182" spans="1:31" ht="27" customHeight="1">
      <c r="A182" s="225"/>
      <c r="B182" s="225"/>
      <c r="C182" s="228">
        <v>44456</v>
      </c>
      <c r="D182" s="231"/>
      <c r="E182" s="234" t="s">
        <v>101</v>
      </c>
      <c r="F182" s="234" t="s">
        <v>34</v>
      </c>
      <c r="G182" s="234"/>
      <c r="H182" s="91" t="s">
        <v>102</v>
      </c>
      <c r="I182" s="91" t="s">
        <v>199</v>
      </c>
      <c r="J182" s="91" t="s">
        <v>160</v>
      </c>
      <c r="K182" s="93">
        <v>1</v>
      </c>
      <c r="L182" s="95"/>
      <c r="M182" s="95"/>
      <c r="N182" s="99">
        <v>2.5</v>
      </c>
      <c r="O182" s="92">
        <v>7</v>
      </c>
      <c r="P182" s="92">
        <v>3.4</v>
      </c>
      <c r="Q182" s="92">
        <f>R182/0.7</f>
        <v>0.8928571428571429</v>
      </c>
      <c r="R182" s="76">
        <v>0.625</v>
      </c>
      <c r="S182" s="77">
        <f>Q182-R182</f>
        <v>0.2678571428571429</v>
      </c>
      <c r="T182" s="78">
        <f>K182*(Q182*O182-P182*S182)</f>
        <v>5.3392857142857144</v>
      </c>
      <c r="U182" s="40" t="s">
        <v>88</v>
      </c>
      <c r="V182" s="96" t="s">
        <v>202</v>
      </c>
      <c r="W182" s="71">
        <v>0.2</v>
      </c>
      <c r="X182" s="72">
        <v>1</v>
      </c>
      <c r="Y182" s="71">
        <f>W182/X182</f>
        <v>0.2</v>
      </c>
      <c r="Z182" s="235">
        <v>1.2</v>
      </c>
      <c r="AA182" s="236">
        <f>(T191+Y191)*Z182</f>
        <v>9.2271428571428569</v>
      </c>
      <c r="AB182" s="213">
        <f>AA182/1.13</f>
        <v>8.1656131479140335</v>
      </c>
      <c r="AC182" s="217">
        <f>25000/1.13</f>
        <v>22123.893805309737</v>
      </c>
      <c r="AD182" s="217">
        <v>100000</v>
      </c>
      <c r="AE182" s="220">
        <f>AB182+AC182/AD182</f>
        <v>8.3868520859671314</v>
      </c>
    </row>
    <row r="183" spans="1:31">
      <c r="A183" s="226"/>
      <c r="B183" s="226"/>
      <c r="C183" s="229"/>
      <c r="D183" s="232"/>
      <c r="E183" s="229"/>
      <c r="F183" s="229"/>
      <c r="G183" s="229"/>
      <c r="H183" s="103" t="s">
        <v>200</v>
      </c>
      <c r="I183" s="91" t="s">
        <v>201</v>
      </c>
      <c r="J183" s="103"/>
      <c r="K183" s="105">
        <v>1</v>
      </c>
      <c r="L183" s="106"/>
      <c r="M183" s="106"/>
      <c r="N183" s="107"/>
      <c r="O183" s="78">
        <v>0.32</v>
      </c>
      <c r="P183" s="92"/>
      <c r="Q183" s="92"/>
      <c r="R183" s="76"/>
      <c r="S183" s="77"/>
      <c r="T183" s="78">
        <f>K183*O183</f>
        <v>0.32</v>
      </c>
      <c r="U183" s="40" t="s">
        <v>89</v>
      </c>
      <c r="V183" s="96" t="s">
        <v>202</v>
      </c>
      <c r="W183" s="71">
        <v>0.2</v>
      </c>
      <c r="X183" s="72">
        <v>1</v>
      </c>
      <c r="Y183" s="71">
        <f>W183/X183</f>
        <v>0.2</v>
      </c>
      <c r="Z183" s="235"/>
      <c r="AA183" s="237"/>
      <c r="AB183" s="214"/>
      <c r="AC183" s="218"/>
      <c r="AD183" s="218"/>
      <c r="AE183" s="221"/>
    </row>
    <row r="184" spans="1:31">
      <c r="A184" s="226"/>
      <c r="B184" s="226"/>
      <c r="C184" s="229"/>
      <c r="D184" s="232"/>
      <c r="E184" s="229"/>
      <c r="F184" s="229"/>
      <c r="G184" s="229"/>
      <c r="H184" s="111" t="s">
        <v>170</v>
      </c>
      <c r="I184" s="94" t="s">
        <v>171</v>
      </c>
      <c r="J184" s="111"/>
      <c r="K184" s="105">
        <v>1</v>
      </c>
      <c r="L184" s="106"/>
      <c r="M184" s="106"/>
      <c r="N184" s="107"/>
      <c r="O184" s="78">
        <v>1</v>
      </c>
      <c r="P184" s="92"/>
      <c r="Q184" s="92"/>
      <c r="R184" s="76"/>
      <c r="S184" s="77"/>
      <c r="T184" s="78">
        <f>K184*O184</f>
        <v>1</v>
      </c>
      <c r="U184" s="40" t="s">
        <v>90</v>
      </c>
      <c r="V184" s="96" t="s">
        <v>202</v>
      </c>
      <c r="W184" s="71">
        <v>0.2</v>
      </c>
      <c r="X184" s="72">
        <v>1</v>
      </c>
      <c r="Y184" s="71">
        <f t="shared" ref="Y184:Y190" si="3">W184/X184</f>
        <v>0.2</v>
      </c>
      <c r="Z184" s="235"/>
      <c r="AA184" s="237"/>
      <c r="AB184" s="214"/>
      <c r="AC184" s="218"/>
      <c r="AD184" s="218"/>
      <c r="AE184" s="221"/>
    </row>
    <row r="185" spans="1:31">
      <c r="A185" s="226"/>
      <c r="B185" s="226"/>
      <c r="C185" s="229"/>
      <c r="D185" s="232"/>
      <c r="E185" s="229"/>
      <c r="F185" s="229"/>
      <c r="G185" s="229"/>
      <c r="H185" s="91"/>
      <c r="I185" s="91"/>
      <c r="J185" s="91"/>
      <c r="K185" s="93"/>
      <c r="L185" s="82"/>
      <c r="M185" s="82"/>
      <c r="N185" s="75"/>
      <c r="O185" s="92"/>
      <c r="P185" s="92"/>
      <c r="Q185" s="92"/>
      <c r="R185" s="76"/>
      <c r="S185" s="77"/>
      <c r="T185" s="78"/>
      <c r="U185" s="40" t="s">
        <v>91</v>
      </c>
      <c r="V185" s="96" t="s">
        <v>153</v>
      </c>
      <c r="W185" s="71">
        <v>0.1</v>
      </c>
      <c r="X185" s="72">
        <v>1</v>
      </c>
      <c r="Y185" s="71">
        <f t="shared" si="3"/>
        <v>0.1</v>
      </c>
      <c r="Z185" s="235"/>
      <c r="AA185" s="237"/>
      <c r="AB185" s="214"/>
      <c r="AC185" s="218"/>
      <c r="AD185" s="218"/>
      <c r="AE185" s="221"/>
    </row>
    <row r="186" spans="1:31">
      <c r="A186" s="226"/>
      <c r="B186" s="226"/>
      <c r="C186" s="229"/>
      <c r="D186" s="232"/>
      <c r="E186" s="229"/>
      <c r="F186" s="229"/>
      <c r="G186" s="229"/>
      <c r="H186" s="91"/>
      <c r="I186" s="91"/>
      <c r="J186" s="91"/>
      <c r="K186" s="93"/>
      <c r="L186" s="82"/>
      <c r="M186" s="82"/>
      <c r="N186" s="75"/>
      <c r="O186" s="92"/>
      <c r="P186" s="92"/>
      <c r="Q186" s="92"/>
      <c r="R186" s="76"/>
      <c r="S186" s="77"/>
      <c r="T186" s="78"/>
      <c r="U186" s="40" t="s">
        <v>91</v>
      </c>
      <c r="V186" s="96" t="s">
        <v>153</v>
      </c>
      <c r="W186" s="71">
        <v>0.1</v>
      </c>
      <c r="X186" s="72">
        <v>1</v>
      </c>
      <c r="Y186" s="71">
        <f t="shared" si="3"/>
        <v>0.1</v>
      </c>
      <c r="Z186" s="235"/>
      <c r="AA186" s="237"/>
      <c r="AB186" s="214"/>
      <c r="AC186" s="218"/>
      <c r="AD186" s="218"/>
      <c r="AE186" s="221"/>
    </row>
    <row r="187" spans="1:31">
      <c r="A187" s="226"/>
      <c r="B187" s="226"/>
      <c r="C187" s="229"/>
      <c r="D187" s="232"/>
      <c r="E187" s="229"/>
      <c r="F187" s="229"/>
      <c r="G187" s="229"/>
      <c r="H187" s="91"/>
      <c r="I187" s="91"/>
      <c r="J187" s="91"/>
      <c r="K187" s="93"/>
      <c r="L187" s="82"/>
      <c r="M187" s="82"/>
      <c r="N187" s="75"/>
      <c r="O187" s="92"/>
      <c r="P187" s="92"/>
      <c r="Q187" s="92"/>
      <c r="R187" s="76"/>
      <c r="S187" s="77"/>
      <c r="T187" s="78"/>
      <c r="U187" s="40" t="s">
        <v>91</v>
      </c>
      <c r="V187" s="96" t="s">
        <v>153</v>
      </c>
      <c r="W187" s="71">
        <v>0.1</v>
      </c>
      <c r="X187" s="72">
        <v>1</v>
      </c>
      <c r="Y187" s="71">
        <f t="shared" si="3"/>
        <v>0.1</v>
      </c>
      <c r="Z187" s="235"/>
      <c r="AA187" s="237"/>
      <c r="AB187" s="214"/>
      <c r="AC187" s="218"/>
      <c r="AD187" s="218"/>
      <c r="AE187" s="221"/>
    </row>
    <row r="188" spans="1:31">
      <c r="A188" s="226"/>
      <c r="B188" s="226"/>
      <c r="C188" s="229"/>
      <c r="D188" s="232"/>
      <c r="E188" s="229"/>
      <c r="F188" s="229"/>
      <c r="G188" s="229"/>
      <c r="H188" s="91"/>
      <c r="I188" s="91"/>
      <c r="J188" s="91"/>
      <c r="K188" s="93"/>
      <c r="L188" s="82"/>
      <c r="M188" s="82"/>
      <c r="N188" s="75"/>
      <c r="O188" s="92"/>
      <c r="P188" s="92"/>
      <c r="Q188" s="92"/>
      <c r="R188" s="76"/>
      <c r="S188" s="77"/>
      <c r="T188" s="78"/>
      <c r="U188" s="40" t="s">
        <v>93</v>
      </c>
      <c r="V188" s="96" t="s">
        <v>156</v>
      </c>
      <c r="W188" s="71">
        <v>0.04</v>
      </c>
      <c r="X188" s="72">
        <v>1</v>
      </c>
      <c r="Y188" s="71">
        <f t="shared" si="3"/>
        <v>0.04</v>
      </c>
      <c r="Z188" s="235"/>
      <c r="AA188" s="237"/>
      <c r="AB188" s="214"/>
      <c r="AC188" s="218"/>
      <c r="AD188" s="218"/>
      <c r="AE188" s="221"/>
    </row>
    <row r="189" spans="1:31">
      <c r="A189" s="226"/>
      <c r="B189" s="226"/>
      <c r="C189" s="229"/>
      <c r="D189" s="232"/>
      <c r="E189" s="229"/>
      <c r="F189" s="229"/>
      <c r="G189" s="229"/>
      <c r="H189" s="91"/>
      <c r="I189" s="91"/>
      <c r="J189" s="91"/>
      <c r="K189" s="93"/>
      <c r="L189" s="82"/>
      <c r="M189" s="82"/>
      <c r="N189" s="75"/>
      <c r="O189" s="92"/>
      <c r="P189" s="92"/>
      <c r="Q189" s="92"/>
      <c r="R189" s="76"/>
      <c r="S189" s="77"/>
      <c r="T189" s="78"/>
      <c r="U189" s="40" t="s">
        <v>93</v>
      </c>
      <c r="V189" s="96" t="s">
        <v>156</v>
      </c>
      <c r="W189" s="71">
        <v>0.04</v>
      </c>
      <c r="X189" s="72">
        <v>1</v>
      </c>
      <c r="Y189" s="71">
        <f t="shared" si="3"/>
        <v>0.04</v>
      </c>
      <c r="Z189" s="235"/>
      <c r="AA189" s="237"/>
      <c r="AB189" s="214"/>
      <c r="AC189" s="218"/>
      <c r="AD189" s="218"/>
      <c r="AE189" s="221"/>
    </row>
    <row r="190" spans="1:31">
      <c r="A190" s="226"/>
      <c r="B190" s="226"/>
      <c r="C190" s="229"/>
      <c r="D190" s="232"/>
      <c r="E190" s="229"/>
      <c r="F190" s="229"/>
      <c r="G190" s="229"/>
      <c r="H190" s="91"/>
      <c r="I190" s="91"/>
      <c r="J190" s="91"/>
      <c r="K190" s="93"/>
      <c r="L190" s="82"/>
      <c r="M190" s="82"/>
      <c r="N190" s="75"/>
      <c r="O190" s="92"/>
      <c r="P190" s="92"/>
      <c r="Q190" s="92"/>
      <c r="R190" s="76"/>
      <c r="S190" s="77"/>
      <c r="T190" s="78"/>
      <c r="U190" s="40" t="s">
        <v>159</v>
      </c>
      <c r="V190" s="96">
        <v>2</v>
      </c>
      <c r="W190" s="74">
        <v>0.05</v>
      </c>
      <c r="X190" s="72">
        <v>1</v>
      </c>
      <c r="Y190" s="71">
        <f t="shared" si="3"/>
        <v>0.05</v>
      </c>
      <c r="Z190" s="235"/>
      <c r="AA190" s="237"/>
      <c r="AB190" s="214"/>
      <c r="AC190" s="218"/>
      <c r="AD190" s="218"/>
      <c r="AE190" s="221"/>
    </row>
    <row r="191" spans="1:31">
      <c r="A191" s="227"/>
      <c r="B191" s="227"/>
      <c r="C191" s="230"/>
      <c r="D191" s="233"/>
      <c r="E191" s="230"/>
      <c r="F191" s="230"/>
      <c r="G191" s="230"/>
      <c r="H191" s="223" t="s">
        <v>150</v>
      </c>
      <c r="I191" s="223"/>
      <c r="J191" s="223"/>
      <c r="K191" s="223"/>
      <c r="L191" s="223"/>
      <c r="M191" s="223"/>
      <c r="N191" s="223"/>
      <c r="O191" s="223"/>
      <c r="P191" s="223"/>
      <c r="Q191" s="223"/>
      <c r="R191" s="223"/>
      <c r="S191" s="223"/>
      <c r="T191" s="80">
        <f>SUM(T182:T190)</f>
        <v>6.6592857142857147</v>
      </c>
      <c r="U191" s="224" t="s">
        <v>151</v>
      </c>
      <c r="V191" s="224"/>
      <c r="W191" s="224"/>
      <c r="X191" s="224"/>
      <c r="Y191" s="81">
        <f>SUM(Y182:Y190)</f>
        <v>1.03</v>
      </c>
      <c r="Z191" s="235"/>
      <c r="AA191" s="238"/>
      <c r="AB191" s="215"/>
      <c r="AC191" s="218"/>
      <c r="AD191" s="219"/>
      <c r="AE191" s="222"/>
    </row>
    <row r="192" spans="1:31" ht="27" customHeight="1">
      <c r="A192" s="225"/>
      <c r="B192" s="225"/>
      <c r="C192" s="228">
        <v>44456</v>
      </c>
      <c r="D192" s="231"/>
      <c r="E192" s="234" t="s">
        <v>236</v>
      </c>
      <c r="F192" s="234" t="s">
        <v>237</v>
      </c>
      <c r="G192" s="234"/>
      <c r="H192" s="91" t="s">
        <v>237</v>
      </c>
      <c r="I192" s="91" t="s">
        <v>236</v>
      </c>
      <c r="J192" s="91" t="s">
        <v>174</v>
      </c>
      <c r="K192" s="72">
        <v>1</v>
      </c>
      <c r="L192" s="95"/>
      <c r="M192" s="95"/>
      <c r="N192" s="99">
        <v>3</v>
      </c>
      <c r="O192" s="92">
        <v>6.7</v>
      </c>
      <c r="P192" s="92">
        <v>3.4</v>
      </c>
      <c r="Q192" s="92">
        <f>R192/0.8</f>
        <v>3.5575000000000001</v>
      </c>
      <c r="R192" s="76">
        <v>2.8460000000000001</v>
      </c>
      <c r="S192" s="77">
        <f>Q192-R192</f>
        <v>0.71150000000000002</v>
      </c>
      <c r="T192" s="78">
        <f>K192*(Q192*O192-P192*S192)</f>
        <v>21.416150000000002</v>
      </c>
      <c r="U192" s="148" t="s">
        <v>35</v>
      </c>
      <c r="V192" s="96" t="s">
        <v>239</v>
      </c>
      <c r="W192" s="149">
        <v>0.18</v>
      </c>
      <c r="X192" s="72">
        <v>1</v>
      </c>
      <c r="Y192" s="149">
        <f>W192/X192</f>
        <v>0.18</v>
      </c>
      <c r="Z192" s="235">
        <v>1.2</v>
      </c>
      <c r="AA192" s="236">
        <f>(T201+Y201)*Z192</f>
        <v>26.77938</v>
      </c>
      <c r="AB192" s="213">
        <f>AA192/1.13</f>
        <v>23.698566371681419</v>
      </c>
      <c r="AC192" s="216">
        <v>245000</v>
      </c>
      <c r="AD192" s="217">
        <v>100000</v>
      </c>
      <c r="AE192" s="220">
        <f>AB192+AC192/AD192</f>
        <v>26.148566371681419</v>
      </c>
    </row>
    <row r="193" spans="1:33">
      <c r="A193" s="226"/>
      <c r="B193" s="226"/>
      <c r="C193" s="229"/>
      <c r="D193" s="232"/>
      <c r="E193" s="229"/>
      <c r="F193" s="229"/>
      <c r="G193" s="229"/>
      <c r="H193" s="103"/>
      <c r="I193" s="91"/>
      <c r="J193" s="103"/>
      <c r="K193" s="105"/>
      <c r="L193" s="106"/>
      <c r="M193" s="106"/>
      <c r="N193" s="107"/>
      <c r="O193" s="78"/>
      <c r="P193" s="92"/>
      <c r="Q193" s="92"/>
      <c r="R193" s="76"/>
      <c r="S193" s="77"/>
      <c r="T193" s="78"/>
      <c r="U193" s="148" t="s">
        <v>85</v>
      </c>
      <c r="V193" s="96" t="s">
        <v>239</v>
      </c>
      <c r="W193" s="149">
        <v>0.18</v>
      </c>
      <c r="X193" s="72">
        <v>1</v>
      </c>
      <c r="Y193" s="149">
        <f>W193/X193</f>
        <v>0.18</v>
      </c>
      <c r="Z193" s="235"/>
      <c r="AA193" s="237"/>
      <c r="AB193" s="214"/>
      <c r="AC193" s="216"/>
      <c r="AD193" s="218"/>
      <c r="AE193" s="221"/>
    </row>
    <row r="194" spans="1:33">
      <c r="A194" s="226"/>
      <c r="B194" s="226"/>
      <c r="C194" s="229"/>
      <c r="D194" s="232"/>
      <c r="E194" s="229"/>
      <c r="F194" s="229"/>
      <c r="G194" s="229"/>
      <c r="H194" s="111"/>
      <c r="I194" s="94"/>
      <c r="J194" s="111"/>
      <c r="K194" s="105"/>
      <c r="L194" s="106"/>
      <c r="M194" s="106"/>
      <c r="N194" s="107"/>
      <c r="O194" s="78"/>
      <c r="P194" s="92"/>
      <c r="Q194" s="92"/>
      <c r="R194" s="76"/>
      <c r="S194" s="77"/>
      <c r="T194" s="78"/>
      <c r="U194" s="148" t="s">
        <v>24</v>
      </c>
      <c r="V194" s="96" t="s">
        <v>239</v>
      </c>
      <c r="W194" s="149">
        <v>0.18</v>
      </c>
      <c r="X194" s="72">
        <v>1</v>
      </c>
      <c r="Y194" s="149">
        <f t="shared" ref="Y194:Y196" si="4">W194/X194</f>
        <v>0.18</v>
      </c>
      <c r="Z194" s="235"/>
      <c r="AA194" s="237"/>
      <c r="AB194" s="214"/>
      <c r="AC194" s="216"/>
      <c r="AD194" s="218"/>
      <c r="AE194" s="221"/>
    </row>
    <row r="195" spans="1:33">
      <c r="A195" s="226"/>
      <c r="B195" s="226"/>
      <c r="C195" s="229"/>
      <c r="D195" s="232"/>
      <c r="E195" s="229"/>
      <c r="F195" s="229"/>
      <c r="G195" s="229"/>
      <c r="H195" s="91"/>
      <c r="I195" s="91"/>
      <c r="J195" s="91"/>
      <c r="K195" s="93"/>
      <c r="L195" s="82"/>
      <c r="M195" s="82"/>
      <c r="N195" s="147"/>
      <c r="O195" s="92"/>
      <c r="P195" s="92"/>
      <c r="Q195" s="92"/>
      <c r="R195" s="76"/>
      <c r="S195" s="77"/>
      <c r="T195" s="78"/>
      <c r="U195" s="148" t="s">
        <v>36</v>
      </c>
      <c r="V195" s="96" t="s">
        <v>239</v>
      </c>
      <c r="W195" s="149">
        <v>0.18</v>
      </c>
      <c r="X195" s="72">
        <v>1</v>
      </c>
      <c r="Y195" s="149">
        <f t="shared" si="4"/>
        <v>0.18</v>
      </c>
      <c r="Z195" s="235"/>
      <c r="AA195" s="237"/>
      <c r="AB195" s="214"/>
      <c r="AC195" s="216"/>
      <c r="AD195" s="218"/>
      <c r="AE195" s="221"/>
    </row>
    <row r="196" spans="1:33">
      <c r="A196" s="226"/>
      <c r="B196" s="226"/>
      <c r="C196" s="229"/>
      <c r="D196" s="232"/>
      <c r="E196" s="229"/>
      <c r="F196" s="229"/>
      <c r="G196" s="229"/>
      <c r="H196" s="91"/>
      <c r="I196" s="91"/>
      <c r="J196" s="91"/>
      <c r="K196" s="93"/>
      <c r="L196" s="82"/>
      <c r="M196" s="82"/>
      <c r="N196" s="147"/>
      <c r="O196" s="92"/>
      <c r="P196" s="92"/>
      <c r="Q196" s="92"/>
      <c r="R196" s="76"/>
      <c r="S196" s="77"/>
      <c r="T196" s="78"/>
      <c r="U196" s="148" t="s">
        <v>238</v>
      </c>
      <c r="V196" s="96" t="s">
        <v>239</v>
      </c>
      <c r="W196" s="149">
        <v>0.18</v>
      </c>
      <c r="X196" s="72">
        <v>1</v>
      </c>
      <c r="Y196" s="149">
        <f t="shared" si="4"/>
        <v>0.18</v>
      </c>
      <c r="Z196" s="235"/>
      <c r="AA196" s="237"/>
      <c r="AB196" s="214"/>
      <c r="AC196" s="216"/>
      <c r="AD196" s="218"/>
      <c r="AE196" s="221"/>
      <c r="AF196" s="88">
        <v>32.729999999999997</v>
      </c>
      <c r="AG196" s="61">
        <f>(AF196-AB192)/AB192</f>
        <v>0.38109620162976104</v>
      </c>
    </row>
    <row r="197" spans="1:33">
      <c r="A197" s="226"/>
      <c r="B197" s="226"/>
      <c r="C197" s="229"/>
      <c r="D197" s="232"/>
      <c r="E197" s="229"/>
      <c r="F197" s="229"/>
      <c r="G197" s="229"/>
      <c r="H197" s="91"/>
      <c r="I197" s="91"/>
      <c r="J197" s="91"/>
      <c r="K197" s="93"/>
      <c r="L197" s="82"/>
      <c r="M197" s="82"/>
      <c r="N197" s="147"/>
      <c r="O197" s="92"/>
      <c r="P197" s="92"/>
      <c r="Q197" s="92"/>
      <c r="R197" s="76"/>
      <c r="S197" s="77"/>
      <c r="T197" s="78"/>
      <c r="U197" s="40"/>
      <c r="V197" s="96"/>
      <c r="W197" s="71"/>
      <c r="X197" s="72"/>
      <c r="Y197" s="71"/>
      <c r="Z197" s="235"/>
      <c r="AA197" s="237"/>
      <c r="AB197" s="214"/>
      <c r="AC197" s="216"/>
      <c r="AD197" s="218"/>
      <c r="AE197" s="221"/>
    </row>
    <row r="198" spans="1:33">
      <c r="A198" s="226"/>
      <c r="B198" s="226"/>
      <c r="C198" s="229"/>
      <c r="D198" s="232"/>
      <c r="E198" s="229"/>
      <c r="F198" s="229"/>
      <c r="G198" s="229"/>
      <c r="H198" s="91"/>
      <c r="I198" s="91"/>
      <c r="J198" s="91"/>
      <c r="K198" s="93"/>
      <c r="L198" s="82"/>
      <c r="M198" s="82"/>
      <c r="N198" s="147"/>
      <c r="O198" s="92"/>
      <c r="P198" s="92"/>
      <c r="Q198" s="92"/>
      <c r="R198" s="76"/>
      <c r="S198" s="77"/>
      <c r="T198" s="78"/>
      <c r="U198" s="40"/>
      <c r="V198" s="96"/>
      <c r="W198" s="71"/>
      <c r="X198" s="72"/>
      <c r="Y198" s="71"/>
      <c r="Z198" s="235"/>
      <c r="AA198" s="237"/>
      <c r="AB198" s="214"/>
      <c r="AC198" s="216"/>
      <c r="AD198" s="218"/>
      <c r="AE198" s="221"/>
    </row>
    <row r="199" spans="1:33">
      <c r="A199" s="226"/>
      <c r="B199" s="226"/>
      <c r="C199" s="229"/>
      <c r="D199" s="232"/>
      <c r="E199" s="229"/>
      <c r="F199" s="229"/>
      <c r="G199" s="229"/>
      <c r="H199" s="91"/>
      <c r="I199" s="91"/>
      <c r="J199" s="91"/>
      <c r="K199" s="93"/>
      <c r="L199" s="82"/>
      <c r="M199" s="82"/>
      <c r="N199" s="147"/>
      <c r="O199" s="92"/>
      <c r="P199" s="92"/>
      <c r="Q199" s="92"/>
      <c r="R199" s="76"/>
      <c r="S199" s="77"/>
      <c r="T199" s="78"/>
      <c r="U199" s="40"/>
      <c r="V199" s="96"/>
      <c r="W199" s="71"/>
      <c r="X199" s="72"/>
      <c r="Y199" s="71"/>
      <c r="Z199" s="235"/>
      <c r="AA199" s="237"/>
      <c r="AB199" s="214"/>
      <c r="AC199" s="216"/>
      <c r="AD199" s="218"/>
      <c r="AE199" s="221"/>
    </row>
    <row r="200" spans="1:33">
      <c r="A200" s="226"/>
      <c r="B200" s="226"/>
      <c r="C200" s="229"/>
      <c r="D200" s="232"/>
      <c r="E200" s="229"/>
      <c r="F200" s="229"/>
      <c r="G200" s="229"/>
      <c r="H200" s="91"/>
      <c r="I200" s="91"/>
      <c r="J200" s="91"/>
      <c r="K200" s="93"/>
      <c r="L200" s="82"/>
      <c r="M200" s="82"/>
      <c r="N200" s="147"/>
      <c r="O200" s="92"/>
      <c r="P200" s="92"/>
      <c r="Q200" s="92"/>
      <c r="R200" s="76"/>
      <c r="S200" s="77"/>
      <c r="T200" s="78"/>
      <c r="U200" s="40"/>
      <c r="V200" s="96"/>
      <c r="W200" s="74"/>
      <c r="X200" s="72"/>
      <c r="Y200" s="71"/>
      <c r="Z200" s="235"/>
      <c r="AA200" s="237"/>
      <c r="AB200" s="214"/>
      <c r="AC200" s="216"/>
      <c r="AD200" s="218"/>
      <c r="AE200" s="221"/>
    </row>
    <row r="201" spans="1:33">
      <c r="A201" s="227"/>
      <c r="B201" s="227"/>
      <c r="C201" s="230"/>
      <c r="D201" s="233"/>
      <c r="E201" s="230"/>
      <c r="F201" s="230"/>
      <c r="G201" s="230"/>
      <c r="H201" s="223" t="s">
        <v>150</v>
      </c>
      <c r="I201" s="223"/>
      <c r="J201" s="223"/>
      <c r="K201" s="223"/>
      <c r="L201" s="223"/>
      <c r="M201" s="223"/>
      <c r="N201" s="223"/>
      <c r="O201" s="223"/>
      <c r="P201" s="223"/>
      <c r="Q201" s="223"/>
      <c r="R201" s="223"/>
      <c r="S201" s="223"/>
      <c r="T201" s="146">
        <f>SUM(T192:T200)</f>
        <v>21.416150000000002</v>
      </c>
      <c r="U201" s="224" t="s">
        <v>151</v>
      </c>
      <c r="V201" s="224"/>
      <c r="W201" s="224"/>
      <c r="X201" s="224"/>
      <c r="Y201" s="81">
        <f>SUM(Y192:Y200)</f>
        <v>0.89999999999999991</v>
      </c>
      <c r="Z201" s="235"/>
      <c r="AA201" s="238"/>
      <c r="AB201" s="215"/>
      <c r="AC201" s="216"/>
      <c r="AD201" s="219"/>
      <c r="AE201" s="222"/>
    </row>
    <row r="202" spans="1:33" ht="27" customHeight="1">
      <c r="A202" s="225"/>
      <c r="B202" s="225"/>
      <c r="C202" s="228">
        <v>44456</v>
      </c>
      <c r="D202" s="231"/>
      <c r="E202" s="234" t="s">
        <v>240</v>
      </c>
      <c r="F202" s="234" t="s">
        <v>235</v>
      </c>
      <c r="G202" s="234"/>
      <c r="H202" s="91" t="s">
        <v>235</v>
      </c>
      <c r="I202" s="91" t="s">
        <v>240</v>
      </c>
      <c r="J202" s="91" t="s">
        <v>174</v>
      </c>
      <c r="K202" s="72">
        <v>1</v>
      </c>
      <c r="L202" s="95"/>
      <c r="M202" s="95"/>
      <c r="N202" s="99">
        <v>3</v>
      </c>
      <c r="O202" s="92">
        <v>6.7</v>
      </c>
      <c r="P202" s="92">
        <v>3.4</v>
      </c>
      <c r="Q202" s="92">
        <f>R202/0.8</f>
        <v>3.7412499999999995</v>
      </c>
      <c r="R202" s="76">
        <v>2.9929999999999999</v>
      </c>
      <c r="S202" s="77">
        <f>Q202-R202</f>
        <v>0.74824999999999964</v>
      </c>
      <c r="T202" s="78">
        <f>K202*(Q202*O202-P202*S202)</f>
        <v>22.522324999999999</v>
      </c>
      <c r="U202" s="148" t="s">
        <v>35</v>
      </c>
      <c r="V202" s="96" t="s">
        <v>239</v>
      </c>
      <c r="W202" s="149">
        <v>0.18</v>
      </c>
      <c r="X202" s="72">
        <v>1</v>
      </c>
      <c r="Y202" s="149">
        <f>W202/X202</f>
        <v>0.18</v>
      </c>
      <c r="Z202" s="235">
        <v>1.2</v>
      </c>
      <c r="AA202" s="236">
        <f>(T211+Y211)*Z202</f>
        <v>28.106789999999997</v>
      </c>
      <c r="AB202" s="213">
        <f>AA202/1.13</f>
        <v>24.873265486725664</v>
      </c>
      <c r="AC202" s="216">
        <v>245000</v>
      </c>
      <c r="AD202" s="217">
        <v>100000</v>
      </c>
      <c r="AE202" s="220">
        <f>AB202+AC202/AD202/2</f>
        <v>26.098265486725666</v>
      </c>
    </row>
    <row r="203" spans="1:33">
      <c r="A203" s="226"/>
      <c r="B203" s="226"/>
      <c r="C203" s="229"/>
      <c r="D203" s="232"/>
      <c r="E203" s="229"/>
      <c r="F203" s="229"/>
      <c r="G203" s="229"/>
      <c r="H203" s="103"/>
      <c r="I203" s="91"/>
      <c r="J203" s="103"/>
      <c r="K203" s="105"/>
      <c r="L203" s="106"/>
      <c r="M203" s="106"/>
      <c r="N203" s="107"/>
      <c r="O203" s="78"/>
      <c r="P203" s="92"/>
      <c r="Q203" s="92"/>
      <c r="R203" s="76"/>
      <c r="S203" s="77"/>
      <c r="T203" s="78"/>
      <c r="U203" s="148" t="s">
        <v>85</v>
      </c>
      <c r="V203" s="96" t="s">
        <v>239</v>
      </c>
      <c r="W203" s="149">
        <v>0.18</v>
      </c>
      <c r="X203" s="72">
        <v>1</v>
      </c>
      <c r="Y203" s="149">
        <f>W203/X203</f>
        <v>0.18</v>
      </c>
      <c r="Z203" s="235"/>
      <c r="AA203" s="237"/>
      <c r="AB203" s="214"/>
      <c r="AC203" s="216"/>
      <c r="AD203" s="218"/>
      <c r="AE203" s="221"/>
    </row>
    <row r="204" spans="1:33">
      <c r="A204" s="226"/>
      <c r="B204" s="226"/>
      <c r="C204" s="229"/>
      <c r="D204" s="232"/>
      <c r="E204" s="229"/>
      <c r="F204" s="229"/>
      <c r="G204" s="229"/>
      <c r="H204" s="111"/>
      <c r="I204" s="94"/>
      <c r="J204" s="111"/>
      <c r="K204" s="105"/>
      <c r="L204" s="106"/>
      <c r="M204" s="106"/>
      <c r="N204" s="107"/>
      <c r="O204" s="78"/>
      <c r="P204" s="92"/>
      <c r="Q204" s="92"/>
      <c r="R204" s="76"/>
      <c r="S204" s="77"/>
      <c r="T204" s="78"/>
      <c r="U204" s="148" t="s">
        <v>24</v>
      </c>
      <c r="V204" s="96" t="s">
        <v>239</v>
      </c>
      <c r="W204" s="149">
        <v>0.18</v>
      </c>
      <c r="X204" s="72">
        <v>1</v>
      </c>
      <c r="Y204" s="149">
        <f t="shared" ref="Y204:Y206" si="5">W204/X204</f>
        <v>0.18</v>
      </c>
      <c r="Z204" s="235"/>
      <c r="AA204" s="237"/>
      <c r="AB204" s="214"/>
      <c r="AC204" s="216"/>
      <c r="AD204" s="218"/>
      <c r="AE204" s="221"/>
    </row>
    <row r="205" spans="1:33">
      <c r="A205" s="226"/>
      <c r="B205" s="226"/>
      <c r="C205" s="229"/>
      <c r="D205" s="232"/>
      <c r="E205" s="229"/>
      <c r="F205" s="229"/>
      <c r="G205" s="229"/>
      <c r="H205" s="91"/>
      <c r="I205" s="91"/>
      <c r="J205" s="91"/>
      <c r="K205" s="93"/>
      <c r="L205" s="82"/>
      <c r="M205" s="82"/>
      <c r="N205" s="147"/>
      <c r="O205" s="92"/>
      <c r="P205" s="92"/>
      <c r="Q205" s="92"/>
      <c r="R205" s="76"/>
      <c r="S205" s="77"/>
      <c r="T205" s="78"/>
      <c r="U205" s="148" t="s">
        <v>36</v>
      </c>
      <c r="V205" s="96" t="s">
        <v>239</v>
      </c>
      <c r="W205" s="149">
        <v>0.18</v>
      </c>
      <c r="X205" s="72">
        <v>1</v>
      </c>
      <c r="Y205" s="149">
        <f t="shared" si="5"/>
        <v>0.18</v>
      </c>
      <c r="Z205" s="235"/>
      <c r="AA205" s="237"/>
      <c r="AB205" s="214"/>
      <c r="AC205" s="216"/>
      <c r="AD205" s="218"/>
      <c r="AE205" s="221"/>
    </row>
    <row r="206" spans="1:33">
      <c r="A206" s="226"/>
      <c r="B206" s="226"/>
      <c r="C206" s="229"/>
      <c r="D206" s="232"/>
      <c r="E206" s="229"/>
      <c r="F206" s="229"/>
      <c r="G206" s="229"/>
      <c r="H206" s="91"/>
      <c r="I206" s="91"/>
      <c r="J206" s="91"/>
      <c r="K206" s="93"/>
      <c r="L206" s="82"/>
      <c r="M206" s="82"/>
      <c r="N206" s="147"/>
      <c r="O206" s="92"/>
      <c r="P206" s="92"/>
      <c r="Q206" s="92"/>
      <c r="R206" s="76"/>
      <c r="S206" s="77"/>
      <c r="T206" s="78"/>
      <c r="U206" s="148" t="s">
        <v>238</v>
      </c>
      <c r="V206" s="96" t="s">
        <v>239</v>
      </c>
      <c r="W206" s="149">
        <v>0.18</v>
      </c>
      <c r="X206" s="72">
        <v>1</v>
      </c>
      <c r="Y206" s="149">
        <f t="shared" si="5"/>
        <v>0.18</v>
      </c>
      <c r="Z206" s="235"/>
      <c r="AA206" s="237"/>
      <c r="AB206" s="214"/>
      <c r="AC206" s="216"/>
      <c r="AD206" s="218"/>
      <c r="AE206" s="221"/>
    </row>
    <row r="207" spans="1:33">
      <c r="A207" s="226"/>
      <c r="B207" s="226"/>
      <c r="C207" s="229"/>
      <c r="D207" s="232"/>
      <c r="E207" s="229"/>
      <c r="F207" s="229"/>
      <c r="G207" s="229"/>
      <c r="H207" s="91"/>
      <c r="I207" s="91"/>
      <c r="J207" s="91"/>
      <c r="K207" s="93"/>
      <c r="L207" s="82"/>
      <c r="M207" s="82"/>
      <c r="N207" s="147"/>
      <c r="O207" s="92"/>
      <c r="P207" s="92"/>
      <c r="Q207" s="92"/>
      <c r="R207" s="76"/>
      <c r="S207" s="77"/>
      <c r="T207" s="78"/>
      <c r="U207" s="40"/>
      <c r="V207" s="96"/>
      <c r="W207" s="71"/>
      <c r="X207" s="72"/>
      <c r="Y207" s="71"/>
      <c r="Z207" s="235"/>
      <c r="AA207" s="237"/>
      <c r="AB207" s="214"/>
      <c r="AC207" s="216"/>
      <c r="AD207" s="218"/>
      <c r="AE207" s="221"/>
    </row>
    <row r="208" spans="1:33">
      <c r="A208" s="226"/>
      <c r="B208" s="226"/>
      <c r="C208" s="229"/>
      <c r="D208" s="232"/>
      <c r="E208" s="229"/>
      <c r="F208" s="229"/>
      <c r="G208" s="229"/>
      <c r="H208" s="91"/>
      <c r="I208" s="91"/>
      <c r="J208" s="91"/>
      <c r="K208" s="93"/>
      <c r="L208" s="82"/>
      <c r="M208" s="82"/>
      <c r="N208" s="147"/>
      <c r="O208" s="92"/>
      <c r="P208" s="92"/>
      <c r="Q208" s="92"/>
      <c r="R208" s="76"/>
      <c r="S208" s="77"/>
      <c r="T208" s="78"/>
      <c r="U208" s="40"/>
      <c r="V208" s="96"/>
      <c r="W208" s="71"/>
      <c r="X208" s="72"/>
      <c r="Y208" s="71"/>
      <c r="Z208" s="235"/>
      <c r="AA208" s="237"/>
      <c r="AB208" s="214"/>
      <c r="AC208" s="216"/>
      <c r="AD208" s="218"/>
      <c r="AE208" s="221"/>
    </row>
    <row r="209" spans="1:31">
      <c r="A209" s="226"/>
      <c r="B209" s="226"/>
      <c r="C209" s="229"/>
      <c r="D209" s="232"/>
      <c r="E209" s="229"/>
      <c r="F209" s="229"/>
      <c r="G209" s="229"/>
      <c r="H209" s="91"/>
      <c r="I209" s="91"/>
      <c r="J209" s="91"/>
      <c r="K209" s="93"/>
      <c r="L209" s="82"/>
      <c r="M209" s="82"/>
      <c r="N209" s="147"/>
      <c r="O209" s="92"/>
      <c r="P209" s="92"/>
      <c r="Q209" s="92"/>
      <c r="R209" s="76"/>
      <c r="S209" s="77"/>
      <c r="T209" s="78"/>
      <c r="U209" s="40"/>
      <c r="V209" s="96"/>
      <c r="W209" s="71"/>
      <c r="X209" s="72"/>
      <c r="Y209" s="71"/>
      <c r="Z209" s="235"/>
      <c r="AA209" s="237"/>
      <c r="AB209" s="214"/>
      <c r="AC209" s="216"/>
      <c r="AD209" s="218"/>
      <c r="AE209" s="221"/>
    </row>
    <row r="210" spans="1:31">
      <c r="A210" s="226"/>
      <c r="B210" s="226"/>
      <c r="C210" s="229"/>
      <c r="D210" s="232"/>
      <c r="E210" s="229"/>
      <c r="F210" s="229"/>
      <c r="G210" s="229"/>
      <c r="H210" s="91"/>
      <c r="I210" s="91"/>
      <c r="J210" s="91"/>
      <c r="K210" s="93"/>
      <c r="L210" s="82"/>
      <c r="M210" s="82"/>
      <c r="N210" s="147"/>
      <c r="O210" s="92"/>
      <c r="P210" s="92"/>
      <c r="Q210" s="92"/>
      <c r="R210" s="76"/>
      <c r="S210" s="77"/>
      <c r="T210" s="78"/>
      <c r="U210" s="40"/>
      <c r="V210" s="96"/>
      <c r="W210" s="74"/>
      <c r="X210" s="72"/>
      <c r="Y210" s="71"/>
      <c r="Z210" s="235"/>
      <c r="AA210" s="237"/>
      <c r="AB210" s="214"/>
      <c r="AC210" s="216"/>
      <c r="AD210" s="218"/>
      <c r="AE210" s="221"/>
    </row>
    <row r="211" spans="1:31">
      <c r="A211" s="227"/>
      <c r="B211" s="227"/>
      <c r="C211" s="230"/>
      <c r="D211" s="233"/>
      <c r="E211" s="230"/>
      <c r="F211" s="230"/>
      <c r="G211" s="230"/>
      <c r="H211" s="223" t="s">
        <v>150</v>
      </c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3"/>
      <c r="T211" s="146">
        <f>SUM(T202:T210)</f>
        <v>22.522324999999999</v>
      </c>
      <c r="U211" s="224" t="s">
        <v>151</v>
      </c>
      <c r="V211" s="224"/>
      <c r="W211" s="224"/>
      <c r="X211" s="224"/>
      <c r="Y211" s="81">
        <f>SUM(Y202:Y210)</f>
        <v>0.89999999999999991</v>
      </c>
      <c r="Z211" s="235"/>
      <c r="AA211" s="238"/>
      <c r="AB211" s="215"/>
      <c r="AC211" s="216"/>
      <c r="AD211" s="219"/>
      <c r="AE211" s="222"/>
    </row>
  </sheetData>
  <autoFilter ref="A3:AG10" xr:uid="{00000000-0009-0000-0000-000001000000}"/>
  <mergeCells count="428">
    <mergeCell ref="AE182:AE191"/>
    <mergeCell ref="H191:S191"/>
    <mergeCell ref="U191:X191"/>
    <mergeCell ref="G182:G191"/>
    <mergeCell ref="Z182:Z191"/>
    <mergeCell ref="AA182:AA191"/>
    <mergeCell ref="AB182:AB191"/>
    <mergeCell ref="AC182:AC191"/>
    <mergeCell ref="AD182:AD191"/>
    <mergeCell ref="A182:A191"/>
    <mergeCell ref="B182:B191"/>
    <mergeCell ref="C182:C191"/>
    <mergeCell ref="D182:D191"/>
    <mergeCell ref="E182:E191"/>
    <mergeCell ref="F182:F191"/>
    <mergeCell ref="Z175:Z181"/>
    <mergeCell ref="AA175:AA181"/>
    <mergeCell ref="AB175:AB181"/>
    <mergeCell ref="AC175:AC181"/>
    <mergeCell ref="AD175:AD181"/>
    <mergeCell ref="AE175:AE181"/>
    <mergeCell ref="AE168:AE174"/>
    <mergeCell ref="H174:S174"/>
    <mergeCell ref="U174:X174"/>
    <mergeCell ref="A175:A181"/>
    <mergeCell ref="B175:B181"/>
    <mergeCell ref="C175:C181"/>
    <mergeCell ref="D175:D181"/>
    <mergeCell ref="E175:E181"/>
    <mergeCell ref="F175:F181"/>
    <mergeCell ref="G175:G181"/>
    <mergeCell ref="G168:G174"/>
    <mergeCell ref="Z168:Z174"/>
    <mergeCell ref="AA168:AA174"/>
    <mergeCell ref="AB168:AB174"/>
    <mergeCell ref="AC168:AC174"/>
    <mergeCell ref="AD168:AD174"/>
    <mergeCell ref="H181:S181"/>
    <mergeCell ref="U181:X181"/>
    <mergeCell ref="AA161:AA167"/>
    <mergeCell ref="AB161:AB167"/>
    <mergeCell ref="AC161:AC167"/>
    <mergeCell ref="AD161:AD167"/>
    <mergeCell ref="AE161:AE167"/>
    <mergeCell ref="H167:S167"/>
    <mergeCell ref="U167:X167"/>
    <mergeCell ref="A168:A174"/>
    <mergeCell ref="B168:B174"/>
    <mergeCell ref="C168:C174"/>
    <mergeCell ref="D168:D174"/>
    <mergeCell ref="E168:E174"/>
    <mergeCell ref="F168:F174"/>
    <mergeCell ref="A161:A167"/>
    <mergeCell ref="B161:B167"/>
    <mergeCell ref="C161:C167"/>
    <mergeCell ref="D161:D167"/>
    <mergeCell ref="E161:E167"/>
    <mergeCell ref="F161:F167"/>
    <mergeCell ref="G161:G167"/>
    <mergeCell ref="T162:T163"/>
    <mergeCell ref="G154:G160"/>
    <mergeCell ref="Z154:Z160"/>
    <mergeCell ref="Z161:Z167"/>
    <mergeCell ref="AD147:AD153"/>
    <mergeCell ref="AE147:AE153"/>
    <mergeCell ref="H153:S153"/>
    <mergeCell ref="U153:X153"/>
    <mergeCell ref="A154:A160"/>
    <mergeCell ref="B154:B160"/>
    <mergeCell ref="C154:C160"/>
    <mergeCell ref="D154:D160"/>
    <mergeCell ref="E154:E160"/>
    <mergeCell ref="F154:F160"/>
    <mergeCell ref="Z147:Z153"/>
    <mergeCell ref="AA147:AA153"/>
    <mergeCell ref="AB147:AB153"/>
    <mergeCell ref="AC147:AC153"/>
    <mergeCell ref="AE154:AE160"/>
    <mergeCell ref="H160:S160"/>
    <mergeCell ref="U160:X160"/>
    <mergeCell ref="AA154:AA160"/>
    <mergeCell ref="AB154:AB160"/>
    <mergeCell ref="AC154:AC160"/>
    <mergeCell ref="AD154:AD160"/>
    <mergeCell ref="A147:A153"/>
    <mergeCell ref="B147:B153"/>
    <mergeCell ref="C147:C153"/>
    <mergeCell ref="D147:D153"/>
    <mergeCell ref="E147:E153"/>
    <mergeCell ref="F147:F153"/>
    <mergeCell ref="G147:G153"/>
    <mergeCell ref="A140:A146"/>
    <mergeCell ref="B140:B146"/>
    <mergeCell ref="C140:C146"/>
    <mergeCell ref="D140:D146"/>
    <mergeCell ref="E140:E146"/>
    <mergeCell ref="F140:F146"/>
    <mergeCell ref="G140:G146"/>
    <mergeCell ref="Z140:Z146"/>
    <mergeCell ref="AA140:AA146"/>
    <mergeCell ref="AB140:AB146"/>
    <mergeCell ref="AC140:AC146"/>
    <mergeCell ref="AD140:AD146"/>
    <mergeCell ref="AE140:AE146"/>
    <mergeCell ref="AE133:AE139"/>
    <mergeCell ref="H139:S139"/>
    <mergeCell ref="U139:X139"/>
    <mergeCell ref="H146:S146"/>
    <mergeCell ref="U146:X146"/>
    <mergeCell ref="G133:G139"/>
    <mergeCell ref="Z133:Z139"/>
    <mergeCell ref="AA133:AA139"/>
    <mergeCell ref="AB133:AB139"/>
    <mergeCell ref="AC133:AC139"/>
    <mergeCell ref="AD133:AD139"/>
    <mergeCell ref="A133:A139"/>
    <mergeCell ref="B133:B139"/>
    <mergeCell ref="C133:C139"/>
    <mergeCell ref="D133:D139"/>
    <mergeCell ref="E133:E139"/>
    <mergeCell ref="F133:F139"/>
    <mergeCell ref="AA126:AA132"/>
    <mergeCell ref="AB126:AB132"/>
    <mergeCell ref="AC126:AC132"/>
    <mergeCell ref="AD126:AD132"/>
    <mergeCell ref="AE126:AE132"/>
    <mergeCell ref="H132:S132"/>
    <mergeCell ref="U132:X132"/>
    <mergeCell ref="C126:C132"/>
    <mergeCell ref="D126:D132"/>
    <mergeCell ref="E126:E132"/>
    <mergeCell ref="F126:F132"/>
    <mergeCell ref="G126:G132"/>
    <mergeCell ref="Z126:Z132"/>
    <mergeCell ref="AD114:AD125"/>
    <mergeCell ref="AE114:AE125"/>
    <mergeCell ref="H125:S125"/>
    <mergeCell ref="U125:X125"/>
    <mergeCell ref="AE107:AE113"/>
    <mergeCell ref="H113:S113"/>
    <mergeCell ref="U113:X113"/>
    <mergeCell ref="AA107:AA113"/>
    <mergeCell ref="AB107:AB113"/>
    <mergeCell ref="AC107:AC113"/>
    <mergeCell ref="AD107:AD113"/>
    <mergeCell ref="AB100:AB106"/>
    <mergeCell ref="AC100:AC106"/>
    <mergeCell ref="A114:A125"/>
    <mergeCell ref="B114:B125"/>
    <mergeCell ref="C114:C125"/>
    <mergeCell ref="D114:D125"/>
    <mergeCell ref="E114:E125"/>
    <mergeCell ref="F114:F125"/>
    <mergeCell ref="G114:G125"/>
    <mergeCell ref="G107:G113"/>
    <mergeCell ref="Z107:Z113"/>
    <mergeCell ref="AA114:AA125"/>
    <mergeCell ref="AB114:AB125"/>
    <mergeCell ref="AC114:AC125"/>
    <mergeCell ref="AC93:AC99"/>
    <mergeCell ref="AD93:AD99"/>
    <mergeCell ref="AE93:AE99"/>
    <mergeCell ref="H99:S99"/>
    <mergeCell ref="U99:X99"/>
    <mergeCell ref="A100:A106"/>
    <mergeCell ref="B100:B106"/>
    <mergeCell ref="C100:C106"/>
    <mergeCell ref="D100:D106"/>
    <mergeCell ref="E100:E106"/>
    <mergeCell ref="E93:E99"/>
    <mergeCell ref="F93:F99"/>
    <mergeCell ref="G93:G99"/>
    <mergeCell ref="Z93:Z99"/>
    <mergeCell ref="AA93:AA99"/>
    <mergeCell ref="AB93:AB99"/>
    <mergeCell ref="AD100:AD106"/>
    <mergeCell ref="AE100:AE106"/>
    <mergeCell ref="H106:S106"/>
    <mergeCell ref="U106:X106"/>
    <mergeCell ref="F100:F106"/>
    <mergeCell ref="G100:G106"/>
    <mergeCell ref="Z100:Z106"/>
    <mergeCell ref="AA100:AA106"/>
    <mergeCell ref="AA86:AA92"/>
    <mergeCell ref="AB86:AB92"/>
    <mergeCell ref="AC86:AC92"/>
    <mergeCell ref="AD86:AD92"/>
    <mergeCell ref="AE86:AE92"/>
    <mergeCell ref="AD79:AD85"/>
    <mergeCell ref="AE79:AE85"/>
    <mergeCell ref="H85:S85"/>
    <mergeCell ref="U85:X85"/>
    <mergeCell ref="AD72:AD78"/>
    <mergeCell ref="AE72:AE78"/>
    <mergeCell ref="H78:S78"/>
    <mergeCell ref="U78:X78"/>
    <mergeCell ref="A79:A85"/>
    <mergeCell ref="B79:B85"/>
    <mergeCell ref="C79:C85"/>
    <mergeCell ref="D79:D85"/>
    <mergeCell ref="E79:E85"/>
    <mergeCell ref="F79:F85"/>
    <mergeCell ref="Z79:Z85"/>
    <mergeCell ref="AA79:AA85"/>
    <mergeCell ref="AB79:AB85"/>
    <mergeCell ref="AC79:AC85"/>
    <mergeCell ref="G79:G85"/>
    <mergeCell ref="AD65:AD71"/>
    <mergeCell ref="AE65:AE71"/>
    <mergeCell ref="H71:S71"/>
    <mergeCell ref="U71:X71"/>
    <mergeCell ref="A72:A78"/>
    <mergeCell ref="B72:B78"/>
    <mergeCell ref="C72:C78"/>
    <mergeCell ref="D72:D78"/>
    <mergeCell ref="E72:E78"/>
    <mergeCell ref="F72:F78"/>
    <mergeCell ref="E65:E71"/>
    <mergeCell ref="F65:F71"/>
    <mergeCell ref="G65:G71"/>
    <mergeCell ref="Z65:Z71"/>
    <mergeCell ref="AA65:AA71"/>
    <mergeCell ref="AB65:AB71"/>
    <mergeCell ref="G72:G78"/>
    <mergeCell ref="Z72:Z78"/>
    <mergeCell ref="AA72:AA78"/>
    <mergeCell ref="AB72:AB78"/>
    <mergeCell ref="AC65:AC71"/>
    <mergeCell ref="AC72:AC78"/>
    <mergeCell ref="A65:A71"/>
    <mergeCell ref="B65:B71"/>
    <mergeCell ref="AB58:AB64"/>
    <mergeCell ref="AC58:AC64"/>
    <mergeCell ref="AD58:AD64"/>
    <mergeCell ref="AE58:AE64"/>
    <mergeCell ref="H64:S64"/>
    <mergeCell ref="U64:X64"/>
    <mergeCell ref="D58:D64"/>
    <mergeCell ref="E58:E64"/>
    <mergeCell ref="F58:F64"/>
    <mergeCell ref="G58:G64"/>
    <mergeCell ref="Z58:Z64"/>
    <mergeCell ref="AA58:AA64"/>
    <mergeCell ref="AC11:AC20"/>
    <mergeCell ref="AD11:AD20"/>
    <mergeCell ref="AE11:AE20"/>
    <mergeCell ref="AD21:AD29"/>
    <mergeCell ref="G11:G20"/>
    <mergeCell ref="G21:G29"/>
    <mergeCell ref="AA51:AA57"/>
    <mergeCell ref="AB51:AB57"/>
    <mergeCell ref="AC51:AC57"/>
    <mergeCell ref="AD51:AD57"/>
    <mergeCell ref="AE51:AE57"/>
    <mergeCell ref="H57:S57"/>
    <mergeCell ref="U57:X57"/>
    <mergeCell ref="AC44:AC50"/>
    <mergeCell ref="AD44:AD50"/>
    <mergeCell ref="AE44:AE50"/>
    <mergeCell ref="H50:S50"/>
    <mergeCell ref="U50:X50"/>
    <mergeCell ref="AA44:AA50"/>
    <mergeCell ref="AB44:AB50"/>
    <mergeCell ref="G30:G36"/>
    <mergeCell ref="Z30:Z36"/>
    <mergeCell ref="AA37:AA43"/>
    <mergeCell ref="AB37:AB43"/>
    <mergeCell ref="AC37:AC43"/>
    <mergeCell ref="AD37:AD43"/>
    <mergeCell ref="AE37:AE43"/>
    <mergeCell ref="H43:S43"/>
    <mergeCell ref="U43:X43"/>
    <mergeCell ref="AD30:AD36"/>
    <mergeCell ref="AE30:AE36"/>
    <mergeCell ref="H36:S36"/>
    <mergeCell ref="U36:X36"/>
    <mergeCell ref="AA30:AA36"/>
    <mergeCell ref="AB30:AB36"/>
    <mergeCell ref="AC30:AC36"/>
    <mergeCell ref="F21:F29"/>
    <mergeCell ref="A11:A20"/>
    <mergeCell ref="B11:B20"/>
    <mergeCell ref="C11:C20"/>
    <mergeCell ref="D11:D20"/>
    <mergeCell ref="E11:E20"/>
    <mergeCell ref="F11:F20"/>
    <mergeCell ref="A4:A10"/>
    <mergeCell ref="F30:F36"/>
    <mergeCell ref="A30:A36"/>
    <mergeCell ref="B30:B36"/>
    <mergeCell ref="C30:C36"/>
    <mergeCell ref="D30:D36"/>
    <mergeCell ref="E30:E36"/>
    <mergeCell ref="A21:A29"/>
    <mergeCell ref="B21:B29"/>
    <mergeCell ref="C21:C29"/>
    <mergeCell ref="D21:D29"/>
    <mergeCell ref="E21:E29"/>
    <mergeCell ref="A126:A132"/>
    <mergeCell ref="B126:B132"/>
    <mergeCell ref="Z114:Z125"/>
    <mergeCell ref="A93:A99"/>
    <mergeCell ref="B93:B99"/>
    <mergeCell ref="C93:C99"/>
    <mergeCell ref="D93:D99"/>
    <mergeCell ref="H92:S92"/>
    <mergeCell ref="U92:X92"/>
    <mergeCell ref="G86:G92"/>
    <mergeCell ref="A86:A92"/>
    <mergeCell ref="B86:B92"/>
    <mergeCell ref="C86:C92"/>
    <mergeCell ref="D86:D92"/>
    <mergeCell ref="E86:E92"/>
    <mergeCell ref="F86:F92"/>
    <mergeCell ref="Z86:Z92"/>
    <mergeCell ref="A107:A113"/>
    <mergeCell ref="B107:B113"/>
    <mergeCell ref="C107:C113"/>
    <mergeCell ref="D107:D113"/>
    <mergeCell ref="E107:E113"/>
    <mergeCell ref="F107:F113"/>
    <mergeCell ref="A58:A64"/>
    <mergeCell ref="B58:B64"/>
    <mergeCell ref="C58:C64"/>
    <mergeCell ref="Z37:Z43"/>
    <mergeCell ref="G37:G43"/>
    <mergeCell ref="A44:A50"/>
    <mergeCell ref="B44:B50"/>
    <mergeCell ref="C44:C50"/>
    <mergeCell ref="D44:D50"/>
    <mergeCell ref="A37:A43"/>
    <mergeCell ref="B37:B43"/>
    <mergeCell ref="C37:C43"/>
    <mergeCell ref="D37:D43"/>
    <mergeCell ref="E37:E43"/>
    <mergeCell ref="F37:F43"/>
    <mergeCell ref="A51:A57"/>
    <mergeCell ref="B51:B57"/>
    <mergeCell ref="C51:C57"/>
    <mergeCell ref="D51:D57"/>
    <mergeCell ref="E51:E57"/>
    <mergeCell ref="E44:E50"/>
    <mergeCell ref="F44:F50"/>
    <mergeCell ref="G44:G50"/>
    <mergeCell ref="Z44:Z50"/>
    <mergeCell ref="AE4:AE10"/>
    <mergeCell ref="AB2:AB3"/>
    <mergeCell ref="AC2:AC3"/>
    <mergeCell ref="AD2:AD3"/>
    <mergeCell ref="AE2:AE3"/>
    <mergeCell ref="Z2:Z3"/>
    <mergeCell ref="AA2:AA3"/>
    <mergeCell ref="C65:C71"/>
    <mergeCell ref="D65:D71"/>
    <mergeCell ref="Z51:Z57"/>
    <mergeCell ref="G51:G57"/>
    <mergeCell ref="F51:F57"/>
    <mergeCell ref="AE21:AE29"/>
    <mergeCell ref="H29:S29"/>
    <mergeCell ref="U29:X29"/>
    <mergeCell ref="Z21:Z29"/>
    <mergeCell ref="AA21:AA29"/>
    <mergeCell ref="AB21:AB29"/>
    <mergeCell ref="AC21:AC29"/>
    <mergeCell ref="H20:S20"/>
    <mergeCell ref="U20:X20"/>
    <mergeCell ref="Z11:Z20"/>
    <mergeCell ref="AA11:AA20"/>
    <mergeCell ref="AB11:AB20"/>
    <mergeCell ref="U2:Y2"/>
    <mergeCell ref="U10:X10"/>
    <mergeCell ref="G2:G3"/>
    <mergeCell ref="G4:G10"/>
    <mergeCell ref="Z4:Z10"/>
    <mergeCell ref="AA4:AA10"/>
    <mergeCell ref="AB4:AB10"/>
    <mergeCell ref="AC4:AC10"/>
    <mergeCell ref="AD4:AD10"/>
    <mergeCell ref="H10:S10"/>
    <mergeCell ref="I2:I3"/>
    <mergeCell ref="D192:D201"/>
    <mergeCell ref="E192:E201"/>
    <mergeCell ref="F192:F201"/>
    <mergeCell ref="G192:G201"/>
    <mergeCell ref="Z192:Z201"/>
    <mergeCell ref="AA192:AA201"/>
    <mergeCell ref="A1:AB1"/>
    <mergeCell ref="B2:B3"/>
    <mergeCell ref="C2:C3"/>
    <mergeCell ref="D2:D3"/>
    <mergeCell ref="E2:E3"/>
    <mergeCell ref="F2:F3"/>
    <mergeCell ref="H2:H3"/>
    <mergeCell ref="J2:J3"/>
    <mergeCell ref="K2:K3"/>
    <mergeCell ref="L2:N2"/>
    <mergeCell ref="B4:B10"/>
    <mergeCell ref="C4:C10"/>
    <mergeCell ref="D4:D10"/>
    <mergeCell ref="E4:E10"/>
    <mergeCell ref="F4:F10"/>
    <mergeCell ref="O2:P2"/>
    <mergeCell ref="Q2:S2"/>
    <mergeCell ref="T2:T3"/>
    <mergeCell ref="AB192:AB201"/>
    <mergeCell ref="AC192:AC201"/>
    <mergeCell ref="AD192:AD201"/>
    <mergeCell ref="AE192:AE201"/>
    <mergeCell ref="H201:S201"/>
    <mergeCell ref="U201:X201"/>
    <mergeCell ref="A202:A211"/>
    <mergeCell ref="B202:B211"/>
    <mergeCell ref="C202:C211"/>
    <mergeCell ref="D202:D211"/>
    <mergeCell ref="E202:E211"/>
    <mergeCell ref="F202:F211"/>
    <mergeCell ref="G202:G211"/>
    <mergeCell ref="Z202:Z211"/>
    <mergeCell ref="AA202:AA211"/>
    <mergeCell ref="AB202:AB211"/>
    <mergeCell ref="AC202:AC211"/>
    <mergeCell ref="AD202:AD211"/>
    <mergeCell ref="AE202:AE211"/>
    <mergeCell ref="H211:S211"/>
    <mergeCell ref="U211:X211"/>
    <mergeCell ref="A192:A201"/>
    <mergeCell ref="B192:B201"/>
    <mergeCell ref="C192:C201"/>
  </mergeCells>
  <phoneticPr fontId="7" type="noConversion"/>
  <conditionalFormatting sqref="E212:E1048576 E1:E10">
    <cfRule type="duplicateValues" dxfId="33" priority="35"/>
  </conditionalFormatting>
  <conditionalFormatting sqref="E11:E20">
    <cfRule type="duplicateValues" dxfId="32" priority="34"/>
  </conditionalFormatting>
  <conditionalFormatting sqref="E21:E29">
    <cfRule type="duplicateValues" dxfId="31" priority="33"/>
  </conditionalFormatting>
  <conditionalFormatting sqref="E30:E36">
    <cfRule type="duplicateValues" dxfId="30" priority="32"/>
  </conditionalFormatting>
  <conditionalFormatting sqref="E37:E43">
    <cfRule type="duplicateValues" dxfId="29" priority="31"/>
  </conditionalFormatting>
  <conditionalFormatting sqref="E44:E50">
    <cfRule type="duplicateValues" dxfId="28" priority="30"/>
  </conditionalFormatting>
  <conditionalFormatting sqref="E51:E57">
    <cfRule type="duplicateValues" dxfId="27" priority="29"/>
  </conditionalFormatting>
  <conditionalFormatting sqref="E58:E64">
    <cfRule type="duplicateValues" dxfId="26" priority="28"/>
  </conditionalFormatting>
  <conditionalFormatting sqref="E65:E71">
    <cfRule type="duplicateValues" dxfId="25" priority="27"/>
  </conditionalFormatting>
  <conditionalFormatting sqref="E72:E78">
    <cfRule type="duplicateValues" dxfId="24" priority="26"/>
  </conditionalFormatting>
  <conditionalFormatting sqref="E79:E85">
    <cfRule type="duplicateValues" dxfId="23" priority="25"/>
  </conditionalFormatting>
  <conditionalFormatting sqref="E86:E92">
    <cfRule type="duplicateValues" dxfId="22" priority="24"/>
  </conditionalFormatting>
  <conditionalFormatting sqref="E93:E99">
    <cfRule type="duplicateValues" dxfId="21" priority="23"/>
  </conditionalFormatting>
  <conditionalFormatting sqref="E100:E106">
    <cfRule type="duplicateValues" dxfId="20" priority="22"/>
  </conditionalFormatting>
  <conditionalFormatting sqref="E107:E113">
    <cfRule type="duplicateValues" dxfId="19" priority="21"/>
  </conditionalFormatting>
  <conditionalFormatting sqref="E126:E132">
    <cfRule type="duplicateValues" dxfId="18" priority="19"/>
  </conditionalFormatting>
  <conditionalFormatting sqref="E114:E125">
    <cfRule type="duplicateValues" dxfId="17" priority="37"/>
  </conditionalFormatting>
  <conditionalFormatting sqref="E133:E139">
    <cfRule type="duplicateValues" dxfId="16" priority="18"/>
  </conditionalFormatting>
  <conditionalFormatting sqref="E140:E146">
    <cfRule type="duplicateValues" dxfId="15" priority="17"/>
  </conditionalFormatting>
  <conditionalFormatting sqref="E147:E153">
    <cfRule type="duplicateValues" dxfId="14" priority="16"/>
  </conditionalFormatting>
  <conditionalFormatting sqref="E154:E160">
    <cfRule type="duplicateValues" dxfId="13" priority="15"/>
  </conditionalFormatting>
  <conditionalFormatting sqref="E161:E167">
    <cfRule type="duplicateValues" dxfId="12" priority="14"/>
  </conditionalFormatting>
  <conditionalFormatting sqref="I162">
    <cfRule type="duplicateValues" dxfId="11" priority="13"/>
  </conditionalFormatting>
  <conditionalFormatting sqref="I163">
    <cfRule type="duplicateValues" dxfId="10" priority="12"/>
  </conditionalFormatting>
  <conditionalFormatting sqref="E168:E174">
    <cfRule type="duplicateValues" dxfId="9" priority="11"/>
  </conditionalFormatting>
  <conditionalFormatting sqref="I169">
    <cfRule type="duplicateValues" dxfId="8" priority="10"/>
  </conditionalFormatting>
  <conditionalFormatting sqref="I170">
    <cfRule type="duplicateValues" dxfId="7" priority="9"/>
  </conditionalFormatting>
  <conditionalFormatting sqref="E175:E181">
    <cfRule type="duplicateValues" dxfId="6" priority="8"/>
  </conditionalFormatting>
  <conditionalFormatting sqref="I176">
    <cfRule type="duplicateValues" dxfId="5" priority="7"/>
  </conditionalFormatting>
  <conditionalFormatting sqref="I177">
    <cfRule type="duplicateValues" dxfId="4" priority="6"/>
  </conditionalFormatting>
  <conditionalFormatting sqref="E182:E191">
    <cfRule type="duplicateValues" dxfId="3" priority="5"/>
  </conditionalFormatting>
  <conditionalFormatting sqref="E192:E201">
    <cfRule type="duplicateValues" dxfId="2" priority="2"/>
  </conditionalFormatting>
  <conditionalFormatting sqref="E202:E211">
    <cfRule type="duplicateValues" dxfId="1" priority="1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46" orientation="landscape" r:id="rId1"/>
  <rowBreaks count="2" manualBreakCount="2">
    <brk id="106" max="28" man="1"/>
    <brk id="174" max="30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111E-08EA-4350-B1C1-931180E34DEA}">
  <dimension ref="A1:N13"/>
  <sheetViews>
    <sheetView topLeftCell="B1" workbookViewId="0">
      <selection activeCell="K21" sqref="K21"/>
    </sheetView>
  </sheetViews>
  <sheetFormatPr defaultRowHeight="14.4"/>
  <cols>
    <col min="1" max="1" width="9.44140625" hidden="1" customWidth="1"/>
    <col min="2" max="2" width="9.21875" customWidth="1"/>
    <col min="3" max="3" width="14.77734375" customWidth="1"/>
    <col min="4" max="4" width="3.6640625" customWidth="1"/>
    <col min="5" max="5" width="10.44140625" hidden="1" customWidth="1"/>
    <col min="6" max="6" width="8.44140625" customWidth="1"/>
    <col min="7" max="7" width="7.33203125" customWidth="1"/>
    <col min="8" max="8" width="6.77734375" customWidth="1"/>
    <col min="9" max="9" width="7.44140625" customWidth="1"/>
    <col min="10" max="10" width="7.21875" customWidth="1"/>
    <col min="11" max="11" width="7.109375" customWidth="1"/>
    <col min="12" max="12" width="7.44140625" customWidth="1"/>
    <col min="13" max="13" width="10.5546875" bestFit="1" customWidth="1"/>
    <col min="14" max="14" width="15.109375" customWidth="1"/>
  </cols>
  <sheetData>
    <row r="1" spans="1:14">
      <c r="B1" s="266" t="s">
        <v>251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>
      <c r="A2" s="261" t="s">
        <v>110</v>
      </c>
      <c r="B2" s="262" t="s">
        <v>0</v>
      </c>
      <c r="C2" s="262" t="s">
        <v>1</v>
      </c>
      <c r="D2" s="263" t="s">
        <v>4</v>
      </c>
      <c r="E2" s="262" t="s">
        <v>9</v>
      </c>
      <c r="F2" s="262" t="s">
        <v>120</v>
      </c>
      <c r="G2" s="264" t="s">
        <v>244</v>
      </c>
      <c r="H2" s="264"/>
      <c r="I2" s="264"/>
      <c r="J2" s="264" t="s">
        <v>245</v>
      </c>
      <c r="K2" s="264"/>
      <c r="L2" s="264"/>
      <c r="M2" s="265" t="s">
        <v>247</v>
      </c>
      <c r="N2" s="265" t="s">
        <v>248</v>
      </c>
    </row>
    <row r="3" spans="1:14">
      <c r="A3" s="261"/>
      <c r="B3" s="262"/>
      <c r="C3" s="262"/>
      <c r="D3" s="263"/>
      <c r="E3" s="262"/>
      <c r="F3" s="262"/>
      <c r="G3" s="151" t="s">
        <v>10</v>
      </c>
      <c r="H3" s="151" t="s">
        <v>11</v>
      </c>
      <c r="I3" s="152" t="s">
        <v>12</v>
      </c>
      <c r="J3" s="151" t="s">
        <v>10</v>
      </c>
      <c r="K3" s="151" t="s">
        <v>11</v>
      </c>
      <c r="L3" s="152" t="s">
        <v>12</v>
      </c>
      <c r="M3" s="265"/>
      <c r="N3" s="265"/>
    </row>
    <row r="4" spans="1:14" ht="22.2" customHeight="1">
      <c r="A4" s="164" t="s">
        <v>105</v>
      </c>
      <c r="B4" s="153" t="s">
        <v>236</v>
      </c>
      <c r="C4" s="153" t="s">
        <v>237</v>
      </c>
      <c r="D4" s="154">
        <v>1</v>
      </c>
      <c r="E4" s="155" t="s">
        <v>79</v>
      </c>
      <c r="F4" s="155" t="s">
        <v>19</v>
      </c>
      <c r="G4" s="165">
        <v>32.729999999999997</v>
      </c>
      <c r="H4" s="165">
        <v>1.72</v>
      </c>
      <c r="I4" s="165">
        <v>34.449999999999996</v>
      </c>
      <c r="J4" s="165">
        <v>30</v>
      </c>
      <c r="K4" s="165">
        <v>1.72</v>
      </c>
      <c r="L4" s="166">
        <v>31.72</v>
      </c>
      <c r="M4" s="167">
        <v>245000</v>
      </c>
      <c r="N4" s="164" t="s">
        <v>249</v>
      </c>
    </row>
    <row r="5" spans="1:14" ht="22.2" customHeight="1">
      <c r="A5" s="164" t="s">
        <v>105</v>
      </c>
      <c r="B5" s="153" t="s">
        <v>240</v>
      </c>
      <c r="C5" s="153" t="s">
        <v>235</v>
      </c>
      <c r="D5" s="154">
        <v>1</v>
      </c>
      <c r="E5" s="155" t="s">
        <v>79</v>
      </c>
      <c r="F5" s="155" t="s">
        <v>19</v>
      </c>
      <c r="G5" s="165">
        <v>34.24</v>
      </c>
      <c r="H5" s="165">
        <v>1.72</v>
      </c>
      <c r="I5" s="165">
        <v>35.96</v>
      </c>
      <c r="J5" s="165">
        <v>31</v>
      </c>
      <c r="K5" s="165">
        <v>1.72</v>
      </c>
      <c r="L5" s="166">
        <v>32.72</v>
      </c>
      <c r="M5" s="167">
        <v>245000</v>
      </c>
      <c r="N5" s="164" t="s">
        <v>249</v>
      </c>
    </row>
    <row r="6" spans="1:14" ht="20.399999999999999">
      <c r="A6" s="164" t="s">
        <v>111</v>
      </c>
      <c r="B6" s="156" t="s">
        <v>26</v>
      </c>
      <c r="C6" s="156" t="s">
        <v>27</v>
      </c>
      <c r="D6" s="154">
        <v>1</v>
      </c>
      <c r="E6" s="157" t="s">
        <v>230</v>
      </c>
      <c r="F6" s="157" t="s">
        <v>215</v>
      </c>
      <c r="G6" s="165">
        <v>8.2799999999999994</v>
      </c>
      <c r="H6" s="165">
        <v>0.31</v>
      </c>
      <c r="I6" s="165">
        <v>8.59</v>
      </c>
      <c r="J6" s="165">
        <v>6.6</v>
      </c>
      <c r="K6" s="165">
        <v>0.31</v>
      </c>
      <c r="L6" s="166">
        <v>6.9099999999999993</v>
      </c>
      <c r="M6" s="167">
        <v>31000</v>
      </c>
      <c r="N6" s="164" t="s">
        <v>250</v>
      </c>
    </row>
    <row r="7" spans="1:14" ht="20.399999999999999">
      <c r="A7" s="164" t="s">
        <v>112</v>
      </c>
      <c r="B7" s="158" t="s">
        <v>33</v>
      </c>
      <c r="C7" s="156" t="s">
        <v>34</v>
      </c>
      <c r="D7" s="154">
        <v>1</v>
      </c>
      <c r="E7" s="157" t="s">
        <v>230</v>
      </c>
      <c r="F7" s="157" t="s">
        <v>215</v>
      </c>
      <c r="G7" s="165">
        <v>14.04</v>
      </c>
      <c r="H7" s="165">
        <v>0.36299999999999999</v>
      </c>
      <c r="I7" s="165">
        <v>14.402999999999999</v>
      </c>
      <c r="J7" s="165">
        <v>12.24</v>
      </c>
      <c r="K7" s="165">
        <v>0.36299999999999999</v>
      </c>
      <c r="L7" s="166">
        <v>12.603</v>
      </c>
      <c r="M7" s="167">
        <v>36300</v>
      </c>
      <c r="N7" s="164" t="s">
        <v>250</v>
      </c>
    </row>
    <row r="8" spans="1:14" ht="20.399999999999999">
      <c r="A8" s="164" t="s">
        <v>112</v>
      </c>
      <c r="B8" s="158" t="s">
        <v>64</v>
      </c>
      <c r="C8" s="159" t="s">
        <v>65</v>
      </c>
      <c r="D8" s="154">
        <v>1</v>
      </c>
      <c r="E8" s="157" t="s">
        <v>231</v>
      </c>
      <c r="F8" s="157" t="s">
        <v>215</v>
      </c>
      <c r="G8" s="165">
        <v>15.3</v>
      </c>
      <c r="H8" s="165">
        <v>0.41099999999999998</v>
      </c>
      <c r="I8" s="165">
        <v>15.711</v>
      </c>
      <c r="J8" s="165">
        <v>13.98</v>
      </c>
      <c r="K8" s="165">
        <v>0.41099999999999998</v>
      </c>
      <c r="L8" s="166">
        <v>14.391</v>
      </c>
      <c r="M8" s="167">
        <v>41100</v>
      </c>
      <c r="N8" s="164" t="s">
        <v>250</v>
      </c>
    </row>
    <row r="9" spans="1:14" ht="19.2">
      <c r="A9" s="164" t="s">
        <v>105</v>
      </c>
      <c r="B9" s="153" t="s">
        <v>101</v>
      </c>
      <c r="C9" s="153" t="s">
        <v>102</v>
      </c>
      <c r="D9" s="154">
        <v>1</v>
      </c>
      <c r="E9" s="153" t="s">
        <v>104</v>
      </c>
      <c r="F9" s="157" t="s">
        <v>215</v>
      </c>
      <c r="G9" s="165">
        <v>15.48</v>
      </c>
      <c r="H9" s="165">
        <v>0.44</v>
      </c>
      <c r="I9" s="165">
        <v>15.92</v>
      </c>
      <c r="J9" s="165">
        <v>12.97</v>
      </c>
      <c r="K9" s="165">
        <v>0.44</v>
      </c>
      <c r="L9" s="166">
        <v>13.41</v>
      </c>
      <c r="M9" s="167">
        <v>44000</v>
      </c>
      <c r="N9" s="164" t="s">
        <v>250</v>
      </c>
    </row>
    <row r="10" spans="1:14" ht="19.2">
      <c r="A10" s="164" t="s">
        <v>105</v>
      </c>
      <c r="B10" s="160" t="s">
        <v>106</v>
      </c>
      <c r="C10" s="161" t="s">
        <v>107</v>
      </c>
      <c r="D10" s="154">
        <v>1</v>
      </c>
      <c r="E10" s="155" t="s">
        <v>80</v>
      </c>
      <c r="F10" s="157" t="s">
        <v>221</v>
      </c>
      <c r="G10" s="165">
        <v>1.1858407079646021</v>
      </c>
      <c r="H10" s="165">
        <v>8.0000000000000016E-2</v>
      </c>
      <c r="I10" s="165">
        <v>1.2658407079646021</v>
      </c>
      <c r="J10" s="165">
        <v>1.04</v>
      </c>
      <c r="K10" s="165">
        <v>8.0000000000000016E-2</v>
      </c>
      <c r="L10" s="166">
        <v>1.1200000000000001</v>
      </c>
      <c r="M10" s="167">
        <v>8000.0000000000009</v>
      </c>
      <c r="N10" s="164" t="s">
        <v>250</v>
      </c>
    </row>
    <row r="11" spans="1:14" ht="25.2" customHeight="1">
      <c r="A11" s="164" t="s">
        <v>105</v>
      </c>
      <c r="B11" s="160" t="s">
        <v>114</v>
      </c>
      <c r="C11" s="161" t="s">
        <v>246</v>
      </c>
      <c r="D11" s="154">
        <v>1</v>
      </c>
      <c r="E11" s="155" t="s">
        <v>103</v>
      </c>
      <c r="F11" s="157" t="s">
        <v>221</v>
      </c>
      <c r="G11" s="165">
        <v>14.946902654867259</v>
      </c>
      <c r="H11" s="165">
        <v>8.0000000000000016E-2</v>
      </c>
      <c r="I11" s="165">
        <v>15.026902654867259</v>
      </c>
      <c r="J11" s="165">
        <v>12.56</v>
      </c>
      <c r="K11" s="165">
        <v>8.0000000000000016E-2</v>
      </c>
      <c r="L11" s="166">
        <v>12.64</v>
      </c>
      <c r="M11" s="167">
        <v>8000.0000000000009</v>
      </c>
      <c r="N11" s="164" t="s">
        <v>250</v>
      </c>
    </row>
    <row r="12" spans="1:14" ht="25.2" customHeight="1">
      <c r="A12" s="164" t="s">
        <v>105</v>
      </c>
      <c r="B12" s="162" t="s">
        <v>116</v>
      </c>
      <c r="C12" s="163" t="s">
        <v>117</v>
      </c>
      <c r="D12" s="154">
        <v>1</v>
      </c>
      <c r="E12" s="155" t="s">
        <v>103</v>
      </c>
      <c r="F12" s="157" t="s">
        <v>221</v>
      </c>
      <c r="G12" s="165">
        <v>9.0265486725663724</v>
      </c>
      <c r="H12" s="165">
        <v>7.0796460176991163E-2</v>
      </c>
      <c r="I12" s="165">
        <v>9.0973451327433636</v>
      </c>
      <c r="J12" s="165">
        <v>8.23</v>
      </c>
      <c r="K12" s="165">
        <v>7.0796460176991163E-2</v>
      </c>
      <c r="L12" s="166">
        <v>8.3007964601769917</v>
      </c>
      <c r="M12" s="167">
        <v>7079.6460176991159</v>
      </c>
      <c r="N12" s="164" t="s">
        <v>250</v>
      </c>
    </row>
    <row r="13" spans="1:14" ht="25.2" customHeight="1">
      <c r="A13" s="164" t="s">
        <v>105</v>
      </c>
      <c r="B13" s="160" t="s">
        <v>99</v>
      </c>
      <c r="C13" s="161" t="s">
        <v>100</v>
      </c>
      <c r="D13" s="154">
        <v>1</v>
      </c>
      <c r="E13" s="155" t="s">
        <v>80</v>
      </c>
      <c r="F13" s="157" t="s">
        <v>221</v>
      </c>
      <c r="G13" s="165">
        <v>1.1858407079646021</v>
      </c>
      <c r="H13" s="165">
        <v>8.0000000000000016E-2</v>
      </c>
      <c r="I13" s="165">
        <v>1.2658407079646021</v>
      </c>
      <c r="J13" s="165">
        <v>1.04</v>
      </c>
      <c r="K13" s="165">
        <v>8.0000000000000016E-2</v>
      </c>
      <c r="L13" s="166">
        <v>1.1200000000000001</v>
      </c>
      <c r="M13" s="167">
        <v>8000.0000000000009</v>
      </c>
      <c r="N13" s="164" t="s">
        <v>250</v>
      </c>
    </row>
  </sheetData>
  <mergeCells count="11">
    <mergeCell ref="G2:I2"/>
    <mergeCell ref="J2:L2"/>
    <mergeCell ref="M2:M3"/>
    <mergeCell ref="N2:N3"/>
    <mergeCell ref="B1:N1"/>
    <mergeCell ref="F2:F3"/>
    <mergeCell ref="A2:A3"/>
    <mergeCell ref="B2:B3"/>
    <mergeCell ref="C2:C3"/>
    <mergeCell ref="D2:D3"/>
    <mergeCell ref="E2:E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产品价格</vt:lpstr>
      <vt:lpstr>模具费</vt:lpstr>
      <vt:lpstr>冲压件核价</vt:lpstr>
      <vt:lpstr>Sheet2</vt:lpstr>
      <vt:lpstr>冲压件核价!Print_Area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2006-09-13T11:21:00Z</dcterms:created>
  <dcterms:modified xsi:type="dcterms:W3CDTF">2021-09-28T09:42:44Z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