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18525" windowHeight="636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'2022年'!$A$1:$L$48</definedName>
    <definedName name="_xlnm.Print_Area" localSheetId="4">'2023年'!$A$1:$L$48</definedName>
    <definedName name="_xlnm.Print_Area" localSheetId="5">'2024年'!$A$1:$L$48</definedName>
    <definedName name="_xlnm.Print_Area" localSheetId="6">'2025年'!$A$1:$H$48</definedName>
    <definedName name="_xlnm.Print_Area" localSheetId="7">'2026年'!$A$1:$H$48</definedName>
    <definedName name="_xlnm.Print_Area" localSheetId="1">损益表!$A$1:$H$65</definedName>
    <definedName name="_xlnm.Print_Area" localSheetId="8">项目投资!$A$1:$C$35</definedName>
  </definedNames>
  <calcPr calcId="145621"/>
</workbook>
</file>

<file path=xl/calcChain.xml><?xml version="1.0" encoding="utf-8"?>
<calcChain xmlns="http://schemas.openxmlformats.org/spreadsheetml/2006/main">
  <c r="E57" i="50" l="1"/>
  <c r="E58" i="50"/>
  <c r="E59" i="50"/>
  <c r="E60" i="50"/>
  <c r="E61" i="50"/>
  <c r="E62" i="50"/>
  <c r="E63" i="50"/>
  <c r="E56" i="50"/>
  <c r="E44" i="50"/>
  <c r="E45" i="50"/>
  <c r="E46" i="50"/>
  <c r="E47" i="50"/>
  <c r="E48" i="50"/>
  <c r="E49" i="50"/>
  <c r="E50" i="50"/>
  <c r="E43" i="50"/>
  <c r="E34" i="50"/>
  <c r="E35" i="50"/>
  <c r="E36" i="50"/>
  <c r="E37" i="50"/>
  <c r="E33" i="50"/>
  <c r="E32" i="50"/>
  <c r="E31" i="50"/>
  <c r="E30" i="50"/>
  <c r="E22" i="50"/>
  <c r="E23" i="50"/>
  <c r="E24" i="50"/>
  <c r="E21" i="50"/>
  <c r="E18" i="50"/>
  <c r="E19" i="50"/>
  <c r="E17" i="50"/>
  <c r="D31" i="58" l="1"/>
  <c r="C31" i="58"/>
  <c r="D6" i="59"/>
  <c r="C6" i="59"/>
  <c r="D6" i="58"/>
  <c r="D47" i="57"/>
  <c r="D38" i="57"/>
  <c r="D47" i="56"/>
  <c r="C47" i="56"/>
  <c r="C37" i="56"/>
  <c r="C38" i="56"/>
  <c r="C36" i="56"/>
  <c r="D47" i="43"/>
  <c r="D45" i="43"/>
  <c r="D45" i="57" s="1"/>
  <c r="D44" i="43"/>
  <c r="D44" i="57" s="1"/>
  <c r="D43" i="43"/>
  <c r="D43" i="56" s="1"/>
  <c r="D38" i="43"/>
  <c r="D38" i="56" s="1"/>
  <c r="D37" i="43"/>
  <c r="D37" i="57" s="1"/>
  <c r="D36" i="43"/>
  <c r="D36" i="56" s="1"/>
  <c r="D44" i="56" l="1"/>
  <c r="D45" i="56"/>
  <c r="D37" i="56"/>
  <c r="D43" i="57"/>
  <c r="D36" i="57"/>
  <c r="I62" i="50"/>
  <c r="I60" i="50"/>
  <c r="H60" i="50"/>
  <c r="I59" i="50"/>
  <c r="H59" i="50"/>
  <c r="I49" i="50"/>
  <c r="I47" i="50"/>
  <c r="H47" i="50"/>
  <c r="I46" i="50"/>
  <c r="H46" i="50"/>
  <c r="I36" i="50"/>
  <c r="I34" i="50"/>
  <c r="H34" i="50"/>
  <c r="I33" i="50"/>
  <c r="H33" i="50"/>
  <c r="I23" i="50"/>
  <c r="H21" i="50"/>
  <c r="I20" i="50"/>
  <c r="E20" i="50" s="1"/>
  <c r="H20" i="50"/>
  <c r="G26" i="51" l="1"/>
  <c r="D26" i="51"/>
  <c r="M11" i="55"/>
  <c r="M12" i="55"/>
  <c r="M13" i="55"/>
  <c r="O7" i="55"/>
  <c r="O8" i="55" s="1"/>
  <c r="P8" i="55" l="1"/>
  <c r="O9" i="55"/>
  <c r="P7" i="55"/>
  <c r="O10" i="55" l="1"/>
  <c r="P10" i="55" s="1"/>
  <c r="P9" i="55"/>
  <c r="E6" i="57" l="1"/>
  <c r="F6" i="57"/>
  <c r="G6" i="57"/>
  <c r="H6" i="57"/>
  <c r="I6" i="57"/>
  <c r="E6" i="56"/>
  <c r="F6" i="56"/>
  <c r="G6" i="56"/>
  <c r="H6" i="56"/>
  <c r="I6" i="56"/>
  <c r="E6" i="43"/>
  <c r="F6" i="43"/>
  <c r="G6" i="43"/>
  <c r="H6" i="43"/>
  <c r="I6" i="43"/>
  <c r="I10" i="50" l="1"/>
  <c r="I7" i="50"/>
  <c r="E8" i="50" l="1"/>
  <c r="E5" i="50"/>
  <c r="J42" i="53"/>
  <c r="I41" i="53"/>
  <c r="J41" i="53" s="1"/>
  <c r="I42" i="53"/>
  <c r="I43" i="53"/>
  <c r="J43" i="53" s="1"/>
  <c r="I44" i="53"/>
  <c r="J44" i="53" s="1"/>
  <c r="I45" i="53"/>
  <c r="J45" i="53" s="1"/>
  <c r="I40" i="53"/>
  <c r="J40" i="53" s="1"/>
  <c r="K40" i="53" s="1"/>
  <c r="L40" i="53" s="1"/>
  <c r="I39" i="53"/>
  <c r="J39" i="53" s="1"/>
  <c r="K39" i="53" s="1"/>
  <c r="L39" i="53" s="1"/>
  <c r="C45" i="43" l="1"/>
  <c r="C45" i="58"/>
  <c r="C45" i="59"/>
  <c r="C43" i="43"/>
  <c r="C43" i="58"/>
  <c r="E31" i="58"/>
  <c r="F31" i="58"/>
  <c r="G31" i="58"/>
  <c r="D31" i="57"/>
  <c r="E31" i="57"/>
  <c r="E7" i="57" s="1"/>
  <c r="F31" i="57"/>
  <c r="F7" i="57" s="1"/>
  <c r="G31" i="57"/>
  <c r="G7" i="57" s="1"/>
  <c r="H31" i="57"/>
  <c r="H7" i="57" s="1"/>
  <c r="I31" i="57"/>
  <c r="I7" i="57" s="1"/>
  <c r="J31" i="57"/>
  <c r="K31" i="57"/>
  <c r="J45" i="56"/>
  <c r="K45" i="56" s="1"/>
  <c r="K33" i="56"/>
  <c r="I33" i="56"/>
  <c r="F33" i="56"/>
  <c r="E33" i="56"/>
  <c r="D31" i="56"/>
  <c r="E31" i="56"/>
  <c r="E7" i="56" s="1"/>
  <c r="F31" i="56"/>
  <c r="F7" i="56" s="1"/>
  <c r="G31" i="56"/>
  <c r="G7" i="56" s="1"/>
  <c r="H31" i="56"/>
  <c r="H7" i="56" s="1"/>
  <c r="I31" i="56"/>
  <c r="I7" i="56" s="1"/>
  <c r="J31" i="56"/>
  <c r="K31" i="56"/>
  <c r="K33" i="43"/>
  <c r="J33" i="43"/>
  <c r="I33" i="43"/>
  <c r="H33" i="43"/>
  <c r="G33" i="43"/>
  <c r="F33" i="43"/>
  <c r="E33" i="43"/>
  <c r="D33" i="43"/>
  <c r="E31" i="43"/>
  <c r="F31" i="43"/>
  <c r="G31" i="43"/>
  <c r="H31" i="43"/>
  <c r="H7" i="43" s="1"/>
  <c r="I31" i="43"/>
  <c r="I7" i="43" s="1"/>
  <c r="J31" i="43"/>
  <c r="K31" i="43"/>
  <c r="D31" i="43"/>
  <c r="E6" i="59"/>
  <c r="F6" i="59"/>
  <c r="G6" i="59"/>
  <c r="E6" i="58"/>
  <c r="F6" i="58"/>
  <c r="G6" i="58"/>
  <c r="G20" i="57"/>
  <c r="J6" i="57"/>
  <c r="K6" i="57"/>
  <c r="D6" i="57"/>
  <c r="J6" i="56"/>
  <c r="K6" i="56"/>
  <c r="D6" i="56"/>
  <c r="J6" i="43"/>
  <c r="K6" i="43"/>
  <c r="K7" i="43" s="1"/>
  <c r="K9" i="43" s="1"/>
  <c r="D6" i="43"/>
  <c r="C33" i="43"/>
  <c r="E33" i="57"/>
  <c r="F33" i="57"/>
  <c r="G33" i="56"/>
  <c r="G33" i="57"/>
  <c r="H33" i="56"/>
  <c r="I33" i="57"/>
  <c r="I46" i="53"/>
  <c r="J33" i="56" s="1"/>
  <c r="J46" i="53"/>
  <c r="J33" i="57" s="1"/>
  <c r="I47" i="53"/>
  <c r="J47" i="53"/>
  <c r="K33" i="57" s="1"/>
  <c r="D33" i="56"/>
  <c r="D20" i="55"/>
  <c r="E20" i="55"/>
  <c r="F20" i="55"/>
  <c r="G20" i="55"/>
  <c r="H20" i="55"/>
  <c r="I20" i="55"/>
  <c r="J20" i="55"/>
  <c r="K20" i="55"/>
  <c r="C20" i="55"/>
  <c r="F15" i="55"/>
  <c r="G15" i="55"/>
  <c r="H15" i="55"/>
  <c r="I15" i="55"/>
  <c r="C45" i="57" l="1"/>
  <c r="C45" i="56"/>
  <c r="C43" i="57"/>
  <c r="C43" i="56"/>
  <c r="D7" i="56"/>
  <c r="D7" i="57"/>
  <c r="E32" i="43"/>
  <c r="E7" i="43"/>
  <c r="E9" i="43" s="1"/>
  <c r="D32" i="43"/>
  <c r="D34" i="43" s="1"/>
  <c r="D7" i="43"/>
  <c r="D9" i="43" s="1"/>
  <c r="G32" i="43"/>
  <c r="G34" i="43" s="1"/>
  <c r="G7" i="43"/>
  <c r="G9" i="43" s="1"/>
  <c r="F32" i="43"/>
  <c r="F34" i="43" s="1"/>
  <c r="F7" i="43"/>
  <c r="F9" i="43" s="1"/>
  <c r="I20" i="56"/>
  <c r="K20" i="56"/>
  <c r="G20" i="56"/>
  <c r="J20" i="56"/>
  <c r="F20" i="56"/>
  <c r="E20" i="56"/>
  <c r="D33" i="57"/>
  <c r="D10" i="57" s="1"/>
  <c r="H33" i="57"/>
  <c r="H10" i="57" s="1"/>
  <c r="E34" i="43"/>
  <c r="J10" i="57"/>
  <c r="J7" i="43"/>
  <c r="J9" i="43" s="1"/>
  <c r="K10" i="43"/>
  <c r="G10" i="43"/>
  <c r="G20" i="43"/>
  <c r="K7" i="56"/>
  <c r="H10" i="56"/>
  <c r="D10" i="56"/>
  <c r="H20" i="56"/>
  <c r="D20" i="56"/>
  <c r="K7" i="57"/>
  <c r="F20" i="57"/>
  <c r="G10" i="57"/>
  <c r="K10" i="57"/>
  <c r="I9" i="43"/>
  <c r="J10" i="43"/>
  <c r="F10" i="43"/>
  <c r="F20" i="43"/>
  <c r="J7" i="56"/>
  <c r="K10" i="56"/>
  <c r="G10" i="56"/>
  <c r="J7" i="57"/>
  <c r="I20" i="57"/>
  <c r="E20" i="57"/>
  <c r="H9" i="43"/>
  <c r="I10" i="43"/>
  <c r="E10" i="43"/>
  <c r="E20" i="43"/>
  <c r="J10" i="56"/>
  <c r="F10" i="56"/>
  <c r="H20" i="57"/>
  <c r="D20" i="57"/>
  <c r="E10" i="57"/>
  <c r="I10" i="57"/>
  <c r="H10" i="43"/>
  <c r="D10" i="43"/>
  <c r="D20" i="43"/>
  <c r="I10" i="56"/>
  <c r="E10" i="56"/>
  <c r="F10" i="57"/>
  <c r="H18" i="58" l="1"/>
  <c r="D33" i="59" l="1"/>
  <c r="D10" i="59" s="1"/>
  <c r="D33" i="58" l="1"/>
  <c r="D10" i="58" s="1"/>
  <c r="C33" i="56" l="1"/>
  <c r="G8" i="56" l="1"/>
  <c r="G9" i="56" s="1"/>
  <c r="G32" i="56" s="1"/>
  <c r="G34" i="56" s="1"/>
  <c r="I8" i="56"/>
  <c r="I9" i="56" s="1"/>
  <c r="I32" i="56" s="1"/>
  <c r="I34" i="56" s="1"/>
  <c r="F8" i="56"/>
  <c r="F9" i="56" s="1"/>
  <c r="F32" i="56" s="1"/>
  <c r="F34" i="56" s="1"/>
  <c r="J8" i="56"/>
  <c r="J9" i="56" s="1"/>
  <c r="J32" i="56" s="1"/>
  <c r="J34" i="56" s="1"/>
  <c r="K8" i="56"/>
  <c r="K9" i="56" s="1"/>
  <c r="K32" i="56" s="1"/>
  <c r="K34" i="56" s="1"/>
  <c r="H8" i="56"/>
  <c r="H9" i="56" s="1"/>
  <c r="H32" i="56" s="1"/>
  <c r="H34" i="56" s="1"/>
  <c r="E8" i="56"/>
  <c r="E9" i="56" s="1"/>
  <c r="E32" i="56" s="1"/>
  <c r="E34" i="56" s="1"/>
  <c r="D8" i="56"/>
  <c r="D9" i="56" s="1"/>
  <c r="D32" i="56" s="1"/>
  <c r="D34" i="56" s="1"/>
  <c r="C33" i="57"/>
  <c r="D43" i="58"/>
  <c r="E6" i="50"/>
  <c r="C37" i="43" s="1"/>
  <c r="C37" i="57" s="1"/>
  <c r="E7" i="50"/>
  <c r="E9" i="50"/>
  <c r="E10" i="50"/>
  <c r="C38" i="43" s="1"/>
  <c r="C38" i="57" s="1"/>
  <c r="E11" i="50"/>
  <c r="E4" i="50"/>
  <c r="D7" i="59"/>
  <c r="D45" i="59"/>
  <c r="E45" i="59" s="1"/>
  <c r="F45" i="59" s="1"/>
  <c r="C43" i="59"/>
  <c r="D43" i="59" s="1"/>
  <c r="E43" i="59" s="1"/>
  <c r="F43" i="59" s="1"/>
  <c r="G31" i="59"/>
  <c r="G32" i="59" s="1"/>
  <c r="F31" i="59"/>
  <c r="F32" i="59" s="1"/>
  <c r="E31" i="59"/>
  <c r="E32" i="59" s="1"/>
  <c r="D31" i="59"/>
  <c r="C31" i="59"/>
  <c r="F7" i="59"/>
  <c r="F9" i="59" s="1"/>
  <c r="C6" i="58"/>
  <c r="D45" i="58"/>
  <c r="E45" i="58" s="1"/>
  <c r="F45" i="58" s="1"/>
  <c r="G45" i="58" s="1"/>
  <c r="G32" i="58"/>
  <c r="F32" i="58"/>
  <c r="E32" i="58"/>
  <c r="G7" i="58"/>
  <c r="G9" i="58" s="1"/>
  <c r="F7" i="58"/>
  <c r="F9" i="58" s="1"/>
  <c r="C6" i="57"/>
  <c r="J45" i="57"/>
  <c r="J43" i="57"/>
  <c r="K43" i="57" s="1"/>
  <c r="C31" i="57"/>
  <c r="C6" i="56"/>
  <c r="J43" i="56"/>
  <c r="K43" i="56" s="1"/>
  <c r="C31" i="56"/>
  <c r="C44" i="43" l="1"/>
  <c r="C44" i="58"/>
  <c r="D44" i="58" s="1"/>
  <c r="C36" i="58"/>
  <c r="D36" i="58" s="1"/>
  <c r="E36" i="58" s="1"/>
  <c r="F36" i="58" s="1"/>
  <c r="G36" i="58" s="1"/>
  <c r="G11" i="58" s="1"/>
  <c r="C36" i="43"/>
  <c r="C36" i="57" s="1"/>
  <c r="C11" i="57" s="1"/>
  <c r="C47" i="59"/>
  <c r="D47" i="59" s="1"/>
  <c r="E47" i="59" s="1"/>
  <c r="F47" i="59" s="1"/>
  <c r="F22" i="59" s="1"/>
  <c r="C47" i="43"/>
  <c r="C47" i="57" s="1"/>
  <c r="C22" i="57" s="1"/>
  <c r="C36" i="59"/>
  <c r="D36" i="59" s="1"/>
  <c r="E36" i="59" s="1"/>
  <c r="F36" i="59" s="1"/>
  <c r="F11" i="59" s="1"/>
  <c r="C7" i="57"/>
  <c r="C7" i="56"/>
  <c r="C8" i="56" s="1"/>
  <c r="L8" i="56" s="1"/>
  <c r="D5" i="2" s="1"/>
  <c r="K45" i="57"/>
  <c r="K20" i="57" s="1"/>
  <c r="J20" i="57"/>
  <c r="C37" i="59"/>
  <c r="D37" i="59" s="1"/>
  <c r="E37" i="59" s="1"/>
  <c r="F37" i="59" s="1"/>
  <c r="F12" i="59" s="1"/>
  <c r="C37" i="58"/>
  <c r="D37" i="58" s="1"/>
  <c r="D12" i="58" s="1"/>
  <c r="D19" i="57"/>
  <c r="D11" i="56"/>
  <c r="C38" i="58"/>
  <c r="D38" i="58" s="1"/>
  <c r="D11" i="57"/>
  <c r="C44" i="59"/>
  <c r="D44" i="59" s="1"/>
  <c r="E44" i="59" s="1"/>
  <c r="F44" i="59" s="1"/>
  <c r="F19" i="59" s="1"/>
  <c r="D22" i="56"/>
  <c r="D7" i="58"/>
  <c r="G20" i="58"/>
  <c r="C38" i="59"/>
  <c r="D38" i="59" s="1"/>
  <c r="E38" i="59" s="1"/>
  <c r="F38" i="59" s="1"/>
  <c r="G38" i="59" s="1"/>
  <c r="G13" i="59" s="1"/>
  <c r="H6" i="58"/>
  <c r="F3" i="2" s="1"/>
  <c r="C33" i="59"/>
  <c r="C10" i="59" s="1"/>
  <c r="C33" i="58"/>
  <c r="C10" i="58" s="1"/>
  <c r="D20" i="58"/>
  <c r="C47" i="58"/>
  <c r="D47" i="58" s="1"/>
  <c r="D22" i="58" s="1"/>
  <c r="C20" i="59"/>
  <c r="C7" i="58"/>
  <c r="C10" i="57"/>
  <c r="C10" i="56"/>
  <c r="E22" i="59"/>
  <c r="C7" i="59"/>
  <c r="G36" i="59"/>
  <c r="G11" i="59" s="1"/>
  <c r="G43" i="59"/>
  <c r="G45" i="59"/>
  <c r="G20" i="59" s="1"/>
  <c r="F20" i="59"/>
  <c r="G47" i="59"/>
  <c r="G22" i="59" s="1"/>
  <c r="G7" i="59"/>
  <c r="G9" i="59" s="1"/>
  <c r="H6" i="59"/>
  <c r="G3" i="2" s="1"/>
  <c r="E7" i="59"/>
  <c r="E9" i="59" s="1"/>
  <c r="D11" i="59"/>
  <c r="D20" i="59"/>
  <c r="E11" i="59"/>
  <c r="E20" i="59"/>
  <c r="E43" i="58"/>
  <c r="E7" i="58"/>
  <c r="E9" i="58" s="1"/>
  <c r="C20" i="58"/>
  <c r="F20" i="58"/>
  <c r="E20" i="58"/>
  <c r="C13" i="57"/>
  <c r="C20" i="57"/>
  <c r="L6" i="57"/>
  <c r="E3" i="2" s="1"/>
  <c r="L6" i="56"/>
  <c r="D3" i="2" s="1"/>
  <c r="C20" i="56"/>
  <c r="C11" i="56"/>
  <c r="C22" i="56"/>
  <c r="G44" i="59" l="1"/>
  <c r="G19" i="59" s="1"/>
  <c r="D19" i="59"/>
  <c r="C44" i="57"/>
  <c r="C19" i="57" s="1"/>
  <c r="C44" i="56"/>
  <c r="D22" i="59"/>
  <c r="C22" i="59"/>
  <c r="D11" i="58"/>
  <c r="C11" i="58"/>
  <c r="I8" i="57"/>
  <c r="I9" i="57" s="1"/>
  <c r="I32" i="57" s="1"/>
  <c r="I34" i="57" s="1"/>
  <c r="D8" i="57"/>
  <c r="D9" i="57" s="1"/>
  <c r="D32" i="57" s="1"/>
  <c r="D34" i="57" s="1"/>
  <c r="D40" i="57" s="1"/>
  <c r="G8" i="57"/>
  <c r="G9" i="57" s="1"/>
  <c r="G32" i="57" s="1"/>
  <c r="G34" i="57" s="1"/>
  <c r="K8" i="57"/>
  <c r="K9" i="57" s="1"/>
  <c r="K32" i="57" s="1"/>
  <c r="K34" i="57" s="1"/>
  <c r="F8" i="57"/>
  <c r="F9" i="57" s="1"/>
  <c r="F32" i="57" s="1"/>
  <c r="F34" i="57" s="1"/>
  <c r="J8" i="57"/>
  <c r="J9" i="57" s="1"/>
  <c r="J32" i="57" s="1"/>
  <c r="J34" i="57" s="1"/>
  <c r="H8" i="57"/>
  <c r="H9" i="57" s="1"/>
  <c r="H32" i="57" s="1"/>
  <c r="H34" i="57" s="1"/>
  <c r="E8" i="57"/>
  <c r="E9" i="57" s="1"/>
  <c r="E32" i="57" s="1"/>
  <c r="E34" i="57" s="1"/>
  <c r="C13" i="58"/>
  <c r="C11" i="59"/>
  <c r="H11" i="59" s="1"/>
  <c r="G8" i="2" s="1"/>
  <c r="G34" i="2" s="1"/>
  <c r="D12" i="59"/>
  <c r="G37" i="59"/>
  <c r="G12" i="59" s="1"/>
  <c r="G14" i="59" s="1"/>
  <c r="E12" i="59"/>
  <c r="E38" i="58"/>
  <c r="D13" i="58"/>
  <c r="D14" i="58" s="1"/>
  <c r="D12" i="56"/>
  <c r="D13" i="56"/>
  <c r="E11" i="57"/>
  <c r="E11" i="56"/>
  <c r="C13" i="56"/>
  <c r="C19" i="59"/>
  <c r="D19" i="56"/>
  <c r="E19" i="59"/>
  <c r="C12" i="59"/>
  <c r="D12" i="57"/>
  <c r="D22" i="57"/>
  <c r="D13" i="57"/>
  <c r="E22" i="56"/>
  <c r="D40" i="56"/>
  <c r="E19" i="57"/>
  <c r="F43" i="58"/>
  <c r="F13" i="59"/>
  <c r="F14" i="59" s="1"/>
  <c r="C19" i="58"/>
  <c r="C13" i="59"/>
  <c r="C22" i="58"/>
  <c r="E37" i="58"/>
  <c r="F37" i="58" s="1"/>
  <c r="G37" i="58" s="1"/>
  <c r="G12" i="58" s="1"/>
  <c r="C8" i="57"/>
  <c r="C9" i="57" s="1"/>
  <c r="C32" i="57" s="1"/>
  <c r="L7" i="57"/>
  <c r="E4" i="2" s="1"/>
  <c r="H20" i="59"/>
  <c r="G17" i="2" s="1"/>
  <c r="G43" i="2" s="1"/>
  <c r="E11" i="58"/>
  <c r="C19" i="56"/>
  <c r="C12" i="58"/>
  <c r="E47" i="58"/>
  <c r="F47" i="58" s="1"/>
  <c r="G47" i="58" s="1"/>
  <c r="G22" i="58" s="1"/>
  <c r="E13" i="59"/>
  <c r="D13" i="59"/>
  <c r="D8" i="58"/>
  <c r="D9" i="58" s="1"/>
  <c r="D32" i="58" s="1"/>
  <c r="D34" i="58" s="1"/>
  <c r="D40" i="58" s="1"/>
  <c r="D8" i="59"/>
  <c r="D9" i="59" s="1"/>
  <c r="D32" i="59" s="1"/>
  <c r="D34" i="59" s="1"/>
  <c r="D40" i="59" s="1"/>
  <c r="C12" i="57"/>
  <c r="C14" i="57" s="1"/>
  <c r="C12" i="56"/>
  <c r="C14" i="56" s="1"/>
  <c r="E44" i="58"/>
  <c r="D19" i="58"/>
  <c r="F11" i="58"/>
  <c r="H7" i="59"/>
  <c r="G4" i="2" s="1"/>
  <c r="H22" i="59"/>
  <c r="G19" i="2" s="1"/>
  <c r="H20" i="58"/>
  <c r="F17" i="2" s="1"/>
  <c r="F43" i="2" s="1"/>
  <c r="H7" i="58"/>
  <c r="F4" i="2" s="1"/>
  <c r="L20" i="57"/>
  <c r="E17" i="2" s="1"/>
  <c r="E43" i="2" s="1"/>
  <c r="L7" i="56"/>
  <c r="D4" i="2" s="1"/>
  <c r="C9" i="56"/>
  <c r="C32" i="56" s="1"/>
  <c r="L20" i="56"/>
  <c r="D17" i="2" s="1"/>
  <c r="D43" i="2" s="1"/>
  <c r="C14" i="59" l="1"/>
  <c r="C14" i="58"/>
  <c r="H19" i="59"/>
  <c r="G16" i="2" s="1"/>
  <c r="G42" i="2" s="1"/>
  <c r="E40" i="56"/>
  <c r="H12" i="59"/>
  <c r="G9" i="2" s="1"/>
  <c r="G35" i="2" s="1"/>
  <c r="D14" i="56"/>
  <c r="D15" i="56" s="1"/>
  <c r="D16" i="56" s="1"/>
  <c r="E14" i="59"/>
  <c r="D14" i="57"/>
  <c r="D15" i="57" s="1"/>
  <c r="D16" i="57" s="1"/>
  <c r="E13" i="57"/>
  <c r="E12" i="57"/>
  <c r="E19" i="56"/>
  <c r="F11" i="57"/>
  <c r="E12" i="56"/>
  <c r="F11" i="56"/>
  <c r="F19" i="57"/>
  <c r="F22" i="56"/>
  <c r="E22" i="57"/>
  <c r="E40" i="57"/>
  <c r="E13" i="56"/>
  <c r="F38" i="58"/>
  <c r="E13" i="58"/>
  <c r="G43" i="58"/>
  <c r="H13" i="59"/>
  <c r="G10" i="2" s="1"/>
  <c r="G36" i="2" s="1"/>
  <c r="E12" i="58"/>
  <c r="F12" i="58"/>
  <c r="L8" i="57"/>
  <c r="E5" i="2" s="1"/>
  <c r="C8" i="59"/>
  <c r="H8" i="59" s="1"/>
  <c r="G5" i="2" s="1"/>
  <c r="C8" i="58"/>
  <c r="C9" i="58" s="1"/>
  <c r="C32" i="58" s="1"/>
  <c r="D14" i="59"/>
  <c r="E22" i="58"/>
  <c r="F22" i="58"/>
  <c r="L9" i="57"/>
  <c r="E6" i="2" s="1"/>
  <c r="E29" i="2" s="1"/>
  <c r="D15" i="58"/>
  <c r="D16" i="58" s="1"/>
  <c r="F44" i="58"/>
  <c r="E19" i="58"/>
  <c r="H11" i="58"/>
  <c r="F8" i="2" s="1"/>
  <c r="F34" i="2" s="1"/>
  <c r="L9" i="56"/>
  <c r="D6" i="2" s="1"/>
  <c r="H14" i="59" l="1"/>
  <c r="G11" i="2" s="1"/>
  <c r="F40" i="57"/>
  <c r="E14" i="56"/>
  <c r="E15" i="56" s="1"/>
  <c r="E16" i="56" s="1"/>
  <c r="E14" i="57"/>
  <c r="E15" i="57" s="1"/>
  <c r="E16" i="57" s="1"/>
  <c r="G38" i="58"/>
  <c r="G13" i="58" s="1"/>
  <c r="G14" i="58" s="1"/>
  <c r="F13" i="58"/>
  <c r="G11" i="56"/>
  <c r="F19" i="56"/>
  <c r="F13" i="57"/>
  <c r="E14" i="58"/>
  <c r="F22" i="57"/>
  <c r="G19" i="57"/>
  <c r="G11" i="57"/>
  <c r="F13" i="56"/>
  <c r="F40" i="56"/>
  <c r="F12" i="56"/>
  <c r="F12" i="57"/>
  <c r="G22" i="56"/>
  <c r="C9" i="59"/>
  <c r="H9" i="59" s="1"/>
  <c r="G6" i="2" s="1"/>
  <c r="H12" i="58"/>
  <c r="F9" i="2" s="1"/>
  <c r="F35" i="2" s="1"/>
  <c r="H9" i="58"/>
  <c r="F6" i="2" s="1"/>
  <c r="F29" i="2" s="1"/>
  <c r="H8" i="58"/>
  <c r="F5" i="2" s="1"/>
  <c r="D15" i="59"/>
  <c r="D16" i="59" s="1"/>
  <c r="H22" i="58"/>
  <c r="F19" i="2" s="1"/>
  <c r="E49" i="2"/>
  <c r="D49" i="2"/>
  <c r="D29" i="2"/>
  <c r="G44" i="58"/>
  <c r="F19" i="58"/>
  <c r="F14" i="56" l="1"/>
  <c r="F15" i="56" s="1"/>
  <c r="F16" i="56" s="1"/>
  <c r="H13" i="58"/>
  <c r="F10" i="2" s="1"/>
  <c r="F36" i="2" s="1"/>
  <c r="F14" i="58"/>
  <c r="H14" i="58" s="1"/>
  <c r="F11" i="2" s="1"/>
  <c r="G40" i="56"/>
  <c r="G40" i="57"/>
  <c r="G13" i="56"/>
  <c r="H11" i="56"/>
  <c r="H19" i="57"/>
  <c r="G19" i="56"/>
  <c r="H22" i="56"/>
  <c r="G12" i="57"/>
  <c r="F14" i="57"/>
  <c r="F15" i="57" s="1"/>
  <c r="F16" i="57" s="1"/>
  <c r="H11" i="57"/>
  <c r="G13" i="57"/>
  <c r="H40" i="56"/>
  <c r="G12" i="56"/>
  <c r="G22" i="57"/>
  <c r="F51" i="2"/>
  <c r="C32" i="59"/>
  <c r="F49" i="2"/>
  <c r="G49" i="2"/>
  <c r="G29" i="2"/>
  <c r="G47" i="2"/>
  <c r="G51" i="2"/>
  <c r="G19" i="58"/>
  <c r="H19" i="58" s="1"/>
  <c r="G14" i="56" l="1"/>
  <c r="G15" i="56" s="1"/>
  <c r="G16" i="56" s="1"/>
  <c r="H22" i="57"/>
  <c r="G14" i="57"/>
  <c r="G15" i="57" s="1"/>
  <c r="G16" i="57" s="1"/>
  <c r="I19" i="57"/>
  <c r="J44" i="57"/>
  <c r="H13" i="57"/>
  <c r="H12" i="56"/>
  <c r="H40" i="57"/>
  <c r="H12" i="57"/>
  <c r="H19" i="56"/>
  <c r="H13" i="56"/>
  <c r="J36" i="57"/>
  <c r="I11" i="57"/>
  <c r="I22" i="56"/>
  <c r="J47" i="56"/>
  <c r="J36" i="56"/>
  <c r="I11" i="56"/>
  <c r="I40" i="56"/>
  <c r="F16" i="2"/>
  <c r="H14" i="56" l="1"/>
  <c r="H15" i="56" s="1"/>
  <c r="H16" i="56" s="1"/>
  <c r="H14" i="57"/>
  <c r="H15" i="57" s="1"/>
  <c r="H16" i="57" s="1"/>
  <c r="K36" i="56"/>
  <c r="J11" i="56"/>
  <c r="K36" i="57"/>
  <c r="J11" i="57"/>
  <c r="J37" i="57"/>
  <c r="I12" i="57"/>
  <c r="I13" i="57"/>
  <c r="J38" i="57"/>
  <c r="J47" i="57"/>
  <c r="I22" i="57"/>
  <c r="J22" i="56"/>
  <c r="K47" i="56"/>
  <c r="K22" i="56" s="1"/>
  <c r="I40" i="57"/>
  <c r="J44" i="56"/>
  <c r="I19" i="56"/>
  <c r="J19" i="57"/>
  <c r="K44" i="57"/>
  <c r="K19" i="57" s="1"/>
  <c r="J38" i="56"/>
  <c r="I13" i="56"/>
  <c r="J37" i="56"/>
  <c r="I12" i="56"/>
  <c r="F42" i="2"/>
  <c r="F47" i="2"/>
  <c r="J40" i="56" l="1"/>
  <c r="I14" i="57"/>
  <c r="I15" i="57" s="1"/>
  <c r="I16" i="57" s="1"/>
  <c r="L19" i="57"/>
  <c r="E16" i="2" s="1"/>
  <c r="E42" i="2" s="1"/>
  <c r="I14" i="56"/>
  <c r="I15" i="56" s="1"/>
  <c r="I16" i="56" s="1"/>
  <c r="K44" i="56"/>
  <c r="K19" i="56" s="1"/>
  <c r="J19" i="56"/>
  <c r="K47" i="57"/>
  <c r="K22" i="57" s="1"/>
  <c r="J22" i="57"/>
  <c r="J12" i="57"/>
  <c r="K37" i="57"/>
  <c r="K12" i="57" s="1"/>
  <c r="K38" i="56"/>
  <c r="K13" i="56" s="1"/>
  <c r="J13" i="56"/>
  <c r="L22" i="56"/>
  <c r="D19" i="2" s="1"/>
  <c r="D51" i="2" s="1"/>
  <c r="K38" i="57"/>
  <c r="K13" i="57" s="1"/>
  <c r="J13" i="57"/>
  <c r="K11" i="57"/>
  <c r="K11" i="56"/>
  <c r="K37" i="56"/>
  <c r="K12" i="56" s="1"/>
  <c r="J12" i="56"/>
  <c r="J40" i="57"/>
  <c r="B5" i="51"/>
  <c r="L22" i="57" l="1"/>
  <c r="E19" i="2" s="1"/>
  <c r="E51" i="2" s="1"/>
  <c r="L13" i="57"/>
  <c r="E10" i="2" s="1"/>
  <c r="E47" i="2" s="1"/>
  <c r="J14" i="56"/>
  <c r="J15" i="56" s="1"/>
  <c r="J16" i="56" s="1"/>
  <c r="L12" i="57"/>
  <c r="E9" i="2" s="1"/>
  <c r="E35" i="2" s="1"/>
  <c r="J14" i="57"/>
  <c r="J15" i="57" s="1"/>
  <c r="J16" i="57" s="1"/>
  <c r="K40" i="57"/>
  <c r="K14" i="56"/>
  <c r="K15" i="56" s="1"/>
  <c r="K16" i="56" s="1"/>
  <c r="L13" i="56"/>
  <c r="D10" i="2" s="1"/>
  <c r="D36" i="2" s="1"/>
  <c r="L19" i="56"/>
  <c r="D16" i="2" s="1"/>
  <c r="D42" i="2" s="1"/>
  <c r="K40" i="56"/>
  <c r="L12" i="56"/>
  <c r="D9" i="2" s="1"/>
  <c r="D35" i="2" s="1"/>
  <c r="K14" i="57"/>
  <c r="K15" i="57" s="1"/>
  <c r="K16" i="57" s="1"/>
  <c r="L11" i="57"/>
  <c r="E8" i="2" s="1"/>
  <c r="E34" i="2" s="1"/>
  <c r="L11" i="56"/>
  <c r="D8" i="2" s="1"/>
  <c r="D34" i="2" s="1"/>
  <c r="H8" i="50"/>
  <c r="L14" i="56" l="1"/>
  <c r="D11" i="2" s="1"/>
  <c r="E36" i="2"/>
  <c r="D47" i="2"/>
  <c r="L14" i="57"/>
  <c r="E11" i="2" s="1"/>
  <c r="H7" i="50"/>
  <c r="L15" i="55"/>
  <c r="K15" i="55"/>
  <c r="J15" i="55"/>
  <c r="E15" i="55"/>
  <c r="D15" i="55"/>
  <c r="C15" i="55"/>
  <c r="M14" i="55"/>
  <c r="M10" i="55"/>
  <c r="M9" i="55"/>
  <c r="G22" i="51"/>
  <c r="B9" i="51"/>
  <c r="B27" i="51" s="1"/>
  <c r="D27" i="51" s="1"/>
  <c r="B8" i="51"/>
  <c r="B26" i="51" s="1"/>
  <c r="B7" i="51"/>
  <c r="K32" i="43"/>
  <c r="K34" i="43" s="1"/>
  <c r="J32" i="43"/>
  <c r="J34" i="43" s="1"/>
  <c r="I32" i="43"/>
  <c r="I34" i="43" s="1"/>
  <c r="H32" i="43"/>
  <c r="H34" i="43" s="1"/>
  <c r="C31" i="43"/>
  <c r="L8" i="43"/>
  <c r="C5" i="2" s="1"/>
  <c r="H5" i="2" s="1"/>
  <c r="C6" i="43"/>
  <c r="C10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J10" i="36" s="1"/>
  <c r="I12" i="36"/>
  <c r="H12" i="36"/>
  <c r="G12" i="36"/>
  <c r="F12" i="36"/>
  <c r="E12" i="36"/>
  <c r="D12" i="36"/>
  <c r="C12" i="36"/>
  <c r="L11" i="36"/>
  <c r="K11" i="36"/>
  <c r="K10" i="36" s="1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K6" i="36"/>
  <c r="J6" i="36"/>
  <c r="I6" i="36"/>
  <c r="H6" i="36"/>
  <c r="G6" i="36"/>
  <c r="G5" i="36" s="1"/>
  <c r="E6" i="36"/>
  <c r="E5" i="36" s="1"/>
  <c r="K5" i="36"/>
  <c r="J5" i="36"/>
  <c r="J17" i="36" s="1"/>
  <c r="J19" i="36" s="1"/>
  <c r="I5" i="36"/>
  <c r="D5" i="36"/>
  <c r="C5" i="36"/>
  <c r="E4" i="36"/>
  <c r="F4" i="36" s="1"/>
  <c r="G4" i="36" s="1"/>
  <c r="H4" i="36" s="1"/>
  <c r="I4" i="36" s="1"/>
  <c r="J4" i="36" s="1"/>
  <c r="K4" i="36" s="1"/>
  <c r="L4" i="36" s="1"/>
  <c r="D4" i="36"/>
  <c r="M15" i="36" l="1"/>
  <c r="E10" i="36"/>
  <c r="C32" i="43"/>
  <c r="C7" i="43"/>
  <c r="C9" i="43" s="1"/>
  <c r="L9" i="43" s="1"/>
  <c r="H20" i="43"/>
  <c r="J43" i="43"/>
  <c r="K43" i="43" s="1"/>
  <c r="D11" i="43"/>
  <c r="D12" i="43"/>
  <c r="D40" i="43"/>
  <c r="D22" i="43"/>
  <c r="G10" i="36"/>
  <c r="C10" i="36"/>
  <c r="E33" i="59"/>
  <c r="E34" i="59" s="1"/>
  <c r="E40" i="59" s="1"/>
  <c r="E33" i="58"/>
  <c r="E34" i="58" s="1"/>
  <c r="E40" i="58" s="1"/>
  <c r="E10" i="59"/>
  <c r="E15" i="59" s="1"/>
  <c r="E16" i="59" s="1"/>
  <c r="E10" i="58"/>
  <c r="E15" i="58" s="1"/>
  <c r="E16" i="58" s="1"/>
  <c r="F33" i="58"/>
  <c r="F34" i="58" s="1"/>
  <c r="F40" i="58" s="1"/>
  <c r="F33" i="59"/>
  <c r="F34" i="59" s="1"/>
  <c r="F40" i="59" s="1"/>
  <c r="F10" i="59"/>
  <c r="F15" i="59" s="1"/>
  <c r="F16" i="59" s="1"/>
  <c r="F10" i="58"/>
  <c r="F15" i="58" s="1"/>
  <c r="F16" i="58" s="1"/>
  <c r="G33" i="58"/>
  <c r="G34" i="58" s="1"/>
  <c r="G40" i="58" s="1"/>
  <c r="G10" i="58"/>
  <c r="G15" i="58" s="1"/>
  <c r="G16" i="58" s="1"/>
  <c r="G33" i="59"/>
  <c r="G34" i="59" s="1"/>
  <c r="G40" i="59" s="1"/>
  <c r="G10" i="59"/>
  <c r="G15" i="59" s="1"/>
  <c r="G16" i="59" s="1"/>
  <c r="C56" i="2"/>
  <c r="C34" i="43"/>
  <c r="C40" i="43" s="1"/>
  <c r="C34" i="57"/>
  <c r="C40" i="57" s="1"/>
  <c r="C34" i="59"/>
  <c r="C40" i="59" s="1"/>
  <c r="C34" i="58"/>
  <c r="C40" i="58" s="1"/>
  <c r="C34" i="56"/>
  <c r="C40" i="56" s="1"/>
  <c r="L18" i="56"/>
  <c r="L18" i="57"/>
  <c r="H5" i="36"/>
  <c r="B10" i="51"/>
  <c r="C57" i="2"/>
  <c r="J26" i="51"/>
  <c r="M15" i="55"/>
  <c r="C17" i="36"/>
  <c r="C19" i="36" s="1"/>
  <c r="G17" i="36"/>
  <c r="G19" i="36" s="1"/>
  <c r="M7" i="36"/>
  <c r="M12" i="36"/>
  <c r="H10" i="36"/>
  <c r="D10" i="36"/>
  <c r="D17" i="36" s="1"/>
  <c r="E26" i="51"/>
  <c r="L18" i="43"/>
  <c r="M5" i="36"/>
  <c r="M11" i="36"/>
  <c r="F10" i="36"/>
  <c r="I10" i="36"/>
  <c r="I17" i="36" s="1"/>
  <c r="I19" i="36" s="1"/>
  <c r="L10" i="36"/>
  <c r="L6" i="43"/>
  <c r="C3" i="2" s="1"/>
  <c r="H3" i="2" s="1"/>
  <c r="M13" i="36"/>
  <c r="E17" i="36"/>
  <c r="E19" i="36" s="1"/>
  <c r="K17" i="36"/>
  <c r="K19" i="36" s="1"/>
  <c r="M14" i="36"/>
  <c r="L7" i="43"/>
  <c r="C4" i="2" s="1"/>
  <c r="H4" i="2" s="1"/>
  <c r="C11" i="43"/>
  <c r="C12" i="43"/>
  <c r="C13" i="43"/>
  <c r="C19" i="43"/>
  <c r="C20" i="43"/>
  <c r="C22" i="43"/>
  <c r="C18" i="36" l="1"/>
  <c r="D19" i="36"/>
  <c r="M19" i="36" s="1"/>
  <c r="E22" i="36"/>
  <c r="D18" i="36"/>
  <c r="M10" i="36"/>
  <c r="J45" i="43"/>
  <c r="I20" i="43"/>
  <c r="E23" i="36"/>
  <c r="E22" i="43"/>
  <c r="E12" i="43"/>
  <c r="E40" i="43"/>
  <c r="D13" i="43"/>
  <c r="D14" i="43" s="1"/>
  <c r="D15" i="43" s="1"/>
  <c r="D16" i="43" s="1"/>
  <c r="D19" i="43"/>
  <c r="E11" i="43"/>
  <c r="C55" i="2"/>
  <c r="F18" i="43"/>
  <c r="F17" i="43" s="1"/>
  <c r="J18" i="43"/>
  <c r="J17" i="43" s="1"/>
  <c r="G18" i="43"/>
  <c r="G17" i="43" s="1"/>
  <c r="K18" i="43"/>
  <c r="K17" i="43" s="1"/>
  <c r="D18" i="43"/>
  <c r="D17" i="43" s="1"/>
  <c r="H18" i="43"/>
  <c r="H17" i="43" s="1"/>
  <c r="E18" i="43"/>
  <c r="E17" i="43" s="1"/>
  <c r="I18" i="43"/>
  <c r="I17" i="43" s="1"/>
  <c r="F18" i="56"/>
  <c r="F17" i="56" s="1"/>
  <c r="J18" i="56"/>
  <c r="J17" i="56" s="1"/>
  <c r="G18" i="56"/>
  <c r="G17" i="56" s="1"/>
  <c r="K18" i="56"/>
  <c r="K17" i="56" s="1"/>
  <c r="D18" i="56"/>
  <c r="D17" i="56" s="1"/>
  <c r="H18" i="56"/>
  <c r="H17" i="56" s="1"/>
  <c r="E18" i="56"/>
  <c r="E17" i="56" s="1"/>
  <c r="I18" i="56"/>
  <c r="I17" i="56" s="1"/>
  <c r="F18" i="57"/>
  <c r="F17" i="57" s="1"/>
  <c r="J18" i="57"/>
  <c r="J17" i="57" s="1"/>
  <c r="G18" i="57"/>
  <c r="G17" i="57" s="1"/>
  <c r="K18" i="57"/>
  <c r="K17" i="57" s="1"/>
  <c r="D18" i="57"/>
  <c r="D17" i="57" s="1"/>
  <c r="H18" i="57"/>
  <c r="H17" i="57" s="1"/>
  <c r="E18" i="57"/>
  <c r="E17" i="57" s="1"/>
  <c r="I18" i="57"/>
  <c r="I17" i="57" s="1"/>
  <c r="H17" i="36"/>
  <c r="H19" i="36" s="1"/>
  <c r="L10" i="57"/>
  <c r="E7" i="2" s="1"/>
  <c r="E30" i="2" s="1"/>
  <c r="E31" i="2" s="1"/>
  <c r="E32" i="2" s="1"/>
  <c r="C15" i="57"/>
  <c r="L10" i="56"/>
  <c r="D7" i="2" s="1"/>
  <c r="C15" i="56"/>
  <c r="H10" i="58"/>
  <c r="F7" i="2" s="1"/>
  <c r="F30" i="2" s="1"/>
  <c r="F31" i="2" s="1"/>
  <c r="F32" i="2" s="1"/>
  <c r="C15" i="58"/>
  <c r="H10" i="59"/>
  <c r="G7" i="2" s="1"/>
  <c r="G30" i="2" s="1"/>
  <c r="G31" i="2" s="1"/>
  <c r="G32" i="2" s="1"/>
  <c r="C15" i="59"/>
  <c r="D60" i="2"/>
  <c r="C18" i="56"/>
  <c r="C17" i="56" s="1"/>
  <c r="E60" i="2"/>
  <c r="C18" i="57"/>
  <c r="C17" i="57" s="1"/>
  <c r="F60" i="2"/>
  <c r="D18" i="58"/>
  <c r="D17" i="58" s="1"/>
  <c r="E18" i="58"/>
  <c r="E17" i="58" s="1"/>
  <c r="F18" i="58"/>
  <c r="F17" i="58" s="1"/>
  <c r="G18" i="58"/>
  <c r="G17" i="58" s="1"/>
  <c r="C18" i="58"/>
  <c r="C17" i="58" s="1"/>
  <c r="L10" i="43"/>
  <c r="C7" i="2" s="1"/>
  <c r="C30" i="2" s="1"/>
  <c r="L21" i="43"/>
  <c r="E27" i="51"/>
  <c r="D28" i="51"/>
  <c r="F26" i="51"/>
  <c r="M17" i="36"/>
  <c r="E18" i="36"/>
  <c r="C14" i="43"/>
  <c r="L6" i="36"/>
  <c r="L5" i="36" s="1"/>
  <c r="L17" i="36" s="1"/>
  <c r="L19" i="36" s="1"/>
  <c r="F6" i="36"/>
  <c r="F5" i="36" s="1"/>
  <c r="F17" i="36" s="1"/>
  <c r="F19" i="36" s="1"/>
  <c r="C6" i="2"/>
  <c r="H6" i="2" s="1"/>
  <c r="C18" i="43"/>
  <c r="C17" i="43" s="1"/>
  <c r="C60" i="2"/>
  <c r="I22" i="36"/>
  <c r="C20" i="36"/>
  <c r="D20" i="36" s="1"/>
  <c r="E20" i="36" s="1"/>
  <c r="I23" i="36"/>
  <c r="F27" i="51" l="1"/>
  <c r="F28" i="51" s="1"/>
  <c r="L21" i="56"/>
  <c r="D21" i="56" s="1"/>
  <c r="D46" i="56" s="1"/>
  <c r="D48" i="56" s="1"/>
  <c r="K45" i="43"/>
  <c r="K20" i="43" s="1"/>
  <c r="J20" i="43"/>
  <c r="E19" i="43"/>
  <c r="F12" i="43"/>
  <c r="F11" i="43"/>
  <c r="F40" i="43"/>
  <c r="E13" i="43"/>
  <c r="E14" i="43" s="1"/>
  <c r="E15" i="43" s="1"/>
  <c r="E16" i="43" s="1"/>
  <c r="F22" i="43"/>
  <c r="E21" i="56"/>
  <c r="E46" i="56" s="1"/>
  <c r="E48" i="56" s="1"/>
  <c r="I21" i="56"/>
  <c r="I46" i="56" s="1"/>
  <c r="I48" i="56" s="1"/>
  <c r="F21" i="56"/>
  <c r="F46" i="56" s="1"/>
  <c r="F48" i="56" s="1"/>
  <c r="J21" i="56"/>
  <c r="J46" i="56" s="1"/>
  <c r="J48" i="56" s="1"/>
  <c r="G21" i="56"/>
  <c r="G46" i="56" s="1"/>
  <c r="G48" i="56" s="1"/>
  <c r="K21" i="56"/>
  <c r="K46" i="56" s="1"/>
  <c r="K48" i="56" s="1"/>
  <c r="D21" i="43"/>
  <c r="D46" i="43" s="1"/>
  <c r="D48" i="43" s="1"/>
  <c r="H21" i="43"/>
  <c r="E21" i="43"/>
  <c r="E46" i="43" s="1"/>
  <c r="E48" i="43" s="1"/>
  <c r="I21" i="43"/>
  <c r="I46" i="43" s="1"/>
  <c r="G21" i="43"/>
  <c r="G46" i="43" s="1"/>
  <c r="F21" i="43"/>
  <c r="F46" i="43" s="1"/>
  <c r="J21" i="43"/>
  <c r="J46" i="43" s="1"/>
  <c r="K21" i="43"/>
  <c r="K46" i="43" s="1"/>
  <c r="D30" i="2"/>
  <c r="D31" i="2" s="1"/>
  <c r="D32" i="2" s="1"/>
  <c r="H7" i="2"/>
  <c r="H30" i="2" s="1"/>
  <c r="D18" i="2"/>
  <c r="D50" i="2" s="1"/>
  <c r="C21" i="56"/>
  <c r="C46" i="56" s="1"/>
  <c r="C48" i="56" s="1"/>
  <c r="C16" i="58"/>
  <c r="H15" i="58"/>
  <c r="C16" i="59"/>
  <c r="H15" i="59"/>
  <c r="L15" i="57"/>
  <c r="C16" i="57"/>
  <c r="C16" i="56"/>
  <c r="L15" i="56"/>
  <c r="H17" i="58"/>
  <c r="L17" i="57"/>
  <c r="L17" i="56"/>
  <c r="F20" i="36"/>
  <c r="G20" i="36" s="1"/>
  <c r="H20" i="36" s="1"/>
  <c r="I24" i="36" s="1"/>
  <c r="C15" i="43"/>
  <c r="C16" i="43" s="1"/>
  <c r="L17" i="43"/>
  <c r="C14" i="2" s="1"/>
  <c r="F18" i="36"/>
  <c r="G18" i="36" s="1"/>
  <c r="H18" i="36" s="1"/>
  <c r="E28" i="51"/>
  <c r="C29" i="2"/>
  <c r="C31" i="2" s="1"/>
  <c r="C32" i="2" s="1"/>
  <c r="C21" i="43"/>
  <c r="C18" i="2"/>
  <c r="H21" i="56" l="1"/>
  <c r="H46" i="56" s="1"/>
  <c r="H48" i="56" s="1"/>
  <c r="L21" i="57"/>
  <c r="G27" i="51"/>
  <c r="L20" i="43"/>
  <c r="C17" i="2" s="1"/>
  <c r="C43" i="2" s="1"/>
  <c r="E23" i="56"/>
  <c r="E24" i="56" s="1"/>
  <c r="E25" i="56" s="1"/>
  <c r="E26" i="56" s="1"/>
  <c r="E27" i="56" s="1"/>
  <c r="F48" i="43"/>
  <c r="G22" i="43"/>
  <c r="G12" i="43"/>
  <c r="G11" i="43"/>
  <c r="G40" i="43"/>
  <c r="F13" i="43"/>
  <c r="F14" i="43" s="1"/>
  <c r="F15" i="43" s="1"/>
  <c r="F16" i="43" s="1"/>
  <c r="F19" i="43"/>
  <c r="F23" i="43" s="1"/>
  <c r="J23" i="56"/>
  <c r="J24" i="56" s="1"/>
  <c r="J25" i="56" s="1"/>
  <c r="J26" i="56" s="1"/>
  <c r="J27" i="56" s="1"/>
  <c r="K23" i="56"/>
  <c r="K24" i="56" s="1"/>
  <c r="K25" i="56" s="1"/>
  <c r="K26" i="56" s="1"/>
  <c r="K27" i="56" s="1"/>
  <c r="I23" i="56"/>
  <c r="I24" i="56" s="1"/>
  <c r="I25" i="56" s="1"/>
  <c r="I26" i="56" s="1"/>
  <c r="I27" i="56" s="1"/>
  <c r="D23" i="43"/>
  <c r="D24" i="43" s="1"/>
  <c r="D25" i="43" s="1"/>
  <c r="D26" i="43" s="1"/>
  <c r="D27" i="43" s="1"/>
  <c r="F23" i="56"/>
  <c r="F24" i="56" s="1"/>
  <c r="F25" i="56" s="1"/>
  <c r="F26" i="56" s="1"/>
  <c r="F27" i="56" s="1"/>
  <c r="D23" i="56"/>
  <c r="D24" i="56" s="1"/>
  <c r="D25" i="56" s="1"/>
  <c r="D26" i="56" s="1"/>
  <c r="D27" i="56" s="1"/>
  <c r="H46" i="43"/>
  <c r="H23" i="56"/>
  <c r="H24" i="56" s="1"/>
  <c r="H25" i="56" s="1"/>
  <c r="H26" i="56" s="1"/>
  <c r="H27" i="56" s="1"/>
  <c r="E23" i="43"/>
  <c r="E24" i="43" s="1"/>
  <c r="G23" i="56"/>
  <c r="G24" i="56" s="1"/>
  <c r="G25" i="56" s="1"/>
  <c r="G26" i="56" s="1"/>
  <c r="G27" i="56" s="1"/>
  <c r="C23" i="56"/>
  <c r="C24" i="56" s="1"/>
  <c r="C25" i="56" s="1"/>
  <c r="D12" i="2"/>
  <c r="D38" i="2" s="1"/>
  <c r="L16" i="56"/>
  <c r="D13" i="2" s="1"/>
  <c r="E12" i="2"/>
  <c r="E38" i="2" s="1"/>
  <c r="L16" i="57"/>
  <c r="E13" i="2" s="1"/>
  <c r="F12" i="2"/>
  <c r="F38" i="2" s="1"/>
  <c r="H16" i="58"/>
  <c r="F13" i="2" s="1"/>
  <c r="G12" i="2"/>
  <c r="G38" i="2" s="1"/>
  <c r="H16" i="59"/>
  <c r="G13" i="2" s="1"/>
  <c r="L23" i="56"/>
  <c r="D14" i="2"/>
  <c r="F14" i="2"/>
  <c r="E14" i="2"/>
  <c r="L23" i="57"/>
  <c r="I20" i="36"/>
  <c r="J20" i="36" s="1"/>
  <c r="K20" i="36" s="1"/>
  <c r="L20" i="36" s="1"/>
  <c r="C41" i="2"/>
  <c r="C46" i="43"/>
  <c r="C48" i="43" s="1"/>
  <c r="C23" i="43"/>
  <c r="C24" i="43" s="1"/>
  <c r="C50" i="2"/>
  <c r="H26" i="51"/>
  <c r="H18" i="59" s="1"/>
  <c r="G28" i="51"/>
  <c r="H29" i="2"/>
  <c r="H31" i="2" s="1"/>
  <c r="H32" i="2" s="1"/>
  <c r="E24" i="36"/>
  <c r="I18" i="36"/>
  <c r="J18" i="36" s="1"/>
  <c r="K18" i="36" s="1"/>
  <c r="L18" i="36" s="1"/>
  <c r="H21" i="58" l="1"/>
  <c r="H21" i="57"/>
  <c r="J21" i="57"/>
  <c r="D21" i="57"/>
  <c r="G21" i="57"/>
  <c r="E21" i="57"/>
  <c r="E18" i="2"/>
  <c r="K21" i="57"/>
  <c r="I21" i="57"/>
  <c r="C21" i="57"/>
  <c r="F21" i="57"/>
  <c r="H27" i="51"/>
  <c r="H21" i="59" s="1"/>
  <c r="C26" i="56"/>
  <c r="C27" i="56" s="1"/>
  <c r="L25" i="56"/>
  <c r="H17" i="2"/>
  <c r="H43" i="2" s="1"/>
  <c r="G18" i="59"/>
  <c r="G17" i="59" s="1"/>
  <c r="G60" i="2"/>
  <c r="E18" i="59"/>
  <c r="E17" i="59" s="1"/>
  <c r="D18" i="59"/>
  <c r="D17" i="59" s="1"/>
  <c r="C18" i="59"/>
  <c r="C17" i="59" s="1"/>
  <c r="F18" i="59"/>
  <c r="F17" i="59" s="1"/>
  <c r="C49" i="2"/>
  <c r="G48" i="43"/>
  <c r="F24" i="43"/>
  <c r="F25" i="43" s="1"/>
  <c r="F26" i="43" s="1"/>
  <c r="F27" i="43" s="1"/>
  <c r="H12" i="43"/>
  <c r="G19" i="43"/>
  <c r="H11" i="43"/>
  <c r="G13" i="43"/>
  <c r="G14" i="43" s="1"/>
  <c r="G15" i="43" s="1"/>
  <c r="G16" i="43" s="1"/>
  <c r="H22" i="43"/>
  <c r="E25" i="43"/>
  <c r="E26" i="43" s="1"/>
  <c r="E27" i="43" s="1"/>
  <c r="F41" i="2"/>
  <c r="F48" i="2"/>
  <c r="D48" i="2"/>
  <c r="D41" i="2"/>
  <c r="E20" i="2"/>
  <c r="E39" i="2" s="1"/>
  <c r="L24" i="57"/>
  <c r="D20" i="2"/>
  <c r="L24" i="56"/>
  <c r="E41" i="2"/>
  <c r="E48" i="2"/>
  <c r="C25" i="43"/>
  <c r="H28" i="51"/>
  <c r="I26" i="51"/>
  <c r="H60" i="2" s="1"/>
  <c r="F46" i="57" l="1"/>
  <c r="F48" i="57" s="1"/>
  <c r="F23" i="57"/>
  <c r="F24" i="57" s="1"/>
  <c r="F25" i="57" s="1"/>
  <c r="F26" i="57" s="1"/>
  <c r="F27" i="57" s="1"/>
  <c r="E50" i="2"/>
  <c r="J46" i="57"/>
  <c r="J48" i="57" s="1"/>
  <c r="J23" i="57"/>
  <c r="J24" i="57" s="1"/>
  <c r="J25" i="57" s="1"/>
  <c r="J26" i="57" s="1"/>
  <c r="J27" i="57" s="1"/>
  <c r="C46" i="57"/>
  <c r="C48" i="57" s="1"/>
  <c r="C23" i="57"/>
  <c r="C24" i="57" s="1"/>
  <c r="E46" i="57"/>
  <c r="E48" i="57" s="1"/>
  <c r="E23" i="57"/>
  <c r="E24" i="57" s="1"/>
  <c r="E25" i="57" s="1"/>
  <c r="E26" i="57" s="1"/>
  <c r="E27" i="57" s="1"/>
  <c r="H46" i="57"/>
  <c r="H48" i="57" s="1"/>
  <c r="H23" i="57"/>
  <c r="H24" i="57" s="1"/>
  <c r="H25" i="57" s="1"/>
  <c r="H26" i="57" s="1"/>
  <c r="H27" i="57" s="1"/>
  <c r="F23" i="59"/>
  <c r="F24" i="59" s="1"/>
  <c r="F25" i="59" s="1"/>
  <c r="F26" i="59" s="1"/>
  <c r="F27" i="59" s="1"/>
  <c r="I46" i="57"/>
  <c r="I48" i="57" s="1"/>
  <c r="I23" i="57"/>
  <c r="I24" i="57" s="1"/>
  <c r="I25" i="57" s="1"/>
  <c r="I26" i="57" s="1"/>
  <c r="I27" i="57" s="1"/>
  <c r="G46" i="57"/>
  <c r="G48" i="57" s="1"/>
  <c r="G23" i="57"/>
  <c r="G24" i="57" s="1"/>
  <c r="G25" i="57" s="1"/>
  <c r="G26" i="57" s="1"/>
  <c r="G27" i="57" s="1"/>
  <c r="I27" i="51"/>
  <c r="C21" i="59"/>
  <c r="C46" i="59" s="1"/>
  <c r="C48" i="59" s="1"/>
  <c r="G18" i="2"/>
  <c r="G50" i="2" s="1"/>
  <c r="F21" i="59"/>
  <c r="F46" i="59" s="1"/>
  <c r="F48" i="59" s="1"/>
  <c r="D21" i="59"/>
  <c r="D46" i="59" s="1"/>
  <c r="D48" i="59" s="1"/>
  <c r="G21" i="59"/>
  <c r="G46" i="59" s="1"/>
  <c r="G48" i="59" s="1"/>
  <c r="E21" i="59"/>
  <c r="E46" i="59" s="1"/>
  <c r="E48" i="59" s="1"/>
  <c r="K46" i="57"/>
  <c r="K48" i="57" s="1"/>
  <c r="K23" i="57"/>
  <c r="K24" i="57" s="1"/>
  <c r="K25" i="57" s="1"/>
  <c r="K26" i="57" s="1"/>
  <c r="K27" i="57" s="1"/>
  <c r="D46" i="57"/>
  <c r="D48" i="57" s="1"/>
  <c r="D23" i="57"/>
  <c r="D24" i="57" s="1"/>
  <c r="D25" i="57" s="1"/>
  <c r="D26" i="57" s="1"/>
  <c r="D27" i="57" s="1"/>
  <c r="D21" i="58"/>
  <c r="C21" i="58"/>
  <c r="F21" i="58"/>
  <c r="E21" i="58"/>
  <c r="G21" i="58"/>
  <c r="F18" i="2"/>
  <c r="F50" i="2" s="1"/>
  <c r="H23" i="58"/>
  <c r="C26" i="43"/>
  <c r="L25" i="43"/>
  <c r="H49" i="2"/>
  <c r="H17" i="59"/>
  <c r="C23" i="59"/>
  <c r="C24" i="59" s="1"/>
  <c r="C25" i="59" s="1"/>
  <c r="C26" i="59" s="1"/>
  <c r="J36" i="43"/>
  <c r="I11" i="43"/>
  <c r="H19" i="43"/>
  <c r="H23" i="43" s="1"/>
  <c r="H13" i="43"/>
  <c r="H14" i="43" s="1"/>
  <c r="H15" i="43" s="1"/>
  <c r="H16" i="43" s="1"/>
  <c r="J37" i="43"/>
  <c r="I12" i="43"/>
  <c r="I22" i="43"/>
  <c r="J47" i="43"/>
  <c r="H40" i="43"/>
  <c r="H48" i="43" s="1"/>
  <c r="G23" i="43"/>
  <c r="G24" i="43" s="1"/>
  <c r="G25" i="43" s="1"/>
  <c r="G26" i="43" s="1"/>
  <c r="G27" i="43" s="1"/>
  <c r="D39" i="2"/>
  <c r="D22" i="2"/>
  <c r="D21" i="2"/>
  <c r="E21" i="2"/>
  <c r="C27" i="43"/>
  <c r="G46" i="58" l="1"/>
  <c r="G48" i="58" s="1"/>
  <c r="G23" i="58"/>
  <c r="G24" i="58" s="1"/>
  <c r="G25" i="58" s="1"/>
  <c r="G26" i="58" s="1"/>
  <c r="G27" i="58" s="1"/>
  <c r="D46" i="58"/>
  <c r="D48" i="58" s="1"/>
  <c r="D23" i="58"/>
  <c r="D24" i="58" s="1"/>
  <c r="D25" i="58" s="1"/>
  <c r="D26" i="58" s="1"/>
  <c r="D27" i="58" s="1"/>
  <c r="E23" i="59"/>
  <c r="E24" i="59" s="1"/>
  <c r="E25" i="59" s="1"/>
  <c r="E26" i="59" s="1"/>
  <c r="E27" i="59" s="1"/>
  <c r="F20" i="2"/>
  <c r="F39" i="2" s="1"/>
  <c r="H24" i="58"/>
  <c r="F21" i="2" s="1"/>
  <c r="F53" i="2" s="1"/>
  <c r="F46" i="58"/>
  <c r="F48" i="58" s="1"/>
  <c r="F23" i="58"/>
  <c r="F24" i="58" s="1"/>
  <c r="F25" i="58" s="1"/>
  <c r="F26" i="58" s="1"/>
  <c r="F27" i="58" s="1"/>
  <c r="C25" i="57"/>
  <c r="L25" i="57" s="1"/>
  <c r="E22" i="2" s="1"/>
  <c r="C26" i="57"/>
  <c r="C27" i="57" s="1"/>
  <c r="E46" i="58"/>
  <c r="E48" i="58" s="1"/>
  <c r="E23" i="58"/>
  <c r="E24" i="58" s="1"/>
  <c r="E25" i="58" s="1"/>
  <c r="E26" i="58" s="1"/>
  <c r="E27" i="58" s="1"/>
  <c r="C46" i="58"/>
  <c r="C48" i="58" s="1"/>
  <c r="C23" i="58"/>
  <c r="C24" i="58" s="1"/>
  <c r="G23" i="59"/>
  <c r="G24" i="59" s="1"/>
  <c r="G25" i="59" s="1"/>
  <c r="G26" i="59" s="1"/>
  <c r="G27" i="59" s="1"/>
  <c r="H18" i="2"/>
  <c r="H50" i="2" s="1"/>
  <c r="D23" i="59"/>
  <c r="D24" i="59" s="1"/>
  <c r="C27" i="59"/>
  <c r="H23" i="59"/>
  <c r="G14" i="2"/>
  <c r="H14" i="2" s="1"/>
  <c r="H41" i="2" s="1"/>
  <c r="L26" i="56"/>
  <c r="L27" i="56" s="1"/>
  <c r="L26" i="57"/>
  <c r="L27" i="57" s="1"/>
  <c r="K47" i="43"/>
  <c r="K22" i="43" s="1"/>
  <c r="J22" i="43"/>
  <c r="J44" i="43"/>
  <c r="I19" i="43"/>
  <c r="I23" i="43" s="1"/>
  <c r="H24" i="43"/>
  <c r="H25" i="43" s="1"/>
  <c r="H26" i="43" s="1"/>
  <c r="J38" i="43"/>
  <c r="J40" i="43" s="1"/>
  <c r="I13" i="43"/>
  <c r="K36" i="43"/>
  <c r="J11" i="43"/>
  <c r="K37" i="43"/>
  <c r="K12" i="43" s="1"/>
  <c r="J12" i="43"/>
  <c r="I40" i="43"/>
  <c r="I48" i="43" s="1"/>
  <c r="E53" i="2"/>
  <c r="E23" i="2"/>
  <c r="E52" i="2" s="1"/>
  <c r="D53" i="2"/>
  <c r="D23" i="2"/>
  <c r="D59" i="2" s="1"/>
  <c r="D58" i="2" s="1"/>
  <c r="C25" i="58" l="1"/>
  <c r="H25" i="58" s="1"/>
  <c r="F22" i="2" s="1"/>
  <c r="C26" i="58"/>
  <c r="D25" i="59"/>
  <c r="H25" i="59" s="1"/>
  <c r="D26" i="59"/>
  <c r="G41" i="2"/>
  <c r="G48" i="2"/>
  <c r="G20" i="2"/>
  <c r="G39" i="2" s="1"/>
  <c r="H24" i="59"/>
  <c r="L12" i="43"/>
  <c r="C9" i="2" s="1"/>
  <c r="C35" i="2" s="1"/>
  <c r="J48" i="43"/>
  <c r="L22" i="43"/>
  <c r="C19" i="2" s="1"/>
  <c r="H27" i="43"/>
  <c r="I14" i="43"/>
  <c r="K44" i="43"/>
  <c r="K19" i="43" s="1"/>
  <c r="K23" i="43" s="1"/>
  <c r="J19" i="43"/>
  <c r="J23" i="43" s="1"/>
  <c r="K38" i="43"/>
  <c r="K13" i="43" s="1"/>
  <c r="J13" i="43"/>
  <c r="J14" i="43" s="1"/>
  <c r="J15" i="43" s="1"/>
  <c r="K11" i="43"/>
  <c r="E24" i="2"/>
  <c r="E59" i="2"/>
  <c r="E58" i="2" s="1"/>
  <c r="D24" i="2"/>
  <c r="D52" i="2"/>
  <c r="D27" i="59" l="1"/>
  <c r="H26" i="59"/>
  <c r="C27" i="58"/>
  <c r="H26" i="58"/>
  <c r="G21" i="2"/>
  <c r="G53" i="2" s="1"/>
  <c r="G22" i="2"/>
  <c r="H9" i="2"/>
  <c r="H35" i="2" s="1"/>
  <c r="L19" i="43"/>
  <c r="K14" i="43"/>
  <c r="K15" i="43" s="1"/>
  <c r="K16" i="43" s="1"/>
  <c r="L13" i="43"/>
  <c r="C10" i="2" s="1"/>
  <c r="C36" i="2" s="1"/>
  <c r="J16" i="43"/>
  <c r="J24" i="43"/>
  <c r="J25" i="43" s="1"/>
  <c r="J26" i="43" s="1"/>
  <c r="J27" i="43" s="1"/>
  <c r="K40" i="43"/>
  <c r="K48" i="43" s="1"/>
  <c r="I15" i="43"/>
  <c r="H19" i="2"/>
  <c r="H51" i="2" s="1"/>
  <c r="C51" i="2"/>
  <c r="L11" i="43"/>
  <c r="C8" i="2" s="1"/>
  <c r="H27" i="58" l="1"/>
  <c r="F24" i="2" s="1"/>
  <c r="F23" i="2"/>
  <c r="H27" i="59"/>
  <c r="G24" i="2" s="1"/>
  <c r="G23" i="2"/>
  <c r="L14" i="43"/>
  <c r="C11" i="2" s="1"/>
  <c r="H11" i="2" s="1"/>
  <c r="H12" i="2" s="1"/>
  <c r="H38" i="2" s="1"/>
  <c r="K24" i="43"/>
  <c r="K25" i="43" s="1"/>
  <c r="K26" i="43" s="1"/>
  <c r="K27" i="43" s="1"/>
  <c r="C16" i="2"/>
  <c r="L23" i="43"/>
  <c r="H10" i="2"/>
  <c r="H36" i="2" s="1"/>
  <c r="C48" i="2"/>
  <c r="C34" i="2"/>
  <c r="H8" i="2"/>
  <c r="I16" i="43"/>
  <c r="L15" i="43"/>
  <c r="I24" i="43"/>
  <c r="G59" i="2" l="1"/>
  <c r="G58" i="2" s="1"/>
  <c r="G52" i="2"/>
  <c r="F52" i="2"/>
  <c r="F59" i="2"/>
  <c r="F58" i="2" s="1"/>
  <c r="H13" i="2"/>
  <c r="C42" i="2"/>
  <c r="C20" i="2"/>
  <c r="H16" i="2"/>
  <c r="H42" i="2" s="1"/>
  <c r="C47" i="2"/>
  <c r="I25" i="43"/>
  <c r="I26" i="43" s="1"/>
  <c r="H34" i="2"/>
  <c r="H48" i="2"/>
  <c r="C12" i="2"/>
  <c r="L24" i="43"/>
  <c r="L16" i="43"/>
  <c r="H20" i="2" l="1"/>
  <c r="H21" i="2" s="1"/>
  <c r="H47" i="2"/>
  <c r="I27" i="43"/>
  <c r="L26" i="43"/>
  <c r="L27" i="43" s="1"/>
  <c r="C38" i="2"/>
  <c r="C39" i="2" s="1"/>
  <c r="C21" i="2"/>
  <c r="C13" i="2"/>
  <c r="H22" i="2" l="1"/>
  <c r="H23" i="2" s="1"/>
  <c r="H53" i="2"/>
  <c r="H39" i="2"/>
  <c r="C53" i="2"/>
  <c r="C22" i="2"/>
  <c r="C23" i="2" s="1"/>
  <c r="H24" i="2" l="1"/>
  <c r="H52" i="2"/>
  <c r="H59" i="2"/>
  <c r="H58" i="2" s="1"/>
  <c r="C59" i="2"/>
  <c r="C58" i="2" s="1"/>
  <c r="C52" i="2"/>
  <c r="C24" i="2"/>
</calcChain>
</file>

<file path=xl/comments1.xml><?xml version="1.0" encoding="utf-8"?>
<comments xmlns="http://schemas.openxmlformats.org/spreadsheetml/2006/main">
  <authors>
    <author>User</author>
  </authors>
  <commentList>
    <comment ref="G19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提供数据为15万元，与备注不符，后与吴孝伟核实为18万元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M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<sst xmlns="http://schemas.openxmlformats.org/spreadsheetml/2006/main" count="1397" uniqueCount="292">
  <si>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</si>
  <si>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</si>
  <si>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</si>
  <si>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</si>
  <si>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</si>
  <si>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</si>
  <si>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</si>
  <si>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</si>
  <si>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</si>
  <si>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</si>
  <si>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</si>
  <si>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</si>
  <si>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</si>
  <si>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</si>
  <si>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</si>
  <si>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</si>
  <si>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</si>
  <si>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</si>
  <si>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</si>
  <si>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</si>
  <si>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2021年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</si>
  <si>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</si>
  <si>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</si>
  <si>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</si>
  <si>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</si>
  <si>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</si>
  <si>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</si>
  <si>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</si>
  <si>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</si>
  <si>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</si>
  <si>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</si>
  <si>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</si>
  <si>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</si>
  <si>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</si>
  <si>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</si>
  <si>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</si>
  <si>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</si>
  <si>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</si>
  <si>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</si>
  <si>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</si>
  <si>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</si>
  <si>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</si>
  <si>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</si>
  <si>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</si>
  <si>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</si>
  <si>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</si>
  <si>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</si>
  <si>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</si>
  <si>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</si>
  <si>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</si>
  <si>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</si>
  <si>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</si>
  <si>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</si>
  <si>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</si>
  <si>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</si>
  <si>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</si>
  <si>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</si>
  <si>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</si>
  <si>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</si>
  <si>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</si>
  <si>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</si>
  <si>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</si>
  <si>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</si>
  <si>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</si>
  <si>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</si>
  <si>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</si>
  <si>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</si>
  <si>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</si>
  <si>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</si>
  <si>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</si>
  <si>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</si>
  <si>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</si>
  <si>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</si>
  <si>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</si>
  <si>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</si>
  <si>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</si>
  <si>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</si>
  <si>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</si>
  <si>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</si>
  <si>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</si>
  <si>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</si>
  <si>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</si>
  <si>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</si>
  <si>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</si>
  <si>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</si>
  <si>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</si>
  <si>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</si>
  <si>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</si>
  <si>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</si>
  <si>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</si>
  <si>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</si>
  <si>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</si>
  <si>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</si>
  <si>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</si>
  <si>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</si>
  <si>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</si>
  <si>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</si>
  <si>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</si>
  <si>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</si>
  <si>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</si>
  <si>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</si>
  <si>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</si>
  <si>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</si>
  <si>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</si>
  <si>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</si>
  <si>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</si>
  <si>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</si>
  <si>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</si>
  <si>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</si>
  <si>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</si>
  <si>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</si>
  <si>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</si>
  <si>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</si>
  <si>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</si>
  <si>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</si>
  <si>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</si>
  <si>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</si>
  <si>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</si>
  <si>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</si>
  <si>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</si>
  <si>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</si>
  <si>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</si>
  <si>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</si>
  <si>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</si>
  <si>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</si>
  <si>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</si>
  <si>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</si>
  <si>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</si>
  <si>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</si>
  <si>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</si>
  <si>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</si>
  <si>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</si>
  <si>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</si>
  <si>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</si>
  <si>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</si>
  <si>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</si>
  <si>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</si>
  <si>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</si>
  <si>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</si>
  <si>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</si>
  <si>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</si>
  <si>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</si>
  <si>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</si>
  <si>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</si>
  <si>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</si>
  <si>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</si>
  <si>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</si>
  <si>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</si>
  <si>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</si>
  <si>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</si>
  <si>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</si>
  <si>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</si>
  <si>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</si>
  <si>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</si>
  <si>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</si>
  <si>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</si>
  <si>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</si>
  <si>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</si>
  <si>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</si>
  <si>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</si>
  <si>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</si>
  <si>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</si>
  <si>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</si>
  <si>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</si>
  <si>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</si>
  <si>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</si>
  <si>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</si>
  <si>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</si>
  <si>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</si>
  <si>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</si>
  <si>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</si>
  <si>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</si>
  <si>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</si>
  <si>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</si>
  <si>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</si>
  <si>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</si>
  <si>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</si>
  <si>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</si>
  <si>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</si>
  <si>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</si>
  <si>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</si>
  <si>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</si>
  <si>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</si>
  <si>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</si>
  <si>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</si>
  <si>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</si>
  <si>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</si>
  <si>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</si>
  <si>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</si>
  <si>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</si>
  <si>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</si>
  <si>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</si>
  <si>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</si>
  <si>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</si>
  <si>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</si>
  <si>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</si>
  <si>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</si>
  <si>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</si>
  <si>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</si>
  <si>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</si>
  <si>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</si>
  <si>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</si>
  <si>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</si>
  <si>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</si>
  <si>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</si>
  <si>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</si>
  <si>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</si>
  <si>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</si>
  <si>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</si>
  <si>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</si>
  <si>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</si>
  <si>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</si>
  <si>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</si>
  <si>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</si>
  <si>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</si>
  <si>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</si>
  <si>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</si>
  <si>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</si>
  <si>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</si>
  <si>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</si>
  <si>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</si>
  <si>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</si>
  <si>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</si>
  <si>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</si>
  <si>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</si>
  <si>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</si>
  <si>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</si>
  <si>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</si>
  <si>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</si>
  <si>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</si>
  <si>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</si>
  <si>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</si>
  <si>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</si>
  <si>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</si>
  <si>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</si>
  <si>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</si>
  <si>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</si>
  <si>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</si>
  <si>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</si>
  <si>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</si>
  <si>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</si>
  <si>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</si>
  <si>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</si>
  <si>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</si>
  <si>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</si>
  <si>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</si>
  <si>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</si>
  <si>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</si>
  <si>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</si>
  <si>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</si>
  <si>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</si>
  <si>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</si>
  <si>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9" type="noConversion"/>
  </si>
  <si>
    <t>综合单件金额</t>
    <phoneticPr fontId="39" type="noConversion"/>
  </si>
  <si>
    <t>座椅单件金额</t>
    <phoneticPr fontId="39" type="noConversion"/>
  </si>
  <si>
    <t>后视镜单件金额</t>
    <phoneticPr fontId="39" type="noConversion"/>
  </si>
  <si>
    <t>综合占收入比率</t>
    <phoneticPr fontId="39" type="noConversion"/>
  </si>
  <si>
    <t>后视镜占收入比率</t>
    <phoneticPr fontId="39" type="noConversion"/>
  </si>
  <si>
    <t>座椅占收入比率</t>
    <phoneticPr fontId="39" type="noConversion"/>
  </si>
  <si>
    <t>包装膜</t>
    <phoneticPr fontId="39" type="noConversion"/>
  </si>
  <si>
    <t>采购</t>
    <phoneticPr fontId="39" type="noConversion"/>
  </si>
  <si>
    <t xml:space="preserve">    年</t>
    <phoneticPr fontId="39" type="noConversion"/>
  </si>
  <si>
    <t>材料成本年降（可与售价年降率相同）</t>
    <phoneticPr fontId="39" type="noConversion"/>
  </si>
  <si>
    <t>西安黄骅</t>
    <phoneticPr fontId="39" type="noConversion"/>
  </si>
  <si>
    <t>陕汽</t>
    <phoneticPr fontId="39" type="noConversion"/>
  </si>
  <si>
    <t>成本</t>
    <phoneticPr fontId="39" type="noConversion"/>
  </si>
  <si>
    <t>供应商年降：       年2 %</t>
    <phoneticPr fontId="39" type="noConversion"/>
  </si>
  <si>
    <t>成本</t>
    <phoneticPr fontId="39" type="noConversion"/>
  </si>
  <si>
    <t xml:space="preserve">奥杰项目研发费用预算表 </t>
    <phoneticPr fontId="39" type="noConversion"/>
  </si>
  <si>
    <t>福田</t>
    <phoneticPr fontId="39" type="noConversion"/>
  </si>
  <si>
    <t>福田</t>
    <phoneticPr fontId="39" type="noConversion"/>
  </si>
  <si>
    <t>驾驶员座椅总成</t>
  </si>
  <si>
    <t>X168100000004</t>
  </si>
  <si>
    <t>副驾驶员座椅总成</t>
  </si>
  <si>
    <t>X168100000003</t>
  </si>
  <si>
    <t>2026年</t>
  </si>
  <si>
    <t>大罩壳模具修改</t>
    <phoneticPr fontId="36" type="noConversion"/>
  </si>
  <si>
    <t>座框总成焊台</t>
    <phoneticPr fontId="36" type="noConversion"/>
  </si>
  <si>
    <t>CQC及开发验证样椅；
DVP样椅；
CNC样件制作。</t>
    <phoneticPr fontId="36" type="noConversion"/>
  </si>
  <si>
    <t>委外试验13万、内部实验5万</t>
    <phoneticPr fontId="36" type="noConversion"/>
  </si>
  <si>
    <t xml:space="preserve">2022年  </t>
    <phoneticPr fontId="39" type="noConversion"/>
  </si>
  <si>
    <t xml:space="preserve">2023年  </t>
    <phoneticPr fontId="39" type="noConversion"/>
  </si>
  <si>
    <t xml:space="preserve">2024年  </t>
    <phoneticPr fontId="39" type="noConversion"/>
  </si>
  <si>
    <t xml:space="preserve">2025年  </t>
    <phoneticPr fontId="39" type="noConversion"/>
  </si>
  <si>
    <t xml:space="preserve">2026年  </t>
    <phoneticPr fontId="39" type="noConversion"/>
  </si>
  <si>
    <r>
      <t>2026</t>
    </r>
    <r>
      <rPr>
        <b/>
        <sz val="10"/>
        <rFont val="宋体"/>
        <family val="3"/>
        <charset val="134"/>
      </rPr>
      <t>年</t>
    </r>
    <phoneticPr fontId="39" type="noConversion"/>
  </si>
  <si>
    <r>
      <t>2025</t>
    </r>
    <r>
      <rPr>
        <b/>
        <sz val="10"/>
        <rFont val="宋体"/>
        <family val="3"/>
        <charset val="134"/>
      </rPr>
      <t>年</t>
    </r>
    <phoneticPr fontId="39" type="noConversion"/>
  </si>
  <si>
    <r>
      <t>2024</t>
    </r>
    <r>
      <rPr>
        <b/>
        <sz val="10"/>
        <rFont val="宋体"/>
        <family val="3"/>
        <charset val="134"/>
      </rPr>
      <t>年</t>
    </r>
    <phoneticPr fontId="39" type="noConversion"/>
  </si>
  <si>
    <r>
      <t>2023</t>
    </r>
    <r>
      <rPr>
        <b/>
        <sz val="10"/>
        <rFont val="宋体"/>
        <family val="3"/>
        <charset val="134"/>
      </rPr>
      <t>年</t>
    </r>
    <phoneticPr fontId="39" type="noConversion"/>
  </si>
  <si>
    <r>
      <t>2022</t>
    </r>
    <r>
      <rPr>
        <b/>
        <sz val="10"/>
        <rFont val="宋体"/>
        <family val="3"/>
        <charset val="134"/>
      </rPr>
      <t>年</t>
    </r>
    <phoneticPr fontId="39" type="noConversion"/>
  </si>
  <si>
    <r>
      <t xml:space="preserve">奥杰项目可行性分析                  </t>
    </r>
    <r>
      <rPr>
        <sz val="10"/>
        <color theme="1"/>
        <rFont val="微软雅黑"/>
        <family val="2"/>
        <charset val="134"/>
      </rPr>
      <t>单位：元</t>
    </r>
    <phoneticPr fontId="39" type="noConversion"/>
  </si>
  <si>
    <t>项目立项总体研发支出为36万元，其中费用性支出为31万元，资本性投入5万元。预付售价为正副驾各340元，预估材料成本为正驾395元、副驾329元，售价与成本无年降，年销量各20000辆份。按此数据分析得出结论是利润为-20%，建议慎重立项。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</si>
</sst>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/>
    <xf numFmtId="9" fontId="38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1" fontId="33" fillId="0" borderId="1" applyBorder="0"/>
    <xf numFmtId="43" fontId="34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3" borderId="1" xfId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10" fillId="5" borderId="1" xfId="4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1" fillId="0" borderId="4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left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9" fontId="17" fillId="0" borderId="1" xfId="3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7" fillId="0" borderId="1" xfId="1" applyFont="1" applyFill="1" applyBorder="1">
      <alignment vertical="center"/>
    </xf>
    <xf numFmtId="0" fontId="16" fillId="0" borderId="1" xfId="0" applyFont="1" applyFill="1" applyBorder="1">
      <alignment vertical="center"/>
    </xf>
    <xf numFmtId="9" fontId="17" fillId="0" borderId="1" xfId="3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6" fillId="0" borderId="1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9" fontId="17" fillId="0" borderId="0" xfId="0" applyNumberFormat="1" applyFont="1" applyFill="1">
      <alignment vertical="center"/>
    </xf>
    <xf numFmtId="1" fontId="11" fillId="4" borderId="0" xfId="2" applyNumberFormat="1" applyFont="1" applyFill="1" applyProtection="1"/>
    <xf numFmtId="0" fontId="11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1" fillId="4" borderId="0" xfId="2" applyFont="1" applyFill="1" applyAlignment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Protection="1"/>
    <xf numFmtId="0" fontId="11" fillId="4" borderId="5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2" xfId="2" applyFont="1" applyFill="1" applyBorder="1" applyAlignment="1" applyProtection="1">
      <alignment horizontal="center"/>
    </xf>
    <xf numFmtId="1" fontId="13" fillId="4" borderId="2" xfId="7" applyFont="1" applyFill="1" applyBorder="1"/>
    <xf numFmtId="1" fontId="11" fillId="4" borderId="2" xfId="7" applyFont="1" applyFill="1" applyBorder="1"/>
    <xf numFmtId="0" fontId="11" fillId="4" borderId="6" xfId="2" applyFont="1" applyFill="1" applyBorder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9" xfId="2" applyFont="1" applyFill="1" applyBorder="1" applyProtection="1"/>
    <xf numFmtId="0" fontId="11" fillId="4" borderId="10" xfId="2" applyFont="1" applyFill="1" applyBorder="1" applyProtection="1"/>
    <xf numFmtId="0" fontId="11" fillId="4" borderId="11" xfId="2" applyFont="1" applyFill="1" applyBorder="1" applyProtection="1"/>
    <xf numFmtId="0" fontId="11" fillId="4" borderId="0" xfId="2" applyFont="1" applyFill="1" applyBorder="1" applyProtection="1"/>
    <xf numFmtId="176" fontId="11" fillId="4" borderId="0" xfId="2" applyNumberFormat="1" applyFont="1" applyFill="1" applyBorder="1" applyProtection="1"/>
    <xf numFmtId="10" fontId="11" fillId="4" borderId="0" xfId="2" applyNumberFormat="1" applyFont="1" applyFill="1" applyBorder="1" applyProtection="1"/>
    <xf numFmtId="1" fontId="11" fillId="4" borderId="0" xfId="2" applyNumberFormat="1" applyFont="1" applyFill="1" applyBorder="1" applyProtection="1"/>
    <xf numFmtId="0" fontId="11" fillId="4" borderId="12" xfId="2" applyFont="1" applyFill="1" applyBorder="1" applyProtection="1"/>
    <xf numFmtId="0" fontId="11" fillId="4" borderId="8" xfId="2" applyFont="1" applyFill="1" applyBorder="1" applyProtection="1"/>
    <xf numFmtId="2" fontId="11" fillId="4" borderId="8" xfId="2" applyNumberFormat="1" applyFont="1" applyFill="1" applyBorder="1" applyProtection="1"/>
    <xf numFmtId="0" fontId="11" fillId="4" borderId="3" xfId="2" applyFont="1" applyFill="1" applyBorder="1"/>
    <xf numFmtId="1" fontId="11" fillId="4" borderId="6" xfId="7" applyFont="1" applyFill="1" applyBorder="1" applyAlignment="1">
      <alignment horizontal="center"/>
    </xf>
    <xf numFmtId="0" fontId="11" fillId="4" borderId="13" xfId="2" applyFont="1" applyFill="1" applyBorder="1" applyProtection="1"/>
    <xf numFmtId="0" fontId="11" fillId="4" borderId="14" xfId="2" applyFont="1" applyFill="1" applyBorder="1" applyProtection="1"/>
    <xf numFmtId="0" fontId="11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1" xfId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9" fillId="6" borderId="1" xfId="0" applyFont="1" applyFill="1" applyBorder="1">
      <alignment vertical="center"/>
    </xf>
    <xf numFmtId="178" fontId="16" fillId="6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10" fontId="16" fillId="0" borderId="1" xfId="3" applyNumberFormat="1" applyFont="1" applyBorder="1" applyAlignment="1">
      <alignment vertical="center"/>
    </xf>
    <xf numFmtId="178" fontId="16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24" fillId="6" borderId="1" xfId="0" applyFont="1" applyFill="1" applyBorder="1">
      <alignment vertical="center"/>
    </xf>
    <xf numFmtId="178" fontId="17" fillId="0" borderId="1" xfId="1" applyNumberFormat="1" applyFont="1" applyBorder="1" applyAlignment="1">
      <alignment horizontal="center" vertical="center"/>
    </xf>
    <xf numFmtId="10" fontId="17" fillId="0" borderId="1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0" fontId="17" fillId="0" borderId="1" xfId="3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1" applyFont="1" applyBorder="1">
      <alignment vertical="center"/>
    </xf>
    <xf numFmtId="178" fontId="17" fillId="0" borderId="1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17" fillId="0" borderId="5" xfId="0" applyFont="1" applyBorder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 readingOrder="1"/>
    </xf>
    <xf numFmtId="0" fontId="25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0" fontId="28" fillId="2" borderId="1" xfId="0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41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42" fillId="3" borderId="1" xfId="0" applyFont="1" applyFill="1" applyBorder="1" applyAlignment="1">
      <alignment horizontal="center" vertical="center" wrapText="1" readingOrder="1"/>
    </xf>
    <xf numFmtId="0" fontId="40" fillId="3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17" fillId="0" borderId="7" xfId="1" applyFont="1" applyFill="1" applyBorder="1">
      <alignment vertical="center"/>
    </xf>
    <xf numFmtId="43" fontId="0" fillId="0" borderId="0" xfId="0" applyNumberFormat="1" applyFill="1">
      <alignment vertical="center"/>
    </xf>
    <xf numFmtId="0" fontId="43" fillId="3" borderId="13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 readingOrder="1"/>
    </xf>
    <xf numFmtId="9" fontId="3" fillId="0" borderId="9" xfId="0" applyNumberFormat="1" applyFont="1" applyBorder="1" applyAlignment="1">
      <alignment horizontal="center" vertical="center"/>
    </xf>
    <xf numFmtId="178" fontId="2" fillId="0" borderId="0" xfId="0" applyNumberFormat="1" applyFont="1">
      <alignment vertical="center"/>
    </xf>
    <xf numFmtId="10" fontId="17" fillId="0" borderId="1" xfId="3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0" fillId="0" borderId="1" xfId="0" applyFill="1" applyBorder="1" applyAlignment="1">
      <alignment horizontal="left" vertical="center"/>
    </xf>
    <xf numFmtId="0" fontId="44" fillId="0" borderId="13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 readingOrder="1"/>
    </xf>
    <xf numFmtId="43" fontId="46" fillId="8" borderId="1" xfId="1" applyFont="1" applyFill="1" applyBorder="1" applyAlignment="1" applyProtection="1">
      <alignment horizontal="center" vertical="center"/>
    </xf>
    <xf numFmtId="0" fontId="46" fillId="9" borderId="1" xfId="0" applyFont="1" applyFill="1" applyBorder="1" applyAlignment="1">
      <alignment vertical="center" wrapText="1"/>
    </xf>
    <xf numFmtId="0" fontId="46" fillId="0" borderId="1" xfId="0" applyFont="1" applyBorder="1">
      <alignment vertical="center"/>
    </xf>
    <xf numFmtId="0" fontId="46" fillId="0" borderId="1" xfId="0" applyFont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10" fontId="28" fillId="0" borderId="1" xfId="3" applyNumberFormat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3" fillId="4" borderId="1" xfId="2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 wrapText="1"/>
    </xf>
    <xf numFmtId="43" fontId="17" fillId="0" borderId="4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/>
    </xf>
    <xf numFmtId="0" fontId="9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</cellXfs>
  <cellStyles count="9">
    <cellStyle name="_x000a_mouse.drv=lm" xfId="2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1" sqref="C11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6" customFormat="1" ht="35.25" customHeight="1">
      <c r="A2" s="147" t="s">
        <v>0</v>
      </c>
      <c r="B2" s="147" t="s">
        <v>1</v>
      </c>
      <c r="C2" s="147" t="s">
        <v>2</v>
      </c>
      <c r="D2" s="148"/>
    </row>
    <row r="3" spans="1:4" s="146" customFormat="1" ht="33.75" customHeight="1">
      <c r="A3" s="149">
        <v>1</v>
      </c>
      <c r="B3" s="149" t="s">
        <v>3</v>
      </c>
      <c r="C3" s="150" t="s">
        <v>4</v>
      </c>
      <c r="D3" s="148"/>
    </row>
    <row r="4" spans="1:4" s="146" customFormat="1" ht="33.75" customHeight="1">
      <c r="A4" s="149">
        <v>2</v>
      </c>
      <c r="B4" s="149" t="s">
        <v>5</v>
      </c>
      <c r="C4" s="150" t="s">
        <v>6</v>
      </c>
    </row>
    <row r="5" spans="1:4" s="146" customFormat="1" ht="33.75" customHeight="1">
      <c r="A5" s="149">
        <v>3</v>
      </c>
      <c r="B5" s="202" t="s">
        <v>7</v>
      </c>
      <c r="C5" s="151" t="s">
        <v>8</v>
      </c>
    </row>
    <row r="6" spans="1:4" s="146" customFormat="1" ht="33.75" customHeight="1">
      <c r="A6" s="149">
        <v>4</v>
      </c>
      <c r="B6" s="203"/>
      <c r="C6" s="150" t="s">
        <v>9</v>
      </c>
    </row>
    <row r="7" spans="1:4" s="146" customFormat="1" ht="33.75" customHeight="1">
      <c r="A7" s="149">
        <v>5</v>
      </c>
      <c r="B7" s="152" t="s">
        <v>10</v>
      </c>
      <c r="C7" s="150" t="s">
        <v>11</v>
      </c>
    </row>
    <row r="8" spans="1:4" s="146" customFormat="1" ht="33.75" customHeight="1">
      <c r="A8" s="149">
        <v>6</v>
      </c>
      <c r="B8" s="202" t="s">
        <v>12</v>
      </c>
      <c r="C8" s="150" t="s">
        <v>13</v>
      </c>
    </row>
    <row r="9" spans="1:4" s="146" customFormat="1" ht="33.75" customHeight="1">
      <c r="A9" s="149">
        <v>7</v>
      </c>
      <c r="B9" s="203"/>
      <c r="C9" s="150" t="s">
        <v>14</v>
      </c>
    </row>
    <row r="10" spans="1:4" s="146" customFormat="1" ht="33.75" customHeight="1">
      <c r="A10" s="149">
        <v>8</v>
      </c>
      <c r="B10" s="203"/>
      <c r="C10" s="151" t="s">
        <v>15</v>
      </c>
    </row>
    <row r="11" spans="1:4" s="146" customFormat="1" ht="33.75" customHeight="1">
      <c r="A11" s="149">
        <v>9</v>
      </c>
      <c r="B11" s="203"/>
      <c r="C11" s="150" t="s">
        <v>16</v>
      </c>
    </row>
    <row r="12" spans="1:4" s="146" customFormat="1" ht="33.75" customHeight="1">
      <c r="A12" s="149">
        <v>10</v>
      </c>
      <c r="B12" s="152" t="s">
        <v>17</v>
      </c>
      <c r="C12" s="150" t="s">
        <v>18</v>
      </c>
    </row>
    <row r="13" spans="1:4" ht="33.75" customHeight="1"/>
    <row r="14" spans="1:4" ht="33.75" customHeight="1"/>
    <row r="15" spans="1:4" ht="33.75" customHeight="1">
      <c r="C15" s="153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E23" sqref="E23"/>
    </sheetView>
  </sheetViews>
  <sheetFormatPr defaultColWidth="9" defaultRowHeight="16.5"/>
  <cols>
    <col min="1" max="1" width="14" style="7" customWidth="1"/>
    <col min="2" max="2" width="14.125" style="7" customWidth="1"/>
    <col min="3" max="3" width="14.25" style="7" bestFit="1" customWidth="1"/>
    <col min="4" max="4" width="17.125" style="7" bestFit="1" customWidth="1"/>
    <col min="5" max="9" width="11.125" style="7" customWidth="1"/>
    <col min="10" max="11" width="11.125" style="7" hidden="1" customWidth="1"/>
    <col min="12" max="12" width="12.125" style="7" hidden="1" customWidth="1"/>
    <col min="13" max="13" width="11.625" style="7" customWidth="1"/>
    <col min="14" max="14" width="9.25" style="7" customWidth="1"/>
    <col min="15" max="15" width="9.125" style="7" customWidth="1"/>
    <col min="16" max="16384" width="9" style="7"/>
  </cols>
  <sheetData>
    <row r="1" spans="1:16" ht="29.25" customHeight="1">
      <c r="A1" s="19" t="s">
        <v>198</v>
      </c>
      <c r="E1" s="20"/>
      <c r="F1" s="20"/>
      <c r="G1" s="20"/>
      <c r="H1" s="20"/>
      <c r="I1" s="20"/>
      <c r="J1" s="20"/>
      <c r="K1" s="20"/>
      <c r="L1" s="20"/>
      <c r="M1" s="20"/>
    </row>
    <row r="2" spans="1:16" ht="24" customHeight="1">
      <c r="A2" s="21" t="s">
        <v>199</v>
      </c>
      <c r="E2" s="20"/>
      <c r="F2" s="20"/>
      <c r="G2" s="20"/>
      <c r="H2" s="20"/>
      <c r="I2" s="20"/>
      <c r="J2" s="20"/>
      <c r="K2" s="20"/>
      <c r="L2" s="20"/>
      <c r="M2" s="20"/>
    </row>
    <row r="3" spans="1:16">
      <c r="C3" s="7" t="s">
        <v>200</v>
      </c>
      <c r="D3" s="10" t="s">
        <v>261</v>
      </c>
      <c r="E3" s="172">
        <v>0</v>
      </c>
      <c r="F3" s="172"/>
      <c r="G3" s="172"/>
      <c r="H3" s="172"/>
      <c r="I3" s="172"/>
    </row>
    <row r="5" spans="1:16" ht="45" customHeight="1">
      <c r="A5" s="232" t="s">
        <v>201</v>
      </c>
      <c r="B5" s="9" t="s">
        <v>150</v>
      </c>
      <c r="C5" s="192" t="s">
        <v>271</v>
      </c>
      <c r="D5" s="192" t="s">
        <v>273</v>
      </c>
      <c r="E5" s="182"/>
      <c r="F5" s="183"/>
      <c r="G5" s="182"/>
      <c r="H5" s="182"/>
      <c r="I5" s="182"/>
      <c r="J5" s="175"/>
      <c r="K5" s="175"/>
      <c r="L5" s="24"/>
      <c r="M5" s="231" t="s">
        <v>22</v>
      </c>
    </row>
    <row r="6" spans="1:16" ht="31.5" customHeight="1">
      <c r="A6" s="232"/>
      <c r="B6" s="9" t="s">
        <v>151</v>
      </c>
      <c r="C6" s="193" t="s">
        <v>272</v>
      </c>
      <c r="D6" s="193" t="s">
        <v>274</v>
      </c>
      <c r="E6" s="184"/>
      <c r="F6" s="167"/>
      <c r="G6" s="184"/>
      <c r="H6" s="184"/>
      <c r="I6" s="184"/>
      <c r="J6" s="175"/>
      <c r="K6" s="175"/>
      <c r="L6" s="24"/>
      <c r="M6" s="231"/>
      <c r="O6" s="7">
        <v>100</v>
      </c>
    </row>
    <row r="7" spans="1:16" ht="16.5" customHeight="1">
      <c r="A7" s="232"/>
      <c r="B7" s="25" t="s">
        <v>202</v>
      </c>
      <c r="C7" s="23"/>
      <c r="D7" s="23"/>
      <c r="E7" s="23"/>
      <c r="F7" s="23"/>
      <c r="G7" s="23"/>
      <c r="H7" s="23"/>
      <c r="I7" s="23"/>
      <c r="J7" s="23"/>
      <c r="K7" s="23"/>
      <c r="L7" s="24"/>
      <c r="M7" s="231"/>
      <c r="O7" s="7">
        <f>O6*(1-$E$3)</f>
        <v>100</v>
      </c>
      <c r="P7" s="7">
        <f>O7/$O$6</f>
        <v>1</v>
      </c>
    </row>
    <row r="8" spans="1:16" ht="33">
      <c r="A8" s="232"/>
      <c r="B8" s="25" t="s">
        <v>203</v>
      </c>
      <c r="C8" s="184">
        <v>340</v>
      </c>
      <c r="D8" s="184">
        <v>340</v>
      </c>
      <c r="E8" s="184"/>
      <c r="F8" s="167"/>
      <c r="G8" s="184"/>
      <c r="H8" s="184"/>
      <c r="I8" s="184"/>
      <c r="J8" s="176"/>
      <c r="K8" s="176"/>
      <c r="L8" s="26"/>
      <c r="M8" s="231"/>
      <c r="O8" s="7">
        <f t="shared" ref="O8:O10" si="0">O7*(1-$E$3)</f>
        <v>100</v>
      </c>
      <c r="P8" s="7">
        <f t="shared" ref="P8:P10" si="1">O8/$O$6</f>
        <v>1</v>
      </c>
    </row>
    <row r="9" spans="1:16" ht="18.75">
      <c r="A9" s="232" t="s">
        <v>204</v>
      </c>
      <c r="B9" s="189" t="s">
        <v>21</v>
      </c>
      <c r="C9" s="194">
        <v>20000</v>
      </c>
      <c r="D9" s="194">
        <v>20000</v>
      </c>
      <c r="E9" s="177"/>
      <c r="F9" s="185"/>
      <c r="G9" s="177"/>
      <c r="H9" s="177"/>
      <c r="I9" s="177"/>
      <c r="J9" s="177"/>
      <c r="K9" s="177"/>
      <c r="L9" s="29"/>
      <c r="M9" s="32">
        <f>SUM(C9:L9)</f>
        <v>40000</v>
      </c>
      <c r="O9" s="7">
        <f t="shared" si="0"/>
        <v>100</v>
      </c>
      <c r="P9" s="7">
        <f t="shared" si="1"/>
        <v>1</v>
      </c>
    </row>
    <row r="10" spans="1:16" ht="18.75">
      <c r="A10" s="232"/>
      <c r="B10" s="189" t="s">
        <v>193</v>
      </c>
      <c r="C10" s="194">
        <v>20000</v>
      </c>
      <c r="D10" s="194">
        <v>20000</v>
      </c>
      <c r="E10" s="178"/>
      <c r="F10" s="185"/>
      <c r="G10" s="178"/>
      <c r="H10" s="178"/>
      <c r="I10" s="178"/>
      <c r="J10" s="178"/>
      <c r="K10" s="178"/>
      <c r="L10" s="29"/>
      <c r="M10" s="32">
        <f>SUM(C10:L10)</f>
        <v>40000</v>
      </c>
      <c r="O10" s="7">
        <f t="shared" si="0"/>
        <v>100</v>
      </c>
      <c r="P10" s="7">
        <f t="shared" si="1"/>
        <v>1</v>
      </c>
    </row>
    <row r="11" spans="1:16" ht="18.75">
      <c r="A11" s="232"/>
      <c r="B11" s="189" t="s">
        <v>194</v>
      </c>
      <c r="C11" s="194">
        <v>20000</v>
      </c>
      <c r="D11" s="194">
        <v>20000</v>
      </c>
      <c r="E11" s="178"/>
      <c r="F11" s="185"/>
      <c r="G11" s="178"/>
      <c r="H11" s="178"/>
      <c r="I11" s="178"/>
      <c r="J11" s="178"/>
      <c r="K11" s="178"/>
      <c r="L11" s="29"/>
      <c r="M11" s="32">
        <f t="shared" ref="M11:M13" si="2">SUM(C11:L11)</f>
        <v>40000</v>
      </c>
    </row>
    <row r="12" spans="1:16" ht="18.75">
      <c r="A12" s="232"/>
      <c r="B12" s="189" t="s">
        <v>195</v>
      </c>
      <c r="C12" s="194">
        <v>20000</v>
      </c>
      <c r="D12" s="194">
        <v>20000</v>
      </c>
      <c r="E12" s="28"/>
      <c r="F12" s="28"/>
      <c r="G12" s="28"/>
      <c r="H12" s="28"/>
      <c r="I12" s="28"/>
      <c r="J12" s="28"/>
      <c r="K12" s="28"/>
      <c r="L12" s="29"/>
      <c r="M12" s="32">
        <f t="shared" si="2"/>
        <v>40000</v>
      </c>
    </row>
    <row r="13" spans="1:16" ht="18.75">
      <c r="A13" s="232"/>
      <c r="B13" s="189" t="s">
        <v>275</v>
      </c>
      <c r="C13" s="194">
        <v>20000</v>
      </c>
      <c r="D13" s="194">
        <v>20000</v>
      </c>
      <c r="E13" s="28"/>
      <c r="F13" s="28"/>
      <c r="G13" s="28"/>
      <c r="H13" s="28"/>
      <c r="I13" s="28"/>
      <c r="J13" s="28"/>
      <c r="K13" s="28"/>
      <c r="L13" s="29"/>
      <c r="M13" s="32">
        <f t="shared" si="2"/>
        <v>40000</v>
      </c>
    </row>
    <row r="14" spans="1:16" ht="18.75">
      <c r="A14" s="232"/>
      <c r="B14" s="189"/>
      <c r="C14" s="194"/>
      <c r="D14" s="194"/>
      <c r="E14" s="28"/>
      <c r="F14" s="28"/>
      <c r="G14" s="28"/>
      <c r="H14" s="28"/>
      <c r="I14" s="28"/>
      <c r="J14" s="28"/>
      <c r="K14" s="28"/>
      <c r="L14" s="29"/>
      <c r="M14" s="32">
        <f>SUM(C14:L14)</f>
        <v>0</v>
      </c>
    </row>
    <row r="15" spans="1:16" ht="17.25">
      <c r="A15" s="231" t="s">
        <v>22</v>
      </c>
      <c r="B15" s="231"/>
      <c r="C15" s="30">
        <f t="shared" ref="C15:M15" si="3">SUM(C9:C14)</f>
        <v>100000</v>
      </c>
      <c r="D15" s="30">
        <f t="shared" si="3"/>
        <v>100000</v>
      </c>
      <c r="E15" s="30">
        <f t="shared" si="3"/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 t="shared" si="3"/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200000</v>
      </c>
    </row>
    <row r="16" spans="1:16">
      <c r="A16" s="31"/>
      <c r="B16" s="31"/>
      <c r="C16" s="31"/>
    </row>
    <row r="20" spans="2:15">
      <c r="B20" s="7" t="s">
        <v>267</v>
      </c>
      <c r="C20" s="7">
        <f>C8*0.7</f>
        <v>237.99999999999997</v>
      </c>
      <c r="D20" s="7">
        <f t="shared" ref="D20:K20" si="4">D8*0.7</f>
        <v>237.99999999999997</v>
      </c>
      <c r="E20" s="7">
        <f t="shared" si="4"/>
        <v>0</v>
      </c>
      <c r="F20" s="7">
        <f t="shared" si="4"/>
        <v>0</v>
      </c>
      <c r="G20" s="7">
        <f t="shared" si="4"/>
        <v>0</v>
      </c>
      <c r="H20" s="7">
        <f t="shared" si="4"/>
        <v>0</v>
      </c>
      <c r="I20" s="7">
        <f t="shared" si="4"/>
        <v>0</v>
      </c>
      <c r="J20" s="7">
        <f t="shared" si="4"/>
        <v>0</v>
      </c>
      <c r="K20" s="7">
        <f t="shared" si="4"/>
        <v>0</v>
      </c>
    </row>
    <row r="22" spans="2:15">
      <c r="O22" s="7">
        <v>16078.56</v>
      </c>
    </row>
    <row r="25" spans="2:15">
      <c r="C25" s="187"/>
    </row>
  </sheetData>
  <mergeCells count="4">
    <mergeCell ref="A15:B15"/>
    <mergeCell ref="A5:A8"/>
    <mergeCell ref="A9:A14"/>
    <mergeCell ref="M5:M8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workbookViewId="0">
      <pane xSplit="3" ySplit="5" topLeftCell="D27" activePane="bottomRight" state="frozen"/>
      <selection pane="topRight"/>
      <selection pane="bottomLeft"/>
      <selection pane="bottomRight" activeCell="F37" sqref="F37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12" width="14.375" style="7" customWidth="1"/>
    <col min="13" max="13" width="17.375" style="7" customWidth="1"/>
    <col min="14" max="14" width="12.25" style="7" customWidth="1"/>
    <col min="15" max="15" width="13.25" style="7" customWidth="1"/>
    <col min="16" max="16" width="16" style="7" customWidth="1"/>
    <col min="17" max="16384" width="9" style="7"/>
  </cols>
  <sheetData>
    <row r="1" spans="1:16" s="6" customFormat="1" ht="28.5" customHeight="1">
      <c r="A1" s="233" t="s">
        <v>7</v>
      </c>
      <c r="B1" s="233"/>
      <c r="C1" s="8"/>
      <c r="P1" s="16"/>
    </row>
    <row r="2" spans="1:16">
      <c r="A2" s="234" t="s">
        <v>205</v>
      </c>
      <c r="B2" s="234"/>
      <c r="C2" s="235"/>
      <c r="D2" s="179"/>
      <c r="E2" s="179"/>
      <c r="F2" s="179"/>
      <c r="G2" s="179"/>
      <c r="H2" s="186">
        <v>0</v>
      </c>
      <c r="I2" s="236" t="s">
        <v>266</v>
      </c>
      <c r="J2" s="237"/>
      <c r="K2" s="237"/>
      <c r="L2" s="237"/>
      <c r="M2" s="238"/>
    </row>
    <row r="3" spans="1:16">
      <c r="A3" s="249" t="s">
        <v>19</v>
      </c>
      <c r="B3" s="249" t="s">
        <v>206</v>
      </c>
      <c r="C3" s="9" t="s">
        <v>207</v>
      </c>
      <c r="D3" s="167"/>
      <c r="E3" s="167"/>
      <c r="F3" s="167"/>
      <c r="G3" s="167"/>
      <c r="H3" s="167"/>
      <c r="I3" s="167"/>
      <c r="J3" s="9" t="s">
        <v>208</v>
      </c>
      <c r="K3" s="239"/>
      <c r="L3" s="240"/>
      <c r="M3" s="241" t="s">
        <v>161</v>
      </c>
    </row>
    <row r="4" spans="1:16" ht="33">
      <c r="A4" s="249"/>
      <c r="B4" s="249"/>
      <c r="C4" s="9" t="s">
        <v>150</v>
      </c>
      <c r="D4" s="192" t="s">
        <v>271</v>
      </c>
      <c r="E4" s="192" t="s">
        <v>273</v>
      </c>
      <c r="F4" s="182"/>
      <c r="G4" s="183"/>
      <c r="H4" s="182"/>
      <c r="I4" s="182"/>
      <c r="J4" s="182"/>
      <c r="K4" s="11"/>
      <c r="L4" s="12"/>
      <c r="M4" s="242"/>
    </row>
    <row r="5" spans="1:16" ht="33">
      <c r="A5" s="249"/>
      <c r="B5" s="249"/>
      <c r="C5" s="9" t="s">
        <v>151</v>
      </c>
      <c r="D5" s="193" t="s">
        <v>272</v>
      </c>
      <c r="E5" s="193" t="s">
        <v>274</v>
      </c>
      <c r="F5" s="184"/>
      <c r="G5" s="167"/>
      <c r="H5" s="184"/>
      <c r="I5" s="184"/>
      <c r="J5" s="184"/>
      <c r="K5" s="11"/>
      <c r="L5" s="12"/>
      <c r="M5" s="243"/>
    </row>
    <row r="6" spans="1:16">
      <c r="A6" s="13">
        <v>1</v>
      </c>
      <c r="B6" s="244" t="s">
        <v>209</v>
      </c>
      <c r="C6" s="245"/>
      <c r="D6" s="14"/>
      <c r="E6" s="14"/>
      <c r="F6" s="14"/>
      <c r="G6" s="14"/>
      <c r="H6" s="14"/>
      <c r="I6" s="12"/>
      <c r="J6" s="12"/>
      <c r="K6" s="12"/>
      <c r="L6" s="12"/>
      <c r="M6" s="17"/>
    </row>
    <row r="7" spans="1:16">
      <c r="A7" s="13">
        <v>2</v>
      </c>
      <c r="B7" s="244" t="s">
        <v>210</v>
      </c>
      <c r="C7" s="245"/>
      <c r="D7" s="14"/>
      <c r="E7" s="14"/>
      <c r="F7" s="14"/>
      <c r="G7" s="14"/>
      <c r="H7" s="14"/>
      <c r="I7" s="12"/>
      <c r="J7" s="12"/>
      <c r="K7" s="12"/>
      <c r="L7" s="12"/>
      <c r="M7" s="17"/>
    </row>
    <row r="8" spans="1:16">
      <c r="A8" s="13">
        <v>3</v>
      </c>
      <c r="B8" s="244" t="s">
        <v>211</v>
      </c>
      <c r="C8" s="245"/>
      <c r="D8" s="14"/>
      <c r="E8" s="14"/>
      <c r="F8" s="14"/>
      <c r="G8" s="14"/>
      <c r="H8" s="14"/>
      <c r="I8" s="14"/>
      <c r="J8" s="14"/>
      <c r="K8" s="14"/>
      <c r="L8" s="14"/>
      <c r="M8" s="17"/>
    </row>
    <row r="9" spans="1:16">
      <c r="A9" s="13">
        <v>4</v>
      </c>
      <c r="B9" s="244" t="s">
        <v>212</v>
      </c>
      <c r="C9" s="245"/>
      <c r="D9" s="14"/>
      <c r="E9" s="14"/>
      <c r="F9" s="14"/>
      <c r="G9" s="14"/>
      <c r="H9" s="14"/>
      <c r="I9" s="12"/>
      <c r="J9" s="12"/>
      <c r="K9" s="12"/>
      <c r="L9" s="12"/>
      <c r="M9" s="17"/>
    </row>
    <row r="10" spans="1:16">
      <c r="A10" s="13">
        <v>5</v>
      </c>
      <c r="B10" s="244" t="s">
        <v>213</v>
      </c>
      <c r="C10" s="245"/>
      <c r="D10" s="14"/>
      <c r="E10" s="14"/>
      <c r="F10" s="14"/>
      <c r="G10" s="14"/>
      <c r="H10" s="14"/>
      <c r="I10" s="12"/>
      <c r="J10" s="12"/>
      <c r="K10" s="12"/>
      <c r="L10" s="12"/>
      <c r="M10" s="17"/>
    </row>
    <row r="11" spans="1:16">
      <c r="A11" s="13">
        <v>6</v>
      </c>
      <c r="B11" s="244" t="s">
        <v>214</v>
      </c>
      <c r="C11" s="245"/>
      <c r="D11" s="14"/>
      <c r="E11" s="14"/>
      <c r="F11" s="14"/>
      <c r="G11" s="14"/>
      <c r="H11" s="14"/>
      <c r="I11" s="12"/>
      <c r="J11" s="12"/>
      <c r="K11" s="12"/>
      <c r="L11" s="12"/>
      <c r="M11" s="17"/>
    </row>
    <row r="12" spans="1:16">
      <c r="A12" s="13">
        <v>7</v>
      </c>
      <c r="B12" s="244" t="s">
        <v>215</v>
      </c>
      <c r="C12" s="245"/>
      <c r="D12" s="14"/>
      <c r="E12" s="14"/>
      <c r="F12" s="14"/>
      <c r="G12" s="14"/>
      <c r="H12" s="14"/>
      <c r="I12" s="12"/>
      <c r="J12" s="12"/>
      <c r="K12" s="12"/>
      <c r="L12" s="12"/>
      <c r="M12" s="17"/>
    </row>
    <row r="13" spans="1:16">
      <c r="A13" s="13">
        <v>8</v>
      </c>
      <c r="B13" s="244" t="s">
        <v>216</v>
      </c>
      <c r="C13" s="245"/>
      <c r="D13" s="14"/>
      <c r="E13" s="14"/>
      <c r="F13" s="14"/>
      <c r="G13" s="14"/>
      <c r="H13" s="14"/>
      <c r="I13" s="12"/>
      <c r="J13" s="12"/>
      <c r="K13" s="12"/>
      <c r="L13" s="12"/>
      <c r="M13" s="17"/>
    </row>
    <row r="14" spans="1:16">
      <c r="A14" s="13">
        <v>9</v>
      </c>
      <c r="B14" s="244" t="s">
        <v>217</v>
      </c>
      <c r="C14" s="245"/>
      <c r="D14" s="14"/>
      <c r="E14" s="14"/>
      <c r="F14" s="14"/>
      <c r="G14" s="14"/>
      <c r="H14" s="14"/>
      <c r="I14" s="12"/>
      <c r="J14" s="12"/>
      <c r="K14" s="12"/>
      <c r="L14" s="12"/>
      <c r="M14" s="17"/>
    </row>
    <row r="15" spans="1:16">
      <c r="A15" s="13">
        <v>10</v>
      </c>
      <c r="B15" s="244" t="s">
        <v>218</v>
      </c>
      <c r="C15" s="245"/>
      <c r="D15" s="14"/>
      <c r="E15" s="14"/>
      <c r="F15" s="14"/>
      <c r="G15" s="14"/>
      <c r="H15" s="14"/>
      <c r="I15" s="12"/>
      <c r="J15" s="12"/>
      <c r="K15" s="12"/>
      <c r="L15" s="12"/>
      <c r="M15" s="17"/>
    </row>
    <row r="16" spans="1:16">
      <c r="A16" s="13">
        <v>11</v>
      </c>
      <c r="B16" s="244" t="s">
        <v>219</v>
      </c>
      <c r="C16" s="245"/>
      <c r="D16" s="14"/>
      <c r="E16" s="14"/>
      <c r="F16" s="14"/>
      <c r="G16" s="14"/>
      <c r="H16" s="14"/>
      <c r="I16" s="12"/>
      <c r="J16" s="12"/>
      <c r="K16" s="12"/>
      <c r="L16" s="12"/>
      <c r="M16" s="17"/>
      <c r="N16" s="18"/>
    </row>
    <row r="17" spans="1:13">
      <c r="A17" s="13">
        <v>12</v>
      </c>
      <c r="B17" s="244" t="s">
        <v>220</v>
      </c>
      <c r="C17" s="245"/>
      <c r="D17" s="14"/>
      <c r="E17" s="14"/>
      <c r="F17" s="14"/>
      <c r="G17" s="14"/>
      <c r="H17" s="14"/>
      <c r="I17" s="12"/>
      <c r="J17" s="12"/>
      <c r="K17" s="12"/>
      <c r="L17" s="12"/>
      <c r="M17" s="17"/>
    </row>
    <row r="18" spans="1:13">
      <c r="A18" s="13">
        <v>13</v>
      </c>
      <c r="B18" s="244" t="s">
        <v>259</v>
      </c>
      <c r="C18" s="245"/>
      <c r="D18" s="14"/>
      <c r="E18" s="14"/>
      <c r="F18" s="14"/>
      <c r="G18" s="14"/>
      <c r="H18" s="14"/>
      <c r="I18" s="12"/>
      <c r="J18" s="12"/>
      <c r="K18" s="12"/>
      <c r="L18" s="12"/>
      <c r="M18" s="17"/>
    </row>
    <row r="19" spans="1:13">
      <c r="A19" s="13">
        <v>14</v>
      </c>
      <c r="B19" s="244" t="s">
        <v>221</v>
      </c>
      <c r="C19" s="245"/>
      <c r="D19" s="14"/>
      <c r="E19" s="14"/>
      <c r="F19" s="14"/>
      <c r="G19" s="14"/>
      <c r="H19" s="14"/>
      <c r="I19" s="12"/>
      <c r="J19" s="12"/>
      <c r="K19" s="12"/>
      <c r="L19" s="12"/>
      <c r="M19" s="17"/>
    </row>
    <row r="20" spans="1:13">
      <c r="A20" s="13">
        <v>15</v>
      </c>
      <c r="B20" s="244" t="s">
        <v>222</v>
      </c>
      <c r="C20" s="245"/>
      <c r="D20" s="14"/>
      <c r="E20" s="14"/>
      <c r="F20" s="14"/>
      <c r="G20" s="14"/>
      <c r="H20" s="14"/>
      <c r="I20" s="12"/>
      <c r="J20" s="12"/>
      <c r="K20" s="12"/>
      <c r="L20" s="12"/>
      <c r="M20" s="17"/>
    </row>
    <row r="21" spans="1:13">
      <c r="A21" s="13">
        <v>16</v>
      </c>
      <c r="B21" s="244" t="s">
        <v>223</v>
      </c>
      <c r="C21" s="245"/>
      <c r="D21" s="14"/>
      <c r="E21" s="14"/>
      <c r="F21" s="14"/>
      <c r="G21" s="14"/>
      <c r="H21" s="14"/>
      <c r="I21" s="12"/>
      <c r="J21" s="12"/>
      <c r="K21" s="12"/>
      <c r="L21" s="12"/>
      <c r="M21" s="17"/>
    </row>
    <row r="22" spans="1:13">
      <c r="A22" s="13">
        <v>17</v>
      </c>
      <c r="B22" s="244" t="s">
        <v>224</v>
      </c>
      <c r="C22" s="245"/>
      <c r="D22" s="14"/>
      <c r="E22" s="14"/>
      <c r="F22" s="14"/>
      <c r="G22" s="14"/>
      <c r="H22" s="14"/>
      <c r="I22" s="12"/>
      <c r="J22" s="12"/>
      <c r="K22" s="12"/>
      <c r="L22" s="12"/>
      <c r="M22" s="17"/>
    </row>
    <row r="23" spans="1:13">
      <c r="A23" s="13">
        <v>18</v>
      </c>
      <c r="B23" s="244" t="s">
        <v>225</v>
      </c>
      <c r="C23" s="245"/>
      <c r="D23" s="14"/>
      <c r="E23" s="14"/>
      <c r="F23" s="14"/>
      <c r="G23" s="14"/>
      <c r="H23" s="14"/>
      <c r="I23" s="12"/>
      <c r="J23" s="12"/>
      <c r="K23" s="12"/>
      <c r="L23" s="12"/>
      <c r="M23" s="17"/>
    </row>
    <row r="24" spans="1:13">
      <c r="A24" s="13">
        <v>19</v>
      </c>
      <c r="B24" s="244" t="s">
        <v>226</v>
      </c>
      <c r="C24" s="245"/>
      <c r="D24" s="14"/>
      <c r="E24" s="14"/>
      <c r="F24" s="14"/>
      <c r="G24" s="14"/>
      <c r="H24" s="14"/>
      <c r="I24" s="12"/>
      <c r="J24" s="12"/>
      <c r="K24" s="12"/>
      <c r="L24" s="12"/>
      <c r="M24" s="17"/>
    </row>
    <row r="25" spans="1:13">
      <c r="A25" s="13">
        <v>20</v>
      </c>
      <c r="B25" s="244"/>
      <c r="C25" s="245"/>
      <c r="D25" s="14"/>
      <c r="E25" s="14"/>
      <c r="F25" s="14"/>
      <c r="G25" s="14"/>
      <c r="H25" s="14"/>
      <c r="I25" s="12"/>
      <c r="J25" s="12"/>
      <c r="K25" s="12"/>
      <c r="L25" s="12"/>
      <c r="M25" s="17"/>
    </row>
    <row r="26" spans="1:13">
      <c r="A26" s="13">
        <v>21</v>
      </c>
      <c r="B26" s="244"/>
      <c r="C26" s="245"/>
      <c r="D26" s="14"/>
      <c r="E26" s="14"/>
      <c r="F26" s="14"/>
      <c r="G26" s="14"/>
      <c r="H26" s="14"/>
      <c r="I26" s="12"/>
      <c r="J26" s="12"/>
      <c r="K26" s="12"/>
      <c r="L26" s="12"/>
      <c r="M26" s="17"/>
    </row>
    <row r="27" spans="1:13">
      <c r="A27" s="13">
        <v>22</v>
      </c>
      <c r="B27" s="244"/>
      <c r="C27" s="245"/>
      <c r="D27" s="14"/>
      <c r="E27" s="14"/>
      <c r="F27" s="14"/>
      <c r="G27" s="14"/>
      <c r="H27" s="14"/>
      <c r="I27" s="12"/>
      <c r="J27" s="12"/>
      <c r="K27" s="12"/>
      <c r="L27" s="12"/>
      <c r="M27" s="17"/>
    </row>
    <row r="28" spans="1:13">
      <c r="A28" s="13">
        <v>23</v>
      </c>
      <c r="B28" s="244"/>
      <c r="C28" s="245"/>
      <c r="D28" s="14"/>
      <c r="E28" s="14"/>
      <c r="F28" s="14"/>
      <c r="G28" s="14"/>
      <c r="H28" s="14"/>
      <c r="I28" s="12"/>
      <c r="J28" s="12"/>
      <c r="K28" s="12"/>
      <c r="L28" s="12"/>
      <c r="M28" s="17"/>
    </row>
    <row r="29" spans="1:13">
      <c r="A29" s="13">
        <v>24</v>
      </c>
      <c r="B29" s="244"/>
      <c r="C29" s="245"/>
      <c r="D29" s="14"/>
      <c r="E29" s="14"/>
      <c r="F29" s="14"/>
      <c r="G29" s="14"/>
      <c r="H29" s="14"/>
      <c r="I29" s="12"/>
      <c r="J29" s="12"/>
      <c r="K29" s="12"/>
      <c r="L29" s="12"/>
      <c r="M29" s="17"/>
    </row>
    <row r="30" spans="1:13">
      <c r="A30" s="13">
        <v>25</v>
      </c>
      <c r="B30" s="244"/>
      <c r="C30" s="245"/>
      <c r="D30" s="14"/>
      <c r="E30" s="14"/>
      <c r="F30" s="14"/>
      <c r="G30" s="14"/>
      <c r="H30" s="14"/>
      <c r="I30" s="12"/>
      <c r="J30" s="12"/>
      <c r="K30" s="12"/>
      <c r="L30" s="12"/>
      <c r="M30" s="17"/>
    </row>
    <row r="31" spans="1:13">
      <c r="A31" s="13">
        <v>26</v>
      </c>
      <c r="B31" s="244"/>
      <c r="C31" s="245"/>
      <c r="D31" s="14"/>
      <c r="E31" s="14"/>
      <c r="F31" s="14"/>
      <c r="G31" s="14"/>
      <c r="H31" s="14"/>
      <c r="I31" s="12"/>
      <c r="J31" s="12"/>
      <c r="K31" s="12"/>
      <c r="L31" s="12"/>
      <c r="M31" s="17"/>
    </row>
    <row r="32" spans="1:13">
      <c r="A32" s="13">
        <v>27</v>
      </c>
      <c r="B32" s="244" t="s">
        <v>136</v>
      </c>
      <c r="C32" s="245"/>
      <c r="D32" s="14"/>
      <c r="E32" s="14"/>
      <c r="F32" s="14"/>
      <c r="G32" s="14"/>
      <c r="H32" s="14"/>
      <c r="I32" s="12"/>
      <c r="J32" s="12"/>
      <c r="K32" s="12"/>
      <c r="L32" s="12"/>
      <c r="M32" s="17"/>
    </row>
    <row r="33" spans="1:14" ht="31.5" customHeight="1">
      <c r="A33" s="246" t="s">
        <v>227</v>
      </c>
      <c r="B33" s="247"/>
      <c r="C33" s="248"/>
      <c r="D33" s="15">
        <v>395.59</v>
      </c>
      <c r="E33" s="15">
        <v>329.12</v>
      </c>
      <c r="F33" s="15"/>
      <c r="G33" s="15"/>
      <c r="H33" s="15"/>
      <c r="I33" s="15"/>
      <c r="J33" s="15"/>
      <c r="K33" s="15"/>
      <c r="L33" s="15"/>
      <c r="M33" s="17"/>
    </row>
    <row r="37" spans="1:14">
      <c r="J37" s="7" t="s">
        <v>262</v>
      </c>
    </row>
    <row r="38" spans="1:14">
      <c r="H38" s="7" t="s">
        <v>265</v>
      </c>
      <c r="I38" s="7">
        <v>2</v>
      </c>
      <c r="J38" s="7">
        <v>3</v>
      </c>
      <c r="K38" s="7">
        <v>4</v>
      </c>
      <c r="L38" s="7">
        <v>5</v>
      </c>
    </row>
    <row r="39" spans="1:14">
      <c r="D39" s="173"/>
      <c r="E39" s="173"/>
      <c r="F39" s="173"/>
      <c r="G39" s="173"/>
      <c r="H39" s="15">
        <v>395.59</v>
      </c>
      <c r="I39" s="7">
        <f>H39*(1-$H$2)</f>
        <v>395.59</v>
      </c>
      <c r="J39" s="174">
        <f>I39*(1-$H$2)</f>
        <v>395.59</v>
      </c>
      <c r="K39" s="7">
        <f>J39*(1-$H$2)</f>
        <v>395.59</v>
      </c>
      <c r="L39" s="174">
        <f>K39*(1-$H$2)</f>
        <v>395.59</v>
      </c>
      <c r="M39" s="7">
        <v>472.49999999999994</v>
      </c>
      <c r="N39" s="7">
        <v>73.5</v>
      </c>
    </row>
    <row r="40" spans="1:14">
      <c r="H40" s="15">
        <v>329.12</v>
      </c>
      <c r="I40" s="7">
        <f>H40*(1-$H$2)</f>
        <v>329.12</v>
      </c>
      <c r="J40" s="7">
        <f t="shared" ref="J40:L40" si="0">I40*(1-$H$2)</f>
        <v>329.12</v>
      </c>
      <c r="K40" s="7">
        <f t="shared" si="0"/>
        <v>329.12</v>
      </c>
      <c r="L40" s="7">
        <f t="shared" si="0"/>
        <v>329.12</v>
      </c>
      <c r="M40" s="7">
        <v>472.49999999999994</v>
      </c>
      <c r="N40" s="7">
        <v>73.5</v>
      </c>
    </row>
    <row r="41" spans="1:14">
      <c r="H41" s="15"/>
      <c r="I41" s="7">
        <f t="shared" ref="I41:I45" si="1">H41*(1-$H$2)</f>
        <v>0</v>
      </c>
      <c r="J41" s="174">
        <f t="shared" ref="J41:J45" si="2">I41*(1-$H$2)</f>
        <v>0</v>
      </c>
      <c r="K41" s="174">
        <v>630</v>
      </c>
      <c r="L41" s="174">
        <v>595</v>
      </c>
      <c r="M41" s="7">
        <v>472.49999999999994</v>
      </c>
      <c r="N41" s="7">
        <v>73.5</v>
      </c>
    </row>
    <row r="42" spans="1:14">
      <c r="H42" s="15"/>
      <c r="I42" s="7">
        <f t="shared" si="1"/>
        <v>0</v>
      </c>
      <c r="J42" s="174">
        <f t="shared" si="2"/>
        <v>0</v>
      </c>
      <c r="K42" s="174">
        <v>630</v>
      </c>
      <c r="L42" s="174">
        <v>595</v>
      </c>
      <c r="M42" s="7">
        <v>472.49999999999994</v>
      </c>
      <c r="N42" s="7">
        <v>73.5</v>
      </c>
    </row>
    <row r="43" spans="1:14">
      <c r="H43" s="15"/>
      <c r="I43" s="7">
        <f t="shared" si="1"/>
        <v>0</v>
      </c>
      <c r="J43" s="174">
        <f t="shared" si="2"/>
        <v>0</v>
      </c>
      <c r="K43" s="174">
        <v>630</v>
      </c>
      <c r="L43" s="174">
        <v>595</v>
      </c>
      <c r="M43" s="7">
        <v>472.49999999999994</v>
      </c>
      <c r="N43" s="7">
        <v>73.5</v>
      </c>
    </row>
    <row r="44" spans="1:14">
      <c r="H44" s="15"/>
      <c r="I44" s="7">
        <f t="shared" si="1"/>
        <v>0</v>
      </c>
      <c r="J44" s="174">
        <f t="shared" si="2"/>
        <v>0</v>
      </c>
      <c r="K44" s="174">
        <v>630</v>
      </c>
      <c r="L44" s="174">
        <v>595</v>
      </c>
      <c r="M44" s="7">
        <v>472.49999999999994</v>
      </c>
      <c r="N44" s="7">
        <v>73.5</v>
      </c>
    </row>
    <row r="45" spans="1:14">
      <c r="H45" s="15"/>
      <c r="I45" s="7">
        <f t="shared" si="1"/>
        <v>0</v>
      </c>
      <c r="J45" s="174">
        <f t="shared" si="2"/>
        <v>0</v>
      </c>
      <c r="K45" s="174">
        <v>630</v>
      </c>
      <c r="L45" s="174">
        <v>595</v>
      </c>
      <c r="M45" s="7">
        <v>472.49999999999994</v>
      </c>
      <c r="N45" s="7">
        <v>73.5</v>
      </c>
    </row>
    <row r="46" spans="1:14">
      <c r="H46" s="15"/>
      <c r="I46" s="7">
        <f t="shared" ref="I46:I47" si="3">H46*(1-0.02)</f>
        <v>0</v>
      </c>
      <c r="J46" s="174">
        <f t="shared" ref="J46" si="4">I46*(1-2%)</f>
        <v>0</v>
      </c>
      <c r="K46" s="174"/>
      <c r="L46" s="174"/>
    </row>
    <row r="47" spans="1:14">
      <c r="H47" s="15"/>
      <c r="I47" s="7">
        <f t="shared" si="3"/>
        <v>0</v>
      </c>
      <c r="J47" s="174">
        <f t="shared" ref="J47" si="5">I47*(1-2%)</f>
        <v>0</v>
      </c>
      <c r="K47" s="174"/>
      <c r="L47" s="174"/>
    </row>
  </sheetData>
  <mergeCells count="35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C2"/>
    <mergeCell ref="I2:M2"/>
    <mergeCell ref="K3:L3"/>
    <mergeCell ref="M3:M5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19</v>
      </c>
      <c r="B1" s="1" t="s">
        <v>228</v>
      </c>
      <c r="C1" s="1" t="s">
        <v>229</v>
      </c>
      <c r="D1" s="1" t="s">
        <v>230</v>
      </c>
      <c r="E1" s="1" t="s">
        <v>231</v>
      </c>
    </row>
    <row r="2" spans="1:6" ht="19.5" customHeight="1">
      <c r="A2" s="1">
        <v>1</v>
      </c>
      <c r="B2" s="1" t="s">
        <v>232</v>
      </c>
      <c r="C2" s="169" t="s">
        <v>263</v>
      </c>
      <c r="D2" s="1"/>
      <c r="E2" s="1"/>
    </row>
    <row r="3" spans="1:6" ht="19.5" customHeight="1">
      <c r="A3" s="1">
        <v>2</v>
      </c>
      <c r="B3" s="1" t="s">
        <v>233</v>
      </c>
      <c r="C3" s="169" t="s">
        <v>264</v>
      </c>
      <c r="D3" s="1"/>
      <c r="E3" s="1"/>
    </row>
    <row r="4" spans="1:6" ht="19.5" customHeight="1">
      <c r="A4" s="1">
        <v>3</v>
      </c>
      <c r="B4" s="1" t="s">
        <v>234</v>
      </c>
      <c r="C4" s="169"/>
      <c r="D4" s="1"/>
      <c r="E4" s="1"/>
    </row>
    <row r="5" spans="1:6" ht="19.5" customHeight="1">
      <c r="A5" s="1">
        <v>4</v>
      </c>
      <c r="B5" s="1" t="s">
        <v>235</v>
      </c>
      <c r="C5" s="169"/>
      <c r="D5" s="1"/>
      <c r="E5" s="1"/>
    </row>
    <row r="6" spans="1:6" ht="35.25" customHeight="1">
      <c r="A6" s="1">
        <v>5</v>
      </c>
      <c r="B6" s="1" t="s">
        <v>236</v>
      </c>
      <c r="C6" s="169"/>
      <c r="D6" s="1"/>
      <c r="E6" s="1"/>
    </row>
    <row r="7" spans="1:6" ht="37.5" customHeight="1">
      <c r="A7" s="1">
        <v>6</v>
      </c>
      <c r="B7" s="1" t="s">
        <v>237</v>
      </c>
      <c r="C7" s="169"/>
      <c r="D7" s="1"/>
      <c r="E7" s="1"/>
    </row>
    <row r="8" spans="1:6" ht="42.75" customHeight="1">
      <c r="A8" s="1">
        <v>7</v>
      </c>
      <c r="B8" s="1" t="s">
        <v>238</v>
      </c>
      <c r="C8" s="169"/>
      <c r="D8" s="1"/>
      <c r="E8" s="1"/>
    </row>
    <row r="9" spans="1:6" ht="39" customHeight="1">
      <c r="A9" s="1">
        <v>8</v>
      </c>
      <c r="B9" s="1" t="s">
        <v>239</v>
      </c>
      <c r="C9" s="170"/>
      <c r="D9" s="1"/>
      <c r="E9" s="1"/>
    </row>
    <row r="10" spans="1:6" ht="36" customHeight="1">
      <c r="A10" s="1">
        <v>9</v>
      </c>
      <c r="B10" s="1" t="s">
        <v>240</v>
      </c>
      <c r="C10" s="169"/>
      <c r="D10" s="1"/>
      <c r="E10" s="1"/>
    </row>
    <row r="11" spans="1:6" ht="35.25" customHeight="1">
      <c r="A11" s="1">
        <v>10</v>
      </c>
      <c r="B11" s="1" t="s">
        <v>241</v>
      </c>
      <c r="C11" s="169"/>
      <c r="D11" s="1"/>
      <c r="E11" s="1"/>
      <c r="F11" s="171" t="s">
        <v>260</v>
      </c>
    </row>
    <row r="12" spans="1:6" ht="19.5" customHeight="1">
      <c r="A12" s="1">
        <v>11</v>
      </c>
      <c r="B12" s="1" t="s">
        <v>242</v>
      </c>
      <c r="C12" s="5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3"/>
  <sheetViews>
    <sheetView topLeftCell="A7" workbookViewId="0">
      <selection activeCell="J20" sqref="J20"/>
    </sheetView>
  </sheetViews>
  <sheetFormatPr defaultColWidth="9" defaultRowHeight="13.5"/>
  <cols>
    <col min="1" max="2" width="9" style="75"/>
    <col min="3" max="5" width="15.75" style="75" customWidth="1"/>
    <col min="6" max="8" width="11.125" style="75" customWidth="1"/>
    <col min="9" max="9" width="12.875" style="156" customWidth="1"/>
    <col min="10" max="10" width="15.125" style="75" bestFit="1" customWidth="1"/>
    <col min="11" max="16384" width="9" style="75"/>
  </cols>
  <sheetData>
    <row r="1" spans="1:10" s="154" customFormat="1" ht="18.75" customHeight="1">
      <c r="G1" s="257" t="s">
        <v>243</v>
      </c>
      <c r="H1" s="257"/>
      <c r="I1" s="155"/>
    </row>
    <row r="2" spans="1:10" ht="39" customHeight="1">
      <c r="A2" s="256" t="s">
        <v>244</v>
      </c>
      <c r="B2" s="256"/>
      <c r="C2" s="253" t="s">
        <v>245</v>
      </c>
      <c r="D2" s="254"/>
      <c r="E2" s="254"/>
      <c r="F2" s="254"/>
      <c r="G2" s="254"/>
      <c r="H2" s="255"/>
      <c r="I2" s="200" t="s">
        <v>252</v>
      </c>
    </row>
    <row r="3" spans="1:10" ht="34.5" customHeight="1">
      <c r="A3" s="256"/>
      <c r="B3" s="256"/>
      <c r="C3" s="164" t="s">
        <v>254</v>
      </c>
      <c r="D3" s="164" t="s">
        <v>255</v>
      </c>
      <c r="E3" s="164" t="s">
        <v>253</v>
      </c>
      <c r="F3" s="165" t="s">
        <v>258</v>
      </c>
      <c r="G3" s="165" t="s">
        <v>257</v>
      </c>
      <c r="H3" s="165" t="s">
        <v>256</v>
      </c>
      <c r="I3" s="201">
        <v>340</v>
      </c>
      <c r="J3" s="199"/>
    </row>
    <row r="4" spans="1:10" ht="24" customHeight="1">
      <c r="A4" s="252" t="s">
        <v>246</v>
      </c>
      <c r="B4" s="252"/>
      <c r="C4" s="3"/>
      <c r="D4" s="157"/>
      <c r="E4" s="158">
        <f>$I$3*I4</f>
        <v>14.654</v>
      </c>
      <c r="F4" s="158"/>
      <c r="G4" s="158"/>
      <c r="H4" s="159">
        <v>4.48E-2</v>
      </c>
      <c r="I4" s="163">
        <v>4.3099999999999999E-2</v>
      </c>
    </row>
    <row r="5" spans="1:10" ht="24" customHeight="1">
      <c r="A5" s="252" t="s">
        <v>247</v>
      </c>
      <c r="B5" s="160" t="s">
        <v>248</v>
      </c>
      <c r="C5" s="3"/>
      <c r="D5" s="157"/>
      <c r="E5" s="158">
        <f>$I$3*I5</f>
        <v>0</v>
      </c>
      <c r="F5" s="158"/>
      <c r="G5" s="158"/>
      <c r="H5" s="159">
        <v>4.0399999999999998E-2</v>
      </c>
      <c r="I5" s="159"/>
    </row>
    <row r="6" spans="1:10" ht="24" customHeight="1">
      <c r="A6" s="252"/>
      <c r="B6" s="160" t="s">
        <v>249</v>
      </c>
      <c r="C6" s="3"/>
      <c r="D6" s="157"/>
      <c r="E6" s="158">
        <f t="shared" ref="E6:E11" si="0">$I$3*I6</f>
        <v>7.3780000000000001</v>
      </c>
      <c r="F6" s="158"/>
      <c r="G6" s="158"/>
      <c r="H6" s="159">
        <v>1.66E-2</v>
      </c>
      <c r="I6" s="163">
        <v>2.1700000000000001E-2</v>
      </c>
    </row>
    <row r="7" spans="1:10" ht="24" customHeight="1">
      <c r="A7" s="253" t="s">
        <v>250</v>
      </c>
      <c r="B7" s="255"/>
      <c r="C7" s="161"/>
      <c r="D7" s="162"/>
      <c r="E7" s="158">
        <f t="shared" si="0"/>
        <v>22.032</v>
      </c>
      <c r="F7" s="158"/>
      <c r="G7" s="158"/>
      <c r="H7" s="163">
        <f>SUM(H4:H6)</f>
        <v>0.1018</v>
      </c>
      <c r="I7" s="163">
        <f>SUM(I4:I6)</f>
        <v>6.4799999999999996E-2</v>
      </c>
    </row>
    <row r="8" spans="1:10" ht="24" customHeight="1">
      <c r="A8" s="252" t="s">
        <v>52</v>
      </c>
      <c r="B8" s="252"/>
      <c r="C8" s="3"/>
      <c r="D8" s="157"/>
      <c r="E8" s="158">
        <f t="shared" si="0"/>
        <v>0</v>
      </c>
      <c r="F8" s="158"/>
      <c r="G8" s="158"/>
      <c r="H8" s="159">
        <f>1.97%+0.75%</f>
        <v>2.7199999999999998E-2</v>
      </c>
      <c r="I8" s="159"/>
    </row>
    <row r="9" spans="1:10" ht="24" customHeight="1">
      <c r="A9" s="250" t="s">
        <v>251</v>
      </c>
      <c r="B9" s="160" t="s">
        <v>248</v>
      </c>
      <c r="C9" s="3"/>
      <c r="D9" s="157"/>
      <c r="E9" s="158">
        <f t="shared" si="0"/>
        <v>0</v>
      </c>
      <c r="F9" s="158"/>
      <c r="G9" s="158"/>
      <c r="H9" s="159">
        <v>5.3E-3</v>
      </c>
      <c r="I9" s="159"/>
    </row>
    <row r="10" spans="1:10" ht="24" customHeight="1">
      <c r="A10" s="251"/>
      <c r="B10" s="160" t="s">
        <v>249</v>
      </c>
      <c r="C10" s="3"/>
      <c r="D10" s="157"/>
      <c r="E10" s="158">
        <f t="shared" si="0"/>
        <v>10.88</v>
      </c>
      <c r="F10" s="158"/>
      <c r="G10" s="158"/>
      <c r="H10" s="159">
        <v>3.4099999999999998E-2</v>
      </c>
      <c r="I10" s="163">
        <f>2.8%+0.4%</f>
        <v>3.2000000000000001E-2</v>
      </c>
    </row>
    <row r="11" spans="1:10" ht="24" customHeight="1">
      <c r="A11" s="252" t="s">
        <v>55</v>
      </c>
      <c r="B11" s="252"/>
      <c r="C11" s="3"/>
      <c r="D11" s="157"/>
      <c r="E11" s="158">
        <f t="shared" si="0"/>
        <v>10.199999999999999</v>
      </c>
      <c r="F11" s="158"/>
      <c r="G11" s="158"/>
      <c r="H11" s="159">
        <v>1.0999999999999999E-2</v>
      </c>
      <c r="I11" s="163">
        <v>0.03</v>
      </c>
    </row>
    <row r="15" spans="1:10" ht="39" customHeight="1">
      <c r="A15" s="256" t="s">
        <v>244</v>
      </c>
      <c r="B15" s="256"/>
      <c r="C15" s="253" t="s">
        <v>245</v>
      </c>
      <c r="D15" s="254"/>
      <c r="E15" s="254"/>
      <c r="F15" s="254"/>
      <c r="G15" s="254"/>
      <c r="H15" s="255"/>
      <c r="I15" s="200" t="s">
        <v>252</v>
      </c>
    </row>
    <row r="16" spans="1:10" ht="34.5" customHeight="1">
      <c r="A16" s="256"/>
      <c r="B16" s="256"/>
      <c r="C16" s="164" t="s">
        <v>254</v>
      </c>
      <c r="D16" s="164" t="s">
        <v>255</v>
      </c>
      <c r="E16" s="164" t="s">
        <v>253</v>
      </c>
      <c r="F16" s="165" t="s">
        <v>258</v>
      </c>
      <c r="G16" s="165" t="s">
        <v>257</v>
      </c>
      <c r="H16" s="165" t="s">
        <v>256</v>
      </c>
      <c r="I16" s="201">
        <v>340</v>
      </c>
      <c r="J16" s="199"/>
    </row>
    <row r="17" spans="1:10" ht="24" customHeight="1">
      <c r="A17" s="252" t="s">
        <v>246</v>
      </c>
      <c r="B17" s="252"/>
      <c r="C17" s="3"/>
      <c r="D17" s="157"/>
      <c r="E17" s="158">
        <f>$I$16*I17</f>
        <v>14.654</v>
      </c>
      <c r="F17" s="158"/>
      <c r="G17" s="158"/>
      <c r="H17" s="159">
        <v>4.48E-2</v>
      </c>
      <c r="I17" s="163">
        <v>4.3099999999999999E-2</v>
      </c>
    </row>
    <row r="18" spans="1:10" ht="24" customHeight="1">
      <c r="A18" s="252" t="s">
        <v>247</v>
      </c>
      <c r="B18" s="191" t="s">
        <v>248</v>
      </c>
      <c r="C18" s="3"/>
      <c r="D18" s="157"/>
      <c r="E18" s="158">
        <f t="shared" ref="E18:E20" si="1">$I$16*I18</f>
        <v>0</v>
      </c>
      <c r="F18" s="158"/>
      <c r="G18" s="158"/>
      <c r="H18" s="159">
        <v>4.0399999999999998E-2</v>
      </c>
      <c r="I18" s="159"/>
    </row>
    <row r="19" spans="1:10" ht="24" customHeight="1">
      <c r="A19" s="252"/>
      <c r="B19" s="191" t="s">
        <v>249</v>
      </c>
      <c r="C19" s="3"/>
      <c r="D19" s="157"/>
      <c r="E19" s="158">
        <f t="shared" si="1"/>
        <v>7.3780000000000001</v>
      </c>
      <c r="F19" s="158"/>
      <c r="G19" s="158"/>
      <c r="H19" s="159">
        <v>1.66E-2</v>
      </c>
      <c r="I19" s="163">
        <v>2.1700000000000001E-2</v>
      </c>
    </row>
    <row r="20" spans="1:10" ht="24" customHeight="1">
      <c r="A20" s="253" t="s">
        <v>250</v>
      </c>
      <c r="B20" s="255"/>
      <c r="C20" s="161"/>
      <c r="D20" s="162"/>
      <c r="E20" s="158">
        <f t="shared" si="1"/>
        <v>22.032</v>
      </c>
      <c r="F20" s="158"/>
      <c r="G20" s="158"/>
      <c r="H20" s="163">
        <f>SUM(H17:H19)</f>
        <v>0.1018</v>
      </c>
      <c r="I20" s="163">
        <f>SUM(I17:I19)</f>
        <v>6.4799999999999996E-2</v>
      </c>
    </row>
    <row r="21" spans="1:10" ht="24" customHeight="1">
      <c r="A21" s="252" t="s">
        <v>52</v>
      </c>
      <c r="B21" s="252"/>
      <c r="C21" s="3"/>
      <c r="D21" s="157"/>
      <c r="E21" s="158">
        <f>$I$16*I21</f>
        <v>0</v>
      </c>
      <c r="F21" s="158"/>
      <c r="G21" s="158"/>
      <c r="H21" s="159">
        <f>1.97%+0.75%</f>
        <v>2.7199999999999998E-2</v>
      </c>
      <c r="I21" s="159"/>
    </row>
    <row r="22" spans="1:10" ht="24" customHeight="1">
      <c r="A22" s="250" t="s">
        <v>251</v>
      </c>
      <c r="B22" s="191" t="s">
        <v>248</v>
      </c>
      <c r="C22" s="3"/>
      <c r="D22" s="157"/>
      <c r="E22" s="158">
        <f t="shared" ref="E22:E24" si="2">$I$16*I22</f>
        <v>0</v>
      </c>
      <c r="F22" s="158"/>
      <c r="G22" s="158"/>
      <c r="H22" s="159">
        <v>5.3E-3</v>
      </c>
      <c r="I22" s="159"/>
    </row>
    <row r="23" spans="1:10" ht="24" customHeight="1">
      <c r="A23" s="251"/>
      <c r="B23" s="191" t="s">
        <v>249</v>
      </c>
      <c r="C23" s="3"/>
      <c r="D23" s="157"/>
      <c r="E23" s="158">
        <f t="shared" si="2"/>
        <v>10.88</v>
      </c>
      <c r="F23" s="158"/>
      <c r="G23" s="158"/>
      <c r="H23" s="159">
        <v>3.4099999999999998E-2</v>
      </c>
      <c r="I23" s="163">
        <f>2.8%+0.4%</f>
        <v>3.2000000000000001E-2</v>
      </c>
    </row>
    <row r="24" spans="1:10" ht="24" customHeight="1">
      <c r="A24" s="252" t="s">
        <v>55</v>
      </c>
      <c r="B24" s="252"/>
      <c r="C24" s="3"/>
      <c r="D24" s="157"/>
      <c r="E24" s="158">
        <f t="shared" si="2"/>
        <v>10.199999999999999</v>
      </c>
      <c r="F24" s="158"/>
      <c r="G24" s="158"/>
      <c r="H24" s="159">
        <v>1.0999999999999999E-2</v>
      </c>
      <c r="I24" s="163">
        <v>0.03</v>
      </c>
    </row>
    <row r="28" spans="1:10" ht="39" customHeight="1">
      <c r="A28" s="256" t="s">
        <v>244</v>
      </c>
      <c r="B28" s="256"/>
      <c r="C28" s="253" t="s">
        <v>245</v>
      </c>
      <c r="D28" s="254"/>
      <c r="E28" s="254"/>
      <c r="F28" s="254"/>
      <c r="G28" s="254"/>
      <c r="H28" s="255"/>
      <c r="I28" s="200" t="s">
        <v>252</v>
      </c>
    </row>
    <row r="29" spans="1:10" ht="34.5" customHeight="1">
      <c r="A29" s="256"/>
      <c r="B29" s="256"/>
      <c r="C29" s="164" t="s">
        <v>254</v>
      </c>
      <c r="D29" s="164" t="s">
        <v>255</v>
      </c>
      <c r="E29" s="164" t="s">
        <v>253</v>
      </c>
      <c r="F29" s="165" t="s">
        <v>258</v>
      </c>
      <c r="G29" s="165" t="s">
        <v>257</v>
      </c>
      <c r="H29" s="165" t="s">
        <v>256</v>
      </c>
      <c r="I29" s="201"/>
      <c r="J29" s="199"/>
    </row>
    <row r="30" spans="1:10" ht="24" customHeight="1">
      <c r="A30" s="252" t="s">
        <v>246</v>
      </c>
      <c r="B30" s="252"/>
      <c r="C30" s="3"/>
      <c r="D30" s="157"/>
      <c r="E30" s="158">
        <f>$I$29*I30</f>
        <v>0</v>
      </c>
      <c r="F30" s="158"/>
      <c r="G30" s="158"/>
      <c r="H30" s="159">
        <v>4.48E-2</v>
      </c>
      <c r="I30" s="163">
        <v>4.3099999999999999E-2</v>
      </c>
    </row>
    <row r="31" spans="1:10" ht="24" customHeight="1">
      <c r="A31" s="252" t="s">
        <v>247</v>
      </c>
      <c r="B31" s="191" t="s">
        <v>248</v>
      </c>
      <c r="C31" s="3"/>
      <c r="D31" s="157"/>
      <c r="E31" s="158">
        <f>$I$29*I31</f>
        <v>0</v>
      </c>
      <c r="F31" s="158"/>
      <c r="G31" s="158"/>
      <c r="H31" s="159">
        <v>4.0399999999999998E-2</v>
      </c>
      <c r="I31" s="159">
        <v>4.0399999999999998E-2</v>
      </c>
    </row>
    <row r="32" spans="1:10" ht="24" customHeight="1">
      <c r="A32" s="252"/>
      <c r="B32" s="191" t="s">
        <v>249</v>
      </c>
      <c r="C32" s="3"/>
      <c r="D32" s="157"/>
      <c r="E32" s="158">
        <f>$I$29*I32</f>
        <v>0</v>
      </c>
      <c r="F32" s="158"/>
      <c r="G32" s="158"/>
      <c r="H32" s="159">
        <v>1.66E-2</v>
      </c>
      <c r="I32" s="163">
        <v>2.1700000000000001E-2</v>
      </c>
    </row>
    <row r="33" spans="1:10" ht="24" customHeight="1">
      <c r="A33" s="253" t="s">
        <v>250</v>
      </c>
      <c r="B33" s="255"/>
      <c r="C33" s="161"/>
      <c r="D33" s="162"/>
      <c r="E33" s="158">
        <f>$I$29*I33</f>
        <v>0</v>
      </c>
      <c r="F33" s="158"/>
      <c r="G33" s="158"/>
      <c r="H33" s="163">
        <f>SUM(H30:H32)</f>
        <v>0.1018</v>
      </c>
      <c r="I33" s="163">
        <f>SUM(I30:I32)</f>
        <v>0.10519999999999999</v>
      </c>
    </row>
    <row r="34" spans="1:10" ht="24" customHeight="1">
      <c r="A34" s="252" t="s">
        <v>52</v>
      </c>
      <c r="B34" s="252"/>
      <c r="C34" s="3"/>
      <c r="D34" s="157"/>
      <c r="E34" s="158">
        <f t="shared" ref="E34:E37" si="3">$I$29*I34</f>
        <v>0</v>
      </c>
      <c r="F34" s="158"/>
      <c r="G34" s="158"/>
      <c r="H34" s="159">
        <f>1.97%+0.75%</f>
        <v>2.7199999999999998E-2</v>
      </c>
      <c r="I34" s="159">
        <f>1.97%+0.75%</f>
        <v>2.7199999999999998E-2</v>
      </c>
    </row>
    <row r="35" spans="1:10" ht="24" customHeight="1">
      <c r="A35" s="250" t="s">
        <v>251</v>
      </c>
      <c r="B35" s="191" t="s">
        <v>248</v>
      </c>
      <c r="C35" s="3"/>
      <c r="D35" s="157"/>
      <c r="E35" s="158">
        <f t="shared" si="3"/>
        <v>0</v>
      </c>
      <c r="F35" s="158"/>
      <c r="G35" s="158"/>
      <c r="H35" s="159">
        <v>5.3E-3</v>
      </c>
      <c r="I35" s="159">
        <v>5.3E-3</v>
      </c>
    </row>
    <row r="36" spans="1:10" ht="24" customHeight="1">
      <c r="A36" s="251"/>
      <c r="B36" s="191" t="s">
        <v>249</v>
      </c>
      <c r="C36" s="3"/>
      <c r="D36" s="157"/>
      <c r="E36" s="158">
        <f t="shared" si="3"/>
        <v>0</v>
      </c>
      <c r="F36" s="158"/>
      <c r="G36" s="158"/>
      <c r="H36" s="159">
        <v>3.4099999999999998E-2</v>
      </c>
      <c r="I36" s="163">
        <f>2.8%+0.4%</f>
        <v>3.2000000000000001E-2</v>
      </c>
    </row>
    <row r="37" spans="1:10" ht="24" customHeight="1">
      <c r="A37" s="252" t="s">
        <v>55</v>
      </c>
      <c r="B37" s="252"/>
      <c r="C37" s="3"/>
      <c r="D37" s="157"/>
      <c r="E37" s="158">
        <f t="shared" si="3"/>
        <v>0</v>
      </c>
      <c r="F37" s="158"/>
      <c r="G37" s="158"/>
      <c r="H37" s="159">
        <v>1.0999999999999999E-2</v>
      </c>
      <c r="I37" s="163">
        <v>0.03</v>
      </c>
    </row>
    <row r="41" spans="1:10" ht="39" customHeight="1">
      <c r="A41" s="256" t="s">
        <v>244</v>
      </c>
      <c r="B41" s="256"/>
      <c r="C41" s="253" t="s">
        <v>245</v>
      </c>
      <c r="D41" s="254"/>
      <c r="E41" s="254"/>
      <c r="F41" s="254"/>
      <c r="G41" s="254"/>
      <c r="H41" s="255"/>
      <c r="I41" s="200" t="s">
        <v>252</v>
      </c>
    </row>
    <row r="42" spans="1:10" ht="34.5" customHeight="1">
      <c r="A42" s="256"/>
      <c r="B42" s="256"/>
      <c r="C42" s="164" t="s">
        <v>254</v>
      </c>
      <c r="D42" s="164" t="s">
        <v>255</v>
      </c>
      <c r="E42" s="164" t="s">
        <v>253</v>
      </c>
      <c r="F42" s="165" t="s">
        <v>258</v>
      </c>
      <c r="G42" s="165" t="s">
        <v>257</v>
      </c>
      <c r="H42" s="165" t="s">
        <v>256</v>
      </c>
      <c r="I42" s="201"/>
      <c r="J42" s="199"/>
    </row>
    <row r="43" spans="1:10" ht="24" customHeight="1">
      <c r="A43" s="252" t="s">
        <v>246</v>
      </c>
      <c r="B43" s="252"/>
      <c r="C43" s="3"/>
      <c r="D43" s="157"/>
      <c r="E43" s="158">
        <f>$I$42*I43</f>
        <v>0</v>
      </c>
      <c r="F43" s="158"/>
      <c r="G43" s="158"/>
      <c r="H43" s="159">
        <v>4.48E-2</v>
      </c>
      <c r="I43" s="163">
        <v>4.3099999999999999E-2</v>
      </c>
    </row>
    <row r="44" spans="1:10" ht="24" customHeight="1">
      <c r="A44" s="252" t="s">
        <v>247</v>
      </c>
      <c r="B44" s="191" t="s">
        <v>248</v>
      </c>
      <c r="C44" s="3"/>
      <c r="D44" s="157"/>
      <c r="E44" s="158">
        <f t="shared" ref="E44:E50" si="4">$I$42*I44</f>
        <v>0</v>
      </c>
      <c r="F44" s="158"/>
      <c r="G44" s="158"/>
      <c r="H44" s="159">
        <v>4.0399999999999998E-2</v>
      </c>
      <c r="I44" s="159">
        <v>4.0399999999999998E-2</v>
      </c>
    </row>
    <row r="45" spans="1:10" ht="24" customHeight="1">
      <c r="A45" s="252"/>
      <c r="B45" s="191" t="s">
        <v>249</v>
      </c>
      <c r="C45" s="3"/>
      <c r="D45" s="157"/>
      <c r="E45" s="158">
        <f t="shared" si="4"/>
        <v>0</v>
      </c>
      <c r="F45" s="158"/>
      <c r="G45" s="158"/>
      <c r="H45" s="159">
        <v>1.66E-2</v>
      </c>
      <c r="I45" s="163">
        <v>2.1700000000000001E-2</v>
      </c>
    </row>
    <row r="46" spans="1:10" ht="24" customHeight="1">
      <c r="A46" s="253" t="s">
        <v>250</v>
      </c>
      <c r="B46" s="255"/>
      <c r="C46" s="161"/>
      <c r="D46" s="162"/>
      <c r="E46" s="158">
        <f t="shared" si="4"/>
        <v>0</v>
      </c>
      <c r="F46" s="158"/>
      <c r="G46" s="158"/>
      <c r="H46" s="163">
        <f>SUM(H43:H45)</f>
        <v>0.1018</v>
      </c>
      <c r="I46" s="163">
        <f>SUM(I43:I45)</f>
        <v>0.10519999999999999</v>
      </c>
    </row>
    <row r="47" spans="1:10" ht="24" customHeight="1">
      <c r="A47" s="252" t="s">
        <v>52</v>
      </c>
      <c r="B47" s="252"/>
      <c r="C47" s="3"/>
      <c r="D47" s="157"/>
      <c r="E47" s="158">
        <f t="shared" si="4"/>
        <v>0</v>
      </c>
      <c r="F47" s="158"/>
      <c r="G47" s="158"/>
      <c r="H47" s="159">
        <f>1.97%+0.75%</f>
        <v>2.7199999999999998E-2</v>
      </c>
      <c r="I47" s="159">
        <f>1.97%+0.75%</f>
        <v>2.7199999999999998E-2</v>
      </c>
    </row>
    <row r="48" spans="1:10" ht="24" customHeight="1">
      <c r="A48" s="250" t="s">
        <v>251</v>
      </c>
      <c r="B48" s="191" t="s">
        <v>248</v>
      </c>
      <c r="C48" s="3"/>
      <c r="D48" s="157"/>
      <c r="E48" s="158">
        <f t="shared" si="4"/>
        <v>0</v>
      </c>
      <c r="F48" s="158"/>
      <c r="G48" s="158"/>
      <c r="H48" s="159">
        <v>5.3E-3</v>
      </c>
      <c r="I48" s="159">
        <v>5.3E-3</v>
      </c>
    </row>
    <row r="49" spans="1:10" ht="24" customHeight="1">
      <c r="A49" s="251"/>
      <c r="B49" s="191" t="s">
        <v>249</v>
      </c>
      <c r="C49" s="3"/>
      <c r="D49" s="157"/>
      <c r="E49" s="158">
        <f t="shared" si="4"/>
        <v>0</v>
      </c>
      <c r="F49" s="158"/>
      <c r="G49" s="158"/>
      <c r="H49" s="159">
        <v>3.4099999999999998E-2</v>
      </c>
      <c r="I49" s="163">
        <f>2.8%+0.4%</f>
        <v>3.2000000000000001E-2</v>
      </c>
    </row>
    <row r="50" spans="1:10" ht="24" customHeight="1">
      <c r="A50" s="252" t="s">
        <v>55</v>
      </c>
      <c r="B50" s="252"/>
      <c r="C50" s="3"/>
      <c r="D50" s="157"/>
      <c r="E50" s="158">
        <f t="shared" si="4"/>
        <v>0</v>
      </c>
      <c r="F50" s="158"/>
      <c r="G50" s="158"/>
      <c r="H50" s="159">
        <v>1.0999999999999999E-2</v>
      </c>
      <c r="I50" s="163">
        <v>0.03</v>
      </c>
    </row>
    <row r="54" spans="1:10" ht="39" customHeight="1">
      <c r="A54" s="256" t="s">
        <v>244</v>
      </c>
      <c r="B54" s="256"/>
      <c r="C54" s="253" t="s">
        <v>245</v>
      </c>
      <c r="D54" s="254"/>
      <c r="E54" s="254"/>
      <c r="F54" s="254"/>
      <c r="G54" s="254"/>
      <c r="H54" s="255"/>
      <c r="I54" s="200" t="s">
        <v>252</v>
      </c>
    </row>
    <row r="55" spans="1:10" ht="34.5" customHeight="1">
      <c r="A55" s="256"/>
      <c r="B55" s="256"/>
      <c r="C55" s="164" t="s">
        <v>254</v>
      </c>
      <c r="D55" s="164" t="s">
        <v>255</v>
      </c>
      <c r="E55" s="164" t="s">
        <v>253</v>
      </c>
      <c r="F55" s="165" t="s">
        <v>258</v>
      </c>
      <c r="G55" s="165" t="s">
        <v>257</v>
      </c>
      <c r="H55" s="165" t="s">
        <v>256</v>
      </c>
      <c r="I55" s="201"/>
      <c r="J55" s="199"/>
    </row>
    <row r="56" spans="1:10" ht="24" customHeight="1">
      <c r="A56" s="252" t="s">
        <v>246</v>
      </c>
      <c r="B56" s="252"/>
      <c r="C56" s="3"/>
      <c r="D56" s="157"/>
      <c r="E56" s="158">
        <f>$I$42*I56</f>
        <v>0</v>
      </c>
      <c r="F56" s="158"/>
      <c r="G56" s="158"/>
      <c r="H56" s="159">
        <v>4.48E-2</v>
      </c>
      <c r="I56" s="163">
        <v>4.3099999999999999E-2</v>
      </c>
    </row>
    <row r="57" spans="1:10" ht="24" customHeight="1">
      <c r="A57" s="252" t="s">
        <v>247</v>
      </c>
      <c r="B57" s="191" t="s">
        <v>248</v>
      </c>
      <c r="C57" s="3"/>
      <c r="D57" s="157"/>
      <c r="E57" s="158">
        <f t="shared" ref="E57:E63" si="5">$I$42*I57</f>
        <v>0</v>
      </c>
      <c r="F57" s="158"/>
      <c r="G57" s="158"/>
      <c r="H57" s="159">
        <v>4.0399999999999998E-2</v>
      </c>
      <c r="I57" s="159">
        <v>4.0399999999999998E-2</v>
      </c>
    </row>
    <row r="58" spans="1:10" ht="24" customHeight="1">
      <c r="A58" s="252"/>
      <c r="B58" s="191" t="s">
        <v>249</v>
      </c>
      <c r="C58" s="3"/>
      <c r="D58" s="157"/>
      <c r="E58" s="158">
        <f t="shared" si="5"/>
        <v>0</v>
      </c>
      <c r="F58" s="158"/>
      <c r="G58" s="158"/>
      <c r="H58" s="159">
        <v>1.66E-2</v>
      </c>
      <c r="I58" s="163">
        <v>2.1700000000000001E-2</v>
      </c>
    </row>
    <row r="59" spans="1:10" ht="24" customHeight="1">
      <c r="A59" s="253" t="s">
        <v>250</v>
      </c>
      <c r="B59" s="255"/>
      <c r="C59" s="161"/>
      <c r="D59" s="162"/>
      <c r="E59" s="158">
        <f t="shared" si="5"/>
        <v>0</v>
      </c>
      <c r="F59" s="158"/>
      <c r="G59" s="158"/>
      <c r="H59" s="163">
        <f>SUM(H56:H58)</f>
        <v>0.1018</v>
      </c>
      <c r="I59" s="163">
        <f>SUM(I56:I58)</f>
        <v>0.10519999999999999</v>
      </c>
    </row>
    <row r="60" spans="1:10" ht="24" customHeight="1">
      <c r="A60" s="252" t="s">
        <v>52</v>
      </c>
      <c r="B60" s="252"/>
      <c r="C60" s="3"/>
      <c r="D60" s="157"/>
      <c r="E60" s="158">
        <f t="shared" si="5"/>
        <v>0</v>
      </c>
      <c r="F60" s="158"/>
      <c r="G60" s="158"/>
      <c r="H60" s="159">
        <f>1.97%+0.75%</f>
        <v>2.7199999999999998E-2</v>
      </c>
      <c r="I60" s="159">
        <f>1.97%+0.75%</f>
        <v>2.7199999999999998E-2</v>
      </c>
    </row>
    <row r="61" spans="1:10" ht="24" customHeight="1">
      <c r="A61" s="250" t="s">
        <v>251</v>
      </c>
      <c r="B61" s="191" t="s">
        <v>248</v>
      </c>
      <c r="C61" s="3"/>
      <c r="D61" s="157"/>
      <c r="E61" s="158">
        <f t="shared" si="5"/>
        <v>0</v>
      </c>
      <c r="F61" s="158"/>
      <c r="G61" s="158"/>
      <c r="H61" s="159">
        <v>5.3E-3</v>
      </c>
      <c r="I61" s="159">
        <v>5.3E-3</v>
      </c>
    </row>
    <row r="62" spans="1:10" ht="24" customHeight="1">
      <c r="A62" s="251"/>
      <c r="B62" s="191" t="s">
        <v>249</v>
      </c>
      <c r="C62" s="3"/>
      <c r="D62" s="157"/>
      <c r="E62" s="158">
        <f t="shared" si="5"/>
        <v>0</v>
      </c>
      <c r="F62" s="158"/>
      <c r="G62" s="158"/>
      <c r="H62" s="159">
        <v>3.4099999999999998E-2</v>
      </c>
      <c r="I62" s="163">
        <f>2.8%+0.4%</f>
        <v>3.2000000000000001E-2</v>
      </c>
    </row>
    <row r="63" spans="1:10" ht="24" customHeight="1">
      <c r="A63" s="252" t="s">
        <v>55</v>
      </c>
      <c r="B63" s="252"/>
      <c r="C63" s="3"/>
      <c r="D63" s="157"/>
      <c r="E63" s="158">
        <f t="shared" si="5"/>
        <v>0</v>
      </c>
      <c r="F63" s="158"/>
      <c r="G63" s="158"/>
      <c r="H63" s="159">
        <v>1.0999999999999999E-2</v>
      </c>
      <c r="I63" s="163">
        <v>0.03</v>
      </c>
    </row>
  </sheetData>
  <mergeCells count="41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A15:B16"/>
    <mergeCell ref="C15:H15"/>
    <mergeCell ref="A17:B17"/>
    <mergeCell ref="A18:A19"/>
    <mergeCell ref="A20:B20"/>
    <mergeCell ref="A21:B21"/>
    <mergeCell ref="A22:A23"/>
    <mergeCell ref="A24:B24"/>
    <mergeCell ref="A28:B29"/>
    <mergeCell ref="C28:H28"/>
    <mergeCell ref="A30:B30"/>
    <mergeCell ref="A31:A32"/>
    <mergeCell ref="A33:B33"/>
    <mergeCell ref="A34:B34"/>
    <mergeCell ref="A35:A36"/>
    <mergeCell ref="A37:B37"/>
    <mergeCell ref="A41:B42"/>
    <mergeCell ref="C41:H41"/>
    <mergeCell ref="A43:B43"/>
    <mergeCell ref="A44:A45"/>
    <mergeCell ref="A46:B46"/>
    <mergeCell ref="A47:B47"/>
    <mergeCell ref="A48:A49"/>
    <mergeCell ref="A50:B50"/>
    <mergeCell ref="A54:B55"/>
    <mergeCell ref="A61:A62"/>
    <mergeCell ref="A63:B63"/>
    <mergeCell ref="C54:H54"/>
    <mergeCell ref="A56:B56"/>
    <mergeCell ref="A57:A58"/>
    <mergeCell ref="A59:B59"/>
    <mergeCell ref="A60:B60"/>
  </mergeCells>
  <phoneticPr fontId="3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F67" sqref="F67"/>
    </sheetView>
  </sheetViews>
  <sheetFormatPr defaultColWidth="9" defaultRowHeight="16.5"/>
  <cols>
    <col min="1" max="1" width="5.125" style="118" customWidth="1"/>
    <col min="2" max="2" width="28.5" style="118" customWidth="1"/>
    <col min="3" max="3" width="16.75" style="119" customWidth="1"/>
    <col min="4" max="4" width="16.625" style="119" customWidth="1"/>
    <col min="5" max="5" width="17.875" style="119" customWidth="1"/>
    <col min="6" max="7" width="13" style="119" customWidth="1"/>
    <col min="8" max="8" width="18" style="119" customWidth="1"/>
    <col min="9" max="9" width="15.5" style="118" customWidth="1"/>
    <col min="10" max="35" width="9" style="118"/>
    <col min="36" max="36" width="4.375" style="118" customWidth="1"/>
    <col min="37" max="37" width="13.875" style="118" customWidth="1"/>
    <col min="38" max="16384" width="9" style="118"/>
  </cols>
  <sheetData>
    <row r="1" spans="1:38" ht="27" customHeight="1">
      <c r="A1" s="204" t="s">
        <v>290</v>
      </c>
      <c r="B1" s="204"/>
      <c r="C1" s="204"/>
      <c r="D1" s="204"/>
      <c r="E1" s="204"/>
      <c r="F1" s="204"/>
      <c r="G1" s="204"/>
      <c r="H1" s="204"/>
    </row>
    <row r="2" spans="1:38" ht="15.75" customHeight="1">
      <c r="A2" s="205" t="s">
        <v>19</v>
      </c>
      <c r="B2" s="120" t="s">
        <v>1</v>
      </c>
      <c r="C2" s="120" t="s">
        <v>289</v>
      </c>
      <c r="D2" s="120" t="s">
        <v>288</v>
      </c>
      <c r="E2" s="120" t="s">
        <v>287</v>
      </c>
      <c r="F2" s="120" t="s">
        <v>286</v>
      </c>
      <c r="G2" s="120" t="s">
        <v>285</v>
      </c>
      <c r="H2" s="59" t="s">
        <v>22</v>
      </c>
      <c r="AL2" s="118" t="s">
        <v>23</v>
      </c>
    </row>
    <row r="3" spans="1:38" s="56" customFormat="1" ht="15.75" customHeight="1">
      <c r="A3" s="206"/>
      <c r="B3" s="61" t="s">
        <v>3</v>
      </c>
      <c r="C3" s="121">
        <f>'2022年'!L6</f>
        <v>40000</v>
      </c>
      <c r="D3" s="121">
        <f>'2023年'!L6</f>
        <v>40000</v>
      </c>
      <c r="E3" s="121">
        <f>'2024年'!L6</f>
        <v>40000</v>
      </c>
      <c r="F3" s="121">
        <f>'2025年'!H6</f>
        <v>40000</v>
      </c>
      <c r="G3" s="121">
        <f>'2026年'!H6</f>
        <v>40000</v>
      </c>
      <c r="H3" s="121">
        <f t="shared" ref="H3:H8" si="0">SUM(C3:G3)</f>
        <v>200000</v>
      </c>
      <c r="I3" s="77"/>
      <c r="AJ3" s="60" t="s">
        <v>19</v>
      </c>
      <c r="AK3" s="61" t="s">
        <v>3</v>
      </c>
      <c r="AL3" s="56" t="s">
        <v>24</v>
      </c>
    </row>
    <row r="4" spans="1:38" s="56" customFormat="1" ht="15.75" customHeight="1">
      <c r="A4" s="70">
        <v>1</v>
      </c>
      <c r="B4" s="61" t="s">
        <v>25</v>
      </c>
      <c r="C4" s="121">
        <f>'2022年'!L7</f>
        <v>13600000</v>
      </c>
      <c r="D4" s="121">
        <f>'2023年'!L7</f>
        <v>13600000</v>
      </c>
      <c r="E4" s="121">
        <f>'2024年'!L7</f>
        <v>13600000</v>
      </c>
      <c r="F4" s="121">
        <f>'2025年'!H7</f>
        <v>13600000</v>
      </c>
      <c r="G4" s="121">
        <f>'2026年'!H7</f>
        <v>13600000</v>
      </c>
      <c r="H4" s="121">
        <f t="shared" si="0"/>
        <v>68000000</v>
      </c>
      <c r="I4" s="77"/>
      <c r="AJ4" s="60" t="s">
        <v>26</v>
      </c>
      <c r="AK4" s="61" t="s">
        <v>25</v>
      </c>
      <c r="AL4" s="56" t="s">
        <v>24</v>
      </c>
    </row>
    <row r="5" spans="1:38" s="56" customFormat="1" ht="15.75" customHeight="1">
      <c r="A5" s="70">
        <v>2</v>
      </c>
      <c r="B5" s="58" t="s">
        <v>27</v>
      </c>
      <c r="C5" s="121">
        <f>'2022年'!L8</f>
        <v>0</v>
      </c>
      <c r="D5" s="121">
        <f>'2023年'!L8</f>
        <v>0</v>
      </c>
      <c r="E5" s="121">
        <f>'2024年'!L8</f>
        <v>0</v>
      </c>
      <c r="F5" s="121">
        <f>'2025年'!H8</f>
        <v>0</v>
      </c>
      <c r="G5" s="121">
        <f>'2026年'!H8</f>
        <v>0</v>
      </c>
      <c r="H5" s="121">
        <f t="shared" si="0"/>
        <v>0</v>
      </c>
      <c r="I5" s="77"/>
      <c r="AJ5" s="60" t="s">
        <v>28</v>
      </c>
      <c r="AK5" s="58" t="s">
        <v>29</v>
      </c>
      <c r="AL5" s="56" t="s">
        <v>24</v>
      </c>
    </row>
    <row r="6" spans="1:38" s="56" customFormat="1" ht="15.75" customHeight="1">
      <c r="A6" s="70">
        <v>3</v>
      </c>
      <c r="B6" s="61" t="s">
        <v>30</v>
      </c>
      <c r="C6" s="122">
        <f>+C4-C5</f>
        <v>13600000</v>
      </c>
      <c r="D6" s="122">
        <f>'2023年'!L9</f>
        <v>13600000</v>
      </c>
      <c r="E6" s="122">
        <f>'2024年'!L9</f>
        <v>13600000</v>
      </c>
      <c r="F6" s="122">
        <f>'2025年'!H9</f>
        <v>13600000</v>
      </c>
      <c r="G6" s="122">
        <f>'2026年'!H9</f>
        <v>13600000</v>
      </c>
      <c r="H6" s="121">
        <f t="shared" si="0"/>
        <v>68000000</v>
      </c>
      <c r="I6" s="77"/>
      <c r="AJ6" s="60" t="s">
        <v>31</v>
      </c>
      <c r="AK6" s="61" t="s">
        <v>30</v>
      </c>
      <c r="AL6" s="56" t="s">
        <v>32</v>
      </c>
    </row>
    <row r="7" spans="1:38" s="56" customFormat="1" ht="15.75" customHeight="1">
      <c r="A7" s="70">
        <v>4</v>
      </c>
      <c r="B7" s="60" t="s">
        <v>33</v>
      </c>
      <c r="C7" s="121">
        <f>'2022年'!L10</f>
        <v>14494200</v>
      </c>
      <c r="D7" s="121">
        <f>'2023年'!L10</f>
        <v>14494200</v>
      </c>
      <c r="E7" s="121">
        <f>'2024年'!L10</f>
        <v>14494200</v>
      </c>
      <c r="F7" s="121">
        <f>'2025年'!H10</f>
        <v>14494200</v>
      </c>
      <c r="G7" s="121">
        <f>'2026年'!H10</f>
        <v>14494200</v>
      </c>
      <c r="H7" s="121">
        <f t="shared" si="0"/>
        <v>72471000</v>
      </c>
      <c r="I7" s="77"/>
      <c r="AJ7" s="60" t="s">
        <v>34</v>
      </c>
      <c r="AK7" s="60" t="s">
        <v>33</v>
      </c>
      <c r="AL7" s="56" t="s">
        <v>35</v>
      </c>
    </row>
    <row r="8" spans="1:38" s="56" customFormat="1" ht="15.75" customHeight="1">
      <c r="A8" s="70">
        <v>5</v>
      </c>
      <c r="B8" s="60" t="s">
        <v>36</v>
      </c>
      <c r="C8" s="121">
        <f>'2022年'!L11</f>
        <v>586160</v>
      </c>
      <c r="D8" s="121">
        <f>'2023年'!L11</f>
        <v>586160</v>
      </c>
      <c r="E8" s="121">
        <f>'2024年'!L11</f>
        <v>586160</v>
      </c>
      <c r="F8" s="121">
        <f>'2025年'!H11</f>
        <v>586160</v>
      </c>
      <c r="G8" s="121">
        <f>'2026年'!H11</f>
        <v>586160</v>
      </c>
      <c r="H8" s="121">
        <f t="shared" si="0"/>
        <v>2930800</v>
      </c>
      <c r="I8" s="77"/>
      <c r="AJ8" s="60" t="s">
        <v>37</v>
      </c>
      <c r="AK8" s="60" t="s">
        <v>36</v>
      </c>
    </row>
    <row r="9" spans="1:38" s="56" customFormat="1" ht="15.75" customHeight="1">
      <c r="A9" s="70">
        <v>6</v>
      </c>
      <c r="B9" s="60" t="s">
        <v>38</v>
      </c>
      <c r="C9" s="121">
        <f>'2022年'!L12</f>
        <v>295120</v>
      </c>
      <c r="D9" s="121">
        <f>'2023年'!L12</f>
        <v>295120</v>
      </c>
      <c r="E9" s="121">
        <f>'2024年'!L12</f>
        <v>295120</v>
      </c>
      <c r="F9" s="121">
        <f>'2025年'!H12</f>
        <v>295120</v>
      </c>
      <c r="G9" s="121">
        <f>'2026年'!H12</f>
        <v>295120</v>
      </c>
      <c r="H9" s="121">
        <f t="shared" ref="H9:H11" si="1">SUM(C9:G9)</f>
        <v>1475600</v>
      </c>
      <c r="I9" s="77"/>
      <c r="AJ9" s="60" t="s">
        <v>39</v>
      </c>
      <c r="AK9" s="60" t="s">
        <v>38</v>
      </c>
    </row>
    <row r="10" spans="1:38" s="56" customFormat="1" ht="15.75" customHeight="1">
      <c r="A10" s="70">
        <v>7</v>
      </c>
      <c r="B10" s="123" t="s">
        <v>40</v>
      </c>
      <c r="C10" s="121">
        <f>'2022年'!L13</f>
        <v>435200.00000000006</v>
      </c>
      <c r="D10" s="121">
        <f>'2023年'!L13</f>
        <v>435200.00000000006</v>
      </c>
      <c r="E10" s="121">
        <f>'2024年'!L13</f>
        <v>435200.00000000006</v>
      </c>
      <c r="F10" s="121">
        <f>'2025年'!H13</f>
        <v>435200.00000000006</v>
      </c>
      <c r="G10" s="121">
        <f>'2026年'!H13</f>
        <v>435200.00000000006</v>
      </c>
      <c r="H10" s="121">
        <f t="shared" si="1"/>
        <v>2176000.0000000005</v>
      </c>
      <c r="I10" s="77"/>
      <c r="AJ10" s="60" t="s">
        <v>41</v>
      </c>
      <c r="AK10" s="60" t="s">
        <v>40</v>
      </c>
      <c r="AL10" s="56" t="s">
        <v>24</v>
      </c>
    </row>
    <row r="11" spans="1:38" s="56" customFormat="1" ht="15.75" customHeight="1">
      <c r="A11" s="70">
        <v>8</v>
      </c>
      <c r="B11" s="124" t="s">
        <v>42</v>
      </c>
      <c r="C11" s="125">
        <f>'2022年'!L14</f>
        <v>1316480</v>
      </c>
      <c r="D11" s="125">
        <f>'2023年'!L14</f>
        <v>1316480</v>
      </c>
      <c r="E11" s="125">
        <f>'2024年'!L14</f>
        <v>1316480</v>
      </c>
      <c r="F11" s="125">
        <f>'2025年'!H14</f>
        <v>1316480</v>
      </c>
      <c r="G11" s="125">
        <f>'2026年'!H14</f>
        <v>1316480</v>
      </c>
      <c r="H11" s="121">
        <f t="shared" si="1"/>
        <v>6582400</v>
      </c>
      <c r="I11" s="77"/>
      <c r="AJ11" s="60" t="s">
        <v>43</v>
      </c>
      <c r="AK11" s="63" t="s">
        <v>42</v>
      </c>
    </row>
    <row r="12" spans="1:38" s="56" customFormat="1" ht="15.75" customHeight="1">
      <c r="A12" s="70">
        <v>9</v>
      </c>
      <c r="B12" s="126" t="s">
        <v>44</v>
      </c>
      <c r="C12" s="121">
        <f>'2022年'!L15</f>
        <v>-2210679.9999999991</v>
      </c>
      <c r="D12" s="121">
        <f>'2023年'!L15</f>
        <v>-2210679.9999999991</v>
      </c>
      <c r="E12" s="121">
        <f>'2024年'!L15</f>
        <v>-2210679.9999999991</v>
      </c>
      <c r="F12" s="121">
        <f>'2025年'!H15</f>
        <v>-2210679.9999999991</v>
      </c>
      <c r="G12" s="121">
        <f>'2026年'!H15</f>
        <v>-2210679.9999999991</v>
      </c>
      <c r="H12" s="121">
        <f>H6-H7-H11</f>
        <v>-11053400</v>
      </c>
      <c r="I12" s="77"/>
      <c r="K12" s="118"/>
      <c r="L12" s="118"/>
      <c r="M12" s="118"/>
      <c r="N12" s="118"/>
      <c r="O12" s="118"/>
      <c r="P12" s="118"/>
      <c r="AJ12" s="60" t="s">
        <v>45</v>
      </c>
      <c r="AK12" s="63" t="s">
        <v>44</v>
      </c>
    </row>
    <row r="13" spans="1:38" ht="15.75" customHeight="1">
      <c r="A13" s="70">
        <v>10</v>
      </c>
      <c r="B13" s="127" t="s">
        <v>46</v>
      </c>
      <c r="C13" s="128">
        <f>+C12/C6</f>
        <v>-0.16254999999999994</v>
      </c>
      <c r="D13" s="128">
        <f>'2023年'!L16</f>
        <v>-0.16254999999999994</v>
      </c>
      <c r="E13" s="128">
        <f>'2024年'!L16</f>
        <v>-0.16254999999999994</v>
      </c>
      <c r="F13" s="128">
        <f>'2025年'!H16</f>
        <v>-0.16254999999999994</v>
      </c>
      <c r="G13" s="128">
        <f>'2026年'!H16</f>
        <v>-0.16254999999999994</v>
      </c>
      <c r="H13" s="128">
        <f>+H12/H6</f>
        <v>-0.16255</v>
      </c>
      <c r="I13" s="77"/>
      <c r="AJ13" s="127" t="s">
        <v>47</v>
      </c>
      <c r="AK13" s="127" t="s">
        <v>46</v>
      </c>
    </row>
    <row r="14" spans="1:38" ht="15.75" customHeight="1">
      <c r="A14" s="70">
        <v>11</v>
      </c>
      <c r="B14" s="127" t="s">
        <v>48</v>
      </c>
      <c r="C14" s="121">
        <f>'2022年'!L17</f>
        <v>9500</v>
      </c>
      <c r="D14" s="121">
        <f>'2023年'!L17</f>
        <v>9500</v>
      </c>
      <c r="E14" s="121">
        <f>'2024年'!L17</f>
        <v>9500</v>
      </c>
      <c r="F14" s="121">
        <f>'2025年'!H17</f>
        <v>9500</v>
      </c>
      <c r="G14" s="121">
        <f>'2026年'!H17</f>
        <v>9500</v>
      </c>
      <c r="H14" s="121">
        <f>SUM(C14:G14)</f>
        <v>47500</v>
      </c>
      <c r="I14" s="77"/>
      <c r="AJ14" s="127" t="s">
        <v>49</v>
      </c>
      <c r="AK14" s="127" t="s">
        <v>48</v>
      </c>
    </row>
    <row r="15" spans="1:38" ht="15.75" hidden="1" customHeight="1">
      <c r="A15" s="166"/>
      <c r="B15" s="127"/>
      <c r="C15" s="121"/>
      <c r="D15" s="121"/>
      <c r="E15" s="121"/>
      <c r="F15" s="121"/>
      <c r="G15" s="121"/>
      <c r="H15" s="121"/>
      <c r="I15" s="77"/>
      <c r="AJ15" s="127"/>
      <c r="AK15" s="127"/>
    </row>
    <row r="16" spans="1:38" ht="15.75" customHeight="1">
      <c r="A16" s="70">
        <v>12</v>
      </c>
      <c r="B16" s="127" t="s">
        <v>50</v>
      </c>
      <c r="C16" s="129">
        <f>'2022年'!L19</f>
        <v>0</v>
      </c>
      <c r="D16" s="129">
        <f>'2023年'!L19</f>
        <v>0</v>
      </c>
      <c r="E16" s="129">
        <f>'2024年'!L19</f>
        <v>0</v>
      </c>
      <c r="F16" s="129">
        <f>'2025年'!H19</f>
        <v>0</v>
      </c>
      <c r="G16" s="129">
        <f>'2026年'!H19</f>
        <v>0</v>
      </c>
      <c r="H16" s="121">
        <f>SUM(C16:G16)</f>
        <v>0</v>
      </c>
      <c r="I16" s="77"/>
      <c r="Q16" s="77"/>
      <c r="AJ16" s="127" t="s">
        <v>51</v>
      </c>
      <c r="AK16" s="127" t="s">
        <v>50</v>
      </c>
      <c r="AL16" s="118" t="s">
        <v>24</v>
      </c>
    </row>
    <row r="17" spans="1:38" ht="15.75" customHeight="1">
      <c r="A17" s="70">
        <v>13</v>
      </c>
      <c r="B17" s="127" t="s">
        <v>52</v>
      </c>
      <c r="C17" s="129">
        <f>'2022年'!L20</f>
        <v>0</v>
      </c>
      <c r="D17" s="129">
        <f>'2023年'!L20</f>
        <v>0</v>
      </c>
      <c r="E17" s="129">
        <f>'2024年'!L20</f>
        <v>0</v>
      </c>
      <c r="F17" s="129">
        <f>'2025年'!H20</f>
        <v>0</v>
      </c>
      <c r="G17" s="129">
        <f>'2026年'!H20</f>
        <v>0</v>
      </c>
      <c r="H17" s="121">
        <f>SUM(C17:G17)</f>
        <v>0</v>
      </c>
      <c r="I17" s="77"/>
      <c r="AJ17" s="127" t="s">
        <v>53</v>
      </c>
      <c r="AK17" s="127" t="s">
        <v>52</v>
      </c>
    </row>
    <row r="18" spans="1:38" s="55" customFormat="1" ht="15.75" customHeight="1">
      <c r="A18" s="70">
        <v>14</v>
      </c>
      <c r="B18" s="68" t="s">
        <v>54</v>
      </c>
      <c r="C18" s="130">
        <f>'2022年'!L21</f>
        <v>62000</v>
      </c>
      <c r="D18" s="130">
        <f>'2023年'!L21</f>
        <v>62000</v>
      </c>
      <c r="E18" s="130">
        <f>'2024年'!L21</f>
        <v>62000</v>
      </c>
      <c r="F18" s="130">
        <f>'2025年'!H21</f>
        <v>62000</v>
      </c>
      <c r="G18" s="130">
        <f>'2026年'!H21</f>
        <v>62000</v>
      </c>
      <c r="H18" s="121">
        <f>SUM(C18:G18)</f>
        <v>310000</v>
      </c>
      <c r="I18" s="77"/>
      <c r="AJ18" s="68"/>
      <c r="AK18" s="68"/>
    </row>
    <row r="19" spans="1:38" s="56" customFormat="1" ht="15.75" customHeight="1">
      <c r="A19" s="70">
        <v>15</v>
      </c>
      <c r="B19" s="60" t="s">
        <v>55</v>
      </c>
      <c r="C19" s="129">
        <f>'2022年'!L22</f>
        <v>408000</v>
      </c>
      <c r="D19" s="129">
        <f>'2023年'!L22</f>
        <v>408000</v>
      </c>
      <c r="E19" s="129">
        <f>'2024年'!L22</f>
        <v>408000</v>
      </c>
      <c r="F19" s="129">
        <f>'2025年'!H22</f>
        <v>408000</v>
      </c>
      <c r="G19" s="129">
        <f>'2026年'!H22</f>
        <v>408000</v>
      </c>
      <c r="H19" s="121">
        <f>SUM(C19:G19)</f>
        <v>2040000</v>
      </c>
      <c r="I19" s="77"/>
      <c r="AJ19" s="60" t="s">
        <v>56</v>
      </c>
      <c r="AK19" s="60" t="s">
        <v>55</v>
      </c>
    </row>
    <row r="20" spans="1:38" s="116" customFormat="1" ht="15.75" customHeight="1">
      <c r="A20" s="70">
        <v>16</v>
      </c>
      <c r="B20" s="131" t="s">
        <v>57</v>
      </c>
      <c r="C20" s="125">
        <f t="shared" ref="C20" si="2">+C19+C18+C17+C16+C14</f>
        <v>479500</v>
      </c>
      <c r="D20" s="125">
        <f>'2023年'!L23</f>
        <v>479500</v>
      </c>
      <c r="E20" s="125">
        <f>'2024年'!L23</f>
        <v>479500</v>
      </c>
      <c r="F20" s="125">
        <f>'2025年'!H23</f>
        <v>479500</v>
      </c>
      <c r="G20" s="125">
        <f>'2026年'!H23</f>
        <v>479500</v>
      </c>
      <c r="H20" s="125">
        <f>SUM(C20:G20)</f>
        <v>2397500</v>
      </c>
      <c r="I20" s="77"/>
      <c r="AJ20" s="143" t="s">
        <v>58</v>
      </c>
      <c r="AK20" s="144" t="s">
        <v>57</v>
      </c>
    </row>
    <row r="21" spans="1:38" ht="15.75" customHeight="1">
      <c r="A21" s="70">
        <v>17</v>
      </c>
      <c r="B21" s="127" t="s">
        <v>59</v>
      </c>
      <c r="C21" s="132">
        <f>+C12-C20</f>
        <v>-2690179.9999999991</v>
      </c>
      <c r="D21" s="132">
        <f>'2023年'!L24</f>
        <v>-2690179.9999999991</v>
      </c>
      <c r="E21" s="132">
        <f>'2024年'!L24</f>
        <v>-2690179.9999999991</v>
      </c>
      <c r="F21" s="132">
        <f>'2025年'!H24</f>
        <v>-2690179.9999999991</v>
      </c>
      <c r="G21" s="132">
        <f>'2026年'!H24</f>
        <v>-2690179.9999999991</v>
      </c>
      <c r="H21" s="132">
        <f>+H12-H20</f>
        <v>-13450900</v>
      </c>
      <c r="I21" s="77"/>
      <c r="AJ21" s="127" t="s">
        <v>60</v>
      </c>
      <c r="AK21" s="127" t="s">
        <v>59</v>
      </c>
    </row>
    <row r="22" spans="1:38" ht="15.75" customHeight="1">
      <c r="A22" s="70">
        <v>18</v>
      </c>
      <c r="B22" s="127" t="s">
        <v>61</v>
      </c>
      <c r="C22" s="132">
        <f>IF(C21&lt;0,0,C21*0.25)</f>
        <v>0</v>
      </c>
      <c r="D22" s="132">
        <f>'2023年'!L25</f>
        <v>0</v>
      </c>
      <c r="E22" s="132">
        <f>'2024年'!L25</f>
        <v>0</v>
      </c>
      <c r="F22" s="132">
        <f>'2025年'!H25</f>
        <v>0</v>
      </c>
      <c r="G22" s="132">
        <f>'2026年'!H25</f>
        <v>0</v>
      </c>
      <c r="H22" s="132">
        <f>IF(H21&lt;0,0,H21*0.25)</f>
        <v>0</v>
      </c>
      <c r="I22" s="77"/>
      <c r="AJ22" s="127" t="s">
        <v>62</v>
      </c>
      <c r="AK22" s="127" t="s">
        <v>61</v>
      </c>
    </row>
    <row r="23" spans="1:38" ht="15.75" customHeight="1">
      <c r="A23" s="70">
        <v>19</v>
      </c>
      <c r="B23" s="127" t="s">
        <v>63</v>
      </c>
      <c r="C23" s="132">
        <f>C21-C22</f>
        <v>-2690179.9999999991</v>
      </c>
      <c r="D23" s="132">
        <f t="shared" ref="D23:E23" si="3">D21-D22</f>
        <v>-2690179.9999999991</v>
      </c>
      <c r="E23" s="132">
        <f t="shared" si="3"/>
        <v>-2690179.9999999991</v>
      </c>
      <c r="F23" s="132">
        <f>'2025年'!H26</f>
        <v>-2690179.9999999991</v>
      </c>
      <c r="G23" s="132">
        <f>'2026年'!H26</f>
        <v>-2690179.9999999991</v>
      </c>
      <c r="H23" s="132">
        <f>H21-H22</f>
        <v>-13450900</v>
      </c>
      <c r="I23" s="77"/>
      <c r="AJ23" s="127" t="s">
        <v>64</v>
      </c>
      <c r="AK23" s="127" t="s">
        <v>63</v>
      </c>
    </row>
    <row r="24" spans="1:38" ht="15.75" customHeight="1">
      <c r="A24" s="70">
        <v>20</v>
      </c>
      <c r="B24" s="127" t="s">
        <v>65</v>
      </c>
      <c r="C24" s="133">
        <f>(C23/C4)*100%</f>
        <v>-0.19780735294117641</v>
      </c>
      <c r="D24" s="133">
        <f t="shared" ref="D24:E24" si="4">(D23/D4)*100%</f>
        <v>-0.19780735294117641</v>
      </c>
      <c r="E24" s="133">
        <f t="shared" si="4"/>
        <v>-0.19780735294117641</v>
      </c>
      <c r="F24" s="133">
        <f>'2025年'!H27</f>
        <v>-0.19780735294117641</v>
      </c>
      <c r="G24" s="133">
        <f>'2026年'!H27</f>
        <v>-0.19780735294117641</v>
      </c>
      <c r="H24" s="133">
        <f>(H23/H4)*100%</f>
        <v>-0.19780735294117646</v>
      </c>
      <c r="I24" s="77"/>
      <c r="AJ24" s="145" t="s">
        <v>66</v>
      </c>
      <c r="AK24" s="145" t="s">
        <v>67</v>
      </c>
    </row>
    <row r="25" spans="1:38" s="117" customFormat="1" ht="15.75" customHeight="1">
      <c r="C25" s="134"/>
      <c r="D25" s="134"/>
      <c r="E25" s="134"/>
      <c r="F25" s="134"/>
      <c r="G25" s="134"/>
      <c r="H25" s="134"/>
      <c r="I25" s="142"/>
    </row>
    <row r="26" spans="1:38" s="117" customFormat="1" ht="15.75" hidden="1" customHeight="1">
      <c r="A26" s="117" t="s">
        <v>68</v>
      </c>
      <c r="C26" s="135"/>
      <c r="D26" s="135"/>
      <c r="E26" s="135"/>
      <c r="F26" s="135"/>
      <c r="G26" s="135"/>
      <c r="H26" s="135"/>
      <c r="I26" s="142"/>
      <c r="AJ26" s="117" t="s">
        <v>68</v>
      </c>
    </row>
    <row r="27" spans="1:38" ht="15.75" hidden="1" customHeight="1">
      <c r="A27" s="127" t="s">
        <v>19</v>
      </c>
      <c r="B27" s="136" t="s">
        <v>1</v>
      </c>
      <c r="C27" s="120" t="s">
        <v>69</v>
      </c>
      <c r="D27" s="120" t="s">
        <v>21</v>
      </c>
      <c r="E27" s="120" t="s">
        <v>70</v>
      </c>
      <c r="F27" s="120" t="s">
        <v>71</v>
      </c>
      <c r="G27" s="120" t="s">
        <v>72</v>
      </c>
      <c r="H27" s="59" t="s">
        <v>22</v>
      </c>
      <c r="AL27" s="118" t="s">
        <v>23</v>
      </c>
    </row>
    <row r="28" spans="1:38" s="56" customFormat="1" ht="15.75" hidden="1" customHeight="1">
      <c r="A28" s="60" t="s">
        <v>73</v>
      </c>
      <c r="B28" s="63" t="s">
        <v>74</v>
      </c>
      <c r="C28" s="67"/>
      <c r="D28" s="67"/>
      <c r="E28" s="67"/>
      <c r="F28" s="67"/>
      <c r="G28" s="67"/>
      <c r="H28" s="67"/>
      <c r="I28" s="77"/>
      <c r="AJ28" s="60" t="s">
        <v>75</v>
      </c>
      <c r="AK28" s="63" t="s">
        <v>74</v>
      </c>
    </row>
    <row r="29" spans="1:38" s="56" customFormat="1" ht="15.75" hidden="1" customHeight="1">
      <c r="A29" s="60" t="s">
        <v>26</v>
      </c>
      <c r="B29" s="60" t="s">
        <v>76</v>
      </c>
      <c r="C29" s="62">
        <f>+C6/C3</f>
        <v>340</v>
      </c>
      <c r="D29" s="62">
        <f t="shared" ref="D29:G29" si="5">+D6/D3</f>
        <v>340</v>
      </c>
      <c r="E29" s="62">
        <f t="shared" si="5"/>
        <v>340</v>
      </c>
      <c r="F29" s="62">
        <f t="shared" si="5"/>
        <v>340</v>
      </c>
      <c r="G29" s="62">
        <f t="shared" si="5"/>
        <v>340</v>
      </c>
      <c r="H29" s="62">
        <f>+H6/H3</f>
        <v>340</v>
      </c>
      <c r="I29" s="77"/>
      <c r="AJ29" s="60" t="s">
        <v>26</v>
      </c>
      <c r="AK29" s="60" t="s">
        <v>76</v>
      </c>
    </row>
    <row r="30" spans="1:38" s="56" customFormat="1" ht="15.75" hidden="1" customHeight="1">
      <c r="A30" s="60" t="s">
        <v>28</v>
      </c>
      <c r="B30" s="60" t="s">
        <v>77</v>
      </c>
      <c r="C30" s="62">
        <f>+C7/C3</f>
        <v>362.35500000000002</v>
      </c>
      <c r="D30" s="62">
        <f t="shared" ref="D30:G30" si="6">+D7/D3</f>
        <v>362.35500000000002</v>
      </c>
      <c r="E30" s="62">
        <f t="shared" si="6"/>
        <v>362.35500000000002</v>
      </c>
      <c r="F30" s="62">
        <f t="shared" si="6"/>
        <v>362.35500000000002</v>
      </c>
      <c r="G30" s="62">
        <f t="shared" si="6"/>
        <v>362.35500000000002</v>
      </c>
      <c r="H30" s="62">
        <f>+H7/H3</f>
        <v>362.35500000000002</v>
      </c>
      <c r="I30" s="77"/>
      <c r="AJ30" s="60" t="s">
        <v>28</v>
      </c>
      <c r="AK30" s="60" t="s">
        <v>77</v>
      </c>
    </row>
    <row r="31" spans="1:38" s="56" customFormat="1" ht="15.75" hidden="1" customHeight="1">
      <c r="A31" s="60" t="s">
        <v>78</v>
      </c>
      <c r="B31" s="60" t="s">
        <v>79</v>
      </c>
      <c r="C31" s="67">
        <f t="shared" ref="C31:G31" si="7">C29-C30</f>
        <v>-22.355000000000018</v>
      </c>
      <c r="D31" s="67">
        <f t="shared" si="7"/>
        <v>-22.355000000000018</v>
      </c>
      <c r="E31" s="67">
        <f t="shared" si="7"/>
        <v>-22.355000000000018</v>
      </c>
      <c r="F31" s="67">
        <f t="shared" si="7"/>
        <v>-22.355000000000018</v>
      </c>
      <c r="G31" s="67">
        <f t="shared" si="7"/>
        <v>-22.355000000000018</v>
      </c>
      <c r="H31" s="67">
        <f t="shared" ref="H31" si="8">H29-H30</f>
        <v>-22.355000000000018</v>
      </c>
      <c r="I31" s="77"/>
      <c r="AJ31" s="60" t="s">
        <v>78</v>
      </c>
      <c r="AK31" s="60" t="s">
        <v>79</v>
      </c>
    </row>
    <row r="32" spans="1:38" s="56" customFormat="1" ht="15.75" hidden="1" customHeight="1">
      <c r="A32" s="60">
        <v>3.1</v>
      </c>
      <c r="B32" s="60" t="s">
        <v>80</v>
      </c>
      <c r="C32" s="188">
        <f t="shared" ref="C32:G32" si="9">C31/C29</f>
        <v>-6.5750000000000058E-2</v>
      </c>
      <c r="D32" s="188">
        <f t="shared" si="9"/>
        <v>-6.5750000000000058E-2</v>
      </c>
      <c r="E32" s="188">
        <f t="shared" si="9"/>
        <v>-6.5750000000000058E-2</v>
      </c>
      <c r="F32" s="188">
        <f t="shared" si="9"/>
        <v>-6.5750000000000058E-2</v>
      </c>
      <c r="G32" s="188">
        <f t="shared" si="9"/>
        <v>-6.5750000000000058E-2</v>
      </c>
      <c r="H32" s="188">
        <f t="shared" ref="H32" si="10">H31/H29</f>
        <v>-6.5750000000000058E-2</v>
      </c>
      <c r="I32" s="77"/>
      <c r="AJ32" s="60"/>
      <c r="AK32" s="60"/>
    </row>
    <row r="33" spans="1:37" s="56" customFormat="1" ht="15.75" hidden="1" customHeight="1">
      <c r="A33" s="60" t="s">
        <v>75</v>
      </c>
      <c r="B33" s="63" t="s">
        <v>10</v>
      </c>
      <c r="C33" s="67"/>
      <c r="D33" s="67"/>
      <c r="E33" s="67"/>
      <c r="F33" s="67"/>
      <c r="G33" s="67"/>
      <c r="H33" s="67"/>
      <c r="I33" s="77"/>
      <c r="AJ33" s="60" t="s">
        <v>81</v>
      </c>
      <c r="AK33" s="63" t="s">
        <v>10</v>
      </c>
    </row>
    <row r="34" spans="1:37" s="56" customFormat="1" ht="15.75" hidden="1" customHeight="1">
      <c r="A34" s="60" t="s">
        <v>26</v>
      </c>
      <c r="B34" s="68" t="s">
        <v>82</v>
      </c>
      <c r="C34" s="62">
        <f>+C8/C3</f>
        <v>14.654</v>
      </c>
      <c r="D34" s="62">
        <f t="shared" ref="D34:G34" si="11">+D8/D3</f>
        <v>14.654</v>
      </c>
      <c r="E34" s="62">
        <f t="shared" si="11"/>
        <v>14.654</v>
      </c>
      <c r="F34" s="62">
        <f t="shared" si="11"/>
        <v>14.654</v>
      </c>
      <c r="G34" s="62">
        <f t="shared" si="11"/>
        <v>14.654</v>
      </c>
      <c r="H34" s="62">
        <f>+H8/H3</f>
        <v>14.654</v>
      </c>
      <c r="I34" s="77"/>
      <c r="AJ34" s="60" t="s">
        <v>78</v>
      </c>
      <c r="AK34" s="60" t="s">
        <v>82</v>
      </c>
    </row>
    <row r="35" spans="1:37" s="56" customFormat="1" ht="15.75" hidden="1" customHeight="1">
      <c r="A35" s="60" t="s">
        <v>28</v>
      </c>
      <c r="B35" s="68" t="s">
        <v>83</v>
      </c>
      <c r="C35" s="62">
        <f>+C9/C3</f>
        <v>7.3780000000000001</v>
      </c>
      <c r="D35" s="62">
        <f t="shared" ref="D35:G35" si="12">+D9/D3</f>
        <v>7.3780000000000001</v>
      </c>
      <c r="E35" s="62">
        <f t="shared" si="12"/>
        <v>7.3780000000000001</v>
      </c>
      <c r="F35" s="62">
        <f t="shared" si="12"/>
        <v>7.3780000000000001</v>
      </c>
      <c r="G35" s="62">
        <f t="shared" si="12"/>
        <v>7.3780000000000001</v>
      </c>
      <c r="H35" s="62">
        <f>+H9/H3</f>
        <v>7.3780000000000001</v>
      </c>
      <c r="I35" s="77"/>
      <c r="AJ35" s="60" t="s">
        <v>31</v>
      </c>
      <c r="AK35" s="60" t="s">
        <v>83</v>
      </c>
    </row>
    <row r="36" spans="1:37" s="56" customFormat="1" ht="15.75" hidden="1" customHeight="1">
      <c r="A36" s="60" t="s">
        <v>78</v>
      </c>
      <c r="B36" s="68" t="s">
        <v>84</v>
      </c>
      <c r="C36" s="62">
        <f>+C10/C3</f>
        <v>10.88</v>
      </c>
      <c r="D36" s="62">
        <f t="shared" ref="D36:G36" si="13">+D10/D3</f>
        <v>10.88</v>
      </c>
      <c r="E36" s="62">
        <f t="shared" si="13"/>
        <v>10.88</v>
      </c>
      <c r="F36" s="62">
        <f t="shared" si="13"/>
        <v>10.88</v>
      </c>
      <c r="G36" s="62">
        <f t="shared" si="13"/>
        <v>10.88</v>
      </c>
      <c r="H36" s="62">
        <f>+H10/H3</f>
        <v>10.880000000000003</v>
      </c>
      <c r="I36" s="77"/>
      <c r="AJ36" s="60" t="s">
        <v>37</v>
      </c>
      <c r="AK36" s="60" t="s">
        <v>84</v>
      </c>
    </row>
    <row r="37" spans="1:37" s="56" customFormat="1" ht="15.75" hidden="1" customHeight="1">
      <c r="A37" s="60" t="s">
        <v>85</v>
      </c>
      <c r="B37" s="126" t="s">
        <v>86</v>
      </c>
      <c r="C37" s="62"/>
      <c r="D37" s="62"/>
      <c r="E37" s="62"/>
      <c r="F37" s="62"/>
      <c r="G37" s="62"/>
      <c r="H37" s="62"/>
      <c r="I37" s="77"/>
      <c r="AJ37" s="60" t="s">
        <v>85</v>
      </c>
      <c r="AK37" s="63" t="s">
        <v>86</v>
      </c>
    </row>
    <row r="38" spans="1:37" s="56" customFormat="1" ht="15.75" hidden="1" customHeight="1">
      <c r="A38" s="60" t="s">
        <v>26</v>
      </c>
      <c r="B38" s="68" t="s">
        <v>87</v>
      </c>
      <c r="C38" s="62">
        <f>+C12/C3</f>
        <v>-55.266999999999975</v>
      </c>
      <c r="D38" s="62">
        <f t="shared" ref="D38:G38" si="14">+D12/D3</f>
        <v>-55.266999999999975</v>
      </c>
      <c r="E38" s="62">
        <f t="shared" si="14"/>
        <v>-55.266999999999975</v>
      </c>
      <c r="F38" s="62">
        <f t="shared" si="14"/>
        <v>-55.266999999999975</v>
      </c>
      <c r="G38" s="62">
        <f t="shared" si="14"/>
        <v>-55.266999999999975</v>
      </c>
      <c r="H38" s="62">
        <f>+H12/H3</f>
        <v>-55.267000000000003</v>
      </c>
      <c r="I38" s="77"/>
      <c r="AJ38" s="60" t="s">
        <v>26</v>
      </c>
      <c r="AK38" s="60" t="s">
        <v>88</v>
      </c>
    </row>
    <row r="39" spans="1:37" s="56" customFormat="1" ht="15.75" hidden="1" customHeight="1">
      <c r="A39" s="60" t="s">
        <v>28</v>
      </c>
      <c r="B39" s="68" t="s">
        <v>89</v>
      </c>
      <c r="C39" s="121">
        <f t="shared" ref="C39:G39" si="15">+C20/C38</f>
        <v>-8676.0634736823104</v>
      </c>
      <c r="D39" s="121">
        <f t="shared" si="15"/>
        <v>-8676.0634736823104</v>
      </c>
      <c r="E39" s="121">
        <f t="shared" si="15"/>
        <v>-8676.0634736823104</v>
      </c>
      <c r="F39" s="121">
        <f t="shared" si="15"/>
        <v>-8676.0634736823104</v>
      </c>
      <c r="G39" s="121">
        <f t="shared" si="15"/>
        <v>-8676.0634736823104</v>
      </c>
      <c r="H39" s="121">
        <f t="shared" ref="H39" si="16">+H20/H38</f>
        <v>-43380.317368411525</v>
      </c>
      <c r="I39" s="77"/>
      <c r="AJ39" s="60" t="s">
        <v>28</v>
      </c>
      <c r="AK39" s="60" t="s">
        <v>89</v>
      </c>
    </row>
    <row r="40" spans="1:37" s="56" customFormat="1" ht="15.75" hidden="1" customHeight="1">
      <c r="A40" s="60" t="s">
        <v>90</v>
      </c>
      <c r="B40" s="63" t="s">
        <v>91</v>
      </c>
      <c r="C40" s="67"/>
      <c r="D40" s="67"/>
      <c r="E40" s="67"/>
      <c r="F40" s="67"/>
      <c r="G40" s="67"/>
      <c r="H40" s="67"/>
      <c r="I40" s="77"/>
      <c r="AJ40" s="60" t="s">
        <v>90</v>
      </c>
      <c r="AK40" s="63" t="s">
        <v>91</v>
      </c>
    </row>
    <row r="41" spans="1:37" s="56" customFormat="1" ht="15.75" hidden="1" customHeight="1">
      <c r="A41" s="60" t="s">
        <v>26</v>
      </c>
      <c r="B41" s="60" t="s">
        <v>92</v>
      </c>
      <c r="C41" s="67">
        <f>+C14/C3</f>
        <v>0.23749999999999999</v>
      </c>
      <c r="D41" s="67">
        <f t="shared" ref="D41:G41" si="17">+D14/D3</f>
        <v>0.23749999999999999</v>
      </c>
      <c r="E41" s="67">
        <f t="shared" si="17"/>
        <v>0.23749999999999999</v>
      </c>
      <c r="F41" s="67">
        <f t="shared" si="17"/>
        <v>0.23749999999999999</v>
      </c>
      <c r="G41" s="67">
        <f t="shared" si="17"/>
        <v>0.23749999999999999</v>
      </c>
      <c r="H41" s="67">
        <f>+H14/H3</f>
        <v>0.23749999999999999</v>
      </c>
      <c r="I41" s="77"/>
      <c r="AJ41" s="60" t="s">
        <v>26</v>
      </c>
      <c r="AK41" s="60" t="s">
        <v>92</v>
      </c>
    </row>
    <row r="42" spans="1:37" s="56" customFormat="1" ht="15.75" hidden="1" customHeight="1">
      <c r="A42" s="60" t="s">
        <v>28</v>
      </c>
      <c r="B42" s="60" t="s">
        <v>93</v>
      </c>
      <c r="C42" s="67">
        <f>+C16/C3</f>
        <v>0</v>
      </c>
      <c r="D42" s="67">
        <f t="shared" ref="D42:G42" si="18">+D16/D3</f>
        <v>0</v>
      </c>
      <c r="E42" s="67">
        <f t="shared" si="18"/>
        <v>0</v>
      </c>
      <c r="F42" s="67">
        <f t="shared" si="18"/>
        <v>0</v>
      </c>
      <c r="G42" s="67">
        <f t="shared" si="18"/>
        <v>0</v>
      </c>
      <c r="H42" s="67">
        <f>+H16/H3</f>
        <v>0</v>
      </c>
      <c r="I42" s="77"/>
      <c r="AJ42" s="60" t="s">
        <v>28</v>
      </c>
      <c r="AK42" s="60" t="s">
        <v>93</v>
      </c>
    </row>
    <row r="43" spans="1:37" s="56" customFormat="1" ht="15.75" hidden="1" customHeight="1">
      <c r="A43" s="60" t="s">
        <v>78</v>
      </c>
      <c r="B43" s="60" t="s">
        <v>94</v>
      </c>
      <c r="C43" s="67">
        <f>+C17/C3</f>
        <v>0</v>
      </c>
      <c r="D43" s="67">
        <f t="shared" ref="D43:G43" si="19">+D17/D3</f>
        <v>0</v>
      </c>
      <c r="E43" s="67">
        <f t="shared" si="19"/>
        <v>0</v>
      </c>
      <c r="F43" s="67">
        <f t="shared" si="19"/>
        <v>0</v>
      </c>
      <c r="G43" s="67">
        <f t="shared" si="19"/>
        <v>0</v>
      </c>
      <c r="H43" s="67">
        <f>+H17/H3</f>
        <v>0</v>
      </c>
      <c r="I43" s="77"/>
      <c r="AJ43" s="60" t="s">
        <v>78</v>
      </c>
      <c r="AK43" s="60" t="s">
        <v>94</v>
      </c>
    </row>
    <row r="44" spans="1:37" s="56" customFormat="1" ht="15.75" hidden="1" customHeight="1">
      <c r="A44" s="60" t="s">
        <v>31</v>
      </c>
      <c r="B44" s="60" t="s">
        <v>95</v>
      </c>
      <c r="C44" s="67"/>
      <c r="D44" s="67"/>
      <c r="E44" s="67"/>
      <c r="F44" s="67"/>
      <c r="G44" s="67"/>
      <c r="H44" s="67"/>
      <c r="I44" s="77"/>
      <c r="AJ44" s="60" t="s">
        <v>31</v>
      </c>
      <c r="AK44" s="60" t="s">
        <v>96</v>
      </c>
    </row>
    <row r="45" spans="1:37" s="56" customFormat="1" ht="15.75" hidden="1" customHeight="1">
      <c r="A45" s="60" t="s">
        <v>34</v>
      </c>
      <c r="B45" s="60" t="s">
        <v>97</v>
      </c>
      <c r="C45" s="67"/>
      <c r="D45" s="67"/>
      <c r="E45" s="67"/>
      <c r="F45" s="67"/>
      <c r="G45" s="67"/>
      <c r="H45" s="67"/>
      <c r="I45" s="77"/>
      <c r="AJ45" s="60" t="s">
        <v>34</v>
      </c>
      <c r="AK45" s="60" t="s">
        <v>97</v>
      </c>
    </row>
    <row r="46" spans="1:37" s="56" customFormat="1" ht="15.75" hidden="1" customHeight="1">
      <c r="A46" s="60" t="s">
        <v>98</v>
      </c>
      <c r="B46" s="63" t="s">
        <v>99</v>
      </c>
      <c r="C46" s="67"/>
      <c r="D46" s="67"/>
      <c r="E46" s="67"/>
      <c r="F46" s="67"/>
      <c r="G46" s="67"/>
      <c r="H46" s="67"/>
      <c r="I46" s="77"/>
      <c r="AJ46" s="60" t="s">
        <v>98</v>
      </c>
      <c r="AK46" s="63" t="s">
        <v>99</v>
      </c>
    </row>
    <row r="47" spans="1:37" s="56" customFormat="1" ht="15.75" hidden="1" customHeight="1">
      <c r="A47" s="60" t="s">
        <v>26</v>
      </c>
      <c r="B47" s="60" t="s">
        <v>100</v>
      </c>
      <c r="C47" s="137">
        <f>+(C10+C16)/C6</f>
        <v>3.2000000000000008E-2</v>
      </c>
      <c r="D47" s="137">
        <f t="shared" ref="D47:G47" si="20">+(D10+D16)/D6</f>
        <v>3.2000000000000008E-2</v>
      </c>
      <c r="E47" s="137">
        <f t="shared" si="20"/>
        <v>3.2000000000000008E-2</v>
      </c>
      <c r="F47" s="137">
        <f t="shared" si="20"/>
        <v>3.2000000000000008E-2</v>
      </c>
      <c r="G47" s="137">
        <f t="shared" si="20"/>
        <v>3.2000000000000008E-2</v>
      </c>
      <c r="H47" s="137">
        <f>+(H10+H16)/H6</f>
        <v>3.2000000000000008E-2</v>
      </c>
      <c r="I47" s="77"/>
      <c r="AJ47" s="60" t="s">
        <v>26</v>
      </c>
      <c r="AK47" s="60" t="s">
        <v>100</v>
      </c>
    </row>
    <row r="48" spans="1:37" s="56" customFormat="1" ht="15.75" hidden="1" customHeight="1">
      <c r="A48" s="60" t="s">
        <v>28</v>
      </c>
      <c r="B48" s="60" t="s">
        <v>101</v>
      </c>
      <c r="C48" s="137">
        <f>+(C8+C9+C14)/C6</f>
        <v>6.5498529411764705E-2</v>
      </c>
      <c r="D48" s="137">
        <f t="shared" ref="D48:G48" si="21">+(D8+D9+D14)/D6</f>
        <v>6.5498529411764705E-2</v>
      </c>
      <c r="E48" s="137">
        <f t="shared" si="21"/>
        <v>6.5498529411764705E-2</v>
      </c>
      <c r="F48" s="137">
        <f t="shared" si="21"/>
        <v>6.5498529411764705E-2</v>
      </c>
      <c r="G48" s="137">
        <f t="shared" si="21"/>
        <v>6.5498529411764705E-2</v>
      </c>
      <c r="H48" s="137">
        <f>+(H8+H9+H14)/H6</f>
        <v>6.5498529411764705E-2</v>
      </c>
      <c r="I48" s="77"/>
      <c r="AJ48" s="60" t="s">
        <v>28</v>
      </c>
      <c r="AK48" s="60" t="s">
        <v>101</v>
      </c>
    </row>
    <row r="49" spans="1:37" s="56" customFormat="1" ht="15.75" hidden="1" customHeight="1">
      <c r="A49" s="60" t="s">
        <v>78</v>
      </c>
      <c r="B49" s="60" t="s">
        <v>102</v>
      </c>
      <c r="C49" s="137">
        <f>+C17/C6</f>
        <v>0</v>
      </c>
      <c r="D49" s="137">
        <f t="shared" ref="D49:G49" si="22">+D17/D6</f>
        <v>0</v>
      </c>
      <c r="E49" s="137">
        <f t="shared" si="22"/>
        <v>0</v>
      </c>
      <c r="F49" s="137">
        <f t="shared" si="22"/>
        <v>0</v>
      </c>
      <c r="G49" s="137">
        <f t="shared" si="22"/>
        <v>0</v>
      </c>
      <c r="H49" s="137">
        <f>+H17/H6</f>
        <v>0</v>
      </c>
      <c r="I49" s="77"/>
      <c r="AJ49" s="60" t="s">
        <v>78</v>
      </c>
      <c r="AK49" s="60" t="s">
        <v>102</v>
      </c>
    </row>
    <row r="50" spans="1:37" s="56" customFormat="1" ht="15.75" hidden="1" customHeight="1">
      <c r="A50" s="60" t="s">
        <v>31</v>
      </c>
      <c r="B50" s="60" t="s">
        <v>103</v>
      </c>
      <c r="C50" s="137">
        <f>+C18/C6</f>
        <v>4.5588235294117645E-3</v>
      </c>
      <c r="D50" s="137">
        <f t="shared" ref="D50:G50" si="23">+D18/D6</f>
        <v>4.5588235294117645E-3</v>
      </c>
      <c r="E50" s="137">
        <f t="shared" si="23"/>
        <v>4.5588235294117645E-3</v>
      </c>
      <c r="F50" s="137">
        <f t="shared" si="23"/>
        <v>4.5588235294117645E-3</v>
      </c>
      <c r="G50" s="137">
        <f t="shared" si="23"/>
        <v>4.5588235294117645E-3</v>
      </c>
      <c r="H50" s="137">
        <f>+H18/H6</f>
        <v>4.5588235294117645E-3</v>
      </c>
      <c r="I50" s="77"/>
      <c r="AJ50" s="60" t="s">
        <v>31</v>
      </c>
      <c r="AK50" s="60" t="s">
        <v>103</v>
      </c>
    </row>
    <row r="51" spans="1:37" s="56" customFormat="1" ht="15.75" hidden="1" customHeight="1">
      <c r="A51" s="60" t="s">
        <v>34</v>
      </c>
      <c r="B51" s="60" t="s">
        <v>104</v>
      </c>
      <c r="C51" s="137">
        <f>+C19/C6</f>
        <v>0.03</v>
      </c>
      <c r="D51" s="137">
        <f t="shared" ref="D51:G51" si="24">+D19/D6</f>
        <v>0.03</v>
      </c>
      <c r="E51" s="137">
        <f t="shared" si="24"/>
        <v>0.03</v>
      </c>
      <c r="F51" s="137">
        <f t="shared" si="24"/>
        <v>0.03</v>
      </c>
      <c r="G51" s="137">
        <f t="shared" si="24"/>
        <v>0.03</v>
      </c>
      <c r="H51" s="137">
        <f>+H19/H6</f>
        <v>0.03</v>
      </c>
      <c r="I51" s="77"/>
      <c r="AJ51" s="60" t="s">
        <v>34</v>
      </c>
      <c r="AK51" s="60" t="s">
        <v>104</v>
      </c>
    </row>
    <row r="52" spans="1:37" s="56" customFormat="1" ht="15.75" hidden="1" customHeight="1">
      <c r="A52" s="60" t="s">
        <v>37</v>
      </c>
      <c r="B52" s="60" t="s">
        <v>105</v>
      </c>
      <c r="C52" s="137">
        <f>+C23/C6</f>
        <v>-0.19780735294117641</v>
      </c>
      <c r="D52" s="137">
        <f t="shared" ref="D52:G52" si="25">+D23/D6</f>
        <v>-0.19780735294117641</v>
      </c>
      <c r="E52" s="137">
        <f t="shared" si="25"/>
        <v>-0.19780735294117641</v>
      </c>
      <c r="F52" s="137">
        <f t="shared" si="25"/>
        <v>-0.19780735294117641</v>
      </c>
      <c r="G52" s="137">
        <f t="shared" si="25"/>
        <v>-0.19780735294117641</v>
      </c>
      <c r="H52" s="137">
        <f>+H23/H6</f>
        <v>-0.19780735294117646</v>
      </c>
      <c r="I52" s="77"/>
      <c r="AJ52" s="60" t="s">
        <v>37</v>
      </c>
      <c r="AK52" s="60" t="s">
        <v>106</v>
      </c>
    </row>
    <row r="53" spans="1:37" s="56" customFormat="1" ht="15.75" hidden="1" customHeight="1">
      <c r="A53" s="60" t="s">
        <v>107</v>
      </c>
      <c r="B53" s="63" t="s">
        <v>108</v>
      </c>
      <c r="C53" s="67">
        <f>+C21/C3</f>
        <v>-67.254499999999979</v>
      </c>
      <c r="D53" s="67">
        <f t="shared" ref="D53:G53" si="26">+D21/D3</f>
        <v>-67.254499999999979</v>
      </c>
      <c r="E53" s="67">
        <f t="shared" si="26"/>
        <v>-67.254499999999979</v>
      </c>
      <c r="F53" s="67">
        <f t="shared" si="26"/>
        <v>-67.254499999999979</v>
      </c>
      <c r="G53" s="67">
        <f t="shared" si="26"/>
        <v>-67.254499999999979</v>
      </c>
      <c r="H53" s="67">
        <f>+H21/H3</f>
        <v>-67.254499999999993</v>
      </c>
      <c r="I53" s="77"/>
      <c r="AJ53" s="60" t="s">
        <v>107</v>
      </c>
      <c r="AK53" s="63" t="s">
        <v>108</v>
      </c>
    </row>
    <row r="54" spans="1:37" s="56" customFormat="1" ht="15.75" hidden="1" customHeight="1">
      <c r="A54" s="60" t="s">
        <v>109</v>
      </c>
      <c r="B54" s="138" t="s">
        <v>110</v>
      </c>
      <c r="C54" s="67"/>
      <c r="D54" s="67"/>
      <c r="E54" s="67"/>
      <c r="F54" s="67"/>
      <c r="G54" s="67"/>
      <c r="H54" s="67"/>
      <c r="I54" s="77"/>
      <c r="AJ54" s="60"/>
      <c r="AK54" s="63"/>
    </row>
    <row r="55" spans="1:37" s="56" customFormat="1" ht="15.75" hidden="1" customHeight="1">
      <c r="A55" s="60" t="s">
        <v>26</v>
      </c>
      <c r="B55" s="60" t="s">
        <v>111</v>
      </c>
      <c r="C55" s="67">
        <f>C56+C57</f>
        <v>360000</v>
      </c>
      <c r="D55" s="67"/>
      <c r="E55" s="67"/>
      <c r="F55" s="67"/>
      <c r="G55" s="67"/>
      <c r="H55" s="67"/>
      <c r="I55" s="77"/>
    </row>
    <row r="56" spans="1:37" s="56" customFormat="1" ht="15.75" hidden="1" customHeight="1">
      <c r="A56" s="60">
        <v>1.1000000000000001</v>
      </c>
      <c r="B56" s="139" t="s">
        <v>112</v>
      </c>
      <c r="C56" s="67">
        <f>项目投资!B27</f>
        <v>310000</v>
      </c>
      <c r="D56" s="67"/>
      <c r="E56" s="67"/>
      <c r="F56" s="67"/>
      <c r="G56" s="67"/>
      <c r="H56" s="67"/>
      <c r="I56" s="77"/>
    </row>
    <row r="57" spans="1:37" s="56" customFormat="1" ht="15.75" hidden="1" customHeight="1">
      <c r="A57" s="60">
        <v>1.2</v>
      </c>
      <c r="B57" s="60" t="s">
        <v>113</v>
      </c>
      <c r="C57" s="67">
        <f>项目投资!B26</f>
        <v>50000</v>
      </c>
      <c r="D57" s="67"/>
      <c r="E57" s="67"/>
      <c r="F57" s="67"/>
      <c r="G57" s="67"/>
      <c r="H57" s="67"/>
      <c r="I57" s="77"/>
    </row>
    <row r="58" spans="1:37" ht="15.75" hidden="1" customHeight="1">
      <c r="A58" s="127" t="s">
        <v>28</v>
      </c>
      <c r="B58" s="127" t="s">
        <v>114</v>
      </c>
      <c r="C58" s="140">
        <f t="shared" ref="C58:G58" si="27">C59+C60</f>
        <v>-2680679.9999999991</v>
      </c>
      <c r="D58" s="140">
        <f t="shared" si="27"/>
        <v>-2680679.9999999991</v>
      </c>
      <c r="E58" s="140">
        <f t="shared" si="27"/>
        <v>-2680679.9999999991</v>
      </c>
      <c r="F58" s="140">
        <f t="shared" si="27"/>
        <v>-2680679.9999999991</v>
      </c>
      <c r="G58" s="140">
        <f t="shared" si="27"/>
        <v>-2680679.9999999991</v>
      </c>
      <c r="H58" s="140">
        <f t="shared" ref="H58" si="28">H59+H60</f>
        <v>-13403400</v>
      </c>
      <c r="I58" s="77"/>
    </row>
    <row r="59" spans="1:37" ht="15.75" hidden="1" customHeight="1">
      <c r="A59" s="127" t="s">
        <v>78</v>
      </c>
      <c r="B59" s="127" t="s">
        <v>115</v>
      </c>
      <c r="C59" s="140">
        <f t="shared" ref="C59:G59" si="29">C23</f>
        <v>-2690179.9999999991</v>
      </c>
      <c r="D59" s="140">
        <f t="shared" si="29"/>
        <v>-2690179.9999999991</v>
      </c>
      <c r="E59" s="140">
        <f t="shared" si="29"/>
        <v>-2690179.9999999991</v>
      </c>
      <c r="F59" s="140">
        <f t="shared" si="29"/>
        <v>-2690179.9999999991</v>
      </c>
      <c r="G59" s="140">
        <f t="shared" si="29"/>
        <v>-2690179.9999999991</v>
      </c>
      <c r="H59" s="140">
        <f t="shared" ref="H59" si="30">H23</f>
        <v>-13450900</v>
      </c>
      <c r="I59" s="77"/>
    </row>
    <row r="60" spans="1:37" ht="15.75" hidden="1" customHeight="1">
      <c r="A60" s="127" t="s">
        <v>31</v>
      </c>
      <c r="B60" s="127" t="s">
        <v>116</v>
      </c>
      <c r="C60" s="140">
        <f>'2022年'!L18</f>
        <v>9500</v>
      </c>
      <c r="D60" s="140">
        <f>'2023年'!L18</f>
        <v>9500</v>
      </c>
      <c r="E60" s="140">
        <f>'2024年'!L18</f>
        <v>9500</v>
      </c>
      <c r="F60" s="140">
        <f>'2025年'!H18</f>
        <v>9500</v>
      </c>
      <c r="G60" s="140">
        <f>'2026年'!H18</f>
        <v>9500</v>
      </c>
      <c r="H60" s="140">
        <f>项目投资!I26</f>
        <v>47500</v>
      </c>
      <c r="I60" s="77"/>
    </row>
    <row r="61" spans="1:37" ht="15.75" hidden="1" customHeight="1">
      <c r="A61" s="127" t="s">
        <v>34</v>
      </c>
      <c r="B61" s="127" t="s">
        <v>117</v>
      </c>
      <c r="C61" s="141"/>
      <c r="D61" s="141"/>
      <c r="E61" s="141"/>
      <c r="F61" s="141"/>
      <c r="G61" s="141"/>
      <c r="H61" s="140"/>
      <c r="I61" s="77"/>
    </row>
    <row r="63" spans="1:37" hidden="1"/>
    <row r="64" spans="1:37" ht="16.5" customHeight="1">
      <c r="A64" s="190"/>
      <c r="B64" s="207" t="s">
        <v>291</v>
      </c>
      <c r="C64" s="207"/>
      <c r="D64" s="207"/>
      <c r="E64" s="207"/>
      <c r="F64" s="207"/>
      <c r="G64" s="207"/>
      <c r="H64" s="207"/>
    </row>
    <row r="65" spans="1:8">
      <c r="A65" s="190"/>
      <c r="B65" s="207"/>
      <c r="C65" s="207"/>
      <c r="D65" s="207"/>
      <c r="E65" s="207"/>
      <c r="F65" s="207"/>
      <c r="G65" s="207"/>
      <c r="H65" s="207"/>
    </row>
  </sheetData>
  <mergeCells count="3">
    <mergeCell ref="A1:H1"/>
    <mergeCell ref="A2:A3"/>
    <mergeCell ref="B64:H65"/>
  </mergeCells>
  <phoneticPr fontId="39" type="noConversion"/>
  <pageMargins left="0.7" right="0.7" top="0.75" bottom="0.75" header="0.3" footer="0.3"/>
  <pageSetup paperSize="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81" customWidth="1"/>
    <col min="2" max="2" width="28.5" style="81" customWidth="1"/>
    <col min="3" max="4" width="9.125" style="81"/>
    <col min="5" max="5" width="13.875" style="81" customWidth="1"/>
    <col min="6" max="12" width="16.125" style="81" customWidth="1"/>
    <col min="13" max="13" width="10.625" style="81" customWidth="1"/>
    <col min="14" max="254" width="9.125" style="81"/>
    <col min="255" max="255" width="8" style="81" customWidth="1"/>
    <col min="256" max="256" width="28.5" style="81" customWidth="1"/>
    <col min="257" max="268" width="9.125" style="81"/>
    <col min="269" max="269" width="10.625" style="81" customWidth="1"/>
    <col min="270" max="510" width="9.125" style="81"/>
    <col min="511" max="511" width="8" style="81" customWidth="1"/>
    <col min="512" max="512" width="28.5" style="81" customWidth="1"/>
    <col min="513" max="524" width="9.125" style="81"/>
    <col min="525" max="525" width="10.625" style="81" customWidth="1"/>
    <col min="526" max="766" width="9.125" style="81"/>
    <col min="767" max="767" width="8" style="81" customWidth="1"/>
    <col min="768" max="768" width="28.5" style="81" customWidth="1"/>
    <col min="769" max="780" width="9.125" style="81"/>
    <col min="781" max="781" width="10.625" style="81" customWidth="1"/>
    <col min="782" max="1022" width="9.125" style="81"/>
    <col min="1023" max="1023" width="8" style="81" customWidth="1"/>
    <col min="1024" max="1024" width="28.5" style="81" customWidth="1"/>
    <col min="1025" max="1036" width="9.125" style="81"/>
    <col min="1037" max="1037" width="10.625" style="81" customWidth="1"/>
    <col min="1038" max="1278" width="9.125" style="81"/>
    <col min="1279" max="1279" width="8" style="81" customWidth="1"/>
    <col min="1280" max="1280" width="28.5" style="81" customWidth="1"/>
    <col min="1281" max="1292" width="9.125" style="81"/>
    <col min="1293" max="1293" width="10.625" style="81" customWidth="1"/>
    <col min="1294" max="1534" width="9.125" style="81"/>
    <col min="1535" max="1535" width="8" style="81" customWidth="1"/>
    <col min="1536" max="1536" width="28.5" style="81" customWidth="1"/>
    <col min="1537" max="1548" width="9.125" style="81"/>
    <col min="1549" max="1549" width="10.625" style="81" customWidth="1"/>
    <col min="1550" max="1790" width="9.125" style="81"/>
    <col min="1791" max="1791" width="8" style="81" customWidth="1"/>
    <col min="1792" max="1792" width="28.5" style="81" customWidth="1"/>
    <col min="1793" max="1804" width="9.125" style="81"/>
    <col min="1805" max="1805" width="10.625" style="81" customWidth="1"/>
    <col min="1806" max="2046" width="9.125" style="81"/>
    <col min="2047" max="2047" width="8" style="81" customWidth="1"/>
    <col min="2048" max="2048" width="28.5" style="81" customWidth="1"/>
    <col min="2049" max="2060" width="9.125" style="81"/>
    <col min="2061" max="2061" width="10.625" style="81" customWidth="1"/>
    <col min="2062" max="2302" width="9.125" style="81"/>
    <col min="2303" max="2303" width="8" style="81" customWidth="1"/>
    <col min="2304" max="2304" width="28.5" style="81" customWidth="1"/>
    <col min="2305" max="2316" width="9.125" style="81"/>
    <col min="2317" max="2317" width="10.625" style="81" customWidth="1"/>
    <col min="2318" max="2558" width="9.125" style="81"/>
    <col min="2559" max="2559" width="8" style="81" customWidth="1"/>
    <col min="2560" max="2560" width="28.5" style="81" customWidth="1"/>
    <col min="2561" max="2572" width="9.125" style="81"/>
    <col min="2573" max="2573" width="10.625" style="81" customWidth="1"/>
    <col min="2574" max="2814" width="9.125" style="81"/>
    <col min="2815" max="2815" width="8" style="81" customWidth="1"/>
    <col min="2816" max="2816" width="28.5" style="81" customWidth="1"/>
    <col min="2817" max="2828" width="9.125" style="81"/>
    <col min="2829" max="2829" width="10.625" style="81" customWidth="1"/>
    <col min="2830" max="3070" width="9.125" style="81"/>
    <col min="3071" max="3071" width="8" style="81" customWidth="1"/>
    <col min="3072" max="3072" width="28.5" style="81" customWidth="1"/>
    <col min="3073" max="3084" width="9.125" style="81"/>
    <col min="3085" max="3085" width="10.625" style="81" customWidth="1"/>
    <col min="3086" max="3326" width="9.125" style="81"/>
    <col min="3327" max="3327" width="8" style="81" customWidth="1"/>
    <col min="3328" max="3328" width="28.5" style="81" customWidth="1"/>
    <col min="3329" max="3340" width="9.125" style="81"/>
    <col min="3341" max="3341" width="10.625" style="81" customWidth="1"/>
    <col min="3342" max="3582" width="9.125" style="81"/>
    <col min="3583" max="3583" width="8" style="81" customWidth="1"/>
    <col min="3584" max="3584" width="28.5" style="81" customWidth="1"/>
    <col min="3585" max="3596" width="9.125" style="81"/>
    <col min="3597" max="3597" width="10.625" style="81" customWidth="1"/>
    <col min="3598" max="3838" width="9.125" style="81"/>
    <col min="3839" max="3839" width="8" style="81" customWidth="1"/>
    <col min="3840" max="3840" width="28.5" style="81" customWidth="1"/>
    <col min="3841" max="3852" width="9.125" style="81"/>
    <col min="3853" max="3853" width="10.625" style="81" customWidth="1"/>
    <col min="3854" max="4094" width="9.125" style="81"/>
    <col min="4095" max="4095" width="8" style="81" customWidth="1"/>
    <col min="4096" max="4096" width="28.5" style="81" customWidth="1"/>
    <col min="4097" max="4108" width="9.125" style="81"/>
    <col min="4109" max="4109" width="10.625" style="81" customWidth="1"/>
    <col min="4110" max="4350" width="9.125" style="81"/>
    <col min="4351" max="4351" width="8" style="81" customWidth="1"/>
    <col min="4352" max="4352" width="28.5" style="81" customWidth="1"/>
    <col min="4353" max="4364" width="9.125" style="81"/>
    <col min="4365" max="4365" width="10.625" style="81" customWidth="1"/>
    <col min="4366" max="4606" width="9.125" style="81"/>
    <col min="4607" max="4607" width="8" style="81" customWidth="1"/>
    <col min="4608" max="4608" width="28.5" style="81" customWidth="1"/>
    <col min="4609" max="4620" width="9.125" style="81"/>
    <col min="4621" max="4621" width="10.625" style="81" customWidth="1"/>
    <col min="4622" max="4862" width="9.125" style="81"/>
    <col min="4863" max="4863" width="8" style="81" customWidth="1"/>
    <col min="4864" max="4864" width="28.5" style="81" customWidth="1"/>
    <col min="4865" max="4876" width="9.125" style="81"/>
    <col min="4877" max="4877" width="10.625" style="81" customWidth="1"/>
    <col min="4878" max="5118" width="9.125" style="81"/>
    <col min="5119" max="5119" width="8" style="81" customWidth="1"/>
    <col min="5120" max="5120" width="28.5" style="81" customWidth="1"/>
    <col min="5121" max="5132" width="9.125" style="81"/>
    <col min="5133" max="5133" width="10.625" style="81" customWidth="1"/>
    <col min="5134" max="5374" width="9.125" style="81"/>
    <col min="5375" max="5375" width="8" style="81" customWidth="1"/>
    <col min="5376" max="5376" width="28.5" style="81" customWidth="1"/>
    <col min="5377" max="5388" width="9.125" style="81"/>
    <col min="5389" max="5389" width="10.625" style="81" customWidth="1"/>
    <col min="5390" max="5630" width="9.125" style="81"/>
    <col min="5631" max="5631" width="8" style="81" customWidth="1"/>
    <col min="5632" max="5632" width="28.5" style="81" customWidth="1"/>
    <col min="5633" max="5644" width="9.125" style="81"/>
    <col min="5645" max="5645" width="10.625" style="81" customWidth="1"/>
    <col min="5646" max="5886" width="9.125" style="81"/>
    <col min="5887" max="5887" width="8" style="81" customWidth="1"/>
    <col min="5888" max="5888" width="28.5" style="81" customWidth="1"/>
    <col min="5889" max="5900" width="9.125" style="81"/>
    <col min="5901" max="5901" width="10.625" style="81" customWidth="1"/>
    <col min="5902" max="6142" width="9.125" style="81"/>
    <col min="6143" max="6143" width="8" style="81" customWidth="1"/>
    <col min="6144" max="6144" width="28.5" style="81" customWidth="1"/>
    <col min="6145" max="6156" width="9.125" style="81"/>
    <col min="6157" max="6157" width="10.625" style="81" customWidth="1"/>
    <col min="6158" max="6398" width="9.125" style="81"/>
    <col min="6399" max="6399" width="8" style="81" customWidth="1"/>
    <col min="6400" max="6400" width="28.5" style="81" customWidth="1"/>
    <col min="6401" max="6412" width="9.125" style="81"/>
    <col min="6413" max="6413" width="10.625" style="81" customWidth="1"/>
    <col min="6414" max="6654" width="9.125" style="81"/>
    <col min="6655" max="6655" width="8" style="81" customWidth="1"/>
    <col min="6656" max="6656" width="28.5" style="81" customWidth="1"/>
    <col min="6657" max="6668" width="9.125" style="81"/>
    <col min="6669" max="6669" width="10.625" style="81" customWidth="1"/>
    <col min="6670" max="6910" width="9.125" style="81"/>
    <col min="6911" max="6911" width="8" style="81" customWidth="1"/>
    <col min="6912" max="6912" width="28.5" style="81" customWidth="1"/>
    <col min="6913" max="6924" width="9.125" style="81"/>
    <col min="6925" max="6925" width="10.625" style="81" customWidth="1"/>
    <col min="6926" max="7166" width="9.125" style="81"/>
    <col min="7167" max="7167" width="8" style="81" customWidth="1"/>
    <col min="7168" max="7168" width="28.5" style="81" customWidth="1"/>
    <col min="7169" max="7180" width="9.125" style="81"/>
    <col min="7181" max="7181" width="10.625" style="81" customWidth="1"/>
    <col min="7182" max="7422" width="9.125" style="81"/>
    <col min="7423" max="7423" width="8" style="81" customWidth="1"/>
    <col min="7424" max="7424" width="28.5" style="81" customWidth="1"/>
    <col min="7425" max="7436" width="9.125" style="81"/>
    <col min="7437" max="7437" width="10.625" style="81" customWidth="1"/>
    <col min="7438" max="7678" width="9.125" style="81"/>
    <col min="7679" max="7679" width="8" style="81" customWidth="1"/>
    <col min="7680" max="7680" width="28.5" style="81" customWidth="1"/>
    <col min="7681" max="7692" width="9.125" style="81"/>
    <col min="7693" max="7693" width="10.625" style="81" customWidth="1"/>
    <col min="7694" max="7934" width="9.125" style="81"/>
    <col min="7935" max="7935" width="8" style="81" customWidth="1"/>
    <col min="7936" max="7936" width="28.5" style="81" customWidth="1"/>
    <col min="7937" max="7948" width="9.125" style="81"/>
    <col min="7949" max="7949" width="10.625" style="81" customWidth="1"/>
    <col min="7950" max="8190" width="9.125" style="81"/>
    <col min="8191" max="8191" width="8" style="81" customWidth="1"/>
    <col min="8192" max="8192" width="28.5" style="81" customWidth="1"/>
    <col min="8193" max="8204" width="9.125" style="81"/>
    <col min="8205" max="8205" width="10.625" style="81" customWidth="1"/>
    <col min="8206" max="8446" width="9.125" style="81"/>
    <col min="8447" max="8447" width="8" style="81" customWidth="1"/>
    <col min="8448" max="8448" width="28.5" style="81" customWidth="1"/>
    <col min="8449" max="8460" width="9.125" style="81"/>
    <col min="8461" max="8461" width="10.625" style="81" customWidth="1"/>
    <col min="8462" max="8702" width="9.125" style="81"/>
    <col min="8703" max="8703" width="8" style="81" customWidth="1"/>
    <col min="8704" max="8704" width="28.5" style="81" customWidth="1"/>
    <col min="8705" max="8716" width="9.125" style="81"/>
    <col min="8717" max="8717" width="10.625" style="81" customWidth="1"/>
    <col min="8718" max="8958" width="9.125" style="81"/>
    <col min="8959" max="8959" width="8" style="81" customWidth="1"/>
    <col min="8960" max="8960" width="28.5" style="81" customWidth="1"/>
    <col min="8961" max="8972" width="9.125" style="81"/>
    <col min="8973" max="8973" width="10.625" style="81" customWidth="1"/>
    <col min="8974" max="9214" width="9.125" style="81"/>
    <col min="9215" max="9215" width="8" style="81" customWidth="1"/>
    <col min="9216" max="9216" width="28.5" style="81" customWidth="1"/>
    <col min="9217" max="9228" width="9.125" style="81"/>
    <col min="9229" max="9229" width="10.625" style="81" customWidth="1"/>
    <col min="9230" max="9470" width="9.125" style="81"/>
    <col min="9471" max="9471" width="8" style="81" customWidth="1"/>
    <col min="9472" max="9472" width="28.5" style="81" customWidth="1"/>
    <col min="9473" max="9484" width="9.125" style="81"/>
    <col min="9485" max="9485" width="10.625" style="81" customWidth="1"/>
    <col min="9486" max="9726" width="9.125" style="81"/>
    <col min="9727" max="9727" width="8" style="81" customWidth="1"/>
    <col min="9728" max="9728" width="28.5" style="81" customWidth="1"/>
    <col min="9729" max="9740" width="9.125" style="81"/>
    <col min="9741" max="9741" width="10.625" style="81" customWidth="1"/>
    <col min="9742" max="9982" width="9.125" style="81"/>
    <col min="9983" max="9983" width="8" style="81" customWidth="1"/>
    <col min="9984" max="9984" width="28.5" style="81" customWidth="1"/>
    <col min="9985" max="9996" width="9.125" style="81"/>
    <col min="9997" max="9997" width="10.625" style="81" customWidth="1"/>
    <col min="9998" max="10238" width="9.125" style="81"/>
    <col min="10239" max="10239" width="8" style="81" customWidth="1"/>
    <col min="10240" max="10240" width="28.5" style="81" customWidth="1"/>
    <col min="10241" max="10252" width="9.125" style="81"/>
    <col min="10253" max="10253" width="10.625" style="81" customWidth="1"/>
    <col min="10254" max="10494" width="9.125" style="81"/>
    <col min="10495" max="10495" width="8" style="81" customWidth="1"/>
    <col min="10496" max="10496" width="28.5" style="81" customWidth="1"/>
    <col min="10497" max="10508" width="9.125" style="81"/>
    <col min="10509" max="10509" width="10.625" style="81" customWidth="1"/>
    <col min="10510" max="10750" width="9.125" style="81"/>
    <col min="10751" max="10751" width="8" style="81" customWidth="1"/>
    <col min="10752" max="10752" width="28.5" style="81" customWidth="1"/>
    <col min="10753" max="10764" width="9.125" style="81"/>
    <col min="10765" max="10765" width="10.625" style="81" customWidth="1"/>
    <col min="10766" max="11006" width="9.125" style="81"/>
    <col min="11007" max="11007" width="8" style="81" customWidth="1"/>
    <col min="11008" max="11008" width="28.5" style="81" customWidth="1"/>
    <col min="11009" max="11020" width="9.125" style="81"/>
    <col min="11021" max="11021" width="10.625" style="81" customWidth="1"/>
    <col min="11022" max="11262" width="9.125" style="81"/>
    <col min="11263" max="11263" width="8" style="81" customWidth="1"/>
    <col min="11264" max="11264" width="28.5" style="81" customWidth="1"/>
    <col min="11265" max="11276" width="9.125" style="81"/>
    <col min="11277" max="11277" width="10.625" style="81" customWidth="1"/>
    <col min="11278" max="11518" width="9.125" style="81"/>
    <col min="11519" max="11519" width="8" style="81" customWidth="1"/>
    <col min="11520" max="11520" width="28.5" style="81" customWidth="1"/>
    <col min="11521" max="11532" width="9.125" style="81"/>
    <col min="11533" max="11533" width="10.625" style="81" customWidth="1"/>
    <col min="11534" max="11774" width="9.125" style="81"/>
    <col min="11775" max="11775" width="8" style="81" customWidth="1"/>
    <col min="11776" max="11776" width="28.5" style="81" customWidth="1"/>
    <col min="11777" max="11788" width="9.125" style="81"/>
    <col min="11789" max="11789" width="10.625" style="81" customWidth="1"/>
    <col min="11790" max="12030" width="9.125" style="81"/>
    <col min="12031" max="12031" width="8" style="81" customWidth="1"/>
    <col min="12032" max="12032" width="28.5" style="81" customWidth="1"/>
    <col min="12033" max="12044" width="9.125" style="81"/>
    <col min="12045" max="12045" width="10.625" style="81" customWidth="1"/>
    <col min="12046" max="12286" width="9.125" style="81"/>
    <col min="12287" max="12287" width="8" style="81" customWidth="1"/>
    <col min="12288" max="12288" width="28.5" style="81" customWidth="1"/>
    <col min="12289" max="12300" width="9.125" style="81"/>
    <col min="12301" max="12301" width="10.625" style="81" customWidth="1"/>
    <col min="12302" max="12542" width="9.125" style="81"/>
    <col min="12543" max="12543" width="8" style="81" customWidth="1"/>
    <col min="12544" max="12544" width="28.5" style="81" customWidth="1"/>
    <col min="12545" max="12556" width="9.125" style="81"/>
    <col min="12557" max="12557" width="10.625" style="81" customWidth="1"/>
    <col min="12558" max="12798" width="9.125" style="81"/>
    <col min="12799" max="12799" width="8" style="81" customWidth="1"/>
    <col min="12800" max="12800" width="28.5" style="81" customWidth="1"/>
    <col min="12801" max="12812" width="9.125" style="81"/>
    <col min="12813" max="12813" width="10.625" style="81" customWidth="1"/>
    <col min="12814" max="13054" width="9.125" style="81"/>
    <col min="13055" max="13055" width="8" style="81" customWidth="1"/>
    <col min="13056" max="13056" width="28.5" style="81" customWidth="1"/>
    <col min="13057" max="13068" width="9.125" style="81"/>
    <col min="13069" max="13069" width="10.625" style="81" customWidth="1"/>
    <col min="13070" max="13310" width="9.125" style="81"/>
    <col min="13311" max="13311" width="8" style="81" customWidth="1"/>
    <col min="13312" max="13312" width="28.5" style="81" customWidth="1"/>
    <col min="13313" max="13324" width="9.125" style="81"/>
    <col min="13325" max="13325" width="10.625" style="81" customWidth="1"/>
    <col min="13326" max="13566" width="9.125" style="81"/>
    <col min="13567" max="13567" width="8" style="81" customWidth="1"/>
    <col min="13568" max="13568" width="28.5" style="81" customWidth="1"/>
    <col min="13569" max="13580" width="9.125" style="81"/>
    <col min="13581" max="13581" width="10.625" style="81" customWidth="1"/>
    <col min="13582" max="13822" width="9.125" style="81"/>
    <col min="13823" max="13823" width="8" style="81" customWidth="1"/>
    <col min="13824" max="13824" width="28.5" style="81" customWidth="1"/>
    <col min="13825" max="13836" width="9.125" style="81"/>
    <col min="13837" max="13837" width="10.625" style="81" customWidth="1"/>
    <col min="13838" max="14078" width="9.125" style="81"/>
    <col min="14079" max="14079" width="8" style="81" customWidth="1"/>
    <col min="14080" max="14080" width="28.5" style="81" customWidth="1"/>
    <col min="14081" max="14092" width="9.125" style="81"/>
    <col min="14093" max="14093" width="10.625" style="81" customWidth="1"/>
    <col min="14094" max="14334" width="9.125" style="81"/>
    <col min="14335" max="14335" width="8" style="81" customWidth="1"/>
    <col min="14336" max="14336" width="28.5" style="81" customWidth="1"/>
    <col min="14337" max="14348" width="9.125" style="81"/>
    <col min="14349" max="14349" width="10.625" style="81" customWidth="1"/>
    <col min="14350" max="14590" width="9.125" style="81"/>
    <col min="14591" max="14591" width="8" style="81" customWidth="1"/>
    <col min="14592" max="14592" width="28.5" style="81" customWidth="1"/>
    <col min="14593" max="14604" width="9.125" style="81"/>
    <col min="14605" max="14605" width="10.625" style="81" customWidth="1"/>
    <col min="14606" max="14846" width="9.125" style="81"/>
    <col min="14847" max="14847" width="8" style="81" customWidth="1"/>
    <col min="14848" max="14848" width="28.5" style="81" customWidth="1"/>
    <col min="14849" max="14860" width="9.125" style="81"/>
    <col min="14861" max="14861" width="10.625" style="81" customWidth="1"/>
    <col min="14862" max="15102" width="9.125" style="81"/>
    <col min="15103" max="15103" width="8" style="81" customWidth="1"/>
    <col min="15104" max="15104" width="28.5" style="81" customWidth="1"/>
    <col min="15105" max="15116" width="9.125" style="81"/>
    <col min="15117" max="15117" width="10.625" style="81" customWidth="1"/>
    <col min="15118" max="15358" width="9.125" style="81"/>
    <col min="15359" max="15359" width="8" style="81" customWidth="1"/>
    <col min="15360" max="15360" width="28.5" style="81" customWidth="1"/>
    <col min="15361" max="15372" width="9.125" style="81"/>
    <col min="15373" max="15373" width="10.625" style="81" customWidth="1"/>
    <col min="15374" max="15614" width="9.125" style="81"/>
    <col min="15615" max="15615" width="8" style="81" customWidth="1"/>
    <col min="15616" max="15616" width="28.5" style="81" customWidth="1"/>
    <col min="15617" max="15628" width="9.125" style="81"/>
    <col min="15629" max="15629" width="10.625" style="81" customWidth="1"/>
    <col min="15630" max="15870" width="9.125" style="81"/>
    <col min="15871" max="15871" width="8" style="81" customWidth="1"/>
    <col min="15872" max="15872" width="28.5" style="81" customWidth="1"/>
    <col min="15873" max="15884" width="9.125" style="81"/>
    <col min="15885" max="15885" width="10.625" style="81" customWidth="1"/>
    <col min="15886" max="16126" width="9.125" style="81"/>
    <col min="16127" max="16127" width="8" style="81" customWidth="1"/>
    <col min="16128" max="16128" width="28.5" style="81" customWidth="1"/>
    <col min="16129" max="16140" width="9.125" style="81"/>
    <col min="16141" max="16141" width="10.625" style="81" customWidth="1"/>
    <col min="16142" max="16384" width="9.125" style="81"/>
  </cols>
  <sheetData>
    <row r="1" spans="1:13" ht="18.75">
      <c r="A1" s="82" t="s">
        <v>118</v>
      </c>
      <c r="B1" s="83"/>
      <c r="C1" s="84"/>
      <c r="D1" s="84"/>
      <c r="E1" s="83"/>
      <c r="F1" s="84"/>
      <c r="G1" s="84"/>
      <c r="H1" s="83"/>
      <c r="I1" s="84"/>
      <c r="J1" s="84"/>
      <c r="K1" s="84"/>
      <c r="L1" s="84"/>
      <c r="M1" s="84"/>
    </row>
    <row r="2" spans="1:13" ht="12">
      <c r="A2" s="81" t="s">
        <v>119</v>
      </c>
      <c r="B2" s="85"/>
    </row>
    <row r="3" spans="1:13" ht="16.899999999999999" customHeight="1">
      <c r="A3" s="86" t="s">
        <v>19</v>
      </c>
      <c r="B3" s="86" t="s">
        <v>120</v>
      </c>
      <c r="C3" s="208" t="s">
        <v>121</v>
      </c>
      <c r="D3" s="208"/>
      <c r="E3" s="208"/>
      <c r="F3" s="88"/>
      <c r="G3" s="89"/>
      <c r="H3" s="90"/>
      <c r="I3" s="90"/>
      <c r="J3" s="90" t="s">
        <v>122</v>
      </c>
      <c r="K3" s="90"/>
      <c r="L3" s="90"/>
      <c r="M3" s="111"/>
    </row>
    <row r="4" spans="1:13" ht="16.149999999999999" customHeight="1">
      <c r="A4" s="91"/>
      <c r="B4" s="91" t="s">
        <v>123</v>
      </c>
      <c r="C4" s="87">
        <v>2017</v>
      </c>
      <c r="D4" s="87">
        <f t="shared" ref="D4:L4" si="0">C4+1</f>
        <v>2018</v>
      </c>
      <c r="E4" s="87">
        <f t="shared" si="0"/>
        <v>2019</v>
      </c>
      <c r="F4" s="87">
        <f t="shared" si="0"/>
        <v>2020</v>
      </c>
      <c r="G4" s="87">
        <f t="shared" si="0"/>
        <v>2021</v>
      </c>
      <c r="H4" s="92">
        <f t="shared" si="0"/>
        <v>2022</v>
      </c>
      <c r="I4" s="92">
        <f t="shared" si="0"/>
        <v>2023</v>
      </c>
      <c r="J4" s="92">
        <f t="shared" si="0"/>
        <v>2024</v>
      </c>
      <c r="K4" s="92">
        <f t="shared" si="0"/>
        <v>2025</v>
      </c>
      <c r="L4" s="92">
        <f t="shared" si="0"/>
        <v>2026</v>
      </c>
      <c r="M4" s="112" t="s">
        <v>124</v>
      </c>
    </row>
    <row r="5" spans="1:13" ht="15.6" customHeight="1">
      <c r="A5" s="93">
        <v>1</v>
      </c>
      <c r="B5" s="94" t="s">
        <v>125</v>
      </c>
      <c r="C5" s="95">
        <f>SUM(C6:C9)</f>
        <v>0</v>
      </c>
      <c r="D5" s="95">
        <f t="shared" ref="D5:L5" si="1">SUM(D6:D9)</f>
        <v>0</v>
      </c>
      <c r="E5" s="95" t="e">
        <f t="shared" si="1"/>
        <v>#REF!</v>
      </c>
      <c r="F5" s="95">
        <f t="shared" si="1"/>
        <v>13600000</v>
      </c>
      <c r="G5" s="95">
        <f t="shared" si="1"/>
        <v>13600000</v>
      </c>
      <c r="H5" s="95">
        <f t="shared" si="1"/>
        <v>13600000</v>
      </c>
      <c r="I5" s="95" t="e">
        <f t="shared" si="1"/>
        <v>#REF!</v>
      </c>
      <c r="J5" s="95" t="e">
        <f t="shared" si="1"/>
        <v>#REF!</v>
      </c>
      <c r="K5" s="95" t="e">
        <f t="shared" si="1"/>
        <v>#REF!</v>
      </c>
      <c r="L5" s="95">
        <f t="shared" si="1"/>
        <v>68000000</v>
      </c>
      <c r="M5" s="99" t="e">
        <f t="shared" ref="M5:M17" si="2">SUM(C5:L5)</f>
        <v>#REF!</v>
      </c>
    </row>
    <row r="6" spans="1:13" ht="15.6" customHeight="1">
      <c r="A6" s="93">
        <v>1.1000000000000001</v>
      </c>
      <c r="B6" s="96" t="s">
        <v>126</v>
      </c>
      <c r="C6" s="97"/>
      <c r="D6" s="97"/>
      <c r="E6" s="97" t="e">
        <f>损益表!#REF!</f>
        <v>#REF!</v>
      </c>
      <c r="F6" s="97">
        <f>损益表!C4</f>
        <v>13600000</v>
      </c>
      <c r="G6" s="97">
        <f>损益表!D4</f>
        <v>13600000</v>
      </c>
      <c r="H6" s="97">
        <f>损益表!E4</f>
        <v>13600000</v>
      </c>
      <c r="I6" s="97" t="e">
        <f>损益表!#REF!</f>
        <v>#REF!</v>
      </c>
      <c r="J6" s="97" t="e">
        <f>损益表!#REF!</f>
        <v>#REF!</v>
      </c>
      <c r="K6" s="97" t="e">
        <f>损益表!#REF!</f>
        <v>#REF!</v>
      </c>
      <c r="L6" s="97">
        <f>损益表!H4</f>
        <v>68000000</v>
      </c>
      <c r="M6" s="99" t="e">
        <f t="shared" si="2"/>
        <v>#REF!</v>
      </c>
    </row>
    <row r="7" spans="1:13" ht="15.6" customHeight="1">
      <c r="A7" s="93">
        <v>1.2</v>
      </c>
      <c r="B7" s="96" t="s">
        <v>127</v>
      </c>
      <c r="C7" s="97"/>
      <c r="D7" s="97"/>
      <c r="E7" s="97">
        <f>[1]折、摊!G18</f>
        <v>0</v>
      </c>
      <c r="F7" s="97">
        <f>[1]折、摊!H18</f>
        <v>0</v>
      </c>
      <c r="G7" s="97">
        <f>[1]折、摊!I18</f>
        <v>0</v>
      </c>
      <c r="H7" s="97">
        <f>[1]折、摊!J18</f>
        <v>0</v>
      </c>
      <c r="I7" s="97">
        <f>[1]折、摊!K18</f>
        <v>0</v>
      </c>
      <c r="J7" s="97">
        <f>[1]折、摊!L18</f>
        <v>0</v>
      </c>
      <c r="K7" s="97">
        <f>[1]折、摊!M18</f>
        <v>0</v>
      </c>
      <c r="L7" s="97">
        <f>[1]折、摊!N18</f>
        <v>0</v>
      </c>
      <c r="M7" s="99">
        <f t="shared" si="2"/>
        <v>0</v>
      </c>
    </row>
    <row r="8" spans="1:13" ht="15.6" customHeight="1">
      <c r="A8" s="93">
        <v>1.3</v>
      </c>
      <c r="B8" s="96" t="s">
        <v>128</v>
      </c>
      <c r="C8" s="97" t="s">
        <v>129</v>
      </c>
      <c r="D8" s="97" t="s">
        <v>129</v>
      </c>
      <c r="E8" s="97" t="s">
        <v>129</v>
      </c>
      <c r="F8" s="97" t="s">
        <v>129</v>
      </c>
      <c r="G8" s="97" t="s">
        <v>129</v>
      </c>
      <c r="H8" s="97" t="s">
        <v>129</v>
      </c>
      <c r="I8" s="97" t="s">
        <v>129</v>
      </c>
      <c r="J8" s="97" t="s">
        <v>129</v>
      </c>
      <c r="K8" s="97" t="s">
        <v>129</v>
      </c>
      <c r="L8" s="97"/>
      <c r="M8" s="99">
        <f t="shared" si="2"/>
        <v>0</v>
      </c>
    </row>
    <row r="9" spans="1:13" s="80" customFormat="1" ht="15.6" customHeight="1">
      <c r="A9" s="98">
        <v>1.4</v>
      </c>
      <c r="B9" s="99" t="s">
        <v>130</v>
      </c>
      <c r="C9" s="97" t="s">
        <v>129</v>
      </c>
      <c r="D9" s="97" t="s">
        <v>129</v>
      </c>
      <c r="E9" s="97" t="s">
        <v>129</v>
      </c>
      <c r="F9" s="97" t="s">
        <v>129</v>
      </c>
      <c r="G9" s="97" t="s">
        <v>129</v>
      </c>
      <c r="H9" s="97" t="s">
        <v>129</v>
      </c>
      <c r="I9" s="97" t="s">
        <v>129</v>
      </c>
      <c r="J9" s="97" t="s">
        <v>129</v>
      </c>
      <c r="K9" s="97" t="s">
        <v>129</v>
      </c>
      <c r="L9" s="97" t="s">
        <v>129</v>
      </c>
      <c r="M9" s="99">
        <f t="shared" si="2"/>
        <v>0</v>
      </c>
    </row>
    <row r="10" spans="1:13" ht="15.6" customHeight="1">
      <c r="A10" s="98">
        <v>2</v>
      </c>
      <c r="B10" s="94" t="s">
        <v>131</v>
      </c>
      <c r="C10" s="95">
        <f t="shared" ref="C10:L10" si="3">SUM(C11:C16)</f>
        <v>0</v>
      </c>
      <c r="D10" s="95">
        <f t="shared" si="3"/>
        <v>0</v>
      </c>
      <c r="E10" s="95">
        <f t="shared" si="3"/>
        <v>0</v>
      </c>
      <c r="F10" s="95">
        <f t="shared" si="3"/>
        <v>0</v>
      </c>
      <c r="G10" s="95">
        <f t="shared" si="3"/>
        <v>0</v>
      </c>
      <c r="H10" s="95">
        <f t="shared" si="3"/>
        <v>0</v>
      </c>
      <c r="I10" s="95">
        <f t="shared" si="3"/>
        <v>0</v>
      </c>
      <c r="J10" s="95">
        <f t="shared" si="3"/>
        <v>0</v>
      </c>
      <c r="K10" s="95">
        <f t="shared" si="3"/>
        <v>0</v>
      </c>
      <c r="L10" s="95">
        <f t="shared" si="3"/>
        <v>0</v>
      </c>
      <c r="M10" s="99">
        <f t="shared" si="2"/>
        <v>0</v>
      </c>
    </row>
    <row r="11" spans="1:13" ht="15" customHeight="1">
      <c r="A11" s="93">
        <v>2.1</v>
      </c>
      <c r="B11" s="93" t="s">
        <v>132</v>
      </c>
      <c r="C11" s="97">
        <f>([1]计划!C6-[1]计划!C7)</f>
        <v>0</v>
      </c>
      <c r="D11" s="97">
        <f>([1]计划!D6-[1]计划!D7)</f>
        <v>0</v>
      </c>
      <c r="E11" s="97">
        <f>([1]计划!E6-[1]计划!E7)</f>
        <v>0</v>
      </c>
      <c r="F11" s="97">
        <f>([1]计划!F6-[1]计划!F7)</f>
        <v>0</v>
      </c>
      <c r="G11" s="97">
        <f>([1]计划!G6-[1]计划!G7)</f>
        <v>0</v>
      </c>
      <c r="H11" s="97">
        <f>([1]计划!H6-[1]计划!H7)</f>
        <v>0</v>
      </c>
      <c r="I11" s="97">
        <f>([1]计划!I6-[1]计划!I7)</f>
        <v>0</v>
      </c>
      <c r="J11" s="97">
        <f>([1]计划!J6-[1]计划!J7)</f>
        <v>0</v>
      </c>
      <c r="K11" s="97">
        <f>([1]计划!K6-[1]计划!K7)</f>
        <v>0</v>
      </c>
      <c r="L11" s="97">
        <f>([1]计划!L6-[1]计划!L7)</f>
        <v>0</v>
      </c>
      <c r="M11" s="99">
        <f t="shared" si="2"/>
        <v>0</v>
      </c>
    </row>
    <row r="12" spans="1:13" s="80" customFormat="1" ht="15" customHeight="1">
      <c r="A12" s="93">
        <v>2.2000000000000002</v>
      </c>
      <c r="B12" s="99" t="s">
        <v>133</v>
      </c>
      <c r="C12" s="97">
        <f>[1]计划!C8</f>
        <v>0</v>
      </c>
      <c r="D12" s="97">
        <f>[1]计划!D8</f>
        <v>0</v>
      </c>
      <c r="E12" s="97">
        <f>[1]计划!E8</f>
        <v>0</v>
      </c>
      <c r="F12" s="97">
        <f>[1]计划!F8</f>
        <v>0</v>
      </c>
      <c r="G12" s="97">
        <f>[1]计划!G8</f>
        <v>0</v>
      </c>
      <c r="H12" s="97">
        <f>[1]计划!H8</f>
        <v>0</v>
      </c>
      <c r="I12" s="97">
        <f>[1]计划!I8</f>
        <v>0</v>
      </c>
      <c r="J12" s="97">
        <f>[1]计划!J8</f>
        <v>0</v>
      </c>
      <c r="K12" s="97">
        <f>[1]计划!K8</f>
        <v>0</v>
      </c>
      <c r="L12" s="97">
        <f>[1]计划!L8</f>
        <v>0</v>
      </c>
      <c r="M12" s="99">
        <f t="shared" si="2"/>
        <v>0</v>
      </c>
    </row>
    <row r="13" spans="1:13" ht="15" customHeight="1">
      <c r="A13" s="93">
        <v>2.2999999999999998</v>
      </c>
      <c r="B13" s="96" t="s">
        <v>134</v>
      </c>
      <c r="C13" s="97">
        <f>[1]总成本!C22</f>
        <v>0</v>
      </c>
      <c r="D13" s="97">
        <f>[1]总成本!D22</f>
        <v>0</v>
      </c>
      <c r="E13" s="97">
        <f>[1]总成本!E22</f>
        <v>0</v>
      </c>
      <c r="F13" s="97">
        <f>[1]总成本!F22</f>
        <v>0</v>
      </c>
      <c r="G13" s="97">
        <f>[1]总成本!G22</f>
        <v>0</v>
      </c>
      <c r="H13" s="97">
        <f>[1]总成本!H22</f>
        <v>0</v>
      </c>
      <c r="I13" s="97">
        <f>[1]总成本!I22</f>
        <v>0</v>
      </c>
      <c r="J13" s="97">
        <f>[1]总成本!J22</f>
        <v>0</v>
      </c>
      <c r="K13" s="97">
        <f>[1]总成本!K22</f>
        <v>0</v>
      </c>
      <c r="L13" s="97">
        <f>[1]总成本!L22</f>
        <v>0</v>
      </c>
      <c r="M13" s="99">
        <f t="shared" si="2"/>
        <v>0</v>
      </c>
    </row>
    <row r="14" spans="1:13" ht="15" customHeight="1">
      <c r="A14" s="93">
        <v>2.4</v>
      </c>
      <c r="B14" s="96" t="s">
        <v>135</v>
      </c>
      <c r="C14" s="97">
        <f>[1]价格!D15</f>
        <v>0</v>
      </c>
      <c r="D14" s="97">
        <f>[1]价格!E15</f>
        <v>0</v>
      </c>
      <c r="E14" s="97">
        <f>[1]价格!F15</f>
        <v>0</v>
      </c>
      <c r="F14" s="97">
        <f>[1]价格!G15</f>
        <v>0</v>
      </c>
      <c r="G14" s="97">
        <f>[1]价格!H15</f>
        <v>0</v>
      </c>
      <c r="H14" s="97">
        <f>[1]价格!I15</f>
        <v>0</v>
      </c>
      <c r="I14" s="97">
        <f>[1]价格!J15</f>
        <v>0</v>
      </c>
      <c r="J14" s="97">
        <f>[1]价格!K15</f>
        <v>0</v>
      </c>
      <c r="K14" s="97">
        <f>[1]价格!L15</f>
        <v>0</v>
      </c>
      <c r="L14" s="97">
        <f>[1]价格!M15</f>
        <v>0</v>
      </c>
      <c r="M14" s="99">
        <f t="shared" si="2"/>
        <v>0</v>
      </c>
    </row>
    <row r="15" spans="1:13" ht="15" customHeight="1">
      <c r="A15" s="93">
        <v>2.5</v>
      </c>
      <c r="B15" s="96" t="s">
        <v>61</v>
      </c>
      <c r="C15" s="97">
        <f>[1]利润!C13</f>
        <v>0</v>
      </c>
      <c r="D15" s="97">
        <f>[1]利润!D13</f>
        <v>0</v>
      </c>
      <c r="E15" s="97">
        <f>[1]利润!E13</f>
        <v>0</v>
      </c>
      <c r="F15" s="97">
        <f>[1]利润!F13</f>
        <v>0</v>
      </c>
      <c r="G15" s="97">
        <f>[1]利润!G13</f>
        <v>0</v>
      </c>
      <c r="H15" s="97">
        <f>[1]利润!H13</f>
        <v>0</v>
      </c>
      <c r="I15" s="97">
        <f>[1]利润!I13</f>
        <v>0</v>
      </c>
      <c r="J15" s="97">
        <f>[1]利润!J13</f>
        <v>0</v>
      </c>
      <c r="K15" s="97">
        <f>[1]利润!K13</f>
        <v>0</v>
      </c>
      <c r="L15" s="97">
        <f>[1]利润!L13</f>
        <v>0</v>
      </c>
      <c r="M15" s="99">
        <f t="shared" si="2"/>
        <v>0</v>
      </c>
    </row>
    <row r="16" spans="1:13" ht="15" customHeight="1">
      <c r="A16" s="93">
        <v>2.6</v>
      </c>
      <c r="B16" s="96" t="s">
        <v>136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9">
        <f t="shared" si="2"/>
        <v>0</v>
      </c>
    </row>
    <row r="17" spans="1:18" ht="12">
      <c r="A17" s="93">
        <v>3</v>
      </c>
      <c r="B17" s="94" t="s">
        <v>137</v>
      </c>
      <c r="C17" s="95">
        <f t="shared" ref="C17:L17" si="4">C5-C10</f>
        <v>0</v>
      </c>
      <c r="D17" s="95">
        <f t="shared" si="4"/>
        <v>0</v>
      </c>
      <c r="E17" s="95" t="e">
        <f t="shared" si="4"/>
        <v>#REF!</v>
      </c>
      <c r="F17" s="95">
        <f t="shared" si="4"/>
        <v>13600000</v>
      </c>
      <c r="G17" s="95">
        <f t="shared" si="4"/>
        <v>13600000</v>
      </c>
      <c r="H17" s="95">
        <f t="shared" si="4"/>
        <v>13600000</v>
      </c>
      <c r="I17" s="95" t="e">
        <f t="shared" si="4"/>
        <v>#REF!</v>
      </c>
      <c r="J17" s="95" t="e">
        <f t="shared" si="4"/>
        <v>#REF!</v>
      </c>
      <c r="K17" s="95" t="e">
        <f t="shared" si="4"/>
        <v>#REF!</v>
      </c>
      <c r="L17" s="95">
        <f t="shared" si="4"/>
        <v>68000000</v>
      </c>
      <c r="M17" s="99" t="e">
        <f t="shared" si="2"/>
        <v>#REF!</v>
      </c>
    </row>
    <row r="18" spans="1:18" ht="12">
      <c r="A18" s="100">
        <v>4</v>
      </c>
      <c r="B18" s="96" t="s">
        <v>138</v>
      </c>
      <c r="C18" s="97">
        <f>C17</f>
        <v>0</v>
      </c>
      <c r="D18" s="97">
        <f t="shared" ref="D18:L18" si="5">C18+D17</f>
        <v>0</v>
      </c>
      <c r="E18" s="97" t="e">
        <f t="shared" si="5"/>
        <v>#REF!</v>
      </c>
      <c r="F18" s="97" t="e">
        <f t="shared" si="5"/>
        <v>#REF!</v>
      </c>
      <c r="G18" s="97" t="e">
        <f t="shared" si="5"/>
        <v>#REF!</v>
      </c>
      <c r="H18" s="97" t="e">
        <f t="shared" si="5"/>
        <v>#REF!</v>
      </c>
      <c r="I18" s="97" t="e">
        <f t="shared" si="5"/>
        <v>#REF!</v>
      </c>
      <c r="J18" s="97" t="e">
        <f t="shared" si="5"/>
        <v>#REF!</v>
      </c>
      <c r="K18" s="97" t="e">
        <f t="shared" si="5"/>
        <v>#REF!</v>
      </c>
      <c r="L18" s="97" t="e">
        <f t="shared" si="5"/>
        <v>#REF!</v>
      </c>
      <c r="M18" s="96" t="s">
        <v>129</v>
      </c>
    </row>
    <row r="19" spans="1:18" s="80" customFormat="1" ht="12">
      <c r="A19" s="100">
        <v>5</v>
      </c>
      <c r="B19" s="96" t="s">
        <v>139</v>
      </c>
      <c r="C19" s="97">
        <f t="shared" ref="C19:L19" si="6">C17+C15</f>
        <v>0</v>
      </c>
      <c r="D19" s="97">
        <f t="shared" si="6"/>
        <v>0</v>
      </c>
      <c r="E19" s="97" t="e">
        <f t="shared" si="6"/>
        <v>#REF!</v>
      </c>
      <c r="F19" s="97">
        <f t="shared" si="6"/>
        <v>13600000</v>
      </c>
      <c r="G19" s="97">
        <f t="shared" si="6"/>
        <v>13600000</v>
      </c>
      <c r="H19" s="97">
        <f t="shared" si="6"/>
        <v>13600000</v>
      </c>
      <c r="I19" s="97" t="e">
        <f t="shared" si="6"/>
        <v>#REF!</v>
      </c>
      <c r="J19" s="97" t="e">
        <f t="shared" si="6"/>
        <v>#REF!</v>
      </c>
      <c r="K19" s="97" t="e">
        <f t="shared" si="6"/>
        <v>#REF!</v>
      </c>
      <c r="L19" s="97">
        <f t="shared" si="6"/>
        <v>68000000</v>
      </c>
      <c r="M19" s="99" t="e">
        <f>SUM(C19:L19)</f>
        <v>#REF!</v>
      </c>
    </row>
    <row r="20" spans="1:18" s="80" customFormat="1" ht="12">
      <c r="A20" s="93">
        <v>6</v>
      </c>
      <c r="B20" s="96" t="s">
        <v>140</v>
      </c>
      <c r="C20" s="97">
        <f>C19</f>
        <v>0</v>
      </c>
      <c r="D20" s="97">
        <f t="shared" ref="D20:L20" si="7">C20+D19</f>
        <v>0</v>
      </c>
      <c r="E20" s="97" t="e">
        <f t="shared" si="7"/>
        <v>#REF!</v>
      </c>
      <c r="F20" s="97" t="e">
        <f t="shared" si="7"/>
        <v>#REF!</v>
      </c>
      <c r="G20" s="97" t="e">
        <f t="shared" si="7"/>
        <v>#REF!</v>
      </c>
      <c r="H20" s="97" t="e">
        <f t="shared" si="7"/>
        <v>#REF!</v>
      </c>
      <c r="I20" s="97" t="e">
        <f t="shared" si="7"/>
        <v>#REF!</v>
      </c>
      <c r="J20" s="97" t="e">
        <f t="shared" si="7"/>
        <v>#REF!</v>
      </c>
      <c r="K20" s="97" t="e">
        <f t="shared" si="7"/>
        <v>#REF!</v>
      </c>
      <c r="L20" s="97" t="e">
        <f t="shared" si="7"/>
        <v>#REF!</v>
      </c>
      <c r="M20" s="96" t="s">
        <v>129</v>
      </c>
    </row>
    <row r="21" spans="1:18" ht="12">
      <c r="A21" s="101"/>
      <c r="B21" s="102" t="s">
        <v>141</v>
      </c>
      <c r="C21" s="102"/>
      <c r="D21" s="102"/>
      <c r="E21" s="102" t="s">
        <v>142</v>
      </c>
      <c r="F21" s="102"/>
      <c r="G21" s="102"/>
      <c r="H21" s="102"/>
      <c r="I21" s="102" t="s">
        <v>143</v>
      </c>
      <c r="J21" s="102"/>
      <c r="K21" s="102"/>
      <c r="L21" s="102"/>
      <c r="M21" s="113"/>
    </row>
    <row r="22" spans="1:18" ht="12">
      <c r="A22" s="103"/>
      <c r="B22" s="104" t="s">
        <v>144</v>
      </c>
      <c r="C22" s="104"/>
      <c r="D22" s="105" t="s">
        <v>145</v>
      </c>
      <c r="E22" s="106" t="e">
        <f>IRR(C17:L17,0.15)</f>
        <v>#VALUE!</v>
      </c>
      <c r="F22" s="104"/>
      <c r="G22" s="104"/>
      <c r="H22" s="104"/>
      <c r="I22" s="106" t="e">
        <f>IRR(C19:L19,0.15)</f>
        <v>#VALUE!</v>
      </c>
      <c r="J22" s="104"/>
      <c r="K22" s="104"/>
      <c r="L22" s="104"/>
      <c r="M22" s="114"/>
    </row>
    <row r="23" spans="1:18" ht="12">
      <c r="A23" s="103"/>
      <c r="B23" s="104" t="s">
        <v>146</v>
      </c>
      <c r="C23" s="104"/>
      <c r="D23" s="104"/>
      <c r="E23" s="107" t="e">
        <f>NPV(0.12,C17:L17)</f>
        <v>#REF!</v>
      </c>
      <c r="F23" s="104"/>
      <c r="G23" s="104"/>
      <c r="H23" s="104"/>
      <c r="I23" s="107" t="e">
        <f>NPV(0.12,C19:L19)</f>
        <v>#REF!</v>
      </c>
      <c r="J23" s="104"/>
      <c r="K23" s="104"/>
      <c r="L23" s="104"/>
      <c r="M23" s="114"/>
      <c r="R23" s="81">
        <f>30.9-29.82</f>
        <v>1.0799999999999983</v>
      </c>
    </row>
    <row r="24" spans="1:18" ht="12">
      <c r="A24" s="108"/>
      <c r="B24" s="109" t="s">
        <v>147</v>
      </c>
      <c r="C24" s="109"/>
      <c r="D24" s="109"/>
      <c r="E24" s="110" t="e">
        <f>6-H18/I17</f>
        <v>#REF!</v>
      </c>
      <c r="F24" s="109"/>
      <c r="G24" s="109"/>
      <c r="H24" s="109"/>
      <c r="I24" s="110" t="e">
        <f>6-H20/I19</f>
        <v>#REF!</v>
      </c>
      <c r="J24" s="109"/>
      <c r="K24" s="109"/>
      <c r="L24" s="109"/>
      <c r="M24" s="115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N15" sqref="N15"/>
    </sheetView>
  </sheetViews>
  <sheetFormatPr defaultColWidth="9" defaultRowHeight="16.5"/>
  <cols>
    <col min="1" max="1" width="5.125" style="56" customWidth="1"/>
    <col min="2" max="2" width="17.5" style="56" customWidth="1"/>
    <col min="3" max="3" width="14.875" style="57" bestFit="1" customWidth="1"/>
    <col min="4" max="4" width="13.25" style="57" customWidth="1"/>
    <col min="5" max="7" width="13.25" style="57" hidden="1" customWidth="1"/>
    <col min="8" max="11" width="15.5" style="57" hidden="1" customWidth="1"/>
    <col min="12" max="12" width="18.75" style="57" customWidth="1"/>
    <col min="13" max="13" width="12.375" style="56" customWidth="1"/>
    <col min="14" max="14" width="10.125" style="56" customWidth="1"/>
    <col min="15" max="21" width="9" style="56" customWidth="1"/>
    <col min="22" max="37" width="9" style="56"/>
    <col min="38" max="38" width="4.375" style="56" customWidth="1"/>
    <col min="39" max="39" width="13.875" style="56" customWidth="1"/>
    <col min="40" max="16384" width="9" style="56"/>
  </cols>
  <sheetData>
    <row r="1" spans="1:40">
      <c r="A1" s="209" t="s">
        <v>148</v>
      </c>
      <c r="B1" s="209"/>
      <c r="C1" s="213" t="s">
        <v>280</v>
      </c>
      <c r="D1" s="214"/>
      <c r="E1" s="214"/>
      <c r="F1" s="214"/>
      <c r="G1" s="214"/>
      <c r="H1" s="214"/>
      <c r="I1" s="214"/>
      <c r="J1" s="214"/>
      <c r="K1" s="214"/>
      <c r="L1" s="215"/>
    </row>
    <row r="2" spans="1:40">
      <c r="A2" s="209" t="s">
        <v>149</v>
      </c>
      <c r="B2" s="209"/>
      <c r="C2" s="216" t="s">
        <v>269</v>
      </c>
      <c r="D2" s="216"/>
      <c r="E2" s="216"/>
      <c r="F2" s="216"/>
      <c r="G2" s="216"/>
      <c r="H2" s="216"/>
      <c r="I2" s="216"/>
      <c r="J2" s="216"/>
      <c r="K2" s="216"/>
      <c r="L2" s="216"/>
    </row>
    <row r="3" spans="1:40" ht="33">
      <c r="A3" s="209" t="s">
        <v>150</v>
      </c>
      <c r="B3" s="209"/>
      <c r="C3" s="192" t="s">
        <v>271</v>
      </c>
      <c r="D3" s="192" t="s">
        <v>273</v>
      </c>
      <c r="E3" s="182"/>
      <c r="F3" s="183"/>
      <c r="G3" s="182"/>
      <c r="H3" s="182"/>
      <c r="I3" s="182"/>
      <c r="J3" s="175"/>
      <c r="K3" s="175"/>
      <c r="L3" s="210" t="s">
        <v>22</v>
      </c>
    </row>
    <row r="4" spans="1:40" ht="33">
      <c r="A4" s="209" t="s">
        <v>151</v>
      </c>
      <c r="B4" s="209"/>
      <c r="C4" s="193" t="s">
        <v>272</v>
      </c>
      <c r="D4" s="193" t="s">
        <v>274</v>
      </c>
      <c r="E4" s="184"/>
      <c r="F4" s="167"/>
      <c r="G4" s="184"/>
      <c r="H4" s="184"/>
      <c r="I4" s="184"/>
      <c r="J4" s="175"/>
      <c r="K4" s="175"/>
      <c r="L4" s="211"/>
    </row>
    <row r="5" spans="1:40">
      <c r="A5" s="209" t="s">
        <v>152</v>
      </c>
      <c r="B5" s="209"/>
      <c r="C5" s="59"/>
      <c r="D5" s="59"/>
      <c r="E5" s="59"/>
      <c r="F5" s="59"/>
      <c r="G5" s="59"/>
      <c r="H5" s="59"/>
      <c r="I5" s="59"/>
      <c r="J5" s="59"/>
      <c r="K5" s="59"/>
      <c r="L5" s="212"/>
      <c r="AN5" s="56" t="s">
        <v>23</v>
      </c>
    </row>
    <row r="6" spans="1:40" ht="17.25">
      <c r="A6" s="60" t="s">
        <v>19</v>
      </c>
      <c r="B6" s="61" t="s">
        <v>153</v>
      </c>
      <c r="C6" s="28">
        <f>销量!C9</f>
        <v>20000</v>
      </c>
      <c r="D6" s="28">
        <f>销量!D9</f>
        <v>20000</v>
      </c>
      <c r="E6" s="28">
        <f>销量!E9</f>
        <v>0</v>
      </c>
      <c r="F6" s="28">
        <f>销量!F9</f>
        <v>0</v>
      </c>
      <c r="G6" s="28">
        <f>销量!G9</f>
        <v>0</v>
      </c>
      <c r="H6" s="28">
        <f>销量!H9</f>
        <v>0</v>
      </c>
      <c r="I6" s="28">
        <f>销量!I9</f>
        <v>0</v>
      </c>
      <c r="J6" s="28">
        <f>销量!J9</f>
        <v>0</v>
      </c>
      <c r="K6" s="28">
        <f>销量!K9</f>
        <v>0</v>
      </c>
      <c r="L6" s="62">
        <f t="shared" ref="L6:L15" si="0">+SUM(C6:K6)</f>
        <v>40000</v>
      </c>
      <c r="AL6" s="60" t="s">
        <v>19</v>
      </c>
      <c r="AM6" s="61" t="s">
        <v>3</v>
      </c>
      <c r="AN6" s="56" t="s">
        <v>24</v>
      </c>
    </row>
    <row r="7" spans="1:40">
      <c r="A7" s="58">
        <v>1</v>
      </c>
      <c r="B7" s="61" t="s">
        <v>25</v>
      </c>
      <c r="C7" s="62">
        <f>C6*C31</f>
        <v>6800000</v>
      </c>
      <c r="D7" s="62">
        <f t="shared" ref="D7:I7" si="1">D6*D31</f>
        <v>6800000</v>
      </c>
      <c r="E7" s="62">
        <f t="shared" si="1"/>
        <v>0</v>
      </c>
      <c r="F7" s="62">
        <f t="shared" si="1"/>
        <v>0</v>
      </c>
      <c r="G7" s="62">
        <f t="shared" si="1"/>
        <v>0</v>
      </c>
      <c r="H7" s="62">
        <f t="shared" si="1"/>
        <v>0</v>
      </c>
      <c r="I7" s="62">
        <f t="shared" si="1"/>
        <v>0</v>
      </c>
      <c r="J7" s="62">
        <f>J6*销量!J8</f>
        <v>0</v>
      </c>
      <c r="K7" s="62">
        <f>K6*销量!K8</f>
        <v>0</v>
      </c>
      <c r="L7" s="62">
        <f t="shared" si="0"/>
        <v>13600000</v>
      </c>
      <c r="M7" s="57"/>
      <c r="AL7" s="60" t="s">
        <v>26</v>
      </c>
      <c r="AM7" s="61" t="s">
        <v>25</v>
      </c>
      <c r="AN7" s="56" t="s">
        <v>24</v>
      </c>
    </row>
    <row r="8" spans="1:40">
      <c r="A8" s="58">
        <v>2</v>
      </c>
      <c r="B8" s="58" t="s">
        <v>27</v>
      </c>
      <c r="C8" s="62"/>
      <c r="D8" s="62"/>
      <c r="E8" s="62"/>
      <c r="F8" s="62"/>
      <c r="G8" s="62"/>
      <c r="H8" s="62"/>
      <c r="I8" s="62"/>
      <c r="J8" s="62"/>
      <c r="K8" s="62"/>
      <c r="L8" s="62">
        <f t="shared" si="0"/>
        <v>0</v>
      </c>
      <c r="M8" s="77"/>
      <c r="AL8" s="60" t="s">
        <v>28</v>
      </c>
      <c r="AM8" s="58" t="s">
        <v>29</v>
      </c>
      <c r="AN8" s="56" t="s">
        <v>24</v>
      </c>
    </row>
    <row r="9" spans="1:40">
      <c r="A9" s="58">
        <v>3</v>
      </c>
      <c r="B9" s="61" t="s">
        <v>30</v>
      </c>
      <c r="C9" s="62">
        <f>+C7-C8</f>
        <v>6800000</v>
      </c>
      <c r="D9" s="62">
        <f t="shared" ref="D9:K9" si="2">+D7-D8</f>
        <v>6800000</v>
      </c>
      <c r="E9" s="62">
        <f t="shared" si="2"/>
        <v>0</v>
      </c>
      <c r="F9" s="62">
        <f t="shared" si="2"/>
        <v>0</v>
      </c>
      <c r="G9" s="62">
        <f t="shared" si="2"/>
        <v>0</v>
      </c>
      <c r="H9" s="62">
        <f t="shared" si="2"/>
        <v>0</v>
      </c>
      <c r="I9" s="62">
        <f t="shared" si="2"/>
        <v>0</v>
      </c>
      <c r="J9" s="62">
        <f t="shared" si="2"/>
        <v>0</v>
      </c>
      <c r="K9" s="62">
        <f t="shared" si="2"/>
        <v>0</v>
      </c>
      <c r="L9" s="62">
        <f t="shared" si="0"/>
        <v>13600000</v>
      </c>
      <c r="AL9" s="60" t="s">
        <v>31</v>
      </c>
      <c r="AM9" s="61" t="s">
        <v>30</v>
      </c>
      <c r="AN9" s="56" t="s">
        <v>32</v>
      </c>
    </row>
    <row r="10" spans="1:40">
      <c r="A10" s="58">
        <v>4</v>
      </c>
      <c r="B10" s="60" t="s">
        <v>33</v>
      </c>
      <c r="C10" s="62">
        <f>C6*C33</f>
        <v>7911799.9999999991</v>
      </c>
      <c r="D10" s="62">
        <f t="shared" ref="D10:K10" si="3">D6*D33</f>
        <v>6582400</v>
      </c>
      <c r="E10" s="62">
        <f t="shared" si="3"/>
        <v>0</v>
      </c>
      <c r="F10" s="62">
        <f t="shared" si="3"/>
        <v>0</v>
      </c>
      <c r="G10" s="62">
        <f t="shared" si="3"/>
        <v>0</v>
      </c>
      <c r="H10" s="62">
        <f t="shared" si="3"/>
        <v>0</v>
      </c>
      <c r="I10" s="62">
        <f t="shared" si="3"/>
        <v>0</v>
      </c>
      <c r="J10" s="62">
        <f t="shared" si="3"/>
        <v>0</v>
      </c>
      <c r="K10" s="62">
        <f t="shared" si="3"/>
        <v>0</v>
      </c>
      <c r="L10" s="62">
        <f t="shared" si="0"/>
        <v>14494200</v>
      </c>
      <c r="AL10" s="60" t="s">
        <v>34</v>
      </c>
      <c r="AM10" s="60" t="s">
        <v>33</v>
      </c>
      <c r="AN10" s="56" t="s">
        <v>35</v>
      </c>
    </row>
    <row r="11" spans="1:40">
      <c r="A11" s="58">
        <v>5</v>
      </c>
      <c r="B11" s="60" t="s">
        <v>36</v>
      </c>
      <c r="C11" s="62">
        <f>+C6*C36</f>
        <v>293080</v>
      </c>
      <c r="D11" s="62">
        <f t="shared" ref="D11:K11" si="4">+D6*D36</f>
        <v>293080</v>
      </c>
      <c r="E11" s="62">
        <f t="shared" si="4"/>
        <v>0</v>
      </c>
      <c r="F11" s="62">
        <f t="shared" si="4"/>
        <v>0</v>
      </c>
      <c r="G11" s="62">
        <f t="shared" si="4"/>
        <v>0</v>
      </c>
      <c r="H11" s="62">
        <f t="shared" si="4"/>
        <v>0</v>
      </c>
      <c r="I11" s="62">
        <f t="shared" si="4"/>
        <v>0</v>
      </c>
      <c r="J11" s="62">
        <f t="shared" si="4"/>
        <v>0</v>
      </c>
      <c r="K11" s="62">
        <f t="shared" si="4"/>
        <v>0</v>
      </c>
      <c r="L11" s="62">
        <f t="shared" si="0"/>
        <v>586160</v>
      </c>
      <c r="AL11" s="60" t="s">
        <v>37</v>
      </c>
      <c r="AM11" s="60" t="s">
        <v>36</v>
      </c>
    </row>
    <row r="12" spans="1:40">
      <c r="A12" s="58">
        <v>6</v>
      </c>
      <c r="B12" s="60" t="s">
        <v>38</v>
      </c>
      <c r="C12" s="62">
        <f>+C6*C37</f>
        <v>147560</v>
      </c>
      <c r="D12" s="62">
        <f t="shared" ref="D12:K12" si="5">+D6*D37</f>
        <v>147560</v>
      </c>
      <c r="E12" s="62">
        <f t="shared" si="5"/>
        <v>0</v>
      </c>
      <c r="F12" s="62">
        <f t="shared" si="5"/>
        <v>0</v>
      </c>
      <c r="G12" s="62">
        <f t="shared" si="5"/>
        <v>0</v>
      </c>
      <c r="H12" s="62">
        <f t="shared" si="5"/>
        <v>0</v>
      </c>
      <c r="I12" s="62">
        <f t="shared" si="5"/>
        <v>0</v>
      </c>
      <c r="J12" s="62">
        <f t="shared" si="5"/>
        <v>0</v>
      </c>
      <c r="K12" s="62">
        <f t="shared" si="5"/>
        <v>0</v>
      </c>
      <c r="L12" s="62">
        <f t="shared" si="0"/>
        <v>295120</v>
      </c>
      <c r="AL12" s="60" t="s">
        <v>39</v>
      </c>
      <c r="AM12" s="60" t="s">
        <v>38</v>
      </c>
    </row>
    <row r="13" spans="1:40">
      <c r="A13" s="58">
        <v>7</v>
      </c>
      <c r="B13" s="60" t="s">
        <v>40</v>
      </c>
      <c r="C13" s="62">
        <f>+C6*C38</f>
        <v>217600.00000000003</v>
      </c>
      <c r="D13" s="62">
        <f t="shared" ref="D13:K13" si="6">+D6*D38</f>
        <v>217600.00000000003</v>
      </c>
      <c r="E13" s="62">
        <f t="shared" si="6"/>
        <v>0</v>
      </c>
      <c r="F13" s="62">
        <f t="shared" si="6"/>
        <v>0</v>
      </c>
      <c r="G13" s="62">
        <f t="shared" si="6"/>
        <v>0</v>
      </c>
      <c r="H13" s="62">
        <f t="shared" si="6"/>
        <v>0</v>
      </c>
      <c r="I13" s="62">
        <f t="shared" si="6"/>
        <v>0</v>
      </c>
      <c r="J13" s="62">
        <f t="shared" si="6"/>
        <v>0</v>
      </c>
      <c r="K13" s="62">
        <f t="shared" si="6"/>
        <v>0</v>
      </c>
      <c r="L13" s="62">
        <f t="shared" si="0"/>
        <v>435200.00000000006</v>
      </c>
      <c r="AL13" s="60" t="s">
        <v>41</v>
      </c>
      <c r="AM13" s="60" t="s">
        <v>40</v>
      </c>
      <c r="AN13" s="56" t="s">
        <v>24</v>
      </c>
    </row>
    <row r="14" spans="1:40">
      <c r="A14" s="58">
        <v>8</v>
      </c>
      <c r="B14" s="63" t="s">
        <v>42</v>
      </c>
      <c r="C14" s="62">
        <f>SUM(C11:C13)</f>
        <v>658240</v>
      </c>
      <c r="D14" s="62">
        <f t="shared" ref="D14:K14" si="7">SUM(D11:D13)</f>
        <v>658240</v>
      </c>
      <c r="E14" s="62">
        <f t="shared" si="7"/>
        <v>0</v>
      </c>
      <c r="F14" s="62">
        <f t="shared" si="7"/>
        <v>0</v>
      </c>
      <c r="G14" s="62">
        <f t="shared" si="7"/>
        <v>0</v>
      </c>
      <c r="H14" s="62">
        <f t="shared" si="7"/>
        <v>0</v>
      </c>
      <c r="I14" s="62">
        <f t="shared" si="7"/>
        <v>0</v>
      </c>
      <c r="J14" s="62">
        <f t="shared" si="7"/>
        <v>0</v>
      </c>
      <c r="K14" s="62">
        <f t="shared" si="7"/>
        <v>0</v>
      </c>
      <c r="L14" s="62">
        <f t="shared" si="0"/>
        <v>1316480</v>
      </c>
      <c r="AL14" s="60" t="s">
        <v>43</v>
      </c>
      <c r="AM14" s="63" t="s">
        <v>42</v>
      </c>
    </row>
    <row r="15" spans="1:40">
      <c r="A15" s="58">
        <v>9</v>
      </c>
      <c r="B15" s="63" t="s">
        <v>44</v>
      </c>
      <c r="C15" s="62">
        <f>+C9-C10-C14</f>
        <v>-1770039.9999999991</v>
      </c>
      <c r="D15" s="62">
        <f t="shared" ref="D15:K15" si="8">+D9-D10-D14</f>
        <v>-440640</v>
      </c>
      <c r="E15" s="62">
        <f t="shared" si="8"/>
        <v>0</v>
      </c>
      <c r="F15" s="62">
        <f t="shared" si="8"/>
        <v>0</v>
      </c>
      <c r="G15" s="62">
        <f t="shared" si="8"/>
        <v>0</v>
      </c>
      <c r="H15" s="62">
        <f t="shared" si="8"/>
        <v>0</v>
      </c>
      <c r="I15" s="62">
        <f t="shared" si="8"/>
        <v>0</v>
      </c>
      <c r="J15" s="62">
        <f t="shared" si="8"/>
        <v>0</v>
      </c>
      <c r="K15" s="62">
        <f t="shared" si="8"/>
        <v>0</v>
      </c>
      <c r="L15" s="62">
        <f t="shared" si="0"/>
        <v>-2210679.9999999991</v>
      </c>
      <c r="AL15" s="60" t="s">
        <v>45</v>
      </c>
      <c r="AM15" s="63" t="s">
        <v>44</v>
      </c>
    </row>
    <row r="16" spans="1:40">
      <c r="A16" s="58">
        <v>10</v>
      </c>
      <c r="B16" s="60" t="s">
        <v>46</v>
      </c>
      <c r="C16" s="64">
        <f>+C15/C9</f>
        <v>-0.26029999999999986</v>
      </c>
      <c r="D16" s="64">
        <f t="shared" ref="D16:K16" si="9">+D15/D9</f>
        <v>-6.4799999999999996E-2</v>
      </c>
      <c r="E16" s="64" t="e">
        <f t="shared" si="9"/>
        <v>#DIV/0!</v>
      </c>
      <c r="F16" s="64" t="e">
        <f t="shared" si="9"/>
        <v>#DIV/0!</v>
      </c>
      <c r="G16" s="64" t="e">
        <f t="shared" si="9"/>
        <v>#DIV/0!</v>
      </c>
      <c r="H16" s="64" t="e">
        <f t="shared" si="9"/>
        <v>#DIV/0!</v>
      </c>
      <c r="I16" s="64" t="e">
        <f t="shared" si="9"/>
        <v>#DIV/0!</v>
      </c>
      <c r="J16" s="64" t="e">
        <f t="shared" si="9"/>
        <v>#DIV/0!</v>
      </c>
      <c r="K16" s="64" t="e">
        <f t="shared" si="9"/>
        <v>#DIV/0!</v>
      </c>
      <c r="L16" s="64">
        <f t="shared" ref="L16" si="10">+L15/L9</f>
        <v>-0.16254999999999994</v>
      </c>
      <c r="AL16" s="60" t="s">
        <v>47</v>
      </c>
      <c r="AM16" s="60" t="s">
        <v>46</v>
      </c>
    </row>
    <row r="17" spans="1:40">
      <c r="A17" s="58">
        <v>11</v>
      </c>
      <c r="B17" s="60" t="s">
        <v>48</v>
      </c>
      <c r="C17" s="62">
        <f>C6*C43+C18</f>
        <v>4750</v>
      </c>
      <c r="D17" s="62">
        <f t="shared" ref="D17:K17" si="11">D6*D43+D18</f>
        <v>4750</v>
      </c>
      <c r="E17" s="62">
        <f t="shared" si="11"/>
        <v>0</v>
      </c>
      <c r="F17" s="62">
        <f t="shared" si="11"/>
        <v>0</v>
      </c>
      <c r="G17" s="62">
        <f t="shared" si="11"/>
        <v>0</v>
      </c>
      <c r="H17" s="62">
        <f t="shared" si="11"/>
        <v>0</v>
      </c>
      <c r="I17" s="62">
        <f t="shared" si="11"/>
        <v>0</v>
      </c>
      <c r="J17" s="62">
        <f t="shared" si="11"/>
        <v>0</v>
      </c>
      <c r="K17" s="62">
        <f t="shared" si="11"/>
        <v>0</v>
      </c>
      <c r="L17" s="62">
        <f>SUM(C17:K17)</f>
        <v>9500</v>
      </c>
      <c r="M17" s="77"/>
      <c r="AL17" s="60" t="s">
        <v>49</v>
      </c>
      <c r="AM17" s="60" t="s">
        <v>48</v>
      </c>
    </row>
    <row r="18" spans="1:40" s="54" customFormat="1">
      <c r="A18" s="58">
        <v>12</v>
      </c>
      <c r="B18" s="65" t="s">
        <v>154</v>
      </c>
      <c r="C18" s="66">
        <f>$L$18/$L$6*C6</f>
        <v>4750</v>
      </c>
      <c r="D18" s="66">
        <f t="shared" ref="D18:K18" si="12">$L$18/$L$6*D6</f>
        <v>4750</v>
      </c>
      <c r="E18" s="66">
        <f t="shared" si="12"/>
        <v>0</v>
      </c>
      <c r="F18" s="66">
        <f t="shared" si="12"/>
        <v>0</v>
      </c>
      <c r="G18" s="66">
        <f t="shared" si="12"/>
        <v>0</v>
      </c>
      <c r="H18" s="66">
        <f t="shared" si="12"/>
        <v>0</v>
      </c>
      <c r="I18" s="66">
        <f t="shared" si="12"/>
        <v>0</v>
      </c>
      <c r="J18" s="66">
        <f t="shared" si="12"/>
        <v>0</v>
      </c>
      <c r="K18" s="66">
        <f t="shared" si="12"/>
        <v>0</v>
      </c>
      <c r="L18" s="66">
        <f>项目投资!D26</f>
        <v>9500</v>
      </c>
      <c r="M18" s="78" t="s">
        <v>155</v>
      </c>
      <c r="N18" s="78"/>
      <c r="O18" s="78"/>
    </row>
    <row r="19" spans="1:40">
      <c r="A19" s="58">
        <v>13</v>
      </c>
      <c r="B19" s="60" t="s">
        <v>50</v>
      </c>
      <c r="C19" s="62">
        <f>C6*C44</f>
        <v>0</v>
      </c>
      <c r="D19" s="62">
        <f t="shared" ref="D19:K19" si="13">D6*D44</f>
        <v>0</v>
      </c>
      <c r="E19" s="62">
        <f t="shared" si="13"/>
        <v>0</v>
      </c>
      <c r="F19" s="62">
        <f t="shared" si="13"/>
        <v>0</v>
      </c>
      <c r="G19" s="62">
        <f t="shared" si="13"/>
        <v>0</v>
      </c>
      <c r="H19" s="62">
        <f t="shared" si="13"/>
        <v>0</v>
      </c>
      <c r="I19" s="62">
        <f t="shared" si="13"/>
        <v>0</v>
      </c>
      <c r="J19" s="62">
        <f t="shared" si="13"/>
        <v>0</v>
      </c>
      <c r="K19" s="62">
        <f t="shared" si="13"/>
        <v>0</v>
      </c>
      <c r="L19" s="62">
        <f>SUM(C19:K19)</f>
        <v>0</v>
      </c>
      <c r="M19" s="54"/>
      <c r="AL19" s="60" t="s">
        <v>51</v>
      </c>
      <c r="AM19" s="60" t="s">
        <v>50</v>
      </c>
      <c r="AN19" s="56" t="s">
        <v>24</v>
      </c>
    </row>
    <row r="20" spans="1:40">
      <c r="A20" s="58">
        <v>14</v>
      </c>
      <c r="B20" s="60" t="s">
        <v>52</v>
      </c>
      <c r="C20" s="62">
        <f>C6*C45</f>
        <v>0</v>
      </c>
      <c r="D20" s="62">
        <f t="shared" ref="D20:K20" si="14">D6*D45</f>
        <v>0</v>
      </c>
      <c r="E20" s="62">
        <f t="shared" si="14"/>
        <v>0</v>
      </c>
      <c r="F20" s="62">
        <f t="shared" si="14"/>
        <v>0</v>
      </c>
      <c r="G20" s="62">
        <f t="shared" si="14"/>
        <v>0</v>
      </c>
      <c r="H20" s="62">
        <f t="shared" si="14"/>
        <v>0</v>
      </c>
      <c r="I20" s="62">
        <f t="shared" si="14"/>
        <v>0</v>
      </c>
      <c r="J20" s="62">
        <f t="shared" si="14"/>
        <v>0</v>
      </c>
      <c r="K20" s="62">
        <f t="shared" si="14"/>
        <v>0</v>
      </c>
      <c r="L20" s="62">
        <f>SUM(C20:K20)</f>
        <v>0</v>
      </c>
      <c r="AL20" s="60" t="s">
        <v>53</v>
      </c>
      <c r="AM20" s="60" t="s">
        <v>52</v>
      </c>
    </row>
    <row r="21" spans="1:40">
      <c r="A21" s="58">
        <v>15</v>
      </c>
      <c r="B21" s="60" t="s">
        <v>54</v>
      </c>
      <c r="C21" s="67">
        <f>$L$21/$L$6*C6</f>
        <v>31000</v>
      </c>
      <c r="D21" s="67">
        <f t="shared" ref="D21:K21" si="15">$L$21/$L$6*D6</f>
        <v>31000</v>
      </c>
      <c r="E21" s="67">
        <f t="shared" si="15"/>
        <v>0</v>
      </c>
      <c r="F21" s="67">
        <f t="shared" si="15"/>
        <v>0</v>
      </c>
      <c r="G21" s="67">
        <f t="shared" si="15"/>
        <v>0</v>
      </c>
      <c r="H21" s="67">
        <f t="shared" si="15"/>
        <v>0</v>
      </c>
      <c r="I21" s="67">
        <f t="shared" si="15"/>
        <v>0</v>
      </c>
      <c r="J21" s="67">
        <f t="shared" si="15"/>
        <v>0</v>
      </c>
      <c r="K21" s="67">
        <f t="shared" si="15"/>
        <v>0</v>
      </c>
      <c r="L21" s="62">
        <f>项目投资!D27</f>
        <v>62000</v>
      </c>
      <c r="AL21" s="60"/>
      <c r="AM21" s="60"/>
    </row>
    <row r="22" spans="1:40">
      <c r="A22" s="58">
        <v>16</v>
      </c>
      <c r="B22" s="60" t="s">
        <v>55</v>
      </c>
      <c r="C22" s="62">
        <f>C6*C47</f>
        <v>204000</v>
      </c>
      <c r="D22" s="62">
        <f t="shared" ref="D22:K22" si="16">D6*D47</f>
        <v>204000</v>
      </c>
      <c r="E22" s="62">
        <f t="shared" si="16"/>
        <v>0</v>
      </c>
      <c r="F22" s="62">
        <f t="shared" si="16"/>
        <v>0</v>
      </c>
      <c r="G22" s="62">
        <f t="shared" si="16"/>
        <v>0</v>
      </c>
      <c r="H22" s="62">
        <f t="shared" si="16"/>
        <v>0</v>
      </c>
      <c r="I22" s="62">
        <f t="shared" si="16"/>
        <v>0</v>
      </c>
      <c r="J22" s="62">
        <f t="shared" si="16"/>
        <v>0</v>
      </c>
      <c r="K22" s="62">
        <f t="shared" si="16"/>
        <v>0</v>
      </c>
      <c r="L22" s="62">
        <f>+SUM(C22:K22)</f>
        <v>408000</v>
      </c>
      <c r="AL22" s="60" t="s">
        <v>56</v>
      </c>
      <c r="AM22" s="60" t="s">
        <v>55</v>
      </c>
    </row>
    <row r="23" spans="1:40">
      <c r="A23" s="58">
        <v>17</v>
      </c>
      <c r="B23" s="63" t="s">
        <v>57</v>
      </c>
      <c r="C23" s="67">
        <f>+C22+C21+C20+C19+C17</f>
        <v>239750</v>
      </c>
      <c r="D23" s="67">
        <f t="shared" ref="D23:K23" si="17">+D22+D21+D20+D19+D17</f>
        <v>239750</v>
      </c>
      <c r="E23" s="67">
        <f t="shared" si="17"/>
        <v>0</v>
      </c>
      <c r="F23" s="67">
        <f t="shared" si="17"/>
        <v>0</v>
      </c>
      <c r="G23" s="67">
        <f t="shared" si="17"/>
        <v>0</v>
      </c>
      <c r="H23" s="67">
        <f t="shared" si="17"/>
        <v>0</v>
      </c>
      <c r="I23" s="67">
        <f t="shared" si="17"/>
        <v>0</v>
      </c>
      <c r="J23" s="67">
        <f t="shared" si="17"/>
        <v>0</v>
      </c>
      <c r="K23" s="67">
        <f t="shared" si="17"/>
        <v>0</v>
      </c>
      <c r="L23" s="67">
        <f t="shared" ref="L23" si="18">+L22+L21+L20+L19+L17</f>
        <v>479500</v>
      </c>
      <c r="AL23" s="60" t="s">
        <v>58</v>
      </c>
      <c r="AM23" s="63" t="s">
        <v>57</v>
      </c>
    </row>
    <row r="24" spans="1:40">
      <c r="A24" s="58">
        <v>18</v>
      </c>
      <c r="B24" s="68" t="s">
        <v>59</v>
      </c>
      <c r="C24" s="67">
        <f>+C15-C23</f>
        <v>-2009789.9999999991</v>
      </c>
      <c r="D24" s="67">
        <f t="shared" ref="D24:K24" si="19">+D15-D23</f>
        <v>-680390</v>
      </c>
      <c r="E24" s="67">
        <f t="shared" si="19"/>
        <v>0</v>
      </c>
      <c r="F24" s="67">
        <f t="shared" si="19"/>
        <v>0</v>
      </c>
      <c r="G24" s="67">
        <f t="shared" si="19"/>
        <v>0</v>
      </c>
      <c r="H24" s="67">
        <f t="shared" si="19"/>
        <v>0</v>
      </c>
      <c r="I24" s="67">
        <f t="shared" si="19"/>
        <v>0</v>
      </c>
      <c r="J24" s="67">
        <f t="shared" si="19"/>
        <v>0</v>
      </c>
      <c r="K24" s="67">
        <f t="shared" si="19"/>
        <v>0</v>
      </c>
      <c r="L24" s="67">
        <f t="shared" ref="L24" si="20">+L15-L23</f>
        <v>-2690179.9999999991</v>
      </c>
      <c r="N24" s="79"/>
      <c r="AL24" s="60" t="s">
        <v>60</v>
      </c>
      <c r="AM24" s="60" t="s">
        <v>59</v>
      </c>
    </row>
    <row r="25" spans="1:40">
      <c r="A25" s="58">
        <v>19</v>
      </c>
      <c r="B25" s="60" t="s">
        <v>156</v>
      </c>
      <c r="C25" s="67">
        <f>IF(C24&lt;0,0,C24*0.25)</f>
        <v>0</v>
      </c>
      <c r="D25" s="67">
        <f t="shared" ref="D25:K25" si="21">IF(D24&lt;0,0,D24*0.25)</f>
        <v>0</v>
      </c>
      <c r="E25" s="67">
        <f t="shared" si="21"/>
        <v>0</v>
      </c>
      <c r="F25" s="67">
        <f t="shared" si="21"/>
        <v>0</v>
      </c>
      <c r="G25" s="67">
        <f t="shared" si="21"/>
        <v>0</v>
      </c>
      <c r="H25" s="67">
        <f t="shared" si="21"/>
        <v>0</v>
      </c>
      <c r="I25" s="67">
        <f t="shared" si="21"/>
        <v>0</v>
      </c>
      <c r="J25" s="67">
        <f t="shared" si="21"/>
        <v>0</v>
      </c>
      <c r="K25" s="67">
        <f t="shared" si="21"/>
        <v>0</v>
      </c>
      <c r="L25" s="67">
        <f>C25+D25</f>
        <v>0</v>
      </c>
      <c r="M25" s="75"/>
      <c r="N25" s="75"/>
      <c r="O25" s="75"/>
      <c r="AL25" s="60" t="s">
        <v>62</v>
      </c>
      <c r="AM25" s="60" t="s">
        <v>61</v>
      </c>
    </row>
    <row r="26" spans="1:40">
      <c r="A26" s="58">
        <v>20</v>
      </c>
      <c r="B26" s="60" t="s">
        <v>63</v>
      </c>
      <c r="C26" s="67">
        <f t="shared" ref="C26:K26" si="22">C24-C25</f>
        <v>-2009789.9999999991</v>
      </c>
      <c r="D26" s="67">
        <f t="shared" si="22"/>
        <v>-680390</v>
      </c>
      <c r="E26" s="67">
        <f t="shared" si="22"/>
        <v>0</v>
      </c>
      <c r="F26" s="67">
        <f t="shared" si="22"/>
        <v>0</v>
      </c>
      <c r="G26" s="67">
        <f t="shared" si="22"/>
        <v>0</v>
      </c>
      <c r="H26" s="67">
        <f t="shared" si="22"/>
        <v>0</v>
      </c>
      <c r="I26" s="67">
        <f t="shared" si="22"/>
        <v>0</v>
      </c>
      <c r="J26" s="67">
        <f t="shared" si="22"/>
        <v>0</v>
      </c>
      <c r="K26" s="67">
        <f t="shared" si="22"/>
        <v>0</v>
      </c>
      <c r="L26" s="62">
        <f>+SUM(C26:K26)</f>
        <v>-2690179.9999999991</v>
      </c>
      <c r="M26" s="180"/>
      <c r="N26" s="75"/>
      <c r="O26" s="75"/>
      <c r="AL26" s="60" t="s">
        <v>64</v>
      </c>
      <c r="AM26" s="60" t="s">
        <v>63</v>
      </c>
    </row>
    <row r="27" spans="1:40">
      <c r="A27" s="58">
        <v>21</v>
      </c>
      <c r="B27" s="60" t="s">
        <v>67</v>
      </c>
      <c r="C27" s="69">
        <f t="shared" ref="C27:L27" si="23">C26/C7</f>
        <v>-0.29555735294117635</v>
      </c>
      <c r="D27" s="69">
        <f t="shared" si="23"/>
        <v>-0.10005735294117647</v>
      </c>
      <c r="E27" s="69" t="e">
        <f t="shared" si="23"/>
        <v>#DIV/0!</v>
      </c>
      <c r="F27" s="69" t="e">
        <f t="shared" si="23"/>
        <v>#DIV/0!</v>
      </c>
      <c r="G27" s="69" t="e">
        <f t="shared" si="23"/>
        <v>#DIV/0!</v>
      </c>
      <c r="H27" s="69" t="e">
        <f t="shared" si="23"/>
        <v>#DIV/0!</v>
      </c>
      <c r="I27" s="69" t="e">
        <f t="shared" si="23"/>
        <v>#DIV/0!</v>
      </c>
      <c r="J27" s="69" t="e">
        <f t="shared" si="23"/>
        <v>#DIV/0!</v>
      </c>
      <c r="K27" s="69" t="e">
        <f t="shared" si="23"/>
        <v>#DIV/0!</v>
      </c>
      <c r="L27" s="69">
        <f t="shared" si="23"/>
        <v>-0.19780735294117641</v>
      </c>
      <c r="M27" s="75"/>
      <c r="N27" s="75"/>
      <c r="O27" s="75"/>
      <c r="AL27" s="60" t="s">
        <v>66</v>
      </c>
      <c r="AM27" s="60" t="s">
        <v>67</v>
      </c>
    </row>
    <row r="28" spans="1:40">
      <c r="M28" s="75"/>
      <c r="N28" s="75"/>
      <c r="O28" s="75"/>
    </row>
    <row r="29" spans="1:40">
      <c r="A29" s="56" t="s">
        <v>68</v>
      </c>
      <c r="L29" s="57" t="s">
        <v>157</v>
      </c>
      <c r="M29" s="75"/>
      <c r="N29" s="75"/>
      <c r="O29" s="75"/>
      <c r="AL29" s="56" t="s">
        <v>68</v>
      </c>
    </row>
    <row r="30" spans="1:40">
      <c r="A30" s="60" t="s">
        <v>73</v>
      </c>
      <c r="B30" s="63" t="s">
        <v>74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75"/>
      <c r="N30" s="75"/>
      <c r="O30" s="75"/>
      <c r="Q30" s="75"/>
      <c r="AL30" s="60" t="s">
        <v>75</v>
      </c>
      <c r="AM30" s="63" t="s">
        <v>74</v>
      </c>
    </row>
    <row r="31" spans="1:40">
      <c r="A31" s="70">
        <v>1</v>
      </c>
      <c r="B31" s="65" t="s">
        <v>76</v>
      </c>
      <c r="C31" s="71">
        <f>销量!C8</f>
        <v>340</v>
      </c>
      <c r="D31" s="71">
        <f>销量!D8</f>
        <v>340</v>
      </c>
      <c r="E31" s="71">
        <f>销量!E8</f>
        <v>0</v>
      </c>
      <c r="F31" s="71">
        <f>销量!F8</f>
        <v>0</v>
      </c>
      <c r="G31" s="71">
        <f>销量!G8</f>
        <v>0</v>
      </c>
      <c r="H31" s="71">
        <f>销量!H8</f>
        <v>0</v>
      </c>
      <c r="I31" s="71">
        <f>销量!I8</f>
        <v>0</v>
      </c>
      <c r="J31" s="71">
        <f>销量!J8</f>
        <v>0</v>
      </c>
      <c r="K31" s="71">
        <f>销量!K8</f>
        <v>0</v>
      </c>
      <c r="L31" s="67"/>
      <c r="M31" s="75"/>
      <c r="N31" s="75"/>
      <c r="O31" s="75"/>
      <c r="Q31" s="75"/>
      <c r="AL31" s="60" t="s">
        <v>26</v>
      </c>
      <c r="AM31" s="60" t="s">
        <v>76</v>
      </c>
    </row>
    <row r="32" spans="1:40">
      <c r="A32" s="70">
        <v>2</v>
      </c>
      <c r="B32" s="60" t="s">
        <v>158</v>
      </c>
      <c r="C32" s="62">
        <f>C31*1</f>
        <v>340</v>
      </c>
      <c r="D32" s="62">
        <f t="shared" ref="D32:G32" si="24">D31*1</f>
        <v>340</v>
      </c>
      <c r="E32" s="62">
        <f t="shared" si="24"/>
        <v>0</v>
      </c>
      <c r="F32" s="62">
        <f t="shared" si="24"/>
        <v>0</v>
      </c>
      <c r="G32" s="62">
        <f t="shared" si="24"/>
        <v>0</v>
      </c>
      <c r="H32" s="62">
        <f t="shared" ref="H32:K32" si="25">H31*1</f>
        <v>0</v>
      </c>
      <c r="I32" s="62">
        <f t="shared" si="25"/>
        <v>0</v>
      </c>
      <c r="J32" s="62">
        <f t="shared" si="25"/>
        <v>0</v>
      </c>
      <c r="K32" s="62">
        <f t="shared" si="25"/>
        <v>0</v>
      </c>
      <c r="L32" s="67"/>
      <c r="M32" s="75"/>
      <c r="N32" s="75"/>
      <c r="O32" s="75"/>
      <c r="P32" s="75"/>
      <c r="Q32" s="75"/>
      <c r="R32" s="75"/>
      <c r="S32" s="75"/>
      <c r="AL32" s="60"/>
      <c r="AM32" s="60"/>
    </row>
    <row r="33" spans="1:39">
      <c r="A33" s="70">
        <v>3</v>
      </c>
      <c r="B33" s="65" t="s">
        <v>77</v>
      </c>
      <c r="C33" s="62">
        <f>材料成本!H39</f>
        <v>395.59</v>
      </c>
      <c r="D33" s="62">
        <f>材料成本!H40</f>
        <v>329.12</v>
      </c>
      <c r="E33" s="62">
        <f>材料成本!H41</f>
        <v>0</v>
      </c>
      <c r="F33" s="62">
        <f>材料成本!H42</f>
        <v>0</v>
      </c>
      <c r="G33" s="62">
        <f>材料成本!H43</f>
        <v>0</v>
      </c>
      <c r="H33" s="62">
        <f>材料成本!H44</f>
        <v>0</v>
      </c>
      <c r="I33" s="62">
        <f>材料成本!H45</f>
        <v>0</v>
      </c>
      <c r="J33" s="62">
        <f>材料成本!H46</f>
        <v>0</v>
      </c>
      <c r="K33" s="62">
        <f>材料成本!H47</f>
        <v>0</v>
      </c>
      <c r="L33" s="67"/>
      <c r="N33" s="75"/>
      <c r="O33" s="75"/>
      <c r="P33" s="75"/>
      <c r="Q33" s="75"/>
      <c r="R33" s="75"/>
      <c r="S33" s="75"/>
      <c r="AL33" s="60" t="s">
        <v>28</v>
      </c>
      <c r="AM33" s="60" t="s">
        <v>77</v>
      </c>
    </row>
    <row r="34" spans="1:39" ht="17.25" customHeight="1">
      <c r="A34" s="70">
        <v>4</v>
      </c>
      <c r="B34" s="60" t="s">
        <v>79</v>
      </c>
      <c r="C34" s="72">
        <f>C32-C33</f>
        <v>-55.589999999999975</v>
      </c>
      <c r="D34" s="72">
        <f t="shared" ref="D34:K34" si="26">D32-D33</f>
        <v>10.879999999999995</v>
      </c>
      <c r="E34" s="72">
        <f t="shared" si="26"/>
        <v>0</v>
      </c>
      <c r="F34" s="72">
        <f t="shared" si="26"/>
        <v>0</v>
      </c>
      <c r="G34" s="72">
        <f t="shared" si="26"/>
        <v>0</v>
      </c>
      <c r="H34" s="72">
        <f t="shared" si="26"/>
        <v>0</v>
      </c>
      <c r="I34" s="72">
        <f t="shared" si="26"/>
        <v>0</v>
      </c>
      <c r="J34" s="72">
        <f t="shared" si="26"/>
        <v>0</v>
      </c>
      <c r="K34" s="72">
        <f t="shared" si="26"/>
        <v>0</v>
      </c>
      <c r="L34" s="67"/>
      <c r="N34" s="75"/>
      <c r="O34" s="75"/>
      <c r="P34" s="75"/>
      <c r="Q34" s="75"/>
      <c r="R34" s="75"/>
      <c r="S34" s="75"/>
      <c r="AL34" s="60" t="s">
        <v>78</v>
      </c>
      <c r="AM34" s="60" t="s">
        <v>79</v>
      </c>
    </row>
    <row r="35" spans="1:39">
      <c r="A35" s="60" t="s">
        <v>75</v>
      </c>
      <c r="B35" s="63" t="s">
        <v>10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75"/>
      <c r="N35" s="75"/>
      <c r="O35" s="75"/>
      <c r="P35" s="75"/>
      <c r="Q35" s="75"/>
      <c r="R35" s="75"/>
      <c r="S35" s="75"/>
      <c r="T35" s="75"/>
      <c r="U35" s="75"/>
      <c r="V35" s="75"/>
      <c r="AL35" s="60" t="s">
        <v>81</v>
      </c>
      <c r="AM35" s="63" t="s">
        <v>10</v>
      </c>
    </row>
    <row r="36" spans="1:39">
      <c r="A36" s="70">
        <v>1</v>
      </c>
      <c r="B36" s="60" t="s">
        <v>82</v>
      </c>
      <c r="C36" s="66">
        <f>标准成本!E4</f>
        <v>14.654</v>
      </c>
      <c r="D36" s="66">
        <f>标准成本!E17</f>
        <v>14.654</v>
      </c>
      <c r="E36" s="66">
        <v>59.48</v>
      </c>
      <c r="F36" s="66">
        <v>38.79</v>
      </c>
      <c r="G36" s="66">
        <v>36.64</v>
      </c>
      <c r="H36" s="66">
        <v>29.09</v>
      </c>
      <c r="I36" s="66">
        <v>4.53</v>
      </c>
      <c r="J36" s="66">
        <f t="shared" ref="J36:K38" si="27">I36</f>
        <v>4.53</v>
      </c>
      <c r="K36" s="66">
        <f t="shared" si="27"/>
        <v>4.53</v>
      </c>
      <c r="L36" s="71"/>
      <c r="M36" s="75"/>
      <c r="N36" s="75"/>
      <c r="O36" s="75"/>
      <c r="P36" s="75"/>
      <c r="Q36" s="75"/>
      <c r="R36" s="75"/>
      <c r="S36" s="75"/>
      <c r="T36" s="75"/>
      <c r="U36" s="75"/>
      <c r="V36" s="75"/>
      <c r="AL36" s="60" t="s">
        <v>78</v>
      </c>
      <c r="AM36" s="60" t="s">
        <v>82</v>
      </c>
    </row>
    <row r="37" spans="1:39">
      <c r="A37" s="70">
        <v>2</v>
      </c>
      <c r="B37" s="60" t="s">
        <v>83</v>
      </c>
      <c r="C37" s="66">
        <f>标准成本!E6</f>
        <v>7.3780000000000001</v>
      </c>
      <c r="D37" s="66">
        <f>标准成本!E19</f>
        <v>7.3780000000000001</v>
      </c>
      <c r="E37" s="66">
        <v>29.95</v>
      </c>
      <c r="F37" s="66">
        <v>19.53</v>
      </c>
      <c r="G37" s="66">
        <v>18.45</v>
      </c>
      <c r="H37" s="66">
        <v>14.25</v>
      </c>
      <c r="I37" s="66">
        <v>2.2799999999999998</v>
      </c>
      <c r="J37" s="66">
        <f t="shared" si="27"/>
        <v>2.2799999999999998</v>
      </c>
      <c r="K37" s="66">
        <f t="shared" si="27"/>
        <v>2.2799999999999998</v>
      </c>
      <c r="L37" s="71"/>
      <c r="M37" s="75"/>
      <c r="N37" s="75"/>
      <c r="O37" s="75"/>
      <c r="P37" s="75"/>
      <c r="Q37" s="75"/>
      <c r="R37" s="75"/>
      <c r="S37" s="75"/>
      <c r="T37" s="75"/>
      <c r="U37" s="75"/>
      <c r="V37" s="75"/>
      <c r="AL37" s="60" t="s">
        <v>31</v>
      </c>
      <c r="AM37" s="60" t="s">
        <v>83</v>
      </c>
    </row>
    <row r="38" spans="1:39">
      <c r="A38" s="70">
        <v>3</v>
      </c>
      <c r="B38" s="60" t="s">
        <v>84</v>
      </c>
      <c r="C38" s="66">
        <f>标准成本!E10</f>
        <v>10.88</v>
      </c>
      <c r="D38" s="66">
        <f>标准成本!E23</f>
        <v>10.88</v>
      </c>
      <c r="E38" s="66">
        <v>44.16</v>
      </c>
      <c r="F38" s="66">
        <v>28.8</v>
      </c>
      <c r="G38" s="66">
        <v>27.2</v>
      </c>
      <c r="H38" s="66">
        <v>21.6</v>
      </c>
      <c r="I38" s="66">
        <v>3.36</v>
      </c>
      <c r="J38" s="66">
        <f t="shared" si="27"/>
        <v>3.36</v>
      </c>
      <c r="K38" s="66">
        <f t="shared" si="27"/>
        <v>3.36</v>
      </c>
      <c r="L38" s="71"/>
      <c r="M38" s="75"/>
      <c r="N38" s="75"/>
      <c r="O38" s="75"/>
      <c r="P38" s="75"/>
      <c r="Q38" s="75"/>
      <c r="R38" s="75"/>
      <c r="S38" s="75"/>
      <c r="T38" s="75"/>
      <c r="U38" s="75"/>
      <c r="V38" s="75"/>
      <c r="AL38" s="60" t="s">
        <v>37</v>
      </c>
      <c r="AM38" s="60" t="s">
        <v>84</v>
      </c>
    </row>
    <row r="39" spans="1:39">
      <c r="A39" s="60" t="s">
        <v>81</v>
      </c>
      <c r="B39" s="63" t="s">
        <v>86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AL39" s="60" t="s">
        <v>85</v>
      </c>
      <c r="AM39" s="63" t="s">
        <v>86</v>
      </c>
    </row>
    <row r="40" spans="1:39">
      <c r="A40" s="70">
        <v>1</v>
      </c>
      <c r="B40" s="60" t="s">
        <v>88</v>
      </c>
      <c r="C40" s="67">
        <f>C34-C36-C37-C38</f>
        <v>-88.501999999999967</v>
      </c>
      <c r="D40" s="67">
        <f t="shared" ref="D40:K40" si="28">D34-D36-D37-D38</f>
        <v>-22.032000000000004</v>
      </c>
      <c r="E40" s="67">
        <f t="shared" si="28"/>
        <v>-133.58999999999997</v>
      </c>
      <c r="F40" s="67">
        <f t="shared" si="28"/>
        <v>-87.12</v>
      </c>
      <c r="G40" s="67">
        <f t="shared" si="28"/>
        <v>-82.29</v>
      </c>
      <c r="H40" s="67">
        <f t="shared" si="28"/>
        <v>-64.94</v>
      </c>
      <c r="I40" s="67">
        <f t="shared" si="28"/>
        <v>-10.17</v>
      </c>
      <c r="J40" s="67">
        <f t="shared" si="28"/>
        <v>-10.17</v>
      </c>
      <c r="K40" s="67">
        <f t="shared" si="28"/>
        <v>-10.17</v>
      </c>
      <c r="L40" s="67"/>
      <c r="AL40" s="60" t="s">
        <v>26</v>
      </c>
      <c r="AM40" s="60" t="s">
        <v>88</v>
      </c>
    </row>
    <row r="41" spans="1:39">
      <c r="A41" s="70">
        <v>2</v>
      </c>
      <c r="B41" s="60" t="s">
        <v>89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AL41" s="60" t="s">
        <v>28</v>
      </c>
      <c r="AM41" s="60" t="s">
        <v>89</v>
      </c>
    </row>
    <row r="42" spans="1:39">
      <c r="A42" s="60" t="s">
        <v>85</v>
      </c>
      <c r="B42" s="63" t="s">
        <v>91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AL42" s="60" t="s">
        <v>90</v>
      </c>
      <c r="AM42" s="63" t="s">
        <v>91</v>
      </c>
    </row>
    <row r="43" spans="1:39">
      <c r="A43" s="70">
        <v>1</v>
      </c>
      <c r="B43" s="68" t="s">
        <v>92</v>
      </c>
      <c r="C43" s="66">
        <f>标准成本!E5</f>
        <v>0</v>
      </c>
      <c r="D43" s="66">
        <f>标准成本!E18</f>
        <v>0</v>
      </c>
      <c r="E43" s="66">
        <v>55.75</v>
      </c>
      <c r="F43" s="66">
        <v>36.36</v>
      </c>
      <c r="G43" s="66">
        <v>34.340000000000003</v>
      </c>
      <c r="H43" s="66">
        <v>27.27</v>
      </c>
      <c r="I43" s="66">
        <v>4.24</v>
      </c>
      <c r="J43" s="66">
        <f t="shared" ref="J43:J45" si="29">I43</f>
        <v>4.24</v>
      </c>
      <c r="K43" s="66">
        <f t="shared" ref="K43:K45" si="30">J43</f>
        <v>4.24</v>
      </c>
      <c r="L43" s="67"/>
      <c r="AL43" s="60" t="s">
        <v>26</v>
      </c>
      <c r="AM43" s="60" t="s">
        <v>92</v>
      </c>
    </row>
    <row r="44" spans="1:39">
      <c r="A44" s="70">
        <v>2</v>
      </c>
      <c r="B44" s="68" t="s">
        <v>93</v>
      </c>
      <c r="C44" s="66">
        <f>标准成本!E9</f>
        <v>0</v>
      </c>
      <c r="D44" s="66">
        <f>标准成本!E22</f>
        <v>0</v>
      </c>
      <c r="E44" s="66">
        <v>7.31</v>
      </c>
      <c r="F44" s="66">
        <v>4.7699999999999996</v>
      </c>
      <c r="G44" s="66">
        <v>4.51</v>
      </c>
      <c r="H44" s="66">
        <v>3.58</v>
      </c>
      <c r="I44" s="66">
        <v>0.56000000000000005</v>
      </c>
      <c r="J44" s="66">
        <f t="shared" si="29"/>
        <v>0.56000000000000005</v>
      </c>
      <c r="K44" s="66">
        <f t="shared" si="30"/>
        <v>0.56000000000000005</v>
      </c>
      <c r="L44" s="67"/>
      <c r="AL44" s="60" t="s">
        <v>28</v>
      </c>
      <c r="AM44" s="60" t="s">
        <v>93</v>
      </c>
    </row>
    <row r="45" spans="1:39">
      <c r="A45" s="70">
        <v>3</v>
      </c>
      <c r="B45" s="68" t="s">
        <v>94</v>
      </c>
      <c r="C45" s="66">
        <f>标准成本!E8</f>
        <v>0</v>
      </c>
      <c r="D45" s="66">
        <f>标准成本!E21</f>
        <v>0</v>
      </c>
      <c r="E45" s="66">
        <v>37.54</v>
      </c>
      <c r="F45" s="66">
        <v>24.48</v>
      </c>
      <c r="G45" s="66">
        <v>23.12</v>
      </c>
      <c r="H45" s="66">
        <v>18.36</v>
      </c>
      <c r="I45" s="66">
        <v>2.86</v>
      </c>
      <c r="J45" s="66">
        <f t="shared" si="29"/>
        <v>2.86</v>
      </c>
      <c r="K45" s="66">
        <f t="shared" si="30"/>
        <v>2.86</v>
      </c>
      <c r="L45" s="67"/>
      <c r="AL45" s="60" t="s">
        <v>78</v>
      </c>
      <c r="AM45" s="60" t="s">
        <v>94</v>
      </c>
    </row>
    <row r="46" spans="1:39" s="55" customFormat="1">
      <c r="A46" s="70">
        <v>4</v>
      </c>
      <c r="B46" s="68" t="s">
        <v>95</v>
      </c>
      <c r="C46" s="73">
        <f>C21/C6</f>
        <v>1.55</v>
      </c>
      <c r="D46" s="73">
        <f t="shared" ref="D46:K46" si="31">D21/D6</f>
        <v>1.55</v>
      </c>
      <c r="E46" s="73" t="e">
        <f t="shared" si="31"/>
        <v>#DIV/0!</v>
      </c>
      <c r="F46" s="73" t="e">
        <f t="shared" si="31"/>
        <v>#DIV/0!</v>
      </c>
      <c r="G46" s="73" t="e">
        <f t="shared" si="31"/>
        <v>#DIV/0!</v>
      </c>
      <c r="H46" s="73" t="e">
        <f t="shared" si="31"/>
        <v>#DIV/0!</v>
      </c>
      <c r="I46" s="73" t="e">
        <f t="shared" si="31"/>
        <v>#DIV/0!</v>
      </c>
      <c r="J46" s="73" t="e">
        <f t="shared" si="31"/>
        <v>#DIV/0!</v>
      </c>
      <c r="K46" s="73" t="e">
        <f t="shared" si="31"/>
        <v>#DIV/0!</v>
      </c>
      <c r="L46" s="73"/>
      <c r="AL46" s="68" t="s">
        <v>34</v>
      </c>
      <c r="AM46" s="68" t="s">
        <v>97</v>
      </c>
    </row>
    <row r="47" spans="1:39" s="55" customFormat="1">
      <c r="A47" s="70">
        <v>5</v>
      </c>
      <c r="B47" s="68" t="s">
        <v>97</v>
      </c>
      <c r="C47" s="73">
        <f>标准成本!E11</f>
        <v>10.199999999999999</v>
      </c>
      <c r="D47" s="73">
        <f>标准成本!E24</f>
        <v>10.199999999999999</v>
      </c>
      <c r="E47" s="73">
        <v>41.4</v>
      </c>
      <c r="F47" s="73">
        <v>27</v>
      </c>
      <c r="G47" s="73">
        <v>25.5</v>
      </c>
      <c r="H47" s="73">
        <v>20.5</v>
      </c>
      <c r="I47" s="73">
        <v>3.15</v>
      </c>
      <c r="J47" s="73">
        <f>I47</f>
        <v>3.15</v>
      </c>
      <c r="K47" s="73">
        <f>J47</f>
        <v>3.15</v>
      </c>
      <c r="L47" s="73"/>
      <c r="AL47" s="68" t="s">
        <v>34</v>
      </c>
      <c r="AM47" s="68" t="s">
        <v>97</v>
      </c>
    </row>
    <row r="48" spans="1:39">
      <c r="A48" s="60" t="s">
        <v>90</v>
      </c>
      <c r="B48" s="63" t="s">
        <v>108</v>
      </c>
      <c r="C48" s="67">
        <f>C40-C43-C44-C45-C47-C46</f>
        <v>-100.25199999999997</v>
      </c>
      <c r="D48" s="67">
        <f t="shared" ref="D48:I48" si="32">D40-D43-D44-D45-D47-D46</f>
        <v>-33.781999999999996</v>
      </c>
      <c r="E48" s="67" t="e">
        <f t="shared" si="32"/>
        <v>#DIV/0!</v>
      </c>
      <c r="F48" s="67" t="e">
        <f t="shared" si="32"/>
        <v>#DIV/0!</v>
      </c>
      <c r="G48" s="67" t="e">
        <f t="shared" si="32"/>
        <v>#DIV/0!</v>
      </c>
      <c r="H48" s="67" t="e">
        <f t="shared" si="32"/>
        <v>#DIV/0!</v>
      </c>
      <c r="I48" s="67" t="e">
        <f t="shared" si="32"/>
        <v>#DIV/0!</v>
      </c>
      <c r="J48" s="67" t="e">
        <f t="shared" ref="J48:K48" si="33">J40-J43-J44-J45-J47-J46</f>
        <v>#DIV/0!</v>
      </c>
      <c r="K48" s="67" t="e">
        <f t="shared" si="33"/>
        <v>#DIV/0!</v>
      </c>
      <c r="L48" s="67"/>
      <c r="AL48" s="60" t="s">
        <v>107</v>
      </c>
      <c r="AM48" s="63" t="s">
        <v>108</v>
      </c>
    </row>
    <row r="51" spans="2:17">
      <c r="C51" s="74"/>
      <c r="D51" s="74"/>
      <c r="E51" s="74"/>
      <c r="F51" s="74"/>
      <c r="G51" s="74"/>
      <c r="H51" s="74"/>
      <c r="I51" s="74"/>
      <c r="J51" s="74"/>
      <c r="K51" s="74"/>
    </row>
    <row r="54" spans="2:17"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5"/>
      <c r="N54" s="75"/>
      <c r="O54" s="75"/>
      <c r="P54" s="75"/>
      <c r="Q54" s="75"/>
    </row>
    <row r="55" spans="2:17"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5"/>
      <c r="N55" s="75"/>
      <c r="O55" s="75"/>
      <c r="P55" s="75"/>
      <c r="Q55" s="75"/>
    </row>
    <row r="56" spans="2:17">
      <c r="B56" s="75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5"/>
      <c r="N56" s="75"/>
      <c r="O56" s="75"/>
      <c r="P56" s="75"/>
      <c r="Q56" s="75"/>
    </row>
    <row r="57" spans="2:17">
      <c r="B57" s="75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5"/>
      <c r="N57" s="75"/>
      <c r="O57" s="75"/>
      <c r="P57" s="75"/>
      <c r="Q57" s="75"/>
    </row>
    <row r="58" spans="2:17"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5"/>
      <c r="N58" s="75"/>
      <c r="O58" s="75"/>
      <c r="P58" s="75"/>
      <c r="Q58" s="75"/>
    </row>
    <row r="59" spans="2:17">
      <c r="B59" s="75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5"/>
      <c r="N59" s="75"/>
      <c r="O59" s="75"/>
      <c r="P59" s="75"/>
      <c r="Q59" s="75"/>
    </row>
    <row r="60" spans="2:17"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5"/>
      <c r="N60" s="75"/>
      <c r="O60" s="75"/>
      <c r="P60" s="75"/>
      <c r="Q60" s="75"/>
    </row>
    <row r="61" spans="2:17">
      <c r="B61" s="75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5"/>
      <c r="N61" s="75"/>
      <c r="O61" s="75"/>
      <c r="P61" s="75"/>
      <c r="Q61" s="75"/>
    </row>
    <row r="62" spans="2:17"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5"/>
      <c r="N62" s="75"/>
      <c r="O62" s="75"/>
      <c r="P62" s="75"/>
      <c r="Q62" s="75"/>
    </row>
    <row r="63" spans="2:17"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5"/>
      <c r="N63" s="75"/>
      <c r="O63" s="75"/>
      <c r="P63" s="75"/>
      <c r="Q63" s="75"/>
    </row>
    <row r="64" spans="2:17"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5"/>
      <c r="N64" s="75"/>
      <c r="O64" s="75"/>
      <c r="P64" s="75"/>
      <c r="Q64" s="75"/>
    </row>
    <row r="65" spans="2:17">
      <c r="B65" s="7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5"/>
      <c r="N65" s="75"/>
      <c r="O65" s="75"/>
      <c r="P65" s="75"/>
      <c r="Q65" s="75"/>
    </row>
    <row r="66" spans="2:17">
      <c r="B66" s="75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5"/>
      <c r="N66" s="75"/>
      <c r="O66" s="75"/>
      <c r="P66" s="75"/>
      <c r="Q66" s="75"/>
    </row>
    <row r="67" spans="2:17"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5"/>
    </row>
    <row r="68" spans="2:17"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5"/>
    </row>
    <row r="69" spans="2:17">
      <c r="B69" s="75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5"/>
    </row>
    <row r="70" spans="2:17">
      <c r="B70" s="75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5"/>
    </row>
    <row r="71" spans="2:17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5"/>
    </row>
    <row r="72" spans="2:17">
      <c r="B72" s="75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5"/>
    </row>
    <row r="73" spans="2:17">
      <c r="B73" s="75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5"/>
    </row>
    <row r="74" spans="2:17">
      <c r="B74" s="75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5"/>
    </row>
  </sheetData>
  <mergeCells count="8">
    <mergeCell ref="A4:B4"/>
    <mergeCell ref="A5:B5"/>
    <mergeCell ref="L3:L5"/>
    <mergeCell ref="A1:B1"/>
    <mergeCell ref="C1:L1"/>
    <mergeCell ref="A2:B2"/>
    <mergeCell ref="C2:L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8" activePane="bottomRight" state="frozen"/>
      <selection pane="topRight"/>
      <selection pane="bottomLeft"/>
      <selection pane="bottomRight" activeCell="L27" sqref="L27"/>
    </sheetView>
  </sheetViews>
  <sheetFormatPr defaultColWidth="9" defaultRowHeight="16.5"/>
  <cols>
    <col min="1" max="1" width="5.125" style="56" customWidth="1"/>
    <col min="2" max="2" width="17.5" style="56" customWidth="1"/>
    <col min="3" max="3" width="14.875" style="57" bestFit="1" customWidth="1"/>
    <col min="4" max="4" width="13.25" style="57" customWidth="1"/>
    <col min="5" max="7" width="13.25" style="57" hidden="1" customWidth="1"/>
    <col min="8" max="11" width="15.5" style="57" hidden="1" customWidth="1"/>
    <col min="12" max="12" width="18.75" style="57" customWidth="1"/>
    <col min="13" max="13" width="12.375" style="56" customWidth="1"/>
    <col min="14" max="14" width="16.125" style="56" bestFit="1" customWidth="1"/>
    <col min="15" max="21" width="9" style="56" customWidth="1"/>
    <col min="22" max="38" width="9" style="56"/>
    <col min="39" max="39" width="4.375" style="56" customWidth="1"/>
    <col min="40" max="40" width="13.875" style="56" customWidth="1"/>
    <col min="41" max="16384" width="9" style="56"/>
  </cols>
  <sheetData>
    <row r="1" spans="1:41">
      <c r="A1" s="209" t="s">
        <v>148</v>
      </c>
      <c r="B1" s="209"/>
      <c r="C1" s="213" t="s">
        <v>281</v>
      </c>
      <c r="D1" s="214"/>
      <c r="E1" s="214"/>
      <c r="F1" s="214"/>
      <c r="G1" s="214"/>
      <c r="H1" s="214"/>
      <c r="I1" s="214"/>
      <c r="J1" s="214"/>
      <c r="K1" s="214"/>
      <c r="L1" s="215"/>
    </row>
    <row r="2" spans="1:41">
      <c r="A2" s="209" t="s">
        <v>149</v>
      </c>
      <c r="B2" s="209"/>
      <c r="C2" s="216" t="s">
        <v>270</v>
      </c>
      <c r="D2" s="216"/>
      <c r="E2" s="216"/>
      <c r="F2" s="216"/>
      <c r="G2" s="216"/>
      <c r="H2" s="216"/>
      <c r="I2" s="216"/>
      <c r="J2" s="216"/>
      <c r="K2" s="216"/>
      <c r="L2" s="216"/>
    </row>
    <row r="3" spans="1:41" ht="33">
      <c r="A3" s="209" t="s">
        <v>150</v>
      </c>
      <c r="B3" s="209"/>
      <c r="C3" s="192" t="s">
        <v>271</v>
      </c>
      <c r="D3" s="192" t="s">
        <v>273</v>
      </c>
      <c r="E3" s="182"/>
      <c r="F3" s="183"/>
      <c r="G3" s="182"/>
      <c r="H3" s="182"/>
      <c r="I3" s="182"/>
      <c r="J3" s="175"/>
      <c r="K3" s="175"/>
      <c r="L3" s="210" t="s">
        <v>22</v>
      </c>
    </row>
    <row r="4" spans="1:41" ht="33">
      <c r="A4" s="209" t="s">
        <v>151</v>
      </c>
      <c r="B4" s="209"/>
      <c r="C4" s="193" t="s">
        <v>272</v>
      </c>
      <c r="D4" s="193" t="s">
        <v>274</v>
      </c>
      <c r="E4" s="184"/>
      <c r="F4" s="167"/>
      <c r="G4" s="184"/>
      <c r="H4" s="184"/>
      <c r="I4" s="184"/>
      <c r="J4" s="175"/>
      <c r="K4" s="175"/>
      <c r="L4" s="211"/>
    </row>
    <row r="5" spans="1:41">
      <c r="A5" s="209" t="s">
        <v>152</v>
      </c>
      <c r="B5" s="209"/>
      <c r="C5" s="59"/>
      <c r="D5" s="59"/>
      <c r="E5" s="59"/>
      <c r="F5" s="59"/>
      <c r="G5" s="59"/>
      <c r="H5" s="59"/>
      <c r="I5" s="59"/>
      <c r="J5" s="59"/>
      <c r="K5" s="59"/>
      <c r="L5" s="212"/>
      <c r="AO5" s="56" t="s">
        <v>23</v>
      </c>
    </row>
    <row r="6" spans="1:41" ht="17.25">
      <c r="A6" s="60" t="s">
        <v>19</v>
      </c>
      <c r="B6" s="61" t="s">
        <v>153</v>
      </c>
      <c r="C6" s="28">
        <f>销量!C10</f>
        <v>20000</v>
      </c>
      <c r="D6" s="28">
        <f>销量!D10</f>
        <v>20000</v>
      </c>
      <c r="E6" s="28">
        <f>销量!E10</f>
        <v>0</v>
      </c>
      <c r="F6" s="28">
        <f>销量!F10</f>
        <v>0</v>
      </c>
      <c r="G6" s="28">
        <f>销量!G10</f>
        <v>0</v>
      </c>
      <c r="H6" s="28">
        <f>销量!H10</f>
        <v>0</v>
      </c>
      <c r="I6" s="28">
        <f>销量!I10</f>
        <v>0</v>
      </c>
      <c r="J6" s="28">
        <f>销量!J10</f>
        <v>0</v>
      </c>
      <c r="K6" s="28">
        <f>销量!K10</f>
        <v>0</v>
      </c>
      <c r="L6" s="62">
        <f t="shared" ref="L6:L15" si="0">+SUM(C6:K6)</f>
        <v>40000</v>
      </c>
      <c r="W6" s="61" t="s">
        <v>3</v>
      </c>
      <c r="AM6" s="60" t="s">
        <v>19</v>
      </c>
      <c r="AN6" s="61" t="s">
        <v>3</v>
      </c>
      <c r="AO6" s="56" t="s">
        <v>24</v>
      </c>
    </row>
    <row r="7" spans="1:41">
      <c r="A7" s="166">
        <v>1</v>
      </c>
      <c r="B7" s="61" t="s">
        <v>25</v>
      </c>
      <c r="C7" s="62">
        <f>C6*C31</f>
        <v>6800000</v>
      </c>
      <c r="D7" s="62">
        <f t="shared" ref="D7:I7" si="1">D6*D31</f>
        <v>6800000</v>
      </c>
      <c r="E7" s="62">
        <f t="shared" si="1"/>
        <v>0</v>
      </c>
      <c r="F7" s="62">
        <f t="shared" si="1"/>
        <v>0</v>
      </c>
      <c r="G7" s="62">
        <f t="shared" si="1"/>
        <v>0</v>
      </c>
      <c r="H7" s="62">
        <f t="shared" si="1"/>
        <v>0</v>
      </c>
      <c r="I7" s="62">
        <f t="shared" si="1"/>
        <v>0</v>
      </c>
      <c r="J7" s="62">
        <f>J6*销量!J8</f>
        <v>0</v>
      </c>
      <c r="K7" s="62">
        <f>K6*销量!K8</f>
        <v>0</v>
      </c>
      <c r="L7" s="62">
        <f t="shared" si="0"/>
        <v>13600000</v>
      </c>
      <c r="M7" s="57"/>
      <c r="W7" s="61" t="s">
        <v>25</v>
      </c>
      <c r="AM7" s="60" t="s">
        <v>26</v>
      </c>
      <c r="AN7" s="61" t="s">
        <v>25</v>
      </c>
      <c r="AO7" s="56" t="s">
        <v>24</v>
      </c>
    </row>
    <row r="8" spans="1:41">
      <c r="A8" s="166">
        <v>2</v>
      </c>
      <c r="B8" s="166" t="s">
        <v>27</v>
      </c>
      <c r="C8" s="62">
        <f>C7*(1-销量!$P$7)</f>
        <v>0</v>
      </c>
      <c r="D8" s="62">
        <f>D7*(1-销量!$P$7)</f>
        <v>0</v>
      </c>
      <c r="E8" s="62">
        <f>E7*(1-销量!$P$7)</f>
        <v>0</v>
      </c>
      <c r="F8" s="62">
        <f>F7*(1-销量!$P$7)</f>
        <v>0</v>
      </c>
      <c r="G8" s="62">
        <f>G7*(1-销量!$P$7)</f>
        <v>0</v>
      </c>
      <c r="H8" s="62">
        <f>H7*(1-销量!$P$7)</f>
        <v>0</v>
      </c>
      <c r="I8" s="62">
        <f>I7*(1-销量!$P$7)</f>
        <v>0</v>
      </c>
      <c r="J8" s="62">
        <f>J7*(1-销量!$P$7)</f>
        <v>0</v>
      </c>
      <c r="K8" s="62">
        <f>K7*(1-销量!$P$7)</f>
        <v>0</v>
      </c>
      <c r="L8" s="62">
        <f t="shared" si="0"/>
        <v>0</v>
      </c>
      <c r="M8" s="77"/>
      <c r="W8" s="166" t="s">
        <v>29</v>
      </c>
      <c r="AM8" s="60" t="s">
        <v>28</v>
      </c>
      <c r="AN8" s="166" t="s">
        <v>29</v>
      </c>
      <c r="AO8" s="56" t="s">
        <v>24</v>
      </c>
    </row>
    <row r="9" spans="1:41">
      <c r="A9" s="166">
        <v>3</v>
      </c>
      <c r="B9" s="61" t="s">
        <v>30</v>
      </c>
      <c r="C9" s="62">
        <f>+C7-C8</f>
        <v>6800000</v>
      </c>
      <c r="D9" s="62">
        <f t="shared" ref="D9:K9" si="2">+D7-D8</f>
        <v>6800000</v>
      </c>
      <c r="E9" s="62">
        <f t="shared" si="2"/>
        <v>0</v>
      </c>
      <c r="F9" s="62">
        <f t="shared" si="2"/>
        <v>0</v>
      </c>
      <c r="G9" s="62">
        <f t="shared" si="2"/>
        <v>0</v>
      </c>
      <c r="H9" s="62">
        <f t="shared" si="2"/>
        <v>0</v>
      </c>
      <c r="I9" s="62">
        <f t="shared" si="2"/>
        <v>0</v>
      </c>
      <c r="J9" s="62">
        <f t="shared" si="2"/>
        <v>0</v>
      </c>
      <c r="K9" s="62">
        <f t="shared" si="2"/>
        <v>0</v>
      </c>
      <c r="L9" s="62">
        <f t="shared" si="0"/>
        <v>13600000</v>
      </c>
      <c r="W9" s="61" t="s">
        <v>30</v>
      </c>
      <c r="AM9" s="60" t="s">
        <v>31</v>
      </c>
      <c r="AN9" s="61" t="s">
        <v>30</v>
      </c>
      <c r="AO9" s="56" t="s">
        <v>32</v>
      </c>
    </row>
    <row r="10" spans="1:41">
      <c r="A10" s="166">
        <v>4</v>
      </c>
      <c r="B10" s="60" t="s">
        <v>33</v>
      </c>
      <c r="C10" s="62">
        <f>C6*C33</f>
        <v>7911799.9999999991</v>
      </c>
      <c r="D10" s="62">
        <f t="shared" ref="D10:K10" si="3">D6*D33</f>
        <v>6582400</v>
      </c>
      <c r="E10" s="62">
        <f t="shared" si="3"/>
        <v>0</v>
      </c>
      <c r="F10" s="62">
        <f t="shared" si="3"/>
        <v>0</v>
      </c>
      <c r="G10" s="62">
        <f t="shared" si="3"/>
        <v>0</v>
      </c>
      <c r="H10" s="62">
        <f t="shared" si="3"/>
        <v>0</v>
      </c>
      <c r="I10" s="62">
        <f t="shared" si="3"/>
        <v>0</v>
      </c>
      <c r="J10" s="62">
        <f t="shared" si="3"/>
        <v>0</v>
      </c>
      <c r="K10" s="62">
        <f t="shared" si="3"/>
        <v>0</v>
      </c>
      <c r="L10" s="62">
        <f t="shared" si="0"/>
        <v>14494200</v>
      </c>
      <c r="W10" s="60" t="s">
        <v>33</v>
      </c>
      <c r="AM10" s="60" t="s">
        <v>34</v>
      </c>
      <c r="AN10" s="60" t="s">
        <v>33</v>
      </c>
      <c r="AO10" s="56" t="s">
        <v>35</v>
      </c>
    </row>
    <row r="11" spans="1:41">
      <c r="A11" s="166">
        <v>5</v>
      </c>
      <c r="B11" s="60" t="s">
        <v>36</v>
      </c>
      <c r="C11" s="62">
        <f>+C6*C36</f>
        <v>293080</v>
      </c>
      <c r="D11" s="62">
        <f t="shared" ref="D11:K11" si="4">+D6*D36</f>
        <v>293080</v>
      </c>
      <c r="E11" s="62">
        <f t="shared" si="4"/>
        <v>0</v>
      </c>
      <c r="F11" s="62">
        <f t="shared" si="4"/>
        <v>0</v>
      </c>
      <c r="G11" s="62">
        <f t="shared" si="4"/>
        <v>0</v>
      </c>
      <c r="H11" s="62">
        <f t="shared" si="4"/>
        <v>0</v>
      </c>
      <c r="I11" s="62">
        <f t="shared" si="4"/>
        <v>0</v>
      </c>
      <c r="J11" s="62">
        <f t="shared" si="4"/>
        <v>0</v>
      </c>
      <c r="K11" s="62">
        <f t="shared" si="4"/>
        <v>0</v>
      </c>
      <c r="L11" s="62">
        <f t="shared" si="0"/>
        <v>586160</v>
      </c>
      <c r="W11" s="60" t="s">
        <v>36</v>
      </c>
      <c r="AM11" s="60" t="s">
        <v>37</v>
      </c>
      <c r="AN11" s="60" t="s">
        <v>36</v>
      </c>
    </row>
    <row r="12" spans="1:41">
      <c r="A12" s="166">
        <v>6</v>
      </c>
      <c r="B12" s="60" t="s">
        <v>38</v>
      </c>
      <c r="C12" s="62">
        <f>+C6*C37</f>
        <v>147560</v>
      </c>
      <c r="D12" s="62">
        <f t="shared" ref="D12:K12" si="5">+D6*D37</f>
        <v>147560</v>
      </c>
      <c r="E12" s="62">
        <f t="shared" si="5"/>
        <v>0</v>
      </c>
      <c r="F12" s="62">
        <f t="shared" si="5"/>
        <v>0</v>
      </c>
      <c r="G12" s="62">
        <f t="shared" si="5"/>
        <v>0</v>
      </c>
      <c r="H12" s="62">
        <f t="shared" si="5"/>
        <v>0</v>
      </c>
      <c r="I12" s="62">
        <f t="shared" si="5"/>
        <v>0</v>
      </c>
      <c r="J12" s="62">
        <f t="shared" si="5"/>
        <v>0</v>
      </c>
      <c r="K12" s="62">
        <f t="shared" si="5"/>
        <v>0</v>
      </c>
      <c r="L12" s="62">
        <f t="shared" si="0"/>
        <v>295120</v>
      </c>
      <c r="W12" s="60" t="s">
        <v>38</v>
      </c>
      <c r="AM12" s="60" t="s">
        <v>39</v>
      </c>
      <c r="AN12" s="60" t="s">
        <v>38</v>
      </c>
    </row>
    <row r="13" spans="1:41">
      <c r="A13" s="166">
        <v>7</v>
      </c>
      <c r="B13" s="60" t="s">
        <v>40</v>
      </c>
      <c r="C13" s="62">
        <f>+C6*C38</f>
        <v>217600.00000000003</v>
      </c>
      <c r="D13" s="62">
        <f t="shared" ref="D13:K13" si="6">+D6*D38</f>
        <v>217600.00000000003</v>
      </c>
      <c r="E13" s="62">
        <f t="shared" si="6"/>
        <v>0</v>
      </c>
      <c r="F13" s="62">
        <f t="shared" si="6"/>
        <v>0</v>
      </c>
      <c r="G13" s="62">
        <f t="shared" si="6"/>
        <v>0</v>
      </c>
      <c r="H13" s="62">
        <f t="shared" si="6"/>
        <v>0</v>
      </c>
      <c r="I13" s="62">
        <f t="shared" si="6"/>
        <v>0</v>
      </c>
      <c r="J13" s="62">
        <f t="shared" si="6"/>
        <v>0</v>
      </c>
      <c r="K13" s="62">
        <f t="shared" si="6"/>
        <v>0</v>
      </c>
      <c r="L13" s="62">
        <f t="shared" si="0"/>
        <v>435200.00000000006</v>
      </c>
      <c r="W13" s="60" t="s">
        <v>40</v>
      </c>
      <c r="AM13" s="60" t="s">
        <v>41</v>
      </c>
      <c r="AN13" s="60" t="s">
        <v>40</v>
      </c>
      <c r="AO13" s="56" t="s">
        <v>24</v>
      </c>
    </row>
    <row r="14" spans="1:41">
      <c r="A14" s="166">
        <v>8</v>
      </c>
      <c r="B14" s="63" t="s">
        <v>42</v>
      </c>
      <c r="C14" s="62">
        <f>SUM(C11:C13)</f>
        <v>658240</v>
      </c>
      <c r="D14" s="62">
        <f t="shared" ref="D14:K14" si="7">SUM(D11:D13)</f>
        <v>658240</v>
      </c>
      <c r="E14" s="62">
        <f t="shared" si="7"/>
        <v>0</v>
      </c>
      <c r="F14" s="62">
        <f t="shared" si="7"/>
        <v>0</v>
      </c>
      <c r="G14" s="62">
        <f t="shared" si="7"/>
        <v>0</v>
      </c>
      <c r="H14" s="62">
        <f t="shared" si="7"/>
        <v>0</v>
      </c>
      <c r="I14" s="62">
        <f t="shared" si="7"/>
        <v>0</v>
      </c>
      <c r="J14" s="62">
        <f t="shared" si="7"/>
        <v>0</v>
      </c>
      <c r="K14" s="62">
        <f t="shared" si="7"/>
        <v>0</v>
      </c>
      <c r="L14" s="62">
        <f t="shared" si="0"/>
        <v>1316480</v>
      </c>
      <c r="W14" s="63" t="s">
        <v>42</v>
      </c>
      <c r="AM14" s="60" t="s">
        <v>43</v>
      </c>
      <c r="AN14" s="63" t="s">
        <v>42</v>
      </c>
    </row>
    <row r="15" spans="1:41">
      <c r="A15" s="166">
        <v>9</v>
      </c>
      <c r="B15" s="63" t="s">
        <v>44</v>
      </c>
      <c r="C15" s="62">
        <f>+C9-C10-C14</f>
        <v>-1770039.9999999991</v>
      </c>
      <c r="D15" s="62">
        <f t="shared" ref="D15:K15" si="8">+D9-D10-D14</f>
        <v>-440640</v>
      </c>
      <c r="E15" s="62">
        <f t="shared" si="8"/>
        <v>0</v>
      </c>
      <c r="F15" s="62">
        <f t="shared" si="8"/>
        <v>0</v>
      </c>
      <c r="G15" s="62">
        <f t="shared" si="8"/>
        <v>0</v>
      </c>
      <c r="H15" s="62">
        <f t="shared" si="8"/>
        <v>0</v>
      </c>
      <c r="I15" s="62">
        <f t="shared" si="8"/>
        <v>0</v>
      </c>
      <c r="J15" s="62">
        <f t="shared" si="8"/>
        <v>0</v>
      </c>
      <c r="K15" s="62">
        <f t="shared" si="8"/>
        <v>0</v>
      </c>
      <c r="L15" s="62">
        <f t="shared" si="0"/>
        <v>-2210679.9999999991</v>
      </c>
      <c r="W15" s="63" t="s">
        <v>44</v>
      </c>
      <c r="AM15" s="60" t="s">
        <v>45</v>
      </c>
      <c r="AN15" s="63" t="s">
        <v>44</v>
      </c>
    </row>
    <row r="16" spans="1:41">
      <c r="A16" s="166">
        <v>10</v>
      </c>
      <c r="B16" s="60" t="s">
        <v>46</v>
      </c>
      <c r="C16" s="64">
        <f>+C15/C9</f>
        <v>-0.26029999999999986</v>
      </c>
      <c r="D16" s="64">
        <f t="shared" ref="D16:K16" si="9">+D15/D9</f>
        <v>-6.4799999999999996E-2</v>
      </c>
      <c r="E16" s="64" t="e">
        <f t="shared" si="9"/>
        <v>#DIV/0!</v>
      </c>
      <c r="F16" s="64" t="e">
        <f t="shared" si="9"/>
        <v>#DIV/0!</v>
      </c>
      <c r="G16" s="64" t="e">
        <f t="shared" si="9"/>
        <v>#DIV/0!</v>
      </c>
      <c r="H16" s="64" t="e">
        <f t="shared" si="9"/>
        <v>#DIV/0!</v>
      </c>
      <c r="I16" s="64" t="e">
        <f t="shared" si="9"/>
        <v>#DIV/0!</v>
      </c>
      <c r="J16" s="64" t="e">
        <f t="shared" si="9"/>
        <v>#DIV/0!</v>
      </c>
      <c r="K16" s="64" t="e">
        <f t="shared" si="9"/>
        <v>#DIV/0!</v>
      </c>
      <c r="L16" s="64">
        <f t="shared" ref="L16" si="10">+L15/L9</f>
        <v>-0.16254999999999994</v>
      </c>
      <c r="W16" s="60" t="s">
        <v>46</v>
      </c>
      <c r="AM16" s="60" t="s">
        <v>47</v>
      </c>
      <c r="AN16" s="60" t="s">
        <v>46</v>
      </c>
    </row>
    <row r="17" spans="1:41">
      <c r="A17" s="166">
        <v>11</v>
      </c>
      <c r="B17" s="60" t="s">
        <v>48</v>
      </c>
      <c r="C17" s="62">
        <f>C6*C43+C18</f>
        <v>4750</v>
      </c>
      <c r="D17" s="62">
        <f t="shared" ref="D17:K17" si="11">D6*D43+D18</f>
        <v>4750</v>
      </c>
      <c r="E17" s="62">
        <f t="shared" si="11"/>
        <v>0</v>
      </c>
      <c r="F17" s="62">
        <f t="shared" si="11"/>
        <v>0</v>
      </c>
      <c r="G17" s="62">
        <f t="shared" si="11"/>
        <v>0</v>
      </c>
      <c r="H17" s="62">
        <f t="shared" si="11"/>
        <v>0</v>
      </c>
      <c r="I17" s="62">
        <f t="shared" si="11"/>
        <v>0</v>
      </c>
      <c r="J17" s="62">
        <f t="shared" si="11"/>
        <v>0</v>
      </c>
      <c r="K17" s="62">
        <f t="shared" si="11"/>
        <v>0</v>
      </c>
      <c r="L17" s="62">
        <f>SUM(C17:K17)</f>
        <v>9500</v>
      </c>
      <c r="M17" s="77"/>
      <c r="W17" s="60" t="s">
        <v>48</v>
      </c>
      <c r="AM17" s="60" t="s">
        <v>49</v>
      </c>
      <c r="AN17" s="60" t="s">
        <v>48</v>
      </c>
    </row>
    <row r="18" spans="1:41" s="54" customFormat="1">
      <c r="A18" s="166">
        <v>12</v>
      </c>
      <c r="B18" s="65" t="s">
        <v>154</v>
      </c>
      <c r="C18" s="66">
        <f>$L$18/$L$6*C6</f>
        <v>4750</v>
      </c>
      <c r="D18" s="66">
        <f t="shared" ref="D18:K18" si="12">$L$18/$L$6*D6</f>
        <v>4750</v>
      </c>
      <c r="E18" s="66">
        <f t="shared" si="12"/>
        <v>0</v>
      </c>
      <c r="F18" s="66">
        <f t="shared" si="12"/>
        <v>0</v>
      </c>
      <c r="G18" s="66">
        <f t="shared" si="12"/>
        <v>0</v>
      </c>
      <c r="H18" s="66">
        <f t="shared" si="12"/>
        <v>0</v>
      </c>
      <c r="I18" s="66">
        <f t="shared" si="12"/>
        <v>0</v>
      </c>
      <c r="J18" s="66">
        <f t="shared" si="12"/>
        <v>0</v>
      </c>
      <c r="K18" s="66">
        <f t="shared" si="12"/>
        <v>0</v>
      </c>
      <c r="L18" s="66">
        <f>项目投资!D26</f>
        <v>9500</v>
      </c>
      <c r="M18" s="78" t="s">
        <v>155</v>
      </c>
      <c r="N18" s="78"/>
      <c r="O18" s="78"/>
    </row>
    <row r="19" spans="1:41">
      <c r="A19" s="166">
        <v>13</v>
      </c>
      <c r="B19" s="60" t="s">
        <v>50</v>
      </c>
      <c r="C19" s="62">
        <f>C6*C44</f>
        <v>0</v>
      </c>
      <c r="D19" s="62">
        <f t="shared" ref="D19:K19" si="13">D6*D44</f>
        <v>0</v>
      </c>
      <c r="E19" s="62">
        <f t="shared" si="13"/>
        <v>0</v>
      </c>
      <c r="F19" s="62">
        <f t="shared" si="13"/>
        <v>0</v>
      </c>
      <c r="G19" s="62">
        <f t="shared" si="13"/>
        <v>0</v>
      </c>
      <c r="H19" s="62">
        <f t="shared" si="13"/>
        <v>0</v>
      </c>
      <c r="I19" s="62">
        <f t="shared" si="13"/>
        <v>0</v>
      </c>
      <c r="J19" s="62">
        <f t="shared" si="13"/>
        <v>0</v>
      </c>
      <c r="K19" s="62">
        <f t="shared" si="13"/>
        <v>0</v>
      </c>
      <c r="L19" s="62">
        <f>SUM(C19:K19)</f>
        <v>0</v>
      </c>
      <c r="M19" s="54"/>
      <c r="W19" s="60" t="s">
        <v>50</v>
      </c>
      <c r="AM19" s="60" t="s">
        <v>51</v>
      </c>
      <c r="AN19" s="60" t="s">
        <v>50</v>
      </c>
      <c r="AO19" s="56" t="s">
        <v>24</v>
      </c>
    </row>
    <row r="20" spans="1:41">
      <c r="A20" s="166">
        <v>14</v>
      </c>
      <c r="B20" s="60" t="s">
        <v>52</v>
      </c>
      <c r="C20" s="62">
        <f>C6*C45</f>
        <v>0</v>
      </c>
      <c r="D20" s="62">
        <f t="shared" ref="D20:K20" si="14">D6*D45</f>
        <v>0</v>
      </c>
      <c r="E20" s="62">
        <f t="shared" si="14"/>
        <v>0</v>
      </c>
      <c r="F20" s="62">
        <f t="shared" si="14"/>
        <v>0</v>
      </c>
      <c r="G20" s="62">
        <f t="shared" si="14"/>
        <v>0</v>
      </c>
      <c r="H20" s="62">
        <f t="shared" si="14"/>
        <v>0</v>
      </c>
      <c r="I20" s="62">
        <f t="shared" si="14"/>
        <v>0</v>
      </c>
      <c r="J20" s="62">
        <f t="shared" si="14"/>
        <v>0</v>
      </c>
      <c r="K20" s="62">
        <f t="shared" si="14"/>
        <v>0</v>
      </c>
      <c r="L20" s="62">
        <f>SUM(C20:K20)</f>
        <v>0</v>
      </c>
      <c r="W20" s="60" t="s">
        <v>52</v>
      </c>
      <c r="AM20" s="60" t="s">
        <v>53</v>
      </c>
      <c r="AN20" s="60" t="s">
        <v>52</v>
      </c>
    </row>
    <row r="21" spans="1:41">
      <c r="A21" s="166">
        <v>15</v>
      </c>
      <c r="B21" s="60" t="s">
        <v>54</v>
      </c>
      <c r="C21" s="67">
        <f>$L$21/$L$6*C6</f>
        <v>31000</v>
      </c>
      <c r="D21" s="67">
        <f t="shared" ref="D21:K21" si="15">$L$21/$L$6*D6</f>
        <v>31000</v>
      </c>
      <c r="E21" s="67">
        <f t="shared" si="15"/>
        <v>0</v>
      </c>
      <c r="F21" s="67">
        <f t="shared" si="15"/>
        <v>0</v>
      </c>
      <c r="G21" s="67">
        <f t="shared" si="15"/>
        <v>0</v>
      </c>
      <c r="H21" s="67">
        <f t="shared" si="15"/>
        <v>0</v>
      </c>
      <c r="I21" s="67">
        <f t="shared" si="15"/>
        <v>0</v>
      </c>
      <c r="J21" s="67">
        <f t="shared" si="15"/>
        <v>0</v>
      </c>
      <c r="K21" s="67">
        <f t="shared" si="15"/>
        <v>0</v>
      </c>
      <c r="L21" s="62">
        <f>项目投资!E27</f>
        <v>62000</v>
      </c>
      <c r="W21" s="60" t="s">
        <v>54</v>
      </c>
      <c r="AM21" s="60"/>
      <c r="AN21" s="60"/>
    </row>
    <row r="22" spans="1:41">
      <c r="A22" s="166">
        <v>16</v>
      </c>
      <c r="B22" s="60" t="s">
        <v>55</v>
      </c>
      <c r="C22" s="62">
        <f>C6*C47</f>
        <v>204000</v>
      </c>
      <c r="D22" s="62">
        <f t="shared" ref="D22:K22" si="16">D6*D47</f>
        <v>204000</v>
      </c>
      <c r="E22" s="62">
        <f t="shared" si="16"/>
        <v>0</v>
      </c>
      <c r="F22" s="62">
        <f t="shared" si="16"/>
        <v>0</v>
      </c>
      <c r="G22" s="62">
        <f t="shared" si="16"/>
        <v>0</v>
      </c>
      <c r="H22" s="62">
        <f t="shared" si="16"/>
        <v>0</v>
      </c>
      <c r="I22" s="62">
        <f t="shared" si="16"/>
        <v>0</v>
      </c>
      <c r="J22" s="62">
        <f t="shared" si="16"/>
        <v>0</v>
      </c>
      <c r="K22" s="62">
        <f t="shared" si="16"/>
        <v>0</v>
      </c>
      <c r="L22" s="62">
        <f>+SUM(C22:K22)</f>
        <v>408000</v>
      </c>
      <c r="W22" s="60" t="s">
        <v>55</v>
      </c>
      <c r="AM22" s="60" t="s">
        <v>56</v>
      </c>
      <c r="AN22" s="60" t="s">
        <v>55</v>
      </c>
    </row>
    <row r="23" spans="1:41">
      <c r="A23" s="166">
        <v>17</v>
      </c>
      <c r="B23" s="63" t="s">
        <v>57</v>
      </c>
      <c r="C23" s="67">
        <f>+C22+C21+C20+C19+C17</f>
        <v>239750</v>
      </c>
      <c r="D23" s="67">
        <f t="shared" ref="D23:K23" si="17">+D22+D21+D20+D19+D17</f>
        <v>239750</v>
      </c>
      <c r="E23" s="67">
        <f t="shared" si="17"/>
        <v>0</v>
      </c>
      <c r="F23" s="67">
        <f t="shared" si="17"/>
        <v>0</v>
      </c>
      <c r="G23" s="67">
        <f t="shared" si="17"/>
        <v>0</v>
      </c>
      <c r="H23" s="67">
        <f t="shared" si="17"/>
        <v>0</v>
      </c>
      <c r="I23" s="67">
        <f t="shared" si="17"/>
        <v>0</v>
      </c>
      <c r="J23" s="67">
        <f t="shared" si="17"/>
        <v>0</v>
      </c>
      <c r="K23" s="67">
        <f t="shared" si="17"/>
        <v>0</v>
      </c>
      <c r="L23" s="67">
        <f t="shared" ref="L23" si="18">+L22+L21+L20+L19+L17</f>
        <v>479500</v>
      </c>
      <c r="W23" s="63" t="s">
        <v>57</v>
      </c>
      <c r="AM23" s="60" t="s">
        <v>58</v>
      </c>
      <c r="AN23" s="63" t="s">
        <v>57</v>
      </c>
    </row>
    <row r="24" spans="1:41">
      <c r="A24" s="166">
        <v>18</v>
      </c>
      <c r="B24" s="68" t="s">
        <v>59</v>
      </c>
      <c r="C24" s="67">
        <f>+C15-C23</f>
        <v>-2009789.9999999991</v>
      </c>
      <c r="D24" s="67">
        <f t="shared" ref="D24:K24" si="19">+D15-D23</f>
        <v>-680390</v>
      </c>
      <c r="E24" s="67">
        <f t="shared" si="19"/>
        <v>0</v>
      </c>
      <c r="F24" s="67">
        <f t="shared" si="19"/>
        <v>0</v>
      </c>
      <c r="G24" s="67">
        <f t="shared" si="19"/>
        <v>0</v>
      </c>
      <c r="H24" s="67">
        <f t="shared" si="19"/>
        <v>0</v>
      </c>
      <c r="I24" s="67">
        <f t="shared" si="19"/>
        <v>0</v>
      </c>
      <c r="J24" s="67">
        <f t="shared" si="19"/>
        <v>0</v>
      </c>
      <c r="K24" s="67">
        <f t="shared" si="19"/>
        <v>0</v>
      </c>
      <c r="L24" s="67">
        <f t="shared" ref="L24" si="20">+L15-L23</f>
        <v>-2690179.9999999991</v>
      </c>
      <c r="N24" s="79"/>
      <c r="W24" s="60" t="s">
        <v>59</v>
      </c>
      <c r="AM24" s="60" t="s">
        <v>60</v>
      </c>
      <c r="AN24" s="60" t="s">
        <v>59</v>
      </c>
    </row>
    <row r="25" spans="1:41">
      <c r="A25" s="166">
        <v>19</v>
      </c>
      <c r="B25" s="60" t="s">
        <v>156</v>
      </c>
      <c r="C25" s="67">
        <f>IF(C24&lt;0,0,C24*0.25)</f>
        <v>0</v>
      </c>
      <c r="D25" s="67">
        <f t="shared" ref="D25:G25" si="21">IF(D24&lt;0,0,D24*0.25)</f>
        <v>0</v>
      </c>
      <c r="E25" s="67">
        <f t="shared" si="21"/>
        <v>0</v>
      </c>
      <c r="F25" s="67">
        <f t="shared" si="21"/>
        <v>0</v>
      </c>
      <c r="G25" s="67">
        <f t="shared" si="21"/>
        <v>0</v>
      </c>
      <c r="H25" s="67">
        <f>IF(H24&lt;0,0,H24*0.25)</f>
        <v>0</v>
      </c>
      <c r="I25" s="67">
        <f t="shared" ref="I25" si="22">IF(I24&lt;0,0,I24*0.25)</f>
        <v>0</v>
      </c>
      <c r="J25" s="67">
        <f t="shared" ref="J25" si="23">IF(J24&lt;0,0,J24*0.25)</f>
        <v>0</v>
      </c>
      <c r="K25" s="67">
        <f t="shared" ref="K25" si="24">IF(K24&lt;0,0,K24*0.25)</f>
        <v>0</v>
      </c>
      <c r="L25" s="67">
        <f>C25+D25</f>
        <v>0</v>
      </c>
      <c r="M25" s="75"/>
      <c r="N25" s="181"/>
      <c r="O25" s="75"/>
      <c r="W25" s="60" t="s">
        <v>61</v>
      </c>
      <c r="AM25" s="60" t="s">
        <v>62</v>
      </c>
      <c r="AN25" s="60" t="s">
        <v>61</v>
      </c>
    </row>
    <row r="26" spans="1:41">
      <c r="A26" s="166">
        <v>20</v>
      </c>
      <c r="B26" s="60" t="s">
        <v>63</v>
      </c>
      <c r="C26" s="67">
        <f t="shared" ref="C26:K26" si="25">C24-C25</f>
        <v>-2009789.9999999991</v>
      </c>
      <c r="D26" s="67">
        <f t="shared" si="25"/>
        <v>-680390</v>
      </c>
      <c r="E26" s="67">
        <f t="shared" si="25"/>
        <v>0</v>
      </c>
      <c r="F26" s="67">
        <f t="shared" si="25"/>
        <v>0</v>
      </c>
      <c r="G26" s="67">
        <f t="shared" si="25"/>
        <v>0</v>
      </c>
      <c r="H26" s="67">
        <f t="shared" si="25"/>
        <v>0</v>
      </c>
      <c r="I26" s="67">
        <f t="shared" si="25"/>
        <v>0</v>
      </c>
      <c r="J26" s="67">
        <f t="shared" si="25"/>
        <v>0</v>
      </c>
      <c r="K26" s="67">
        <f t="shared" si="25"/>
        <v>0</v>
      </c>
      <c r="L26" s="62">
        <f>L24-L25</f>
        <v>-2690179.9999999991</v>
      </c>
      <c r="M26" s="180"/>
      <c r="N26" s="75"/>
      <c r="O26" s="75"/>
      <c r="W26" s="60" t="s">
        <v>63</v>
      </c>
      <c r="AM26" s="60" t="s">
        <v>64</v>
      </c>
      <c r="AN26" s="60" t="s">
        <v>63</v>
      </c>
    </row>
    <row r="27" spans="1:41">
      <c r="A27" s="166">
        <v>21</v>
      </c>
      <c r="B27" s="60" t="s">
        <v>67</v>
      </c>
      <c r="C27" s="69">
        <f t="shared" ref="C27:L27" si="26">C26/C7</f>
        <v>-0.29555735294117635</v>
      </c>
      <c r="D27" s="69">
        <f t="shared" si="26"/>
        <v>-0.10005735294117647</v>
      </c>
      <c r="E27" s="69" t="e">
        <f t="shared" si="26"/>
        <v>#DIV/0!</v>
      </c>
      <c r="F27" s="69" t="e">
        <f t="shared" si="26"/>
        <v>#DIV/0!</v>
      </c>
      <c r="G27" s="69" t="e">
        <f t="shared" si="26"/>
        <v>#DIV/0!</v>
      </c>
      <c r="H27" s="69" t="e">
        <f t="shared" si="26"/>
        <v>#DIV/0!</v>
      </c>
      <c r="I27" s="69" t="e">
        <f t="shared" si="26"/>
        <v>#DIV/0!</v>
      </c>
      <c r="J27" s="69" t="e">
        <f t="shared" si="26"/>
        <v>#DIV/0!</v>
      </c>
      <c r="K27" s="69" t="e">
        <f t="shared" si="26"/>
        <v>#DIV/0!</v>
      </c>
      <c r="L27" s="69">
        <f t="shared" si="26"/>
        <v>-0.19780735294117641</v>
      </c>
      <c r="M27" s="75"/>
      <c r="N27" s="75"/>
      <c r="O27" s="75"/>
      <c r="W27" s="60" t="s">
        <v>67</v>
      </c>
      <c r="AM27" s="60" t="s">
        <v>66</v>
      </c>
      <c r="AN27" s="60" t="s">
        <v>67</v>
      </c>
    </row>
    <row r="28" spans="1:41">
      <c r="M28" s="75"/>
      <c r="N28" s="75"/>
      <c r="O28" s="75"/>
      <c r="W28" s="60"/>
    </row>
    <row r="29" spans="1:41">
      <c r="A29" s="56" t="s">
        <v>68</v>
      </c>
      <c r="L29" s="57" t="s">
        <v>157</v>
      </c>
      <c r="M29" s="75"/>
      <c r="N29" s="75"/>
      <c r="O29" s="75"/>
      <c r="W29" s="60"/>
      <c r="AM29" s="56" t="s">
        <v>68</v>
      </c>
    </row>
    <row r="30" spans="1:41">
      <c r="A30" s="60" t="s">
        <v>73</v>
      </c>
      <c r="B30" s="63" t="s">
        <v>74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75"/>
      <c r="N30" s="75"/>
      <c r="O30" s="75"/>
      <c r="Q30" s="75"/>
      <c r="W30" s="63" t="s">
        <v>74</v>
      </c>
      <c r="AM30" s="60" t="s">
        <v>75</v>
      </c>
      <c r="AN30" s="63" t="s">
        <v>74</v>
      </c>
    </row>
    <row r="31" spans="1:41">
      <c r="A31" s="166">
        <v>1</v>
      </c>
      <c r="B31" s="65" t="s">
        <v>76</v>
      </c>
      <c r="C31" s="71">
        <f>销量!C8</f>
        <v>340</v>
      </c>
      <c r="D31" s="71">
        <f>销量!D8</f>
        <v>340</v>
      </c>
      <c r="E31" s="71">
        <f>销量!E8</f>
        <v>0</v>
      </c>
      <c r="F31" s="71">
        <f>销量!F8</f>
        <v>0</v>
      </c>
      <c r="G31" s="71">
        <f>销量!G8</f>
        <v>0</v>
      </c>
      <c r="H31" s="71">
        <f>销量!H8</f>
        <v>0</v>
      </c>
      <c r="I31" s="71">
        <f>销量!I8</f>
        <v>0</v>
      </c>
      <c r="J31" s="71">
        <f>销量!J8</f>
        <v>0</v>
      </c>
      <c r="K31" s="71">
        <f>销量!K8</f>
        <v>0</v>
      </c>
      <c r="L31" s="67"/>
      <c r="M31" s="75"/>
      <c r="N31" s="75"/>
      <c r="O31" s="75"/>
      <c r="Q31" s="75"/>
      <c r="W31" s="60" t="s">
        <v>76</v>
      </c>
      <c r="AM31" s="60" t="s">
        <v>26</v>
      </c>
      <c r="AN31" s="60" t="s">
        <v>76</v>
      </c>
    </row>
    <row r="32" spans="1:41">
      <c r="A32" s="166">
        <v>2</v>
      </c>
      <c r="B32" s="60" t="s">
        <v>158</v>
      </c>
      <c r="C32" s="62">
        <f>C9/C6</f>
        <v>340</v>
      </c>
      <c r="D32" s="62">
        <f t="shared" ref="D32:K32" si="27">D9/D6</f>
        <v>340</v>
      </c>
      <c r="E32" s="62" t="e">
        <f t="shared" si="27"/>
        <v>#DIV/0!</v>
      </c>
      <c r="F32" s="62" t="e">
        <f t="shared" si="27"/>
        <v>#DIV/0!</v>
      </c>
      <c r="G32" s="62" t="e">
        <f t="shared" si="27"/>
        <v>#DIV/0!</v>
      </c>
      <c r="H32" s="62" t="e">
        <f t="shared" si="27"/>
        <v>#DIV/0!</v>
      </c>
      <c r="I32" s="62" t="e">
        <f t="shared" si="27"/>
        <v>#DIV/0!</v>
      </c>
      <c r="J32" s="62" t="e">
        <f t="shared" si="27"/>
        <v>#DIV/0!</v>
      </c>
      <c r="K32" s="62" t="e">
        <f t="shared" si="27"/>
        <v>#DIV/0!</v>
      </c>
      <c r="L32" s="67"/>
      <c r="M32" s="75"/>
      <c r="N32" s="75"/>
      <c r="O32" s="75"/>
      <c r="P32" s="75"/>
      <c r="Q32" s="75"/>
      <c r="R32" s="75"/>
      <c r="S32" s="75"/>
      <c r="AM32" s="60"/>
      <c r="AN32" s="60"/>
    </row>
    <row r="33" spans="1:40">
      <c r="A33" s="166">
        <v>3</v>
      </c>
      <c r="B33" s="65" t="s">
        <v>77</v>
      </c>
      <c r="C33" s="62">
        <f>材料成本!I39</f>
        <v>395.59</v>
      </c>
      <c r="D33" s="62">
        <f>材料成本!I40</f>
        <v>329.12</v>
      </c>
      <c r="E33" s="62">
        <f>材料成本!I41</f>
        <v>0</v>
      </c>
      <c r="F33" s="62">
        <f>材料成本!I42</f>
        <v>0</v>
      </c>
      <c r="G33" s="62">
        <f>材料成本!I43</f>
        <v>0</v>
      </c>
      <c r="H33" s="62">
        <f>材料成本!I44</f>
        <v>0</v>
      </c>
      <c r="I33" s="62">
        <f>材料成本!I45</f>
        <v>0</v>
      </c>
      <c r="J33" s="62">
        <f>材料成本!I46</f>
        <v>0</v>
      </c>
      <c r="K33" s="62">
        <f>材料成本!I47</f>
        <v>0</v>
      </c>
      <c r="L33" s="67"/>
      <c r="N33" s="75"/>
      <c r="O33" s="75"/>
      <c r="P33" s="75"/>
      <c r="Q33" s="75"/>
      <c r="R33" s="75"/>
      <c r="S33" s="75"/>
      <c r="W33" s="60" t="s">
        <v>77</v>
      </c>
      <c r="AM33" s="60" t="s">
        <v>28</v>
      </c>
      <c r="AN33" s="60" t="s">
        <v>77</v>
      </c>
    </row>
    <row r="34" spans="1:40" ht="17.25" customHeight="1">
      <c r="A34" s="166">
        <v>4</v>
      </c>
      <c r="B34" s="60" t="s">
        <v>79</v>
      </c>
      <c r="C34" s="72">
        <f>C32-C33</f>
        <v>-55.589999999999975</v>
      </c>
      <c r="D34" s="72">
        <f t="shared" ref="D34:K34" si="28">D32-D33</f>
        <v>10.879999999999995</v>
      </c>
      <c r="E34" s="72" t="e">
        <f t="shared" si="28"/>
        <v>#DIV/0!</v>
      </c>
      <c r="F34" s="72" t="e">
        <f t="shared" si="28"/>
        <v>#DIV/0!</v>
      </c>
      <c r="G34" s="72" t="e">
        <f t="shared" si="28"/>
        <v>#DIV/0!</v>
      </c>
      <c r="H34" s="72" t="e">
        <f t="shared" si="28"/>
        <v>#DIV/0!</v>
      </c>
      <c r="I34" s="72" t="e">
        <f t="shared" si="28"/>
        <v>#DIV/0!</v>
      </c>
      <c r="J34" s="72" t="e">
        <f t="shared" si="28"/>
        <v>#DIV/0!</v>
      </c>
      <c r="K34" s="72" t="e">
        <f t="shared" si="28"/>
        <v>#DIV/0!</v>
      </c>
      <c r="L34" s="67"/>
      <c r="N34" s="75"/>
      <c r="O34" s="75"/>
      <c r="P34" s="75"/>
      <c r="Q34" s="75"/>
      <c r="R34" s="75"/>
      <c r="S34" s="75"/>
      <c r="W34" s="60" t="s">
        <v>79</v>
      </c>
      <c r="AM34" s="60" t="s">
        <v>78</v>
      </c>
      <c r="AN34" s="60" t="s">
        <v>79</v>
      </c>
    </row>
    <row r="35" spans="1:40">
      <c r="A35" s="60" t="s">
        <v>75</v>
      </c>
      <c r="B35" s="63" t="s">
        <v>10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63" t="s">
        <v>10</v>
      </c>
      <c r="AM35" s="60" t="s">
        <v>81</v>
      </c>
      <c r="AN35" s="63" t="s">
        <v>10</v>
      </c>
    </row>
    <row r="36" spans="1:40">
      <c r="A36" s="166">
        <v>1</v>
      </c>
      <c r="B36" s="60" t="s">
        <v>82</v>
      </c>
      <c r="C36" s="66">
        <f>'2022年'!C36</f>
        <v>14.654</v>
      </c>
      <c r="D36" s="66">
        <f>'2022年'!D36</f>
        <v>14.654</v>
      </c>
      <c r="E36" s="66">
        <v>59.48</v>
      </c>
      <c r="F36" s="66">
        <v>38.79</v>
      </c>
      <c r="G36" s="66">
        <v>36.64</v>
      </c>
      <c r="H36" s="66">
        <v>29.09</v>
      </c>
      <c r="I36" s="66">
        <v>4.53</v>
      </c>
      <c r="J36" s="66">
        <f t="shared" ref="J36:K36" si="29">I36</f>
        <v>4.53</v>
      </c>
      <c r="K36" s="66">
        <f t="shared" si="29"/>
        <v>4.53</v>
      </c>
      <c r="L36" s="71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60" t="s">
        <v>82</v>
      </c>
      <c r="AM36" s="60" t="s">
        <v>78</v>
      </c>
      <c r="AN36" s="60" t="s">
        <v>82</v>
      </c>
    </row>
    <row r="37" spans="1:40">
      <c r="A37" s="166">
        <v>2</v>
      </c>
      <c r="B37" s="60" t="s">
        <v>83</v>
      </c>
      <c r="C37" s="66">
        <f>'2022年'!C37</f>
        <v>7.3780000000000001</v>
      </c>
      <c r="D37" s="66">
        <f>'2022年'!D37</f>
        <v>7.3780000000000001</v>
      </c>
      <c r="E37" s="66">
        <v>29.95</v>
      </c>
      <c r="F37" s="66">
        <v>19.53</v>
      </c>
      <c r="G37" s="66">
        <v>18.45</v>
      </c>
      <c r="H37" s="66">
        <v>14.25</v>
      </c>
      <c r="I37" s="66">
        <v>2.2799999999999998</v>
      </c>
      <c r="J37" s="66">
        <f t="shared" ref="J37:K37" si="30">I37</f>
        <v>2.2799999999999998</v>
      </c>
      <c r="K37" s="66">
        <f t="shared" si="30"/>
        <v>2.2799999999999998</v>
      </c>
      <c r="L37" s="71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60" t="s">
        <v>83</v>
      </c>
      <c r="AM37" s="60" t="s">
        <v>31</v>
      </c>
      <c r="AN37" s="60" t="s">
        <v>83</v>
      </c>
    </row>
    <row r="38" spans="1:40">
      <c r="A38" s="166">
        <v>3</v>
      </c>
      <c r="B38" s="60" t="s">
        <v>84</v>
      </c>
      <c r="C38" s="66">
        <f>'2022年'!C38</f>
        <v>10.88</v>
      </c>
      <c r="D38" s="66">
        <f>'2022年'!D38</f>
        <v>10.88</v>
      </c>
      <c r="E38" s="66">
        <v>44.16</v>
      </c>
      <c r="F38" s="66">
        <v>28.8</v>
      </c>
      <c r="G38" s="66">
        <v>27.2</v>
      </c>
      <c r="H38" s="66">
        <v>21.6</v>
      </c>
      <c r="I38" s="66">
        <v>3.36</v>
      </c>
      <c r="J38" s="66">
        <f t="shared" ref="J38:K38" si="31">I38</f>
        <v>3.36</v>
      </c>
      <c r="K38" s="66">
        <f t="shared" si="31"/>
        <v>3.36</v>
      </c>
      <c r="L38" s="71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60" t="s">
        <v>84</v>
      </c>
      <c r="AM38" s="60" t="s">
        <v>37</v>
      </c>
      <c r="AN38" s="60" t="s">
        <v>84</v>
      </c>
    </row>
    <row r="39" spans="1:40">
      <c r="A39" s="60" t="s">
        <v>81</v>
      </c>
      <c r="B39" s="63" t="s">
        <v>86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W39" s="63" t="s">
        <v>86</v>
      </c>
      <c r="AM39" s="60" t="s">
        <v>85</v>
      </c>
      <c r="AN39" s="63" t="s">
        <v>86</v>
      </c>
    </row>
    <row r="40" spans="1:40">
      <c r="A40" s="166">
        <v>1</v>
      </c>
      <c r="B40" s="60" t="s">
        <v>88</v>
      </c>
      <c r="C40" s="67">
        <f>C34-C36-C37-C38</f>
        <v>-88.501999999999967</v>
      </c>
      <c r="D40" s="67">
        <f t="shared" ref="D40:K40" si="32">D34-D36-D37-D38</f>
        <v>-22.032000000000004</v>
      </c>
      <c r="E40" s="67" t="e">
        <f t="shared" si="32"/>
        <v>#DIV/0!</v>
      </c>
      <c r="F40" s="67" t="e">
        <f t="shared" si="32"/>
        <v>#DIV/0!</v>
      </c>
      <c r="G40" s="67" t="e">
        <f t="shared" si="32"/>
        <v>#DIV/0!</v>
      </c>
      <c r="H40" s="67" t="e">
        <f t="shared" si="32"/>
        <v>#DIV/0!</v>
      </c>
      <c r="I40" s="67" t="e">
        <f t="shared" si="32"/>
        <v>#DIV/0!</v>
      </c>
      <c r="J40" s="67" t="e">
        <f t="shared" si="32"/>
        <v>#DIV/0!</v>
      </c>
      <c r="K40" s="67" t="e">
        <f t="shared" si="32"/>
        <v>#DIV/0!</v>
      </c>
      <c r="L40" s="67"/>
      <c r="W40" s="60" t="s">
        <v>88</v>
      </c>
      <c r="AM40" s="60" t="s">
        <v>26</v>
      </c>
      <c r="AN40" s="60" t="s">
        <v>88</v>
      </c>
    </row>
    <row r="41" spans="1:40">
      <c r="A41" s="166">
        <v>2</v>
      </c>
      <c r="B41" s="60" t="s">
        <v>89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W41" s="60" t="s">
        <v>89</v>
      </c>
      <c r="AM41" s="60" t="s">
        <v>28</v>
      </c>
      <c r="AN41" s="60" t="s">
        <v>89</v>
      </c>
    </row>
    <row r="42" spans="1:40">
      <c r="A42" s="60" t="s">
        <v>85</v>
      </c>
      <c r="B42" s="63" t="s">
        <v>91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W42" s="63" t="s">
        <v>91</v>
      </c>
      <c r="AM42" s="60" t="s">
        <v>90</v>
      </c>
      <c r="AN42" s="63" t="s">
        <v>91</v>
      </c>
    </row>
    <row r="43" spans="1:40">
      <c r="A43" s="166">
        <v>1</v>
      </c>
      <c r="B43" s="68" t="s">
        <v>92</v>
      </c>
      <c r="C43" s="66">
        <f>'2022年'!C43</f>
        <v>0</v>
      </c>
      <c r="D43" s="66">
        <f>'2022年'!D43</f>
        <v>0</v>
      </c>
      <c r="E43" s="66">
        <v>55.75</v>
      </c>
      <c r="F43" s="66">
        <v>36.36</v>
      </c>
      <c r="G43" s="66">
        <v>34.340000000000003</v>
      </c>
      <c r="H43" s="66">
        <v>27.27</v>
      </c>
      <c r="I43" s="66">
        <v>4.24</v>
      </c>
      <c r="J43" s="66">
        <f t="shared" ref="J43:K43" si="33">I43</f>
        <v>4.24</v>
      </c>
      <c r="K43" s="66">
        <f t="shared" si="33"/>
        <v>4.24</v>
      </c>
      <c r="L43" s="67"/>
      <c r="W43" s="60" t="s">
        <v>92</v>
      </c>
      <c r="AM43" s="60" t="s">
        <v>26</v>
      </c>
      <c r="AN43" s="60" t="s">
        <v>92</v>
      </c>
    </row>
    <row r="44" spans="1:40">
      <c r="A44" s="166">
        <v>2</v>
      </c>
      <c r="B44" s="68" t="s">
        <v>93</v>
      </c>
      <c r="C44" s="66">
        <f>'2022年'!C44</f>
        <v>0</v>
      </c>
      <c r="D44" s="66">
        <f>'2022年'!D44</f>
        <v>0</v>
      </c>
      <c r="E44" s="66">
        <v>7.31</v>
      </c>
      <c r="F44" s="66">
        <v>4.7699999999999996</v>
      </c>
      <c r="G44" s="66">
        <v>4.51</v>
      </c>
      <c r="H44" s="66">
        <v>3.58</v>
      </c>
      <c r="I44" s="66">
        <v>0.56000000000000005</v>
      </c>
      <c r="J44" s="66">
        <f t="shared" ref="J44:K44" si="34">I44</f>
        <v>0.56000000000000005</v>
      </c>
      <c r="K44" s="66">
        <f t="shared" si="34"/>
        <v>0.56000000000000005</v>
      </c>
      <c r="L44" s="67"/>
      <c r="W44" s="60" t="s">
        <v>93</v>
      </c>
      <c r="AM44" s="60" t="s">
        <v>28</v>
      </c>
      <c r="AN44" s="60" t="s">
        <v>93</v>
      </c>
    </row>
    <row r="45" spans="1:40">
      <c r="A45" s="166">
        <v>3</v>
      </c>
      <c r="B45" s="68" t="s">
        <v>94</v>
      </c>
      <c r="C45" s="66">
        <f>'2022年'!C45</f>
        <v>0</v>
      </c>
      <c r="D45" s="66">
        <f>'2022年'!D45</f>
        <v>0</v>
      </c>
      <c r="E45" s="66">
        <v>37.54</v>
      </c>
      <c r="F45" s="66">
        <v>24.48</v>
      </c>
      <c r="G45" s="66">
        <v>23.12</v>
      </c>
      <c r="H45" s="66">
        <v>18.36</v>
      </c>
      <c r="I45" s="66">
        <v>2.86</v>
      </c>
      <c r="J45" s="66">
        <f t="shared" ref="J45:K45" si="35">I45</f>
        <v>2.86</v>
      </c>
      <c r="K45" s="66">
        <f t="shared" si="35"/>
        <v>2.86</v>
      </c>
      <c r="L45" s="67"/>
      <c r="W45" s="60" t="s">
        <v>94</v>
      </c>
      <c r="AM45" s="60" t="s">
        <v>78</v>
      </c>
      <c r="AN45" s="60" t="s">
        <v>94</v>
      </c>
    </row>
    <row r="46" spans="1:40" s="55" customFormat="1">
      <c r="A46" s="166">
        <v>4</v>
      </c>
      <c r="B46" s="68" t="s">
        <v>95</v>
      </c>
      <c r="C46" s="73">
        <f>C21/C6</f>
        <v>1.55</v>
      </c>
      <c r="D46" s="73">
        <f t="shared" ref="D46:K46" si="36">D21/D6</f>
        <v>1.55</v>
      </c>
      <c r="E46" s="73" t="e">
        <f t="shared" si="36"/>
        <v>#DIV/0!</v>
      </c>
      <c r="F46" s="73" t="e">
        <f t="shared" si="36"/>
        <v>#DIV/0!</v>
      </c>
      <c r="G46" s="73" t="e">
        <f t="shared" si="36"/>
        <v>#DIV/0!</v>
      </c>
      <c r="H46" s="73" t="e">
        <f t="shared" si="36"/>
        <v>#DIV/0!</v>
      </c>
      <c r="I46" s="73" t="e">
        <f t="shared" si="36"/>
        <v>#DIV/0!</v>
      </c>
      <c r="J46" s="73" t="e">
        <f t="shared" si="36"/>
        <v>#DIV/0!</v>
      </c>
      <c r="K46" s="73" t="e">
        <f t="shared" si="36"/>
        <v>#DIV/0!</v>
      </c>
      <c r="L46" s="73"/>
      <c r="W46" s="68" t="s">
        <v>97</v>
      </c>
      <c r="AM46" s="68" t="s">
        <v>34</v>
      </c>
      <c r="AN46" s="68" t="s">
        <v>97</v>
      </c>
    </row>
    <row r="47" spans="1:40" s="55" customFormat="1">
      <c r="A47" s="166">
        <v>5</v>
      </c>
      <c r="B47" s="68" t="s">
        <v>97</v>
      </c>
      <c r="C47" s="73">
        <f>'2022年'!C47</f>
        <v>10.199999999999999</v>
      </c>
      <c r="D47" s="73">
        <f>'2022年'!D47</f>
        <v>10.199999999999999</v>
      </c>
      <c r="E47" s="73">
        <v>41.4</v>
      </c>
      <c r="F47" s="73">
        <v>27</v>
      </c>
      <c r="G47" s="73">
        <v>25.5</v>
      </c>
      <c r="H47" s="73">
        <v>20.5</v>
      </c>
      <c r="I47" s="73">
        <v>3.15</v>
      </c>
      <c r="J47" s="73">
        <f t="shared" ref="J47:K47" si="37">I47</f>
        <v>3.15</v>
      </c>
      <c r="K47" s="73">
        <f t="shared" si="37"/>
        <v>3.15</v>
      </c>
      <c r="L47" s="73"/>
      <c r="W47" s="68" t="s">
        <v>97</v>
      </c>
      <c r="AM47" s="68" t="s">
        <v>34</v>
      </c>
      <c r="AN47" s="68" t="s">
        <v>97</v>
      </c>
    </row>
    <row r="48" spans="1:40">
      <c r="A48" s="60" t="s">
        <v>90</v>
      </c>
      <c r="B48" s="63" t="s">
        <v>108</v>
      </c>
      <c r="C48" s="67">
        <f>C40-C43-C44-C45-C47-C46</f>
        <v>-100.25199999999997</v>
      </c>
      <c r="D48" s="67">
        <f t="shared" ref="D48:K48" si="38">D40-D43-D44-D45-D47-D46</f>
        <v>-33.781999999999996</v>
      </c>
      <c r="E48" s="67" t="e">
        <f t="shared" si="38"/>
        <v>#DIV/0!</v>
      </c>
      <c r="F48" s="67" t="e">
        <f t="shared" si="38"/>
        <v>#DIV/0!</v>
      </c>
      <c r="G48" s="67" t="e">
        <f t="shared" si="38"/>
        <v>#DIV/0!</v>
      </c>
      <c r="H48" s="67" t="e">
        <f t="shared" si="38"/>
        <v>#DIV/0!</v>
      </c>
      <c r="I48" s="67" t="e">
        <f t="shared" si="38"/>
        <v>#DIV/0!</v>
      </c>
      <c r="J48" s="67" t="e">
        <f t="shared" si="38"/>
        <v>#DIV/0!</v>
      </c>
      <c r="K48" s="67" t="e">
        <f t="shared" si="38"/>
        <v>#DIV/0!</v>
      </c>
      <c r="L48" s="67"/>
      <c r="W48" s="63" t="s">
        <v>108</v>
      </c>
      <c r="AM48" s="60" t="s">
        <v>107</v>
      </c>
      <c r="AN48" s="63" t="s">
        <v>108</v>
      </c>
    </row>
    <row r="51" spans="2:17">
      <c r="C51" s="74"/>
      <c r="D51" s="74"/>
      <c r="E51" s="74"/>
      <c r="F51" s="74"/>
      <c r="G51" s="74"/>
      <c r="H51" s="74"/>
      <c r="I51" s="74"/>
      <c r="J51" s="74"/>
      <c r="K51" s="74"/>
    </row>
    <row r="54" spans="2:17"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5"/>
      <c r="N54" s="75"/>
      <c r="O54" s="75"/>
      <c r="P54" s="75"/>
      <c r="Q54" s="75"/>
    </row>
    <row r="55" spans="2:17"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5"/>
      <c r="N55" s="75"/>
      <c r="O55" s="75"/>
      <c r="P55" s="75"/>
      <c r="Q55" s="75"/>
    </row>
    <row r="56" spans="2:17">
      <c r="B56" s="75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5"/>
      <c r="N56" s="75"/>
      <c r="O56" s="75"/>
      <c r="P56" s="75"/>
      <c r="Q56" s="75"/>
    </row>
    <row r="57" spans="2:17">
      <c r="B57" s="75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5"/>
      <c r="N57" s="75"/>
      <c r="O57" s="75"/>
      <c r="P57" s="75"/>
      <c r="Q57" s="75"/>
    </row>
    <row r="58" spans="2:17"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5"/>
      <c r="N58" s="75"/>
      <c r="O58" s="75"/>
      <c r="P58" s="75"/>
      <c r="Q58" s="75"/>
    </row>
    <row r="59" spans="2:17">
      <c r="B59" s="75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5"/>
      <c r="N59" s="75"/>
      <c r="O59" s="75"/>
      <c r="P59" s="75"/>
      <c r="Q59" s="75"/>
    </row>
    <row r="60" spans="2:17"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5"/>
      <c r="N60" s="75"/>
      <c r="O60" s="75"/>
      <c r="P60" s="75"/>
      <c r="Q60" s="75"/>
    </row>
    <row r="61" spans="2:17">
      <c r="B61" s="75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5"/>
      <c r="N61" s="75"/>
      <c r="O61" s="75"/>
      <c r="P61" s="75"/>
      <c r="Q61" s="75"/>
    </row>
    <row r="62" spans="2:17"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5"/>
      <c r="N62" s="75"/>
      <c r="O62" s="75"/>
      <c r="P62" s="75"/>
      <c r="Q62" s="75"/>
    </row>
    <row r="63" spans="2:17"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5"/>
      <c r="N63" s="75"/>
      <c r="O63" s="75"/>
      <c r="P63" s="75"/>
      <c r="Q63" s="75"/>
    </row>
    <row r="64" spans="2:17"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5"/>
      <c r="N64" s="75"/>
      <c r="O64" s="75"/>
      <c r="P64" s="75"/>
      <c r="Q64" s="75"/>
    </row>
    <row r="65" spans="2:17">
      <c r="B65" s="7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5"/>
      <c r="N65" s="75"/>
      <c r="O65" s="75"/>
      <c r="P65" s="75"/>
      <c r="Q65" s="75"/>
    </row>
    <row r="66" spans="2:17">
      <c r="B66" s="75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5"/>
      <c r="N66" s="75"/>
      <c r="O66" s="75"/>
      <c r="P66" s="75"/>
      <c r="Q66" s="75"/>
    </row>
    <row r="67" spans="2:17"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5"/>
    </row>
    <row r="68" spans="2:17"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5"/>
    </row>
    <row r="69" spans="2:17">
      <c r="B69" s="75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5"/>
    </row>
    <row r="70" spans="2:17">
      <c r="B70" s="75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5"/>
    </row>
    <row r="71" spans="2:17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5"/>
    </row>
    <row r="72" spans="2:17">
      <c r="B72" s="75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5"/>
    </row>
    <row r="73" spans="2:17">
      <c r="B73" s="75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5"/>
    </row>
    <row r="74" spans="2:17">
      <c r="B74" s="75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5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8" activePane="bottomRight" state="frozen"/>
      <selection pane="topRight"/>
      <selection pane="bottomLeft"/>
      <selection pane="bottomRight" activeCell="L27" sqref="L27"/>
    </sheetView>
  </sheetViews>
  <sheetFormatPr defaultColWidth="9" defaultRowHeight="16.5"/>
  <cols>
    <col min="1" max="1" width="5.125" style="56" customWidth="1"/>
    <col min="2" max="2" width="17.5" style="56" customWidth="1"/>
    <col min="3" max="4" width="13.25" style="57" customWidth="1"/>
    <col min="5" max="7" width="13.25" style="57" hidden="1" customWidth="1"/>
    <col min="8" max="11" width="15.5" style="57" hidden="1" customWidth="1"/>
    <col min="12" max="12" width="18.75" style="57" customWidth="1"/>
    <col min="13" max="13" width="25.5" style="56" bestFit="1" customWidth="1"/>
    <col min="14" max="14" width="10.125" style="56" customWidth="1"/>
    <col min="15" max="21" width="9" style="56" customWidth="1"/>
    <col min="22" max="38" width="9" style="56"/>
    <col min="39" max="39" width="4.375" style="56" customWidth="1"/>
    <col min="40" max="40" width="13.875" style="56" customWidth="1"/>
    <col min="41" max="16384" width="9" style="56"/>
  </cols>
  <sheetData>
    <row r="1" spans="1:41">
      <c r="A1" s="209" t="s">
        <v>148</v>
      </c>
      <c r="B1" s="209"/>
      <c r="C1" s="213" t="s">
        <v>282</v>
      </c>
      <c r="D1" s="214"/>
      <c r="E1" s="214"/>
      <c r="F1" s="214"/>
      <c r="G1" s="214"/>
      <c r="H1" s="214"/>
      <c r="I1" s="214"/>
      <c r="J1" s="214"/>
      <c r="K1" s="214"/>
      <c r="L1" s="215"/>
    </row>
    <row r="2" spans="1:41">
      <c r="A2" s="209" t="s">
        <v>149</v>
      </c>
      <c r="B2" s="209"/>
      <c r="C2" s="216" t="s">
        <v>270</v>
      </c>
      <c r="D2" s="216"/>
      <c r="E2" s="216"/>
      <c r="F2" s="216"/>
      <c r="G2" s="216"/>
      <c r="H2" s="216"/>
      <c r="I2" s="216"/>
      <c r="J2" s="216"/>
      <c r="K2" s="216"/>
      <c r="L2" s="216"/>
    </row>
    <row r="3" spans="1:41" ht="33">
      <c r="A3" s="209" t="s">
        <v>150</v>
      </c>
      <c r="B3" s="209"/>
      <c r="C3" s="192" t="s">
        <v>271</v>
      </c>
      <c r="D3" s="192" t="s">
        <v>273</v>
      </c>
      <c r="E3" s="192"/>
      <c r="F3" s="183"/>
      <c r="G3" s="182"/>
      <c r="H3" s="182"/>
      <c r="I3" s="182"/>
      <c r="J3" s="175"/>
      <c r="K3" s="175"/>
      <c r="L3" s="210" t="s">
        <v>22</v>
      </c>
    </row>
    <row r="4" spans="1:41" ht="33">
      <c r="A4" s="209" t="s">
        <v>151</v>
      </c>
      <c r="B4" s="209"/>
      <c r="C4" s="193" t="s">
        <v>272</v>
      </c>
      <c r="D4" s="193" t="s">
        <v>274</v>
      </c>
      <c r="E4" s="193"/>
      <c r="F4" s="167"/>
      <c r="G4" s="184"/>
      <c r="H4" s="184"/>
      <c r="I4" s="184"/>
      <c r="J4" s="175"/>
      <c r="K4" s="175"/>
      <c r="L4" s="211"/>
    </row>
    <row r="5" spans="1:41">
      <c r="A5" s="209" t="s">
        <v>152</v>
      </c>
      <c r="B5" s="209"/>
      <c r="C5" s="59"/>
      <c r="D5" s="59"/>
      <c r="E5" s="59"/>
      <c r="F5" s="59"/>
      <c r="G5" s="59"/>
      <c r="H5" s="59"/>
      <c r="I5" s="59"/>
      <c r="J5" s="59"/>
      <c r="K5" s="59"/>
      <c r="L5" s="212"/>
      <c r="AO5" s="56" t="s">
        <v>23</v>
      </c>
    </row>
    <row r="6" spans="1:41" ht="17.25">
      <c r="A6" s="60" t="s">
        <v>19</v>
      </c>
      <c r="B6" s="61" t="s">
        <v>153</v>
      </c>
      <c r="C6" s="28">
        <f>销量!C11</f>
        <v>20000</v>
      </c>
      <c r="D6" s="28">
        <f>销量!D11</f>
        <v>20000</v>
      </c>
      <c r="E6" s="28">
        <f>销量!E11</f>
        <v>0</v>
      </c>
      <c r="F6" s="28">
        <f>销量!F11</f>
        <v>0</v>
      </c>
      <c r="G6" s="28">
        <f>销量!G11</f>
        <v>0</v>
      </c>
      <c r="H6" s="28">
        <f>销量!H11</f>
        <v>0</v>
      </c>
      <c r="I6" s="28">
        <f>销量!I11</f>
        <v>0</v>
      </c>
      <c r="J6" s="28">
        <f>销量!J11</f>
        <v>0</v>
      </c>
      <c r="K6" s="28">
        <f>销量!K11</f>
        <v>0</v>
      </c>
      <c r="L6" s="62">
        <f t="shared" ref="L6:L15" si="0">+SUM(C6:K6)</f>
        <v>40000</v>
      </c>
      <c r="W6" s="61" t="s">
        <v>3</v>
      </c>
      <c r="AM6" s="60" t="s">
        <v>19</v>
      </c>
      <c r="AN6" s="61" t="s">
        <v>3</v>
      </c>
      <c r="AO6" s="56" t="s">
        <v>24</v>
      </c>
    </row>
    <row r="7" spans="1:41">
      <c r="A7" s="166">
        <v>1</v>
      </c>
      <c r="B7" s="61" t="s">
        <v>25</v>
      </c>
      <c r="C7" s="62">
        <f>C6*C31</f>
        <v>6800000</v>
      </c>
      <c r="D7" s="62">
        <f t="shared" ref="D7:I7" si="1">D6*D31</f>
        <v>6800000</v>
      </c>
      <c r="E7" s="62">
        <f t="shared" si="1"/>
        <v>0</v>
      </c>
      <c r="F7" s="62">
        <f t="shared" si="1"/>
        <v>0</v>
      </c>
      <c r="G7" s="62">
        <f t="shared" si="1"/>
        <v>0</v>
      </c>
      <c r="H7" s="62">
        <f t="shared" si="1"/>
        <v>0</v>
      </c>
      <c r="I7" s="62">
        <f t="shared" si="1"/>
        <v>0</v>
      </c>
      <c r="J7" s="62">
        <f>J6*销量!J8</f>
        <v>0</v>
      </c>
      <c r="K7" s="62">
        <f>K6*销量!K8</f>
        <v>0</v>
      </c>
      <c r="L7" s="62">
        <f t="shared" si="0"/>
        <v>13600000</v>
      </c>
      <c r="M7" s="57"/>
      <c r="W7" s="61" t="s">
        <v>25</v>
      </c>
      <c r="AM7" s="60" t="s">
        <v>26</v>
      </c>
      <c r="AN7" s="61" t="s">
        <v>25</v>
      </c>
      <c r="AO7" s="56" t="s">
        <v>24</v>
      </c>
    </row>
    <row r="8" spans="1:41">
      <c r="A8" s="166">
        <v>2</v>
      </c>
      <c r="B8" s="166" t="s">
        <v>27</v>
      </c>
      <c r="C8" s="62">
        <f>C7*(1-销量!$P$8)</f>
        <v>0</v>
      </c>
      <c r="D8" s="62">
        <f>D7*(1-销量!$P$8)</f>
        <v>0</v>
      </c>
      <c r="E8" s="62">
        <f>E7*(1-销量!$P$8)</f>
        <v>0</v>
      </c>
      <c r="F8" s="62">
        <f>F7*(1-销量!$P$8)</f>
        <v>0</v>
      </c>
      <c r="G8" s="62">
        <f>G7*(1-销量!$P$8)</f>
        <v>0</v>
      </c>
      <c r="H8" s="62">
        <f>H7*(1-销量!$P$8)</f>
        <v>0</v>
      </c>
      <c r="I8" s="62">
        <f>I7*(1-销量!$P$8)</f>
        <v>0</v>
      </c>
      <c r="J8" s="62">
        <f>J7*(1-销量!$P$8)</f>
        <v>0</v>
      </c>
      <c r="K8" s="62">
        <f>K7*(1-销量!$P$8)</f>
        <v>0</v>
      </c>
      <c r="L8" s="62">
        <f t="shared" si="0"/>
        <v>0</v>
      </c>
      <c r="M8" s="77"/>
      <c r="W8" s="166" t="s">
        <v>29</v>
      </c>
      <c r="AM8" s="60" t="s">
        <v>28</v>
      </c>
      <c r="AN8" s="166" t="s">
        <v>29</v>
      </c>
      <c r="AO8" s="56" t="s">
        <v>24</v>
      </c>
    </row>
    <row r="9" spans="1:41">
      <c r="A9" s="166">
        <v>3</v>
      </c>
      <c r="B9" s="61" t="s">
        <v>30</v>
      </c>
      <c r="C9" s="62">
        <f>+C7-C8</f>
        <v>6800000</v>
      </c>
      <c r="D9" s="62">
        <f t="shared" ref="D9:K9" si="2">+D7-D8</f>
        <v>6800000</v>
      </c>
      <c r="E9" s="62">
        <f t="shared" si="2"/>
        <v>0</v>
      </c>
      <c r="F9" s="62">
        <f t="shared" si="2"/>
        <v>0</v>
      </c>
      <c r="G9" s="62">
        <f t="shared" si="2"/>
        <v>0</v>
      </c>
      <c r="H9" s="62">
        <f t="shared" si="2"/>
        <v>0</v>
      </c>
      <c r="I9" s="62">
        <f t="shared" si="2"/>
        <v>0</v>
      </c>
      <c r="J9" s="62">
        <f t="shared" si="2"/>
        <v>0</v>
      </c>
      <c r="K9" s="62">
        <f t="shared" si="2"/>
        <v>0</v>
      </c>
      <c r="L9" s="62">
        <f t="shared" si="0"/>
        <v>13600000</v>
      </c>
      <c r="W9" s="61" t="s">
        <v>30</v>
      </c>
      <c r="AM9" s="60" t="s">
        <v>31</v>
      </c>
      <c r="AN9" s="61" t="s">
        <v>30</v>
      </c>
      <c r="AO9" s="56" t="s">
        <v>32</v>
      </c>
    </row>
    <row r="10" spans="1:41">
      <c r="A10" s="166">
        <v>4</v>
      </c>
      <c r="B10" s="60" t="s">
        <v>33</v>
      </c>
      <c r="C10" s="62">
        <f>C6*C33</f>
        <v>7911799.9999999991</v>
      </c>
      <c r="D10" s="62">
        <f t="shared" ref="D10:K10" si="3">D6*D33</f>
        <v>6582400</v>
      </c>
      <c r="E10" s="62">
        <f t="shared" si="3"/>
        <v>0</v>
      </c>
      <c r="F10" s="62">
        <f t="shared" si="3"/>
        <v>0</v>
      </c>
      <c r="G10" s="62">
        <f t="shared" si="3"/>
        <v>0</v>
      </c>
      <c r="H10" s="62">
        <f t="shared" si="3"/>
        <v>0</v>
      </c>
      <c r="I10" s="62">
        <f t="shared" si="3"/>
        <v>0</v>
      </c>
      <c r="J10" s="62">
        <f t="shared" si="3"/>
        <v>0</v>
      </c>
      <c r="K10" s="62">
        <f t="shared" si="3"/>
        <v>0</v>
      </c>
      <c r="L10" s="62">
        <f t="shared" si="0"/>
        <v>14494200</v>
      </c>
      <c r="W10" s="60" t="s">
        <v>33</v>
      </c>
      <c r="AM10" s="60" t="s">
        <v>34</v>
      </c>
      <c r="AN10" s="60" t="s">
        <v>33</v>
      </c>
      <c r="AO10" s="56" t="s">
        <v>35</v>
      </c>
    </row>
    <row r="11" spans="1:41">
      <c r="A11" s="166">
        <v>5</v>
      </c>
      <c r="B11" s="60" t="s">
        <v>36</v>
      </c>
      <c r="C11" s="62">
        <f>+C6*C36</f>
        <v>293080</v>
      </c>
      <c r="D11" s="62">
        <f t="shared" ref="D11:K11" si="4">+D6*D36</f>
        <v>293080</v>
      </c>
      <c r="E11" s="62">
        <f t="shared" si="4"/>
        <v>0</v>
      </c>
      <c r="F11" s="62">
        <f t="shared" si="4"/>
        <v>0</v>
      </c>
      <c r="G11" s="62">
        <f t="shared" si="4"/>
        <v>0</v>
      </c>
      <c r="H11" s="62">
        <f t="shared" si="4"/>
        <v>0</v>
      </c>
      <c r="I11" s="62">
        <f t="shared" si="4"/>
        <v>0</v>
      </c>
      <c r="J11" s="62">
        <f t="shared" si="4"/>
        <v>0</v>
      </c>
      <c r="K11" s="62">
        <f t="shared" si="4"/>
        <v>0</v>
      </c>
      <c r="L11" s="62">
        <f t="shared" si="0"/>
        <v>586160</v>
      </c>
      <c r="W11" s="60" t="s">
        <v>36</v>
      </c>
      <c r="AM11" s="60" t="s">
        <v>37</v>
      </c>
      <c r="AN11" s="60" t="s">
        <v>36</v>
      </c>
    </row>
    <row r="12" spans="1:41">
      <c r="A12" s="166">
        <v>6</v>
      </c>
      <c r="B12" s="60" t="s">
        <v>38</v>
      </c>
      <c r="C12" s="62">
        <f>+C6*C37</f>
        <v>147560</v>
      </c>
      <c r="D12" s="62">
        <f t="shared" ref="D12:K12" si="5">+D6*D37</f>
        <v>147560</v>
      </c>
      <c r="E12" s="62">
        <f t="shared" si="5"/>
        <v>0</v>
      </c>
      <c r="F12" s="62">
        <f t="shared" si="5"/>
        <v>0</v>
      </c>
      <c r="G12" s="62">
        <f t="shared" si="5"/>
        <v>0</v>
      </c>
      <c r="H12" s="62">
        <f t="shared" si="5"/>
        <v>0</v>
      </c>
      <c r="I12" s="62">
        <f t="shared" si="5"/>
        <v>0</v>
      </c>
      <c r="J12" s="62">
        <f t="shared" si="5"/>
        <v>0</v>
      </c>
      <c r="K12" s="62">
        <f t="shared" si="5"/>
        <v>0</v>
      </c>
      <c r="L12" s="62">
        <f t="shared" si="0"/>
        <v>295120</v>
      </c>
      <c r="W12" s="60" t="s">
        <v>38</v>
      </c>
      <c r="AM12" s="60" t="s">
        <v>39</v>
      </c>
      <c r="AN12" s="60" t="s">
        <v>38</v>
      </c>
    </row>
    <row r="13" spans="1:41">
      <c r="A13" s="166">
        <v>7</v>
      </c>
      <c r="B13" s="60" t="s">
        <v>40</v>
      </c>
      <c r="C13" s="62">
        <f>+C6*C38</f>
        <v>217600.00000000003</v>
      </c>
      <c r="D13" s="62">
        <f t="shared" ref="D13:K13" si="6">+D6*D38</f>
        <v>217600.00000000003</v>
      </c>
      <c r="E13" s="62">
        <f t="shared" si="6"/>
        <v>0</v>
      </c>
      <c r="F13" s="62">
        <f t="shared" si="6"/>
        <v>0</v>
      </c>
      <c r="G13" s="62">
        <f t="shared" si="6"/>
        <v>0</v>
      </c>
      <c r="H13" s="62">
        <f t="shared" si="6"/>
        <v>0</v>
      </c>
      <c r="I13" s="62">
        <f t="shared" si="6"/>
        <v>0</v>
      </c>
      <c r="J13" s="62">
        <f t="shared" si="6"/>
        <v>0</v>
      </c>
      <c r="K13" s="62">
        <f t="shared" si="6"/>
        <v>0</v>
      </c>
      <c r="L13" s="62">
        <f t="shared" si="0"/>
        <v>435200.00000000006</v>
      </c>
      <c r="W13" s="60" t="s">
        <v>40</v>
      </c>
      <c r="AM13" s="60" t="s">
        <v>41</v>
      </c>
      <c r="AN13" s="60" t="s">
        <v>40</v>
      </c>
      <c r="AO13" s="56" t="s">
        <v>24</v>
      </c>
    </row>
    <row r="14" spans="1:41">
      <c r="A14" s="166">
        <v>8</v>
      </c>
      <c r="B14" s="63" t="s">
        <v>42</v>
      </c>
      <c r="C14" s="62">
        <f>SUM(C11:C13)</f>
        <v>658240</v>
      </c>
      <c r="D14" s="62">
        <f t="shared" ref="D14:K14" si="7">SUM(D11:D13)</f>
        <v>658240</v>
      </c>
      <c r="E14" s="62">
        <f t="shared" si="7"/>
        <v>0</v>
      </c>
      <c r="F14" s="62">
        <f t="shared" si="7"/>
        <v>0</v>
      </c>
      <c r="G14" s="62">
        <f t="shared" si="7"/>
        <v>0</v>
      </c>
      <c r="H14" s="62">
        <f t="shared" si="7"/>
        <v>0</v>
      </c>
      <c r="I14" s="62">
        <f t="shared" si="7"/>
        <v>0</v>
      </c>
      <c r="J14" s="62">
        <f t="shared" si="7"/>
        <v>0</v>
      </c>
      <c r="K14" s="62">
        <f t="shared" si="7"/>
        <v>0</v>
      </c>
      <c r="L14" s="62">
        <f t="shared" si="0"/>
        <v>1316480</v>
      </c>
      <c r="W14" s="63" t="s">
        <v>42</v>
      </c>
      <c r="AM14" s="60" t="s">
        <v>43</v>
      </c>
      <c r="AN14" s="63" t="s">
        <v>42</v>
      </c>
    </row>
    <row r="15" spans="1:41">
      <c r="A15" s="166">
        <v>9</v>
      </c>
      <c r="B15" s="63" t="s">
        <v>44</v>
      </c>
      <c r="C15" s="62">
        <f>+C9-C10-C14</f>
        <v>-1770039.9999999991</v>
      </c>
      <c r="D15" s="62">
        <f t="shared" ref="D15:K15" si="8">+D9-D10-D14</f>
        <v>-440640</v>
      </c>
      <c r="E15" s="62">
        <f t="shared" si="8"/>
        <v>0</v>
      </c>
      <c r="F15" s="62">
        <f t="shared" si="8"/>
        <v>0</v>
      </c>
      <c r="G15" s="62">
        <f t="shared" si="8"/>
        <v>0</v>
      </c>
      <c r="H15" s="62">
        <f t="shared" si="8"/>
        <v>0</v>
      </c>
      <c r="I15" s="62">
        <f t="shared" si="8"/>
        <v>0</v>
      </c>
      <c r="J15" s="62">
        <f t="shared" si="8"/>
        <v>0</v>
      </c>
      <c r="K15" s="62">
        <f t="shared" si="8"/>
        <v>0</v>
      </c>
      <c r="L15" s="62">
        <f t="shared" si="0"/>
        <v>-2210679.9999999991</v>
      </c>
      <c r="W15" s="63" t="s">
        <v>44</v>
      </c>
      <c r="AM15" s="60" t="s">
        <v>45</v>
      </c>
      <c r="AN15" s="63" t="s">
        <v>44</v>
      </c>
    </row>
    <row r="16" spans="1:41">
      <c r="A16" s="166">
        <v>10</v>
      </c>
      <c r="B16" s="60" t="s">
        <v>46</v>
      </c>
      <c r="C16" s="64">
        <f>+C15/C9</f>
        <v>-0.26029999999999986</v>
      </c>
      <c r="D16" s="64">
        <f t="shared" ref="D16:K16" si="9">+D15/D9</f>
        <v>-6.4799999999999996E-2</v>
      </c>
      <c r="E16" s="64" t="e">
        <f t="shared" si="9"/>
        <v>#DIV/0!</v>
      </c>
      <c r="F16" s="64" t="e">
        <f t="shared" si="9"/>
        <v>#DIV/0!</v>
      </c>
      <c r="G16" s="64" t="e">
        <f t="shared" si="9"/>
        <v>#DIV/0!</v>
      </c>
      <c r="H16" s="64" t="e">
        <f t="shared" si="9"/>
        <v>#DIV/0!</v>
      </c>
      <c r="I16" s="64" t="e">
        <f t="shared" si="9"/>
        <v>#DIV/0!</v>
      </c>
      <c r="J16" s="64" t="e">
        <f t="shared" si="9"/>
        <v>#DIV/0!</v>
      </c>
      <c r="K16" s="64" t="e">
        <f t="shared" si="9"/>
        <v>#DIV/0!</v>
      </c>
      <c r="L16" s="64">
        <f t="shared" ref="L16" si="10">+L15/L9</f>
        <v>-0.16254999999999994</v>
      </c>
      <c r="W16" s="60" t="s">
        <v>46</v>
      </c>
      <c r="AM16" s="60" t="s">
        <v>47</v>
      </c>
      <c r="AN16" s="60" t="s">
        <v>46</v>
      </c>
    </row>
    <row r="17" spans="1:41">
      <c r="A17" s="166">
        <v>11</v>
      </c>
      <c r="B17" s="60" t="s">
        <v>48</v>
      </c>
      <c r="C17" s="62">
        <f>C6*C43+C18</f>
        <v>4750</v>
      </c>
      <c r="D17" s="62">
        <f t="shared" ref="D17:K17" si="11">D6*D43+D18</f>
        <v>4750</v>
      </c>
      <c r="E17" s="62">
        <f t="shared" si="11"/>
        <v>0</v>
      </c>
      <c r="F17" s="62">
        <f t="shared" si="11"/>
        <v>0</v>
      </c>
      <c r="G17" s="62">
        <f t="shared" si="11"/>
        <v>0</v>
      </c>
      <c r="H17" s="62">
        <f t="shared" si="11"/>
        <v>0</v>
      </c>
      <c r="I17" s="62">
        <f t="shared" si="11"/>
        <v>0</v>
      </c>
      <c r="J17" s="62">
        <f t="shared" si="11"/>
        <v>0</v>
      </c>
      <c r="K17" s="62">
        <f t="shared" si="11"/>
        <v>0</v>
      </c>
      <c r="L17" s="62">
        <f>SUM(C17:K17)</f>
        <v>9500</v>
      </c>
      <c r="M17" s="77"/>
      <c r="W17" s="60" t="s">
        <v>48</v>
      </c>
      <c r="AM17" s="60" t="s">
        <v>49</v>
      </c>
      <c r="AN17" s="60" t="s">
        <v>48</v>
      </c>
    </row>
    <row r="18" spans="1:41" s="54" customFormat="1">
      <c r="A18" s="166">
        <v>12</v>
      </c>
      <c r="B18" s="65" t="s">
        <v>154</v>
      </c>
      <c r="C18" s="66">
        <f>$L$18/$L$6*C6</f>
        <v>4750</v>
      </c>
      <c r="D18" s="66">
        <f t="shared" ref="D18:K18" si="12">$L$18/$L$6*D6</f>
        <v>4750</v>
      </c>
      <c r="E18" s="66">
        <f t="shared" si="12"/>
        <v>0</v>
      </c>
      <c r="F18" s="66">
        <f t="shared" si="12"/>
        <v>0</v>
      </c>
      <c r="G18" s="66">
        <f t="shared" si="12"/>
        <v>0</v>
      </c>
      <c r="H18" s="66">
        <f t="shared" si="12"/>
        <v>0</v>
      </c>
      <c r="I18" s="66">
        <f t="shared" si="12"/>
        <v>0</v>
      </c>
      <c r="J18" s="66">
        <f t="shared" si="12"/>
        <v>0</v>
      </c>
      <c r="K18" s="66">
        <f t="shared" si="12"/>
        <v>0</v>
      </c>
      <c r="L18" s="66">
        <f>项目投资!D26</f>
        <v>9500</v>
      </c>
      <c r="M18" s="78" t="s">
        <v>155</v>
      </c>
      <c r="N18" s="78"/>
      <c r="O18" s="78"/>
    </row>
    <row r="19" spans="1:41">
      <c r="A19" s="166">
        <v>13</v>
      </c>
      <c r="B19" s="60" t="s">
        <v>50</v>
      </c>
      <c r="C19" s="62">
        <f>C6*C44</f>
        <v>0</v>
      </c>
      <c r="D19" s="62">
        <f t="shared" ref="D19:K19" si="13">D6*D44</f>
        <v>0</v>
      </c>
      <c r="E19" s="62">
        <f t="shared" si="13"/>
        <v>0</v>
      </c>
      <c r="F19" s="62">
        <f t="shared" si="13"/>
        <v>0</v>
      </c>
      <c r="G19" s="62">
        <f t="shared" si="13"/>
        <v>0</v>
      </c>
      <c r="H19" s="62">
        <f t="shared" si="13"/>
        <v>0</v>
      </c>
      <c r="I19" s="62">
        <f t="shared" si="13"/>
        <v>0</v>
      </c>
      <c r="J19" s="62">
        <f t="shared" si="13"/>
        <v>0</v>
      </c>
      <c r="K19" s="62">
        <f t="shared" si="13"/>
        <v>0</v>
      </c>
      <c r="L19" s="62">
        <f>SUM(C19:K19)</f>
        <v>0</v>
      </c>
      <c r="M19" s="54"/>
      <c r="W19" s="60" t="s">
        <v>50</v>
      </c>
      <c r="AM19" s="60" t="s">
        <v>51</v>
      </c>
      <c r="AN19" s="60" t="s">
        <v>50</v>
      </c>
      <c r="AO19" s="56" t="s">
        <v>24</v>
      </c>
    </row>
    <row r="20" spans="1:41">
      <c r="A20" s="166">
        <v>14</v>
      </c>
      <c r="B20" s="60" t="s">
        <v>52</v>
      </c>
      <c r="C20" s="62">
        <f>C6*C45</f>
        <v>0</v>
      </c>
      <c r="D20" s="62">
        <f t="shared" ref="D20:K20" si="14">D6*D45</f>
        <v>0</v>
      </c>
      <c r="E20" s="62">
        <f t="shared" si="14"/>
        <v>0</v>
      </c>
      <c r="F20" s="62">
        <f t="shared" si="14"/>
        <v>0</v>
      </c>
      <c r="G20" s="62">
        <f t="shared" si="14"/>
        <v>0</v>
      </c>
      <c r="H20" s="62">
        <f t="shared" si="14"/>
        <v>0</v>
      </c>
      <c r="I20" s="62">
        <f t="shared" si="14"/>
        <v>0</v>
      </c>
      <c r="J20" s="62">
        <f t="shared" si="14"/>
        <v>0</v>
      </c>
      <c r="K20" s="62">
        <f t="shared" si="14"/>
        <v>0</v>
      </c>
      <c r="L20" s="62">
        <f>SUM(C20:K20)</f>
        <v>0</v>
      </c>
      <c r="W20" s="60" t="s">
        <v>52</v>
      </c>
      <c r="AM20" s="60" t="s">
        <v>53</v>
      </c>
      <c r="AN20" s="60" t="s">
        <v>52</v>
      </c>
    </row>
    <row r="21" spans="1:41">
      <c r="A21" s="166">
        <v>15</v>
      </c>
      <c r="B21" s="60" t="s">
        <v>54</v>
      </c>
      <c r="C21" s="67">
        <f>$L$21/$L$6*C6</f>
        <v>31000</v>
      </c>
      <c r="D21" s="67">
        <f t="shared" ref="D21:K21" si="15">$L$21/$L$6*D6</f>
        <v>31000</v>
      </c>
      <c r="E21" s="67">
        <f t="shared" si="15"/>
        <v>0</v>
      </c>
      <c r="F21" s="67">
        <f t="shared" si="15"/>
        <v>0</v>
      </c>
      <c r="G21" s="67">
        <f t="shared" si="15"/>
        <v>0</v>
      </c>
      <c r="H21" s="67">
        <f t="shared" si="15"/>
        <v>0</v>
      </c>
      <c r="I21" s="67">
        <f t="shared" si="15"/>
        <v>0</v>
      </c>
      <c r="J21" s="67">
        <f t="shared" si="15"/>
        <v>0</v>
      </c>
      <c r="K21" s="67">
        <f t="shared" si="15"/>
        <v>0</v>
      </c>
      <c r="L21" s="62">
        <f>项目投资!F27</f>
        <v>62000</v>
      </c>
      <c r="W21" s="60" t="s">
        <v>54</v>
      </c>
      <c r="AM21" s="60"/>
      <c r="AN21" s="60"/>
    </row>
    <row r="22" spans="1:41">
      <c r="A22" s="166">
        <v>16</v>
      </c>
      <c r="B22" s="60" t="s">
        <v>55</v>
      </c>
      <c r="C22" s="62">
        <f>C6*C47</f>
        <v>204000</v>
      </c>
      <c r="D22" s="62">
        <f t="shared" ref="D22:K22" si="16">D6*D47</f>
        <v>204000</v>
      </c>
      <c r="E22" s="62">
        <f t="shared" si="16"/>
        <v>0</v>
      </c>
      <c r="F22" s="62">
        <f t="shared" si="16"/>
        <v>0</v>
      </c>
      <c r="G22" s="62">
        <f t="shared" si="16"/>
        <v>0</v>
      </c>
      <c r="H22" s="62">
        <f t="shared" si="16"/>
        <v>0</v>
      </c>
      <c r="I22" s="62">
        <f t="shared" si="16"/>
        <v>0</v>
      </c>
      <c r="J22" s="62">
        <f t="shared" si="16"/>
        <v>0</v>
      </c>
      <c r="K22" s="62">
        <f t="shared" si="16"/>
        <v>0</v>
      </c>
      <c r="L22" s="62">
        <f>+SUM(C22:K22)</f>
        <v>408000</v>
      </c>
      <c r="W22" s="60" t="s">
        <v>55</v>
      </c>
      <c r="AM22" s="60" t="s">
        <v>56</v>
      </c>
      <c r="AN22" s="60" t="s">
        <v>55</v>
      </c>
    </row>
    <row r="23" spans="1:41">
      <c r="A23" s="166">
        <v>17</v>
      </c>
      <c r="B23" s="63" t="s">
        <v>57</v>
      </c>
      <c r="C23" s="67">
        <f>+C22+C21+C20+C19+C17</f>
        <v>239750</v>
      </c>
      <c r="D23" s="67">
        <f t="shared" ref="D23:K23" si="17">+D22+D21+D20+D19+D17</f>
        <v>239750</v>
      </c>
      <c r="E23" s="67">
        <f t="shared" si="17"/>
        <v>0</v>
      </c>
      <c r="F23" s="67">
        <f t="shared" si="17"/>
        <v>0</v>
      </c>
      <c r="G23" s="67">
        <f t="shared" si="17"/>
        <v>0</v>
      </c>
      <c r="H23" s="67">
        <f t="shared" si="17"/>
        <v>0</v>
      </c>
      <c r="I23" s="67">
        <f t="shared" si="17"/>
        <v>0</v>
      </c>
      <c r="J23" s="67">
        <f t="shared" si="17"/>
        <v>0</v>
      </c>
      <c r="K23" s="67">
        <f t="shared" si="17"/>
        <v>0</v>
      </c>
      <c r="L23" s="67">
        <f t="shared" ref="L23" si="18">+L22+L21+L20+L19+L17</f>
        <v>479500</v>
      </c>
      <c r="W23" s="63" t="s">
        <v>57</v>
      </c>
      <c r="AM23" s="60" t="s">
        <v>58</v>
      </c>
      <c r="AN23" s="63" t="s">
        <v>57</v>
      </c>
    </row>
    <row r="24" spans="1:41">
      <c r="A24" s="166">
        <v>18</v>
      </c>
      <c r="B24" s="68" t="s">
        <v>59</v>
      </c>
      <c r="C24" s="67">
        <f>+C15-C23</f>
        <v>-2009789.9999999991</v>
      </c>
      <c r="D24" s="67">
        <f t="shared" ref="D24:K24" si="19">+D15-D23</f>
        <v>-680390</v>
      </c>
      <c r="E24" s="67">
        <f t="shared" si="19"/>
        <v>0</v>
      </c>
      <c r="F24" s="67">
        <f t="shared" si="19"/>
        <v>0</v>
      </c>
      <c r="G24" s="67">
        <f t="shared" si="19"/>
        <v>0</v>
      </c>
      <c r="H24" s="67">
        <f t="shared" si="19"/>
        <v>0</v>
      </c>
      <c r="I24" s="67">
        <f t="shared" si="19"/>
        <v>0</v>
      </c>
      <c r="J24" s="67">
        <f t="shared" si="19"/>
        <v>0</v>
      </c>
      <c r="K24" s="67">
        <f t="shared" si="19"/>
        <v>0</v>
      </c>
      <c r="L24" s="67">
        <f t="shared" ref="L24" si="20">+L15-L23</f>
        <v>-2690179.9999999991</v>
      </c>
      <c r="N24" s="79"/>
      <c r="W24" s="60" t="s">
        <v>59</v>
      </c>
      <c r="AM24" s="60" t="s">
        <v>60</v>
      </c>
      <c r="AN24" s="60" t="s">
        <v>59</v>
      </c>
    </row>
    <row r="25" spans="1:41">
      <c r="A25" s="166">
        <v>19</v>
      </c>
      <c r="B25" s="60" t="s">
        <v>156</v>
      </c>
      <c r="C25" s="67">
        <f>IF(C24&lt;0,0,C24*0.25)</f>
        <v>0</v>
      </c>
      <c r="D25" s="67">
        <f t="shared" ref="D25:K25" si="21">IF(D24&lt;0,0,D24*0.25)</f>
        <v>0</v>
      </c>
      <c r="E25" s="67">
        <f t="shared" si="21"/>
        <v>0</v>
      </c>
      <c r="F25" s="67">
        <f t="shared" si="21"/>
        <v>0</v>
      </c>
      <c r="G25" s="67">
        <f t="shared" si="21"/>
        <v>0</v>
      </c>
      <c r="H25" s="67">
        <f t="shared" si="21"/>
        <v>0</v>
      </c>
      <c r="I25" s="67">
        <f t="shared" si="21"/>
        <v>0</v>
      </c>
      <c r="J25" s="67">
        <f t="shared" si="21"/>
        <v>0</v>
      </c>
      <c r="K25" s="67">
        <f t="shared" si="21"/>
        <v>0</v>
      </c>
      <c r="L25" s="67">
        <f>C25+D25</f>
        <v>0</v>
      </c>
      <c r="M25" s="181"/>
      <c r="N25" s="75"/>
      <c r="O25" s="75"/>
      <c r="W25" s="60" t="s">
        <v>61</v>
      </c>
      <c r="AM25" s="60" t="s">
        <v>62</v>
      </c>
      <c r="AN25" s="60" t="s">
        <v>61</v>
      </c>
    </row>
    <row r="26" spans="1:41">
      <c r="A26" s="166">
        <v>20</v>
      </c>
      <c r="B26" s="60" t="s">
        <v>63</v>
      </c>
      <c r="C26" s="67">
        <f t="shared" ref="C26:K26" si="22">C24-C25</f>
        <v>-2009789.9999999991</v>
      </c>
      <c r="D26" s="67">
        <f t="shared" si="22"/>
        <v>-680390</v>
      </c>
      <c r="E26" s="67">
        <f t="shared" si="22"/>
        <v>0</v>
      </c>
      <c r="F26" s="67">
        <f t="shared" si="22"/>
        <v>0</v>
      </c>
      <c r="G26" s="67">
        <f t="shared" si="22"/>
        <v>0</v>
      </c>
      <c r="H26" s="67">
        <f t="shared" si="22"/>
        <v>0</v>
      </c>
      <c r="I26" s="67">
        <f t="shared" si="22"/>
        <v>0</v>
      </c>
      <c r="J26" s="67">
        <f t="shared" si="22"/>
        <v>0</v>
      </c>
      <c r="K26" s="67">
        <f t="shared" si="22"/>
        <v>0</v>
      </c>
      <c r="L26" s="62">
        <f>L24-L25</f>
        <v>-2690179.9999999991</v>
      </c>
      <c r="M26" s="75"/>
      <c r="N26" s="75"/>
      <c r="O26" s="75"/>
      <c r="W26" s="60" t="s">
        <v>63</v>
      </c>
      <c r="AM26" s="60" t="s">
        <v>64</v>
      </c>
      <c r="AN26" s="60" t="s">
        <v>63</v>
      </c>
    </row>
    <row r="27" spans="1:41">
      <c r="A27" s="166">
        <v>21</v>
      </c>
      <c r="B27" s="60" t="s">
        <v>67</v>
      </c>
      <c r="C27" s="69">
        <f t="shared" ref="C27:L27" si="23">C26/C7</f>
        <v>-0.29555735294117635</v>
      </c>
      <c r="D27" s="69">
        <f t="shared" si="23"/>
        <v>-0.10005735294117647</v>
      </c>
      <c r="E27" s="69" t="e">
        <f t="shared" si="23"/>
        <v>#DIV/0!</v>
      </c>
      <c r="F27" s="69" t="e">
        <f t="shared" si="23"/>
        <v>#DIV/0!</v>
      </c>
      <c r="G27" s="69" t="e">
        <f t="shared" si="23"/>
        <v>#DIV/0!</v>
      </c>
      <c r="H27" s="69" t="e">
        <f t="shared" si="23"/>
        <v>#DIV/0!</v>
      </c>
      <c r="I27" s="69" t="e">
        <f t="shared" si="23"/>
        <v>#DIV/0!</v>
      </c>
      <c r="J27" s="69" t="e">
        <f t="shared" si="23"/>
        <v>#DIV/0!</v>
      </c>
      <c r="K27" s="69" t="e">
        <f t="shared" si="23"/>
        <v>#DIV/0!</v>
      </c>
      <c r="L27" s="69">
        <f t="shared" si="23"/>
        <v>-0.19780735294117641</v>
      </c>
      <c r="M27" s="75"/>
      <c r="N27" s="75"/>
      <c r="O27" s="75"/>
      <c r="W27" s="60" t="s">
        <v>67</v>
      </c>
      <c r="AM27" s="60" t="s">
        <v>66</v>
      </c>
      <c r="AN27" s="60" t="s">
        <v>67</v>
      </c>
    </row>
    <row r="28" spans="1:41">
      <c r="M28" s="75"/>
      <c r="N28" s="75"/>
      <c r="O28" s="75"/>
      <c r="W28" s="60"/>
    </row>
    <row r="29" spans="1:41">
      <c r="A29" s="56" t="s">
        <v>68</v>
      </c>
      <c r="L29" s="57" t="s">
        <v>157</v>
      </c>
      <c r="M29" s="75"/>
      <c r="N29" s="75"/>
      <c r="O29" s="75"/>
      <c r="W29" s="60"/>
      <c r="AM29" s="56" t="s">
        <v>68</v>
      </c>
    </row>
    <row r="30" spans="1:41">
      <c r="A30" s="60" t="s">
        <v>73</v>
      </c>
      <c r="B30" s="63" t="s">
        <v>74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75"/>
      <c r="N30" s="75"/>
      <c r="O30" s="75"/>
      <c r="Q30" s="75"/>
      <c r="W30" s="63" t="s">
        <v>74</v>
      </c>
      <c r="AM30" s="60" t="s">
        <v>75</v>
      </c>
      <c r="AN30" s="63" t="s">
        <v>74</v>
      </c>
    </row>
    <row r="31" spans="1:41">
      <c r="A31" s="166">
        <v>1</v>
      </c>
      <c r="B31" s="65" t="s">
        <v>76</v>
      </c>
      <c r="C31" s="71">
        <f>销量!C8</f>
        <v>340</v>
      </c>
      <c r="D31" s="71">
        <f>销量!D8</f>
        <v>340</v>
      </c>
      <c r="E31" s="71">
        <f>销量!E8</f>
        <v>0</v>
      </c>
      <c r="F31" s="71">
        <f>销量!F8</f>
        <v>0</v>
      </c>
      <c r="G31" s="71">
        <f>销量!G8</f>
        <v>0</v>
      </c>
      <c r="H31" s="71">
        <f>销量!H8</f>
        <v>0</v>
      </c>
      <c r="I31" s="71">
        <f>销量!I8</f>
        <v>0</v>
      </c>
      <c r="J31" s="71">
        <f>销量!J8</f>
        <v>0</v>
      </c>
      <c r="K31" s="71">
        <f>销量!K8</f>
        <v>0</v>
      </c>
      <c r="L31" s="67"/>
      <c r="M31" s="75"/>
      <c r="N31" s="75"/>
      <c r="O31" s="75"/>
      <c r="Q31" s="75"/>
      <c r="W31" s="60" t="s">
        <v>76</v>
      </c>
      <c r="AM31" s="60" t="s">
        <v>26</v>
      </c>
      <c r="AN31" s="60" t="s">
        <v>76</v>
      </c>
    </row>
    <row r="32" spans="1:41">
      <c r="A32" s="166">
        <v>2</v>
      </c>
      <c r="B32" s="60" t="s">
        <v>158</v>
      </c>
      <c r="C32" s="62">
        <f>C9/C6</f>
        <v>340</v>
      </c>
      <c r="D32" s="62">
        <f t="shared" ref="D32:K32" si="24">D9/D6</f>
        <v>340</v>
      </c>
      <c r="E32" s="62" t="e">
        <f t="shared" si="24"/>
        <v>#DIV/0!</v>
      </c>
      <c r="F32" s="62" t="e">
        <f t="shared" si="24"/>
        <v>#DIV/0!</v>
      </c>
      <c r="G32" s="62" t="e">
        <f t="shared" si="24"/>
        <v>#DIV/0!</v>
      </c>
      <c r="H32" s="62" t="e">
        <f t="shared" si="24"/>
        <v>#DIV/0!</v>
      </c>
      <c r="I32" s="62" t="e">
        <f t="shared" si="24"/>
        <v>#DIV/0!</v>
      </c>
      <c r="J32" s="62" t="e">
        <f t="shared" si="24"/>
        <v>#DIV/0!</v>
      </c>
      <c r="K32" s="62" t="e">
        <f t="shared" si="24"/>
        <v>#DIV/0!</v>
      </c>
      <c r="L32" s="67"/>
      <c r="M32" s="75"/>
      <c r="N32" s="75"/>
      <c r="O32" s="75"/>
      <c r="P32" s="75"/>
      <c r="Q32" s="75"/>
      <c r="R32" s="75"/>
      <c r="S32" s="75"/>
      <c r="AM32" s="60"/>
      <c r="AN32" s="60"/>
    </row>
    <row r="33" spans="1:40">
      <c r="A33" s="166">
        <v>3</v>
      </c>
      <c r="B33" s="65" t="s">
        <v>77</v>
      </c>
      <c r="C33" s="62">
        <f>材料成本!J39</f>
        <v>395.59</v>
      </c>
      <c r="D33" s="62">
        <f>材料成本!J40</f>
        <v>329.12</v>
      </c>
      <c r="E33" s="62">
        <f>材料成本!J41</f>
        <v>0</v>
      </c>
      <c r="F33" s="62">
        <f>材料成本!J42</f>
        <v>0</v>
      </c>
      <c r="G33" s="62">
        <f>材料成本!J43</f>
        <v>0</v>
      </c>
      <c r="H33" s="62">
        <f>材料成本!J44</f>
        <v>0</v>
      </c>
      <c r="I33" s="62">
        <f>材料成本!J45</f>
        <v>0</v>
      </c>
      <c r="J33" s="62">
        <f>材料成本!J46</f>
        <v>0</v>
      </c>
      <c r="K33" s="62">
        <f>材料成本!J47</f>
        <v>0</v>
      </c>
      <c r="L33" s="67"/>
      <c r="N33" s="75"/>
      <c r="O33" s="75"/>
      <c r="P33" s="75"/>
      <c r="Q33" s="75"/>
      <c r="R33" s="75"/>
      <c r="S33" s="75"/>
      <c r="W33" s="60" t="s">
        <v>77</v>
      </c>
      <c r="AM33" s="60" t="s">
        <v>28</v>
      </c>
      <c r="AN33" s="60" t="s">
        <v>77</v>
      </c>
    </row>
    <row r="34" spans="1:40" ht="17.25" customHeight="1">
      <c r="A34" s="166">
        <v>4</v>
      </c>
      <c r="B34" s="60" t="s">
        <v>79</v>
      </c>
      <c r="C34" s="72">
        <f>C32-C33</f>
        <v>-55.589999999999975</v>
      </c>
      <c r="D34" s="72">
        <f t="shared" ref="D34:K34" si="25">D32-D33</f>
        <v>10.879999999999995</v>
      </c>
      <c r="E34" s="72" t="e">
        <f t="shared" si="25"/>
        <v>#DIV/0!</v>
      </c>
      <c r="F34" s="72" t="e">
        <f t="shared" si="25"/>
        <v>#DIV/0!</v>
      </c>
      <c r="G34" s="72" t="e">
        <f t="shared" si="25"/>
        <v>#DIV/0!</v>
      </c>
      <c r="H34" s="72" t="e">
        <f t="shared" si="25"/>
        <v>#DIV/0!</v>
      </c>
      <c r="I34" s="72" t="e">
        <f t="shared" si="25"/>
        <v>#DIV/0!</v>
      </c>
      <c r="J34" s="72" t="e">
        <f t="shared" si="25"/>
        <v>#DIV/0!</v>
      </c>
      <c r="K34" s="72" t="e">
        <f t="shared" si="25"/>
        <v>#DIV/0!</v>
      </c>
      <c r="L34" s="67"/>
      <c r="N34" s="75"/>
      <c r="O34" s="75"/>
      <c r="P34" s="75"/>
      <c r="Q34" s="75"/>
      <c r="R34" s="75"/>
      <c r="S34" s="75"/>
      <c r="W34" s="60" t="s">
        <v>79</v>
      </c>
      <c r="AM34" s="60" t="s">
        <v>78</v>
      </c>
      <c r="AN34" s="60" t="s">
        <v>79</v>
      </c>
    </row>
    <row r="35" spans="1:40">
      <c r="A35" s="60" t="s">
        <v>75</v>
      </c>
      <c r="B35" s="63" t="s">
        <v>10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63" t="s">
        <v>10</v>
      </c>
      <c r="AM35" s="60" t="s">
        <v>81</v>
      </c>
      <c r="AN35" s="63" t="s">
        <v>10</v>
      </c>
    </row>
    <row r="36" spans="1:40">
      <c r="A36" s="166">
        <v>1</v>
      </c>
      <c r="B36" s="60" t="s">
        <v>82</v>
      </c>
      <c r="C36" s="66">
        <f>'2022年'!C36</f>
        <v>14.654</v>
      </c>
      <c r="D36" s="66">
        <f>'2022年'!D36</f>
        <v>14.654</v>
      </c>
      <c r="E36" s="66">
        <v>59.48</v>
      </c>
      <c r="F36" s="66">
        <v>38.79</v>
      </c>
      <c r="G36" s="66">
        <v>36.64</v>
      </c>
      <c r="H36" s="66">
        <v>29.09</v>
      </c>
      <c r="I36" s="66">
        <v>4.53</v>
      </c>
      <c r="J36" s="66">
        <f t="shared" ref="J36:K36" si="26">I36</f>
        <v>4.53</v>
      </c>
      <c r="K36" s="66">
        <f t="shared" si="26"/>
        <v>4.53</v>
      </c>
      <c r="L36" s="71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60" t="s">
        <v>82</v>
      </c>
      <c r="AM36" s="60" t="s">
        <v>78</v>
      </c>
      <c r="AN36" s="60" t="s">
        <v>82</v>
      </c>
    </row>
    <row r="37" spans="1:40">
      <c r="A37" s="166">
        <v>2</v>
      </c>
      <c r="B37" s="60" t="s">
        <v>83</v>
      </c>
      <c r="C37" s="66">
        <f>'2022年'!C37</f>
        <v>7.3780000000000001</v>
      </c>
      <c r="D37" s="66">
        <f>'2022年'!D37</f>
        <v>7.3780000000000001</v>
      </c>
      <c r="E37" s="66">
        <v>29.95</v>
      </c>
      <c r="F37" s="66">
        <v>19.53</v>
      </c>
      <c r="G37" s="66">
        <v>18.45</v>
      </c>
      <c r="H37" s="66">
        <v>14.25</v>
      </c>
      <c r="I37" s="66">
        <v>2.2799999999999998</v>
      </c>
      <c r="J37" s="66">
        <f t="shared" ref="J37:K37" si="27">I37</f>
        <v>2.2799999999999998</v>
      </c>
      <c r="K37" s="66">
        <f t="shared" si="27"/>
        <v>2.2799999999999998</v>
      </c>
      <c r="L37" s="71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60" t="s">
        <v>83</v>
      </c>
      <c r="AM37" s="60" t="s">
        <v>31</v>
      </c>
      <c r="AN37" s="60" t="s">
        <v>83</v>
      </c>
    </row>
    <row r="38" spans="1:40">
      <c r="A38" s="166">
        <v>3</v>
      </c>
      <c r="B38" s="60" t="s">
        <v>84</v>
      </c>
      <c r="C38" s="66">
        <f>'2022年'!C38</f>
        <v>10.88</v>
      </c>
      <c r="D38" s="66">
        <f>'2022年'!D38</f>
        <v>10.88</v>
      </c>
      <c r="E38" s="66">
        <v>44.16</v>
      </c>
      <c r="F38" s="66">
        <v>28.8</v>
      </c>
      <c r="G38" s="66">
        <v>27.2</v>
      </c>
      <c r="H38" s="66">
        <v>21.6</v>
      </c>
      <c r="I38" s="66">
        <v>3.36</v>
      </c>
      <c r="J38" s="66">
        <f t="shared" ref="J38:K38" si="28">I38</f>
        <v>3.36</v>
      </c>
      <c r="K38" s="66">
        <f t="shared" si="28"/>
        <v>3.36</v>
      </c>
      <c r="L38" s="71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60" t="s">
        <v>84</v>
      </c>
      <c r="AM38" s="60" t="s">
        <v>37</v>
      </c>
      <c r="AN38" s="60" t="s">
        <v>84</v>
      </c>
    </row>
    <row r="39" spans="1:40">
      <c r="A39" s="60" t="s">
        <v>81</v>
      </c>
      <c r="B39" s="63" t="s">
        <v>86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W39" s="63" t="s">
        <v>86</v>
      </c>
      <c r="AM39" s="60" t="s">
        <v>85</v>
      </c>
      <c r="AN39" s="63" t="s">
        <v>86</v>
      </c>
    </row>
    <row r="40" spans="1:40">
      <c r="A40" s="166">
        <v>1</v>
      </c>
      <c r="B40" s="60" t="s">
        <v>88</v>
      </c>
      <c r="C40" s="67">
        <f>C34-C36-C37-C38</f>
        <v>-88.501999999999967</v>
      </c>
      <c r="D40" s="67">
        <f t="shared" ref="D40:K40" si="29">D34-D36-D37-D38</f>
        <v>-22.032000000000004</v>
      </c>
      <c r="E40" s="67" t="e">
        <f t="shared" si="29"/>
        <v>#DIV/0!</v>
      </c>
      <c r="F40" s="67" t="e">
        <f t="shared" si="29"/>
        <v>#DIV/0!</v>
      </c>
      <c r="G40" s="67" t="e">
        <f t="shared" si="29"/>
        <v>#DIV/0!</v>
      </c>
      <c r="H40" s="67" t="e">
        <f t="shared" si="29"/>
        <v>#DIV/0!</v>
      </c>
      <c r="I40" s="67" t="e">
        <f t="shared" si="29"/>
        <v>#DIV/0!</v>
      </c>
      <c r="J40" s="67" t="e">
        <f t="shared" si="29"/>
        <v>#DIV/0!</v>
      </c>
      <c r="K40" s="67" t="e">
        <f t="shared" si="29"/>
        <v>#DIV/0!</v>
      </c>
      <c r="L40" s="67"/>
      <c r="W40" s="60" t="s">
        <v>88</v>
      </c>
      <c r="AM40" s="60" t="s">
        <v>26</v>
      </c>
      <c r="AN40" s="60" t="s">
        <v>88</v>
      </c>
    </row>
    <row r="41" spans="1:40">
      <c r="A41" s="166">
        <v>2</v>
      </c>
      <c r="B41" s="60" t="s">
        <v>89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W41" s="60" t="s">
        <v>89</v>
      </c>
      <c r="AM41" s="60" t="s">
        <v>28</v>
      </c>
      <c r="AN41" s="60" t="s">
        <v>89</v>
      </c>
    </row>
    <row r="42" spans="1:40">
      <c r="A42" s="60" t="s">
        <v>85</v>
      </c>
      <c r="B42" s="63" t="s">
        <v>91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W42" s="63" t="s">
        <v>91</v>
      </c>
      <c r="AM42" s="60" t="s">
        <v>90</v>
      </c>
      <c r="AN42" s="63" t="s">
        <v>91</v>
      </c>
    </row>
    <row r="43" spans="1:40">
      <c r="A43" s="166">
        <v>1</v>
      </c>
      <c r="B43" s="68" t="s">
        <v>92</v>
      </c>
      <c r="C43" s="66">
        <f>'2022年'!C43</f>
        <v>0</v>
      </c>
      <c r="D43" s="66">
        <f>'2022年'!D43</f>
        <v>0</v>
      </c>
      <c r="E43" s="66">
        <v>55.75</v>
      </c>
      <c r="F43" s="66">
        <v>36.36</v>
      </c>
      <c r="G43" s="66">
        <v>34.340000000000003</v>
      </c>
      <c r="H43" s="66">
        <v>27.27</v>
      </c>
      <c r="I43" s="66">
        <v>4.24</v>
      </c>
      <c r="J43" s="66">
        <f t="shared" ref="J43:K43" si="30">I43</f>
        <v>4.24</v>
      </c>
      <c r="K43" s="66">
        <f t="shared" si="30"/>
        <v>4.24</v>
      </c>
      <c r="L43" s="67"/>
      <c r="W43" s="60" t="s">
        <v>92</v>
      </c>
      <c r="AM43" s="60" t="s">
        <v>26</v>
      </c>
      <c r="AN43" s="60" t="s">
        <v>92</v>
      </c>
    </row>
    <row r="44" spans="1:40">
      <c r="A44" s="166">
        <v>2</v>
      </c>
      <c r="B44" s="68" t="s">
        <v>93</v>
      </c>
      <c r="C44" s="66">
        <f>'2022年'!C44</f>
        <v>0</v>
      </c>
      <c r="D44" s="66">
        <f>'2022年'!D44</f>
        <v>0</v>
      </c>
      <c r="E44" s="66">
        <v>7.31</v>
      </c>
      <c r="F44" s="66">
        <v>4.7699999999999996</v>
      </c>
      <c r="G44" s="66">
        <v>4.51</v>
      </c>
      <c r="H44" s="66">
        <v>3.58</v>
      </c>
      <c r="I44" s="66">
        <v>0.56000000000000005</v>
      </c>
      <c r="J44" s="66">
        <f t="shared" ref="J44:K44" si="31">I44</f>
        <v>0.56000000000000005</v>
      </c>
      <c r="K44" s="66">
        <f t="shared" si="31"/>
        <v>0.56000000000000005</v>
      </c>
      <c r="L44" s="67"/>
      <c r="W44" s="60" t="s">
        <v>93</v>
      </c>
      <c r="AM44" s="60" t="s">
        <v>28</v>
      </c>
      <c r="AN44" s="60" t="s">
        <v>93</v>
      </c>
    </row>
    <row r="45" spans="1:40">
      <c r="A45" s="166">
        <v>3</v>
      </c>
      <c r="B45" s="68" t="s">
        <v>94</v>
      </c>
      <c r="C45" s="66">
        <f>'2022年'!C45</f>
        <v>0</v>
      </c>
      <c r="D45" s="66">
        <f>'2022年'!D45</f>
        <v>0</v>
      </c>
      <c r="E45" s="66">
        <v>37.54</v>
      </c>
      <c r="F45" s="66">
        <v>24.48</v>
      </c>
      <c r="G45" s="66">
        <v>23.12</v>
      </c>
      <c r="H45" s="66">
        <v>18.36</v>
      </c>
      <c r="I45" s="66">
        <v>2.86</v>
      </c>
      <c r="J45" s="66">
        <f t="shared" ref="J45:K45" si="32">I45</f>
        <v>2.86</v>
      </c>
      <c r="K45" s="66">
        <f t="shared" si="32"/>
        <v>2.86</v>
      </c>
      <c r="L45" s="67"/>
      <c r="W45" s="60" t="s">
        <v>94</v>
      </c>
      <c r="AM45" s="60" t="s">
        <v>78</v>
      </c>
      <c r="AN45" s="60" t="s">
        <v>94</v>
      </c>
    </row>
    <row r="46" spans="1:40" s="55" customFormat="1">
      <c r="A46" s="166">
        <v>4</v>
      </c>
      <c r="B46" s="68" t="s">
        <v>95</v>
      </c>
      <c r="C46" s="73">
        <f>C21/C6</f>
        <v>1.55</v>
      </c>
      <c r="D46" s="73">
        <f t="shared" ref="D46:K46" si="33">D21/D6</f>
        <v>1.55</v>
      </c>
      <c r="E46" s="73" t="e">
        <f t="shared" si="33"/>
        <v>#DIV/0!</v>
      </c>
      <c r="F46" s="73" t="e">
        <f t="shared" si="33"/>
        <v>#DIV/0!</v>
      </c>
      <c r="G46" s="73" t="e">
        <f t="shared" si="33"/>
        <v>#DIV/0!</v>
      </c>
      <c r="H46" s="73" t="e">
        <f t="shared" si="33"/>
        <v>#DIV/0!</v>
      </c>
      <c r="I46" s="73" t="e">
        <f t="shared" si="33"/>
        <v>#DIV/0!</v>
      </c>
      <c r="J46" s="73" t="e">
        <f t="shared" si="33"/>
        <v>#DIV/0!</v>
      </c>
      <c r="K46" s="73" t="e">
        <f t="shared" si="33"/>
        <v>#DIV/0!</v>
      </c>
      <c r="L46" s="73"/>
      <c r="W46" s="68" t="s">
        <v>97</v>
      </c>
      <c r="AM46" s="68" t="s">
        <v>34</v>
      </c>
      <c r="AN46" s="68" t="s">
        <v>97</v>
      </c>
    </row>
    <row r="47" spans="1:40" s="55" customFormat="1">
      <c r="A47" s="166">
        <v>5</v>
      </c>
      <c r="B47" s="68" t="s">
        <v>97</v>
      </c>
      <c r="C47" s="73">
        <f>'2022年'!C47</f>
        <v>10.199999999999999</v>
      </c>
      <c r="D47" s="73">
        <f>'2022年'!D47</f>
        <v>10.199999999999999</v>
      </c>
      <c r="E47" s="73">
        <v>41.4</v>
      </c>
      <c r="F47" s="73">
        <v>27</v>
      </c>
      <c r="G47" s="73">
        <v>25.5</v>
      </c>
      <c r="H47" s="73">
        <v>20.5</v>
      </c>
      <c r="I47" s="73">
        <v>3.15</v>
      </c>
      <c r="J47" s="73">
        <f t="shared" ref="J47:K47" si="34">I47</f>
        <v>3.15</v>
      </c>
      <c r="K47" s="73">
        <f t="shared" si="34"/>
        <v>3.15</v>
      </c>
      <c r="L47" s="73"/>
      <c r="W47" s="68" t="s">
        <v>97</v>
      </c>
      <c r="AM47" s="68" t="s">
        <v>34</v>
      </c>
      <c r="AN47" s="68" t="s">
        <v>97</v>
      </c>
    </row>
    <row r="48" spans="1:40">
      <c r="A48" s="60" t="s">
        <v>90</v>
      </c>
      <c r="B48" s="63" t="s">
        <v>108</v>
      </c>
      <c r="C48" s="67">
        <f>C40-C43-C44-C45-C47-C46</f>
        <v>-100.25199999999997</v>
      </c>
      <c r="D48" s="67">
        <f t="shared" ref="D48:K48" si="35">D40-D43-D44-D45-D47-D46</f>
        <v>-33.781999999999996</v>
      </c>
      <c r="E48" s="67" t="e">
        <f t="shared" si="35"/>
        <v>#DIV/0!</v>
      </c>
      <c r="F48" s="67" t="e">
        <f t="shared" si="35"/>
        <v>#DIV/0!</v>
      </c>
      <c r="G48" s="67" t="e">
        <f t="shared" si="35"/>
        <v>#DIV/0!</v>
      </c>
      <c r="H48" s="67" t="e">
        <f t="shared" si="35"/>
        <v>#DIV/0!</v>
      </c>
      <c r="I48" s="67" t="e">
        <f t="shared" si="35"/>
        <v>#DIV/0!</v>
      </c>
      <c r="J48" s="67" t="e">
        <f t="shared" si="35"/>
        <v>#DIV/0!</v>
      </c>
      <c r="K48" s="67" t="e">
        <f t="shared" si="35"/>
        <v>#DIV/0!</v>
      </c>
      <c r="L48" s="67"/>
      <c r="W48" s="63" t="s">
        <v>108</v>
      </c>
      <c r="AM48" s="60" t="s">
        <v>107</v>
      </c>
      <c r="AN48" s="63" t="s">
        <v>108</v>
      </c>
    </row>
    <row r="51" spans="2:17">
      <c r="C51" s="74"/>
      <c r="D51" s="74"/>
      <c r="E51" s="74"/>
      <c r="F51" s="74"/>
      <c r="G51" s="74"/>
      <c r="H51" s="74"/>
      <c r="I51" s="74"/>
      <c r="J51" s="74"/>
      <c r="K51" s="74"/>
    </row>
    <row r="54" spans="2:17"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5"/>
      <c r="N54" s="75"/>
      <c r="O54" s="75"/>
      <c r="P54" s="75"/>
      <c r="Q54" s="75"/>
    </row>
    <row r="55" spans="2:17"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5"/>
      <c r="N55" s="75"/>
      <c r="O55" s="75"/>
      <c r="P55" s="75"/>
      <c r="Q55" s="75"/>
    </row>
    <row r="56" spans="2:17">
      <c r="B56" s="75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5"/>
      <c r="N56" s="75"/>
      <c r="O56" s="75"/>
      <c r="P56" s="75"/>
      <c r="Q56" s="75"/>
    </row>
    <row r="57" spans="2:17">
      <c r="B57" s="75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5"/>
      <c r="N57" s="75"/>
      <c r="O57" s="75"/>
      <c r="P57" s="75"/>
      <c r="Q57" s="75"/>
    </row>
    <row r="58" spans="2:17"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5"/>
      <c r="N58" s="75"/>
      <c r="O58" s="75"/>
      <c r="P58" s="75"/>
      <c r="Q58" s="75"/>
    </row>
    <row r="59" spans="2:17">
      <c r="B59" s="75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5"/>
      <c r="N59" s="75"/>
      <c r="O59" s="75"/>
      <c r="P59" s="75"/>
      <c r="Q59" s="75"/>
    </row>
    <row r="60" spans="2:17"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5"/>
      <c r="N60" s="75"/>
      <c r="O60" s="75"/>
      <c r="P60" s="75"/>
      <c r="Q60" s="75"/>
    </row>
    <row r="61" spans="2:17">
      <c r="B61" s="75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5"/>
      <c r="N61" s="75"/>
      <c r="O61" s="75"/>
      <c r="P61" s="75"/>
      <c r="Q61" s="75"/>
    </row>
    <row r="62" spans="2:17"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5"/>
      <c r="N62" s="75"/>
      <c r="O62" s="75"/>
      <c r="P62" s="75"/>
      <c r="Q62" s="75"/>
    </row>
    <row r="63" spans="2:17"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5"/>
      <c r="N63" s="75"/>
      <c r="O63" s="75"/>
      <c r="P63" s="75"/>
      <c r="Q63" s="75"/>
    </row>
    <row r="64" spans="2:17"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5"/>
      <c r="N64" s="75"/>
      <c r="O64" s="75"/>
      <c r="P64" s="75"/>
      <c r="Q64" s="75"/>
    </row>
    <row r="65" spans="2:17">
      <c r="B65" s="7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5"/>
      <c r="N65" s="75"/>
      <c r="O65" s="75"/>
      <c r="P65" s="75"/>
      <c r="Q65" s="75"/>
    </row>
    <row r="66" spans="2:17">
      <c r="B66" s="75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5"/>
      <c r="N66" s="75"/>
      <c r="O66" s="75"/>
      <c r="P66" s="75"/>
      <c r="Q66" s="75"/>
    </row>
    <row r="67" spans="2:17"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5"/>
    </row>
    <row r="68" spans="2:17"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5"/>
    </row>
    <row r="69" spans="2:17">
      <c r="B69" s="75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5"/>
    </row>
    <row r="70" spans="2:17">
      <c r="B70" s="75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5"/>
    </row>
    <row r="71" spans="2:17"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5"/>
    </row>
    <row r="72" spans="2:17">
      <c r="B72" s="75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5"/>
    </row>
    <row r="73" spans="2:17">
      <c r="B73" s="75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5"/>
    </row>
    <row r="74" spans="2:17">
      <c r="B74" s="75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5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H27" sqref="H27"/>
    </sheetView>
  </sheetViews>
  <sheetFormatPr defaultColWidth="9" defaultRowHeight="16.5"/>
  <cols>
    <col min="1" max="1" width="5.125" style="56" customWidth="1"/>
    <col min="2" max="2" width="17.5" style="56" customWidth="1"/>
    <col min="3" max="3" width="13.25" style="57" customWidth="1"/>
    <col min="4" max="4" width="15.5" style="57" customWidth="1"/>
    <col min="5" max="7" width="15.5" style="57" hidden="1" customWidth="1"/>
    <col min="8" max="8" width="18.75" style="57" customWidth="1"/>
    <col min="9" max="9" width="12.375" style="56" customWidth="1"/>
    <col min="10" max="10" width="10.125" style="56" customWidth="1"/>
    <col min="11" max="17" width="9" style="56" customWidth="1"/>
    <col min="18" max="34" width="9" style="56"/>
    <col min="35" max="35" width="4.375" style="56" customWidth="1"/>
    <col min="36" max="36" width="13.875" style="56" customWidth="1"/>
    <col min="37" max="16384" width="9" style="56"/>
  </cols>
  <sheetData>
    <row r="1" spans="1:37">
      <c r="A1" s="209" t="s">
        <v>148</v>
      </c>
      <c r="B1" s="209"/>
      <c r="C1" s="213" t="s">
        <v>283</v>
      </c>
      <c r="D1" s="214"/>
      <c r="E1" s="214"/>
      <c r="F1" s="214"/>
      <c r="G1" s="214"/>
      <c r="H1" s="215"/>
    </row>
    <row r="2" spans="1:37">
      <c r="A2" s="209" t="s">
        <v>149</v>
      </c>
      <c r="B2" s="209"/>
      <c r="C2" s="216"/>
      <c r="D2" s="216"/>
      <c r="E2" s="216"/>
      <c r="F2" s="216"/>
      <c r="G2" s="216"/>
      <c r="H2" s="216"/>
    </row>
    <row r="3" spans="1:37" ht="33">
      <c r="A3" s="209" t="s">
        <v>150</v>
      </c>
      <c r="B3" s="209"/>
      <c r="C3" s="192" t="s">
        <v>271</v>
      </c>
      <c r="D3" s="192" t="s">
        <v>273</v>
      </c>
      <c r="E3" s="175"/>
      <c r="F3" s="175"/>
      <c r="G3" s="175"/>
      <c r="H3" s="210" t="s">
        <v>22</v>
      </c>
    </row>
    <row r="4" spans="1:37" ht="33">
      <c r="A4" s="209" t="s">
        <v>151</v>
      </c>
      <c r="B4" s="209"/>
      <c r="C4" s="193" t="s">
        <v>272</v>
      </c>
      <c r="D4" s="193" t="s">
        <v>274</v>
      </c>
      <c r="E4" s="175"/>
      <c r="F4" s="175"/>
      <c r="G4" s="175"/>
      <c r="H4" s="211"/>
    </row>
    <row r="5" spans="1:37">
      <c r="A5" s="209" t="s">
        <v>152</v>
      </c>
      <c r="B5" s="209"/>
      <c r="C5" s="59"/>
      <c r="D5" s="59"/>
      <c r="E5" s="59"/>
      <c r="F5" s="59"/>
      <c r="G5" s="59"/>
      <c r="H5" s="212"/>
      <c r="AK5" s="56" t="s">
        <v>23</v>
      </c>
    </row>
    <row r="6" spans="1:37" ht="17.25">
      <c r="A6" s="60" t="s">
        <v>19</v>
      </c>
      <c r="B6" s="61" t="s">
        <v>153</v>
      </c>
      <c r="C6" s="28">
        <f>销量!C12</f>
        <v>20000</v>
      </c>
      <c r="D6" s="28">
        <f>销量!D12</f>
        <v>20000</v>
      </c>
      <c r="E6" s="28">
        <f>销量!I12</f>
        <v>0</v>
      </c>
      <c r="F6" s="28">
        <f>销量!J12</f>
        <v>0</v>
      </c>
      <c r="G6" s="28">
        <f>销量!K12</f>
        <v>0</v>
      </c>
      <c r="H6" s="62">
        <f t="shared" ref="H6:H15" si="0">+SUM(C6:G6)</f>
        <v>40000</v>
      </c>
      <c r="S6" s="61" t="s">
        <v>3</v>
      </c>
      <c r="AI6" s="60" t="s">
        <v>19</v>
      </c>
      <c r="AJ6" s="61" t="s">
        <v>3</v>
      </c>
      <c r="AK6" s="56" t="s">
        <v>24</v>
      </c>
    </row>
    <row r="7" spans="1:37">
      <c r="A7" s="166">
        <v>1</v>
      </c>
      <c r="B7" s="61" t="s">
        <v>25</v>
      </c>
      <c r="C7" s="62">
        <f>C6*销量!C8</f>
        <v>6800000</v>
      </c>
      <c r="D7" s="62">
        <f>D6*销量!D8</f>
        <v>6800000</v>
      </c>
      <c r="E7" s="62">
        <f>E6*销量!E8</f>
        <v>0</v>
      </c>
      <c r="F7" s="62">
        <f>F6*销量!J8</f>
        <v>0</v>
      </c>
      <c r="G7" s="62">
        <f>G6*销量!K8</f>
        <v>0</v>
      </c>
      <c r="H7" s="62">
        <f t="shared" si="0"/>
        <v>13600000</v>
      </c>
      <c r="I7" s="57"/>
      <c r="S7" s="61" t="s">
        <v>25</v>
      </c>
      <c r="AI7" s="60" t="s">
        <v>26</v>
      </c>
      <c r="AJ7" s="61" t="s">
        <v>25</v>
      </c>
      <c r="AK7" s="56" t="s">
        <v>24</v>
      </c>
    </row>
    <row r="8" spans="1:37">
      <c r="A8" s="166">
        <v>2</v>
      </c>
      <c r="B8" s="166" t="s">
        <v>27</v>
      </c>
      <c r="C8" s="62">
        <f>C7*(1-销量!$P$9)</f>
        <v>0</v>
      </c>
      <c r="D8" s="62">
        <f>D7*(1-销量!$P$9)</f>
        <v>0</v>
      </c>
      <c r="E8" s="62"/>
      <c r="F8" s="62"/>
      <c r="G8" s="62"/>
      <c r="H8" s="62">
        <f t="shared" si="0"/>
        <v>0</v>
      </c>
      <c r="I8" s="77"/>
      <c r="S8" s="166" t="s">
        <v>29</v>
      </c>
      <c r="AI8" s="60" t="s">
        <v>28</v>
      </c>
      <c r="AJ8" s="166" t="s">
        <v>29</v>
      </c>
      <c r="AK8" s="56" t="s">
        <v>24</v>
      </c>
    </row>
    <row r="9" spans="1:37">
      <c r="A9" s="166">
        <v>3</v>
      </c>
      <c r="B9" s="61" t="s">
        <v>30</v>
      </c>
      <c r="C9" s="62">
        <f>+C7-C8</f>
        <v>6800000</v>
      </c>
      <c r="D9" s="62">
        <f t="shared" ref="D9:G9" si="1">+D7-D8</f>
        <v>6800000</v>
      </c>
      <c r="E9" s="62">
        <f t="shared" si="1"/>
        <v>0</v>
      </c>
      <c r="F9" s="62">
        <f t="shared" si="1"/>
        <v>0</v>
      </c>
      <c r="G9" s="62">
        <f t="shared" si="1"/>
        <v>0</v>
      </c>
      <c r="H9" s="62">
        <f t="shared" si="0"/>
        <v>13600000</v>
      </c>
      <c r="S9" s="61" t="s">
        <v>30</v>
      </c>
      <c r="AI9" s="60" t="s">
        <v>31</v>
      </c>
      <c r="AJ9" s="61" t="s">
        <v>30</v>
      </c>
      <c r="AK9" s="56" t="s">
        <v>32</v>
      </c>
    </row>
    <row r="10" spans="1:37">
      <c r="A10" s="166">
        <v>4</v>
      </c>
      <c r="B10" s="60" t="s">
        <v>33</v>
      </c>
      <c r="C10" s="62">
        <f>C6*C33</f>
        <v>7911799.9999999991</v>
      </c>
      <c r="D10" s="62">
        <f>D6*D33</f>
        <v>6582400</v>
      </c>
      <c r="E10" s="62">
        <f>E6*材料成本!J33</f>
        <v>0</v>
      </c>
      <c r="F10" s="62">
        <f>F6*材料成本!K33</f>
        <v>0</v>
      </c>
      <c r="G10" s="62">
        <f>G6*材料成本!L33</f>
        <v>0</v>
      </c>
      <c r="H10" s="62">
        <f t="shared" si="0"/>
        <v>14494200</v>
      </c>
      <c r="S10" s="60" t="s">
        <v>33</v>
      </c>
      <c r="AI10" s="60" t="s">
        <v>34</v>
      </c>
      <c r="AJ10" s="60" t="s">
        <v>33</v>
      </c>
      <c r="AK10" s="56" t="s">
        <v>35</v>
      </c>
    </row>
    <row r="11" spans="1:37">
      <c r="A11" s="166">
        <v>5</v>
      </c>
      <c r="B11" s="60" t="s">
        <v>36</v>
      </c>
      <c r="C11" s="62">
        <f>+C6*C36</f>
        <v>293080</v>
      </c>
      <c r="D11" s="62">
        <f>+D6*D36</f>
        <v>293080</v>
      </c>
      <c r="E11" s="62">
        <f>+E6*E36</f>
        <v>0</v>
      </c>
      <c r="F11" s="62">
        <f>+F6*F36</f>
        <v>0</v>
      </c>
      <c r="G11" s="62">
        <f>+G6*G36</f>
        <v>0</v>
      </c>
      <c r="H11" s="62">
        <f t="shared" si="0"/>
        <v>586160</v>
      </c>
      <c r="S11" s="60" t="s">
        <v>36</v>
      </c>
      <c r="AI11" s="60" t="s">
        <v>37</v>
      </c>
      <c r="AJ11" s="60" t="s">
        <v>36</v>
      </c>
    </row>
    <row r="12" spans="1:37">
      <c r="A12" s="166">
        <v>6</v>
      </c>
      <c r="B12" s="60" t="s">
        <v>38</v>
      </c>
      <c r="C12" s="62">
        <f>+C6*C37</f>
        <v>147560</v>
      </c>
      <c r="D12" s="62">
        <f>+D6*D37</f>
        <v>147560</v>
      </c>
      <c r="E12" s="62">
        <f>+E6*E37</f>
        <v>0</v>
      </c>
      <c r="F12" s="62">
        <f>+F6*F37</f>
        <v>0</v>
      </c>
      <c r="G12" s="62">
        <f>+G6*G37</f>
        <v>0</v>
      </c>
      <c r="H12" s="62">
        <f t="shared" si="0"/>
        <v>295120</v>
      </c>
      <c r="S12" s="60" t="s">
        <v>38</v>
      </c>
      <c r="AI12" s="60" t="s">
        <v>39</v>
      </c>
      <c r="AJ12" s="60" t="s">
        <v>38</v>
      </c>
    </row>
    <row r="13" spans="1:37">
      <c r="A13" s="166">
        <v>7</v>
      </c>
      <c r="B13" s="60" t="s">
        <v>40</v>
      </c>
      <c r="C13" s="62">
        <f>+C6*C38</f>
        <v>217600.00000000003</v>
      </c>
      <c r="D13" s="62">
        <f t="shared" ref="D13:G13" si="2">+D6*D38</f>
        <v>217600.00000000003</v>
      </c>
      <c r="E13" s="62">
        <f t="shared" si="2"/>
        <v>0</v>
      </c>
      <c r="F13" s="62">
        <f t="shared" si="2"/>
        <v>0</v>
      </c>
      <c r="G13" s="62">
        <f t="shared" si="2"/>
        <v>0</v>
      </c>
      <c r="H13" s="62">
        <f t="shared" si="0"/>
        <v>435200.00000000006</v>
      </c>
      <c r="S13" s="60" t="s">
        <v>40</v>
      </c>
      <c r="AI13" s="60" t="s">
        <v>41</v>
      </c>
      <c r="AJ13" s="60" t="s">
        <v>40</v>
      </c>
      <c r="AK13" s="56" t="s">
        <v>24</v>
      </c>
    </row>
    <row r="14" spans="1:37">
      <c r="A14" s="166">
        <v>8</v>
      </c>
      <c r="B14" s="63" t="s">
        <v>42</v>
      </c>
      <c r="C14" s="62">
        <f>SUM(C11:C13)</f>
        <v>658240</v>
      </c>
      <c r="D14" s="62">
        <f t="shared" ref="D14:G14" si="3">SUM(D11:D13)</f>
        <v>658240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0"/>
        <v>1316480</v>
      </c>
      <c r="S14" s="63" t="s">
        <v>42</v>
      </c>
      <c r="AI14" s="60" t="s">
        <v>43</v>
      </c>
      <c r="AJ14" s="63" t="s">
        <v>42</v>
      </c>
    </row>
    <row r="15" spans="1:37">
      <c r="A15" s="166">
        <v>9</v>
      </c>
      <c r="B15" s="63" t="s">
        <v>44</v>
      </c>
      <c r="C15" s="62">
        <f>+C9-C10-C14</f>
        <v>-1770039.9999999991</v>
      </c>
      <c r="D15" s="62">
        <f t="shared" ref="D15:G15" si="4">+D9-D10-D14</f>
        <v>-440640</v>
      </c>
      <c r="E15" s="62">
        <f t="shared" si="4"/>
        <v>0</v>
      </c>
      <c r="F15" s="62">
        <f t="shared" si="4"/>
        <v>0</v>
      </c>
      <c r="G15" s="62">
        <f t="shared" si="4"/>
        <v>0</v>
      </c>
      <c r="H15" s="62">
        <f t="shared" si="0"/>
        <v>-2210679.9999999991</v>
      </c>
      <c r="S15" s="63" t="s">
        <v>44</v>
      </c>
      <c r="AI15" s="60" t="s">
        <v>45</v>
      </c>
      <c r="AJ15" s="63" t="s">
        <v>44</v>
      </c>
    </row>
    <row r="16" spans="1:37">
      <c r="A16" s="166">
        <v>10</v>
      </c>
      <c r="B16" s="60" t="s">
        <v>46</v>
      </c>
      <c r="C16" s="64">
        <f>+C15/C9</f>
        <v>-0.26029999999999986</v>
      </c>
      <c r="D16" s="64">
        <f t="shared" ref="D16:G16" si="5">+D15/D9</f>
        <v>-6.4799999999999996E-2</v>
      </c>
      <c r="E16" s="64" t="e">
        <f t="shared" si="5"/>
        <v>#DIV/0!</v>
      </c>
      <c r="F16" s="64" t="e">
        <f t="shared" si="5"/>
        <v>#DIV/0!</v>
      </c>
      <c r="G16" s="64" t="e">
        <f t="shared" si="5"/>
        <v>#DIV/0!</v>
      </c>
      <c r="H16" s="64">
        <f t="shared" ref="H16" si="6">+H15/H9</f>
        <v>-0.16254999999999994</v>
      </c>
      <c r="S16" s="60" t="s">
        <v>46</v>
      </c>
      <c r="AI16" s="60" t="s">
        <v>47</v>
      </c>
      <c r="AJ16" s="60" t="s">
        <v>46</v>
      </c>
    </row>
    <row r="17" spans="1:37">
      <c r="A17" s="166">
        <v>11</v>
      </c>
      <c r="B17" s="60" t="s">
        <v>48</v>
      </c>
      <c r="C17" s="62">
        <f>C6*C43+C18</f>
        <v>4750</v>
      </c>
      <c r="D17" s="62">
        <f t="shared" ref="D17:G17" si="7">D6*D43+D18</f>
        <v>4750</v>
      </c>
      <c r="E17" s="62">
        <f t="shared" si="7"/>
        <v>0</v>
      </c>
      <c r="F17" s="62">
        <f t="shared" si="7"/>
        <v>0</v>
      </c>
      <c r="G17" s="62">
        <f t="shared" si="7"/>
        <v>0</v>
      </c>
      <c r="H17" s="62">
        <f>SUM(C17:G17)</f>
        <v>9500</v>
      </c>
      <c r="I17" s="77"/>
      <c r="S17" s="60" t="s">
        <v>48</v>
      </c>
      <c r="AI17" s="60" t="s">
        <v>49</v>
      </c>
      <c r="AJ17" s="60" t="s">
        <v>48</v>
      </c>
    </row>
    <row r="18" spans="1:37" s="54" customFormat="1">
      <c r="A18" s="166">
        <v>12</v>
      </c>
      <c r="B18" s="65" t="s">
        <v>154</v>
      </c>
      <c r="C18" s="66">
        <f>$H$18/$H$6*C6</f>
        <v>4750</v>
      </c>
      <c r="D18" s="66">
        <f>$H$18/$H$6*D6</f>
        <v>4750</v>
      </c>
      <c r="E18" s="66">
        <f>$H$18/$H$6*E6</f>
        <v>0</v>
      </c>
      <c r="F18" s="66">
        <f>$H$18/$H$6*F6</f>
        <v>0</v>
      </c>
      <c r="G18" s="66">
        <f>$H$18/$H$6*G6</f>
        <v>0</v>
      </c>
      <c r="H18" s="66">
        <f>项目投资!G26</f>
        <v>9500</v>
      </c>
      <c r="I18" s="78" t="s">
        <v>155</v>
      </c>
      <c r="J18" s="78"/>
      <c r="K18" s="78"/>
    </row>
    <row r="19" spans="1:37">
      <c r="A19" s="166">
        <v>13</v>
      </c>
      <c r="B19" s="60" t="s">
        <v>50</v>
      </c>
      <c r="C19" s="62">
        <f>C6*C44</f>
        <v>0</v>
      </c>
      <c r="D19" s="62">
        <f>D6*D44</f>
        <v>0</v>
      </c>
      <c r="E19" s="62">
        <f>E6*E44</f>
        <v>0</v>
      </c>
      <c r="F19" s="62">
        <f>F6*F44</f>
        <v>0</v>
      </c>
      <c r="G19" s="62">
        <f>G6*G44</f>
        <v>0</v>
      </c>
      <c r="H19" s="62">
        <f>SUM(C19:G19)</f>
        <v>0</v>
      </c>
      <c r="I19" s="54"/>
      <c r="S19" s="60" t="s">
        <v>50</v>
      </c>
      <c r="AI19" s="60" t="s">
        <v>51</v>
      </c>
      <c r="AJ19" s="60" t="s">
        <v>50</v>
      </c>
      <c r="AK19" s="56" t="s">
        <v>24</v>
      </c>
    </row>
    <row r="20" spans="1:37">
      <c r="A20" s="166">
        <v>14</v>
      </c>
      <c r="B20" s="60" t="s">
        <v>52</v>
      </c>
      <c r="C20" s="62">
        <f>C6*C45</f>
        <v>0</v>
      </c>
      <c r="D20" s="62">
        <f>D6*D45</f>
        <v>0</v>
      </c>
      <c r="E20" s="62">
        <f>E6*E45</f>
        <v>0</v>
      </c>
      <c r="F20" s="62">
        <f>F6*F45</f>
        <v>0</v>
      </c>
      <c r="G20" s="62">
        <f>G6*G45</f>
        <v>0</v>
      </c>
      <c r="H20" s="62">
        <f>SUM(C20:G20)</f>
        <v>0</v>
      </c>
      <c r="S20" s="60" t="s">
        <v>52</v>
      </c>
      <c r="AI20" s="60" t="s">
        <v>53</v>
      </c>
      <c r="AJ20" s="60" t="s">
        <v>52</v>
      </c>
    </row>
    <row r="21" spans="1:37">
      <c r="A21" s="166">
        <v>15</v>
      </c>
      <c r="B21" s="60" t="s">
        <v>54</v>
      </c>
      <c r="C21" s="67">
        <f>$H$21/$H$6*C6</f>
        <v>31000</v>
      </c>
      <c r="D21" s="67">
        <f>$H$21/$H$6*D6</f>
        <v>31000</v>
      </c>
      <c r="E21" s="67">
        <f>$H$21/$H$6*E6</f>
        <v>0</v>
      </c>
      <c r="F21" s="67">
        <f>$H$21/$H$6*F6</f>
        <v>0</v>
      </c>
      <c r="G21" s="67">
        <f>$H$21/$H$6*G6</f>
        <v>0</v>
      </c>
      <c r="H21" s="62">
        <f>项目投资!G27</f>
        <v>62000</v>
      </c>
      <c r="S21" s="60" t="s">
        <v>54</v>
      </c>
      <c r="AI21" s="60"/>
      <c r="AJ21" s="60"/>
    </row>
    <row r="22" spans="1:37">
      <c r="A22" s="166">
        <v>16</v>
      </c>
      <c r="B22" s="60" t="s">
        <v>55</v>
      </c>
      <c r="C22" s="62">
        <f>C6*C47</f>
        <v>204000</v>
      </c>
      <c r="D22" s="62">
        <f>D6*D47</f>
        <v>204000</v>
      </c>
      <c r="E22" s="62">
        <f>E6*E47</f>
        <v>0</v>
      </c>
      <c r="F22" s="62">
        <f>F6*F47</f>
        <v>0</v>
      </c>
      <c r="G22" s="62">
        <f>G6*G47</f>
        <v>0</v>
      </c>
      <c r="H22" s="62">
        <f>+SUM(C22:G22)</f>
        <v>408000</v>
      </c>
      <c r="S22" s="60" t="s">
        <v>55</v>
      </c>
      <c r="AI22" s="60" t="s">
        <v>56</v>
      </c>
      <c r="AJ22" s="60" t="s">
        <v>55</v>
      </c>
    </row>
    <row r="23" spans="1:37">
      <c r="A23" s="166">
        <v>17</v>
      </c>
      <c r="B23" s="63" t="s">
        <v>57</v>
      </c>
      <c r="C23" s="67">
        <f>+C22+C21+C20+C19+C17</f>
        <v>239750</v>
      </c>
      <c r="D23" s="67">
        <f>+D22+D21+D20+D19+D17</f>
        <v>239750</v>
      </c>
      <c r="E23" s="67">
        <f>+E22+E21+E20+E19+E17</f>
        <v>0</v>
      </c>
      <c r="F23" s="67">
        <f>+F22+F21+F20+F19+F17</f>
        <v>0</v>
      </c>
      <c r="G23" s="67">
        <f>+G22+G21+G20+G19+G17</f>
        <v>0</v>
      </c>
      <c r="H23" s="67">
        <f t="shared" ref="H23" si="8">+H22+H21+H20+H19+H17</f>
        <v>479500</v>
      </c>
      <c r="S23" s="63" t="s">
        <v>57</v>
      </c>
      <c r="AI23" s="60" t="s">
        <v>58</v>
      </c>
      <c r="AJ23" s="63" t="s">
        <v>57</v>
      </c>
    </row>
    <row r="24" spans="1:37">
      <c r="A24" s="166">
        <v>18</v>
      </c>
      <c r="B24" s="68" t="s">
        <v>59</v>
      </c>
      <c r="C24" s="67">
        <f>+C15-C23</f>
        <v>-2009789.9999999991</v>
      </c>
      <c r="D24" s="67">
        <f>+D15-D23</f>
        <v>-680390</v>
      </c>
      <c r="E24" s="67">
        <f>+E15-E23</f>
        <v>0</v>
      </c>
      <c r="F24" s="67">
        <f>+F15-F23</f>
        <v>0</v>
      </c>
      <c r="G24" s="67">
        <f>+G15-G23</f>
        <v>0</v>
      </c>
      <c r="H24" s="67">
        <f t="shared" ref="H24" si="9">+H15-H23</f>
        <v>-2690179.9999999991</v>
      </c>
      <c r="J24" s="79"/>
      <c r="S24" s="60" t="s">
        <v>59</v>
      </c>
      <c r="AI24" s="60" t="s">
        <v>60</v>
      </c>
      <c r="AJ24" s="60" t="s">
        <v>59</v>
      </c>
    </row>
    <row r="25" spans="1:37">
      <c r="A25" s="166">
        <v>19</v>
      </c>
      <c r="B25" s="60" t="s">
        <v>156</v>
      </c>
      <c r="C25" s="67">
        <f>IF(C24&lt;0,0,C24*0.25)</f>
        <v>0</v>
      </c>
      <c r="D25" s="67">
        <f>IF(D24&lt;0,0,D24*0.25)</f>
        <v>0</v>
      </c>
      <c r="E25" s="67">
        <f>IF(E24&lt;0,0,E24*0.25)</f>
        <v>0</v>
      </c>
      <c r="F25" s="67">
        <f>IF(F24&lt;0,0,F24*0.25)</f>
        <v>0</v>
      </c>
      <c r="G25" s="67">
        <f>IF(G24&lt;0,0,G24*0.25)</f>
        <v>0</v>
      </c>
      <c r="H25" s="67">
        <f>C25+D25</f>
        <v>0</v>
      </c>
      <c r="I25" s="75"/>
      <c r="J25" s="75"/>
      <c r="K25" s="75"/>
      <c r="S25" s="60" t="s">
        <v>61</v>
      </c>
      <c r="AI25" s="60" t="s">
        <v>62</v>
      </c>
      <c r="AJ25" s="60" t="s">
        <v>61</v>
      </c>
    </row>
    <row r="26" spans="1:37">
      <c r="A26" s="166">
        <v>20</v>
      </c>
      <c r="B26" s="60" t="s">
        <v>63</v>
      </c>
      <c r="C26" s="67">
        <f t="shared" ref="C26" si="10">C24-C25</f>
        <v>-2009789.9999999991</v>
      </c>
      <c r="D26" s="67">
        <f>D24-D25</f>
        <v>-680390</v>
      </c>
      <c r="E26" s="67">
        <f>E24-E25</f>
        <v>0</v>
      </c>
      <c r="F26" s="67">
        <f>F24-F25</f>
        <v>0</v>
      </c>
      <c r="G26" s="67">
        <f>G24-G25</f>
        <v>0</v>
      </c>
      <c r="H26" s="62">
        <f>+SUM(C26:G26)</f>
        <v>-2690179.9999999991</v>
      </c>
      <c r="I26" s="75"/>
      <c r="J26" s="75"/>
      <c r="K26" s="75"/>
      <c r="S26" s="60" t="s">
        <v>63</v>
      </c>
      <c r="AI26" s="60" t="s">
        <v>64</v>
      </c>
      <c r="AJ26" s="60" t="s">
        <v>63</v>
      </c>
    </row>
    <row r="27" spans="1:37">
      <c r="A27" s="166">
        <v>21</v>
      </c>
      <c r="B27" s="60" t="s">
        <v>67</v>
      </c>
      <c r="C27" s="69">
        <f t="shared" ref="C27:H27" si="11">C26/C7</f>
        <v>-0.29555735294117635</v>
      </c>
      <c r="D27" s="69">
        <f t="shared" si="11"/>
        <v>-0.10005735294117647</v>
      </c>
      <c r="E27" s="69" t="e">
        <f t="shared" si="11"/>
        <v>#DIV/0!</v>
      </c>
      <c r="F27" s="69" t="e">
        <f t="shared" si="11"/>
        <v>#DIV/0!</v>
      </c>
      <c r="G27" s="69" t="e">
        <f t="shared" si="11"/>
        <v>#DIV/0!</v>
      </c>
      <c r="H27" s="69">
        <f t="shared" si="11"/>
        <v>-0.19780735294117641</v>
      </c>
      <c r="I27" s="75"/>
      <c r="J27" s="75"/>
      <c r="K27" s="75"/>
      <c r="S27" s="60" t="s">
        <v>67</v>
      </c>
      <c r="AI27" s="60" t="s">
        <v>66</v>
      </c>
      <c r="AJ27" s="60" t="s">
        <v>67</v>
      </c>
    </row>
    <row r="28" spans="1:37">
      <c r="I28" s="75"/>
      <c r="J28" s="75"/>
      <c r="K28" s="75"/>
      <c r="S28" s="60"/>
    </row>
    <row r="29" spans="1:37">
      <c r="A29" s="56" t="s">
        <v>68</v>
      </c>
      <c r="H29" s="57" t="s">
        <v>157</v>
      </c>
      <c r="I29" s="75"/>
      <c r="J29" s="75"/>
      <c r="K29" s="75"/>
      <c r="S29" s="60"/>
      <c r="AI29" s="56" t="s">
        <v>68</v>
      </c>
    </row>
    <row r="30" spans="1:37">
      <c r="A30" s="60" t="s">
        <v>73</v>
      </c>
      <c r="B30" s="63" t="s">
        <v>74</v>
      </c>
      <c r="C30" s="67"/>
      <c r="D30" s="67"/>
      <c r="E30" s="67"/>
      <c r="F30" s="67"/>
      <c r="G30" s="67"/>
      <c r="H30" s="67"/>
      <c r="I30" s="75"/>
      <c r="J30" s="75"/>
      <c r="K30" s="75"/>
      <c r="M30" s="75"/>
      <c r="S30" s="63" t="s">
        <v>74</v>
      </c>
      <c r="AI30" s="60" t="s">
        <v>75</v>
      </c>
      <c r="AJ30" s="63" t="s">
        <v>74</v>
      </c>
    </row>
    <row r="31" spans="1:37">
      <c r="A31" s="166">
        <v>1</v>
      </c>
      <c r="B31" s="65" t="s">
        <v>76</v>
      </c>
      <c r="C31" s="71">
        <f>销量!C8</f>
        <v>340</v>
      </c>
      <c r="D31" s="71">
        <f>销量!D8</f>
        <v>340</v>
      </c>
      <c r="E31" s="71">
        <f>销量!I12</f>
        <v>0</v>
      </c>
      <c r="F31" s="71">
        <f>销量!J12</f>
        <v>0</v>
      </c>
      <c r="G31" s="71">
        <f>销量!K12</f>
        <v>0</v>
      </c>
      <c r="H31" s="67"/>
      <c r="I31" s="75"/>
      <c r="J31" s="75"/>
      <c r="K31" s="75"/>
      <c r="M31" s="75"/>
      <c r="S31" s="60" t="s">
        <v>76</v>
      </c>
      <c r="AI31" s="60" t="s">
        <v>26</v>
      </c>
      <c r="AJ31" s="60" t="s">
        <v>76</v>
      </c>
    </row>
    <row r="32" spans="1:37">
      <c r="A32" s="166">
        <v>2</v>
      </c>
      <c r="B32" s="60" t="s">
        <v>158</v>
      </c>
      <c r="C32" s="62">
        <f>C9/C6</f>
        <v>340</v>
      </c>
      <c r="D32" s="62">
        <f>D9/D6</f>
        <v>340</v>
      </c>
      <c r="E32" s="62">
        <f t="shared" ref="E32:G32" si="12">E31*1</f>
        <v>0</v>
      </c>
      <c r="F32" s="62">
        <f t="shared" si="12"/>
        <v>0</v>
      </c>
      <c r="G32" s="62">
        <f t="shared" si="12"/>
        <v>0</v>
      </c>
      <c r="H32" s="67"/>
      <c r="I32" s="75"/>
      <c r="J32" s="75"/>
      <c r="K32" s="75"/>
      <c r="L32" s="75"/>
      <c r="M32" s="75"/>
      <c r="N32" s="75"/>
      <c r="O32" s="75"/>
      <c r="AI32" s="60"/>
      <c r="AJ32" s="60"/>
    </row>
    <row r="33" spans="1:36">
      <c r="A33" s="166">
        <v>3</v>
      </c>
      <c r="B33" s="65" t="s">
        <v>77</v>
      </c>
      <c r="C33" s="62">
        <f>材料成本!K39</f>
        <v>395.59</v>
      </c>
      <c r="D33" s="62">
        <f>材料成本!K40</f>
        <v>329.12</v>
      </c>
      <c r="E33" s="62">
        <f>材料成本!J33</f>
        <v>0</v>
      </c>
      <c r="F33" s="62">
        <f>材料成本!K33</f>
        <v>0</v>
      </c>
      <c r="G33" s="62">
        <f>材料成本!L33</f>
        <v>0</v>
      </c>
      <c r="H33" s="67"/>
      <c r="J33" s="75"/>
      <c r="K33" s="75"/>
      <c r="L33" s="75"/>
      <c r="M33" s="75"/>
      <c r="N33" s="75"/>
      <c r="O33" s="75"/>
      <c r="S33" s="60" t="s">
        <v>77</v>
      </c>
      <c r="AI33" s="60" t="s">
        <v>28</v>
      </c>
      <c r="AJ33" s="60" t="s">
        <v>77</v>
      </c>
    </row>
    <row r="34" spans="1:36" ht="17.25" customHeight="1">
      <c r="A34" s="166">
        <v>4</v>
      </c>
      <c r="B34" s="60" t="s">
        <v>79</v>
      </c>
      <c r="C34" s="72">
        <f>C32-C33</f>
        <v>-55.589999999999975</v>
      </c>
      <c r="D34" s="72">
        <f t="shared" ref="D34:G34" si="13">D32-D33</f>
        <v>10.879999999999995</v>
      </c>
      <c r="E34" s="72">
        <f t="shared" si="13"/>
        <v>0</v>
      </c>
      <c r="F34" s="72">
        <f t="shared" si="13"/>
        <v>0</v>
      </c>
      <c r="G34" s="72">
        <f t="shared" si="13"/>
        <v>0</v>
      </c>
      <c r="H34" s="67"/>
      <c r="J34" s="75"/>
      <c r="K34" s="75"/>
      <c r="L34" s="75"/>
      <c r="M34" s="75"/>
      <c r="N34" s="75"/>
      <c r="O34" s="75"/>
      <c r="S34" s="60" t="s">
        <v>79</v>
      </c>
      <c r="AI34" s="60" t="s">
        <v>78</v>
      </c>
      <c r="AJ34" s="60" t="s">
        <v>79</v>
      </c>
    </row>
    <row r="35" spans="1:36">
      <c r="A35" s="60" t="s">
        <v>75</v>
      </c>
      <c r="B35" s="63" t="s">
        <v>10</v>
      </c>
      <c r="C35" s="67"/>
      <c r="D35" s="67"/>
      <c r="E35" s="67"/>
      <c r="F35" s="67"/>
      <c r="G35" s="67"/>
      <c r="H35" s="67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63" t="s">
        <v>10</v>
      </c>
      <c r="AI35" s="60" t="s">
        <v>81</v>
      </c>
      <c r="AJ35" s="63" t="s">
        <v>10</v>
      </c>
    </row>
    <row r="36" spans="1:36">
      <c r="A36" s="166">
        <v>1</v>
      </c>
      <c r="B36" s="60" t="s">
        <v>82</v>
      </c>
      <c r="C36" s="66">
        <f>标准成本!E4</f>
        <v>14.654</v>
      </c>
      <c r="D36" s="66">
        <f>C36</f>
        <v>14.654</v>
      </c>
      <c r="E36" s="66">
        <f t="shared" ref="E36:G38" si="14">D36</f>
        <v>14.654</v>
      </c>
      <c r="F36" s="66">
        <f t="shared" si="14"/>
        <v>14.654</v>
      </c>
      <c r="G36" s="66">
        <f t="shared" si="14"/>
        <v>14.654</v>
      </c>
      <c r="H36" s="71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60" t="s">
        <v>82</v>
      </c>
      <c r="AI36" s="60" t="s">
        <v>78</v>
      </c>
      <c r="AJ36" s="60" t="s">
        <v>82</v>
      </c>
    </row>
    <row r="37" spans="1:36">
      <c r="A37" s="166">
        <v>2</v>
      </c>
      <c r="B37" s="60" t="s">
        <v>83</v>
      </c>
      <c r="C37" s="66">
        <f>标准成本!E6</f>
        <v>7.3780000000000001</v>
      </c>
      <c r="D37" s="66">
        <f>C37</f>
        <v>7.3780000000000001</v>
      </c>
      <c r="E37" s="66">
        <f t="shared" si="14"/>
        <v>7.3780000000000001</v>
      </c>
      <c r="F37" s="66">
        <f t="shared" si="14"/>
        <v>7.3780000000000001</v>
      </c>
      <c r="G37" s="66">
        <f t="shared" si="14"/>
        <v>7.3780000000000001</v>
      </c>
      <c r="H37" s="71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60" t="s">
        <v>83</v>
      </c>
      <c r="AI37" s="60" t="s">
        <v>31</v>
      </c>
      <c r="AJ37" s="60" t="s">
        <v>83</v>
      </c>
    </row>
    <row r="38" spans="1:36">
      <c r="A38" s="166">
        <v>3</v>
      </c>
      <c r="B38" s="60" t="s">
        <v>84</v>
      </c>
      <c r="C38" s="66">
        <f>标准成本!E10</f>
        <v>10.88</v>
      </c>
      <c r="D38" s="66">
        <f>C38</f>
        <v>10.88</v>
      </c>
      <c r="E38" s="66">
        <f t="shared" si="14"/>
        <v>10.88</v>
      </c>
      <c r="F38" s="66">
        <f t="shared" si="14"/>
        <v>10.88</v>
      </c>
      <c r="G38" s="66">
        <f t="shared" si="14"/>
        <v>10.88</v>
      </c>
      <c r="H38" s="71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60" t="s">
        <v>84</v>
      </c>
      <c r="AI38" s="60" t="s">
        <v>37</v>
      </c>
      <c r="AJ38" s="60" t="s">
        <v>84</v>
      </c>
    </row>
    <row r="39" spans="1:36">
      <c r="A39" s="60" t="s">
        <v>81</v>
      </c>
      <c r="B39" s="63" t="s">
        <v>86</v>
      </c>
      <c r="C39" s="67"/>
      <c r="D39" s="67"/>
      <c r="E39" s="67"/>
      <c r="F39" s="67"/>
      <c r="G39" s="67"/>
      <c r="H39" s="67"/>
      <c r="S39" s="63" t="s">
        <v>86</v>
      </c>
      <c r="AI39" s="60" t="s">
        <v>85</v>
      </c>
      <c r="AJ39" s="63" t="s">
        <v>86</v>
      </c>
    </row>
    <row r="40" spans="1:36">
      <c r="A40" s="166">
        <v>1</v>
      </c>
      <c r="B40" s="60" t="s">
        <v>88</v>
      </c>
      <c r="C40" s="67">
        <f>C34-C36-C37-C38</f>
        <v>-88.501999999999967</v>
      </c>
      <c r="D40" s="67">
        <f t="shared" ref="D40:G40" si="15">D34-D36-D37-D38</f>
        <v>-22.032000000000004</v>
      </c>
      <c r="E40" s="67">
        <f t="shared" si="15"/>
        <v>-32.911999999999999</v>
      </c>
      <c r="F40" s="67">
        <f t="shared" si="15"/>
        <v>-32.911999999999999</v>
      </c>
      <c r="G40" s="67">
        <f t="shared" si="15"/>
        <v>-32.911999999999999</v>
      </c>
      <c r="H40" s="67"/>
      <c r="S40" s="60" t="s">
        <v>88</v>
      </c>
      <c r="AI40" s="60" t="s">
        <v>26</v>
      </c>
      <c r="AJ40" s="60" t="s">
        <v>88</v>
      </c>
    </row>
    <row r="41" spans="1:36">
      <c r="A41" s="166">
        <v>2</v>
      </c>
      <c r="B41" s="60" t="s">
        <v>89</v>
      </c>
      <c r="C41" s="67"/>
      <c r="D41" s="67"/>
      <c r="E41" s="67"/>
      <c r="F41" s="67"/>
      <c r="G41" s="67"/>
      <c r="H41" s="67"/>
      <c r="S41" s="60" t="s">
        <v>89</v>
      </c>
      <c r="AI41" s="60" t="s">
        <v>28</v>
      </c>
      <c r="AJ41" s="60" t="s">
        <v>89</v>
      </c>
    </row>
    <row r="42" spans="1:36">
      <c r="A42" s="60" t="s">
        <v>85</v>
      </c>
      <c r="B42" s="63" t="s">
        <v>91</v>
      </c>
      <c r="C42" s="67"/>
      <c r="D42" s="67"/>
      <c r="E42" s="67"/>
      <c r="F42" s="67"/>
      <c r="G42" s="67"/>
      <c r="H42" s="67"/>
      <c r="S42" s="63" t="s">
        <v>91</v>
      </c>
      <c r="AI42" s="60" t="s">
        <v>90</v>
      </c>
      <c r="AJ42" s="63" t="s">
        <v>91</v>
      </c>
    </row>
    <row r="43" spans="1:36">
      <c r="A43" s="166">
        <v>1</v>
      </c>
      <c r="B43" s="68" t="s">
        <v>92</v>
      </c>
      <c r="C43" s="66">
        <f>标准成本!E5</f>
        <v>0</v>
      </c>
      <c r="D43" s="66">
        <f>C43</f>
        <v>0</v>
      </c>
      <c r="E43" s="66">
        <f t="shared" ref="E43:G45" si="16">D43</f>
        <v>0</v>
      </c>
      <c r="F43" s="66">
        <f t="shared" si="16"/>
        <v>0</v>
      </c>
      <c r="G43" s="66">
        <f t="shared" si="16"/>
        <v>0</v>
      </c>
      <c r="H43" s="67"/>
      <c r="S43" s="60" t="s">
        <v>92</v>
      </c>
      <c r="AI43" s="60" t="s">
        <v>26</v>
      </c>
      <c r="AJ43" s="60" t="s">
        <v>92</v>
      </c>
    </row>
    <row r="44" spans="1:36">
      <c r="A44" s="166">
        <v>2</v>
      </c>
      <c r="B44" s="68" t="s">
        <v>93</v>
      </c>
      <c r="C44" s="66">
        <f>标准成本!E9</f>
        <v>0</v>
      </c>
      <c r="D44" s="66">
        <f>C44</f>
        <v>0</v>
      </c>
      <c r="E44" s="66">
        <f t="shared" si="16"/>
        <v>0</v>
      </c>
      <c r="F44" s="66">
        <f t="shared" si="16"/>
        <v>0</v>
      </c>
      <c r="G44" s="66">
        <f t="shared" si="16"/>
        <v>0</v>
      </c>
      <c r="H44" s="67"/>
      <c r="S44" s="60" t="s">
        <v>93</v>
      </c>
      <c r="AI44" s="60" t="s">
        <v>28</v>
      </c>
      <c r="AJ44" s="60" t="s">
        <v>93</v>
      </c>
    </row>
    <row r="45" spans="1:36">
      <c r="A45" s="166">
        <v>3</v>
      </c>
      <c r="B45" s="68" t="s">
        <v>94</v>
      </c>
      <c r="C45" s="66">
        <f>标准成本!E8</f>
        <v>0</v>
      </c>
      <c r="D45" s="66">
        <f>C45</f>
        <v>0</v>
      </c>
      <c r="E45" s="66">
        <f t="shared" si="16"/>
        <v>0</v>
      </c>
      <c r="F45" s="66">
        <f t="shared" si="16"/>
        <v>0</v>
      </c>
      <c r="G45" s="66">
        <f t="shared" si="16"/>
        <v>0</v>
      </c>
      <c r="H45" s="67"/>
      <c r="S45" s="60" t="s">
        <v>94</v>
      </c>
      <c r="AI45" s="60" t="s">
        <v>78</v>
      </c>
      <c r="AJ45" s="60" t="s">
        <v>94</v>
      </c>
    </row>
    <row r="46" spans="1:36" s="55" customFormat="1">
      <c r="A46" s="166">
        <v>4</v>
      </c>
      <c r="B46" s="68" t="s">
        <v>95</v>
      </c>
      <c r="C46" s="73">
        <f>C21/C6</f>
        <v>1.55</v>
      </c>
      <c r="D46" s="73">
        <f>D21/D6</f>
        <v>1.55</v>
      </c>
      <c r="E46" s="73" t="e">
        <f>E21/E6</f>
        <v>#DIV/0!</v>
      </c>
      <c r="F46" s="73" t="e">
        <f>F21/F6</f>
        <v>#DIV/0!</v>
      </c>
      <c r="G46" s="73" t="e">
        <f>G21/G6</f>
        <v>#DIV/0!</v>
      </c>
      <c r="H46" s="73"/>
      <c r="S46" s="68" t="s">
        <v>97</v>
      </c>
      <c r="AI46" s="68" t="s">
        <v>34</v>
      </c>
      <c r="AJ46" s="68" t="s">
        <v>97</v>
      </c>
    </row>
    <row r="47" spans="1:36" s="55" customFormat="1">
      <c r="A47" s="166">
        <v>5</v>
      </c>
      <c r="B47" s="68" t="s">
        <v>97</v>
      </c>
      <c r="C47" s="73">
        <f>标准成本!E11</f>
        <v>10.199999999999999</v>
      </c>
      <c r="D47" s="73">
        <f>C47</f>
        <v>10.199999999999999</v>
      </c>
      <c r="E47" s="73">
        <f>D47</f>
        <v>10.199999999999999</v>
      </c>
      <c r="F47" s="73">
        <f>E47</f>
        <v>10.199999999999999</v>
      </c>
      <c r="G47" s="73">
        <f>F47</f>
        <v>10.199999999999999</v>
      </c>
      <c r="H47" s="73"/>
      <c r="S47" s="68" t="s">
        <v>97</v>
      </c>
      <c r="AI47" s="68" t="s">
        <v>34</v>
      </c>
      <c r="AJ47" s="68" t="s">
        <v>97</v>
      </c>
    </row>
    <row r="48" spans="1:36">
      <c r="A48" s="60" t="s">
        <v>90</v>
      </c>
      <c r="B48" s="63" t="s">
        <v>108</v>
      </c>
      <c r="C48" s="67">
        <f>C40-C43-C44-C45-C47-C46</f>
        <v>-100.25199999999997</v>
      </c>
      <c r="D48" s="67">
        <f>D40-D43-D44-D45-D47-D46</f>
        <v>-33.781999999999996</v>
      </c>
      <c r="E48" s="67" t="e">
        <f>E40-E43-E44-E45-E47-E46</f>
        <v>#DIV/0!</v>
      </c>
      <c r="F48" s="67" t="e">
        <f>F40-F43-F44-F45-F47-F46</f>
        <v>#DIV/0!</v>
      </c>
      <c r="G48" s="67" t="e">
        <f>G40-G43-G44-G45-G47-G46</f>
        <v>#DIV/0!</v>
      </c>
      <c r="H48" s="67"/>
      <c r="S48" s="63" t="s">
        <v>108</v>
      </c>
      <c r="AI48" s="60" t="s">
        <v>107</v>
      </c>
      <c r="AJ48" s="63" t="s">
        <v>108</v>
      </c>
    </row>
    <row r="51" spans="2:13">
      <c r="C51" s="74"/>
      <c r="D51" s="74"/>
      <c r="E51" s="74"/>
      <c r="F51" s="74"/>
      <c r="G51" s="74"/>
    </row>
    <row r="54" spans="2:13">
      <c r="B54" s="75"/>
      <c r="C54" s="76"/>
      <c r="D54" s="76"/>
      <c r="E54" s="76"/>
      <c r="F54" s="76"/>
      <c r="G54" s="76"/>
      <c r="H54" s="76"/>
      <c r="I54" s="75"/>
      <c r="J54" s="75"/>
      <c r="K54" s="75"/>
      <c r="L54" s="75"/>
      <c r="M54" s="75"/>
    </row>
    <row r="55" spans="2:13">
      <c r="B55" s="75"/>
      <c r="C55" s="76"/>
      <c r="D55" s="76"/>
      <c r="E55" s="76"/>
      <c r="F55" s="76"/>
      <c r="G55" s="76"/>
      <c r="H55" s="76"/>
      <c r="I55" s="75"/>
      <c r="J55" s="75"/>
      <c r="K55" s="75"/>
      <c r="L55" s="75"/>
      <c r="M55" s="75"/>
    </row>
    <row r="56" spans="2:13">
      <c r="B56" s="75"/>
      <c r="C56" s="76"/>
      <c r="D56" s="76"/>
      <c r="E56" s="76"/>
      <c r="F56" s="76"/>
      <c r="G56" s="76"/>
      <c r="H56" s="76"/>
      <c r="I56" s="75"/>
      <c r="J56" s="75"/>
      <c r="K56" s="75"/>
      <c r="L56" s="75"/>
      <c r="M56" s="75"/>
    </row>
    <row r="57" spans="2:13">
      <c r="B57" s="75"/>
      <c r="C57" s="76"/>
      <c r="D57" s="76"/>
      <c r="E57" s="76"/>
      <c r="F57" s="76"/>
      <c r="G57" s="76"/>
      <c r="H57" s="76"/>
      <c r="I57" s="75"/>
      <c r="J57" s="75"/>
      <c r="K57" s="75"/>
      <c r="L57" s="75"/>
      <c r="M57" s="75"/>
    </row>
    <row r="58" spans="2:13">
      <c r="B58" s="75"/>
      <c r="C58" s="76"/>
      <c r="D58" s="76"/>
      <c r="E58" s="76"/>
      <c r="F58" s="76"/>
      <c r="G58" s="76"/>
      <c r="H58" s="76"/>
      <c r="I58" s="75"/>
      <c r="J58" s="75"/>
      <c r="K58" s="75"/>
      <c r="L58" s="75"/>
      <c r="M58" s="75"/>
    </row>
    <row r="59" spans="2:13">
      <c r="B59" s="75"/>
      <c r="C59" s="76"/>
      <c r="D59" s="76"/>
      <c r="E59" s="76"/>
      <c r="F59" s="76"/>
      <c r="G59" s="76"/>
      <c r="H59" s="76"/>
      <c r="I59" s="75"/>
      <c r="J59" s="75"/>
      <c r="K59" s="75"/>
      <c r="L59" s="75"/>
      <c r="M59" s="75"/>
    </row>
    <row r="60" spans="2:13">
      <c r="B60" s="75"/>
      <c r="C60" s="76"/>
      <c r="D60" s="76"/>
      <c r="E60" s="76"/>
      <c r="F60" s="76"/>
      <c r="G60" s="76"/>
      <c r="H60" s="76"/>
      <c r="I60" s="75"/>
      <c r="J60" s="75"/>
      <c r="K60" s="75"/>
      <c r="L60" s="75"/>
      <c r="M60" s="75"/>
    </row>
    <row r="61" spans="2:13">
      <c r="B61" s="75"/>
      <c r="C61" s="76"/>
      <c r="D61" s="76"/>
      <c r="E61" s="76"/>
      <c r="F61" s="76"/>
      <c r="G61" s="76"/>
      <c r="H61" s="76"/>
      <c r="I61" s="75"/>
      <c r="J61" s="75"/>
      <c r="K61" s="75"/>
      <c r="L61" s="75"/>
      <c r="M61" s="75"/>
    </row>
    <row r="62" spans="2:13">
      <c r="B62" s="75"/>
      <c r="C62" s="76"/>
      <c r="D62" s="76"/>
      <c r="E62" s="76"/>
      <c r="F62" s="76"/>
      <c r="G62" s="76"/>
      <c r="H62" s="76"/>
      <c r="I62" s="75"/>
      <c r="J62" s="75"/>
      <c r="K62" s="75"/>
      <c r="L62" s="75"/>
      <c r="M62" s="75"/>
    </row>
    <row r="63" spans="2:13">
      <c r="B63" s="75"/>
      <c r="C63" s="76"/>
      <c r="D63" s="76"/>
      <c r="E63" s="76"/>
      <c r="F63" s="76"/>
      <c r="G63" s="76"/>
      <c r="H63" s="76"/>
      <c r="I63" s="75"/>
      <c r="J63" s="75"/>
      <c r="K63" s="75"/>
      <c r="L63" s="75"/>
      <c r="M63" s="75"/>
    </row>
    <row r="64" spans="2:13">
      <c r="B64" s="75"/>
      <c r="C64" s="76"/>
      <c r="D64" s="76"/>
      <c r="E64" s="76"/>
      <c r="F64" s="76"/>
      <c r="G64" s="76"/>
      <c r="H64" s="76"/>
      <c r="I64" s="75"/>
      <c r="J64" s="75"/>
      <c r="K64" s="75"/>
      <c r="L64" s="75"/>
      <c r="M64" s="75"/>
    </row>
    <row r="65" spans="2:13">
      <c r="B65" s="75"/>
      <c r="C65" s="76"/>
      <c r="D65" s="76"/>
      <c r="E65" s="76"/>
      <c r="F65" s="76"/>
      <c r="G65" s="76"/>
      <c r="H65" s="76"/>
      <c r="I65" s="75"/>
      <c r="J65" s="75"/>
      <c r="K65" s="75"/>
      <c r="L65" s="75"/>
      <c r="M65" s="75"/>
    </row>
    <row r="66" spans="2:13">
      <c r="B66" s="75"/>
      <c r="C66" s="76"/>
      <c r="D66" s="76"/>
      <c r="E66" s="76"/>
      <c r="F66" s="76"/>
      <c r="G66" s="76"/>
      <c r="H66" s="76"/>
      <c r="I66" s="75"/>
      <c r="J66" s="75"/>
      <c r="K66" s="75"/>
      <c r="L66" s="75"/>
      <c r="M66" s="75"/>
    </row>
    <row r="67" spans="2:13">
      <c r="B67" s="75"/>
      <c r="C67" s="76"/>
      <c r="D67" s="76"/>
      <c r="E67" s="76"/>
      <c r="F67" s="76"/>
      <c r="G67" s="76"/>
      <c r="H67" s="76"/>
      <c r="I67" s="75"/>
    </row>
    <row r="68" spans="2:13">
      <c r="B68" s="75"/>
      <c r="C68" s="76"/>
      <c r="D68" s="76"/>
      <c r="E68" s="76"/>
      <c r="F68" s="76"/>
      <c r="G68" s="76"/>
      <c r="H68" s="76"/>
      <c r="I68" s="75"/>
    </row>
    <row r="69" spans="2:13">
      <c r="B69" s="75"/>
      <c r="C69" s="76"/>
      <c r="D69" s="76"/>
      <c r="E69" s="76"/>
      <c r="F69" s="76"/>
      <c r="G69" s="76"/>
      <c r="H69" s="76"/>
      <c r="I69" s="75"/>
    </row>
    <row r="70" spans="2:13">
      <c r="B70" s="75"/>
      <c r="C70" s="76"/>
      <c r="D70" s="76"/>
      <c r="E70" s="76"/>
      <c r="F70" s="76"/>
      <c r="G70" s="76"/>
      <c r="H70" s="76"/>
      <c r="I70" s="75"/>
    </row>
    <row r="71" spans="2:13">
      <c r="B71" s="75"/>
      <c r="C71" s="76"/>
      <c r="D71" s="76"/>
      <c r="E71" s="76"/>
      <c r="F71" s="76"/>
      <c r="G71" s="76"/>
      <c r="H71" s="76"/>
      <c r="I71" s="75"/>
    </row>
    <row r="72" spans="2:13">
      <c r="B72" s="75"/>
      <c r="C72" s="76"/>
      <c r="D72" s="76"/>
      <c r="E72" s="76"/>
      <c r="F72" s="76"/>
      <c r="G72" s="76"/>
      <c r="H72" s="76"/>
      <c r="I72" s="75"/>
    </row>
    <row r="73" spans="2:13">
      <c r="B73" s="75"/>
      <c r="C73" s="76"/>
      <c r="D73" s="76"/>
      <c r="E73" s="76"/>
      <c r="F73" s="76"/>
      <c r="G73" s="76"/>
      <c r="H73" s="76"/>
      <c r="I73" s="75"/>
    </row>
    <row r="74" spans="2:13">
      <c r="B74" s="75"/>
      <c r="C74" s="76"/>
      <c r="D74" s="76"/>
      <c r="E74" s="76"/>
      <c r="F74" s="76"/>
      <c r="G74" s="76"/>
      <c r="H74" s="76"/>
      <c r="I74" s="75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H29" sqref="H29"/>
    </sheetView>
  </sheetViews>
  <sheetFormatPr defaultColWidth="9" defaultRowHeight="16.5"/>
  <cols>
    <col min="1" max="1" width="5.125" style="56" customWidth="1"/>
    <col min="2" max="2" width="17.5" style="56" customWidth="1"/>
    <col min="3" max="3" width="13.25" style="57" customWidth="1"/>
    <col min="4" max="4" width="15.5" style="57" customWidth="1"/>
    <col min="5" max="7" width="15.5" style="57" hidden="1" customWidth="1"/>
    <col min="8" max="8" width="18.75" style="57" customWidth="1"/>
    <col min="9" max="9" width="12.375" style="56" customWidth="1"/>
    <col min="10" max="10" width="10.125" style="56" customWidth="1"/>
    <col min="11" max="17" width="9" style="56" customWidth="1"/>
    <col min="18" max="34" width="9" style="56"/>
    <col min="35" max="35" width="4.375" style="56" customWidth="1"/>
    <col min="36" max="36" width="13.875" style="56" customWidth="1"/>
    <col min="37" max="16384" width="9" style="56"/>
  </cols>
  <sheetData>
    <row r="1" spans="1:37">
      <c r="A1" s="209" t="s">
        <v>148</v>
      </c>
      <c r="B1" s="209"/>
      <c r="C1" s="213" t="s">
        <v>284</v>
      </c>
      <c r="D1" s="214"/>
      <c r="E1" s="214"/>
      <c r="F1" s="214"/>
      <c r="G1" s="214"/>
      <c r="H1" s="215"/>
    </row>
    <row r="2" spans="1:37">
      <c r="A2" s="209" t="s">
        <v>149</v>
      </c>
      <c r="B2" s="209"/>
      <c r="C2" s="216"/>
      <c r="D2" s="216"/>
      <c r="E2" s="216"/>
      <c r="F2" s="216"/>
      <c r="G2" s="216"/>
      <c r="H2" s="216"/>
    </row>
    <row r="3" spans="1:37" ht="33">
      <c r="A3" s="209" t="s">
        <v>150</v>
      </c>
      <c r="B3" s="209"/>
      <c r="C3" s="192" t="s">
        <v>271</v>
      </c>
      <c r="D3" s="192" t="s">
        <v>273</v>
      </c>
      <c r="E3" s="175"/>
      <c r="F3" s="175"/>
      <c r="G3" s="175"/>
      <c r="H3" s="210" t="s">
        <v>22</v>
      </c>
    </row>
    <row r="4" spans="1:37" ht="33">
      <c r="A4" s="209" t="s">
        <v>151</v>
      </c>
      <c r="B4" s="209"/>
      <c r="C4" s="193" t="s">
        <v>272</v>
      </c>
      <c r="D4" s="193" t="s">
        <v>274</v>
      </c>
      <c r="E4" s="175"/>
      <c r="F4" s="175"/>
      <c r="G4" s="175"/>
      <c r="H4" s="211"/>
    </row>
    <row r="5" spans="1:37">
      <c r="A5" s="209" t="s">
        <v>152</v>
      </c>
      <c r="B5" s="209"/>
      <c r="C5" s="59"/>
      <c r="D5" s="59"/>
      <c r="E5" s="59"/>
      <c r="F5" s="59"/>
      <c r="G5" s="59"/>
      <c r="H5" s="212"/>
      <c r="AK5" s="56" t="s">
        <v>23</v>
      </c>
    </row>
    <row r="6" spans="1:37" ht="17.25">
      <c r="A6" s="60" t="s">
        <v>19</v>
      </c>
      <c r="B6" s="61" t="s">
        <v>153</v>
      </c>
      <c r="C6" s="28">
        <f>销量!C13</f>
        <v>20000</v>
      </c>
      <c r="D6" s="28">
        <f>销量!D13</f>
        <v>20000</v>
      </c>
      <c r="E6" s="28">
        <f>销量!I14</f>
        <v>0</v>
      </c>
      <c r="F6" s="28">
        <f>销量!J14</f>
        <v>0</v>
      </c>
      <c r="G6" s="28">
        <f>销量!K14</f>
        <v>0</v>
      </c>
      <c r="H6" s="62">
        <f t="shared" ref="H6:H15" si="0">+SUM(C6:G6)</f>
        <v>40000</v>
      </c>
      <c r="S6" s="61" t="s">
        <v>3</v>
      </c>
      <c r="AI6" s="60" t="s">
        <v>19</v>
      </c>
      <c r="AJ6" s="61" t="s">
        <v>3</v>
      </c>
      <c r="AK6" s="56" t="s">
        <v>24</v>
      </c>
    </row>
    <row r="7" spans="1:37">
      <c r="A7" s="166">
        <v>1</v>
      </c>
      <c r="B7" s="61" t="s">
        <v>25</v>
      </c>
      <c r="C7" s="62">
        <f>C6*销量!C8</f>
        <v>6800000</v>
      </c>
      <c r="D7" s="62">
        <f>D6*销量!D8</f>
        <v>6800000</v>
      </c>
      <c r="E7" s="62">
        <f>E6*销量!E8</f>
        <v>0</v>
      </c>
      <c r="F7" s="62">
        <f>F6*销量!J8</f>
        <v>0</v>
      </c>
      <c r="G7" s="62">
        <f>G6*销量!K8</f>
        <v>0</v>
      </c>
      <c r="H7" s="62">
        <f t="shared" si="0"/>
        <v>13600000</v>
      </c>
      <c r="I7" s="57"/>
      <c r="S7" s="61" t="s">
        <v>25</v>
      </c>
      <c r="AI7" s="60" t="s">
        <v>26</v>
      </c>
      <c r="AJ7" s="61" t="s">
        <v>25</v>
      </c>
      <c r="AK7" s="56" t="s">
        <v>24</v>
      </c>
    </row>
    <row r="8" spans="1:37">
      <c r="A8" s="166">
        <v>2</v>
      </c>
      <c r="B8" s="166" t="s">
        <v>27</v>
      </c>
      <c r="C8" s="62">
        <f>C7*(1-销量!$P$10)</f>
        <v>0</v>
      </c>
      <c r="D8" s="62">
        <f>D7*(1-销量!$P$10)</f>
        <v>0</v>
      </c>
      <c r="E8" s="62"/>
      <c r="F8" s="62"/>
      <c r="G8" s="62"/>
      <c r="H8" s="62">
        <f t="shared" si="0"/>
        <v>0</v>
      </c>
      <c r="I8" s="77"/>
      <c r="S8" s="166" t="s">
        <v>29</v>
      </c>
      <c r="AI8" s="60" t="s">
        <v>28</v>
      </c>
      <c r="AJ8" s="166" t="s">
        <v>29</v>
      </c>
      <c r="AK8" s="56" t="s">
        <v>24</v>
      </c>
    </row>
    <row r="9" spans="1:37">
      <c r="A9" s="166">
        <v>3</v>
      </c>
      <c r="B9" s="61" t="s">
        <v>30</v>
      </c>
      <c r="C9" s="62">
        <f>+C7-C8</f>
        <v>6800000</v>
      </c>
      <c r="D9" s="62">
        <f t="shared" ref="D9:G9" si="1">+D7-D8</f>
        <v>6800000</v>
      </c>
      <c r="E9" s="62">
        <f t="shared" si="1"/>
        <v>0</v>
      </c>
      <c r="F9" s="62">
        <f t="shared" si="1"/>
        <v>0</v>
      </c>
      <c r="G9" s="62">
        <f t="shared" si="1"/>
        <v>0</v>
      </c>
      <c r="H9" s="62">
        <f t="shared" si="0"/>
        <v>13600000</v>
      </c>
      <c r="S9" s="61" t="s">
        <v>30</v>
      </c>
      <c r="AI9" s="60" t="s">
        <v>31</v>
      </c>
      <c r="AJ9" s="61" t="s">
        <v>30</v>
      </c>
      <c r="AK9" s="56" t="s">
        <v>32</v>
      </c>
    </row>
    <row r="10" spans="1:37">
      <c r="A10" s="166">
        <v>4</v>
      </c>
      <c r="B10" s="60" t="s">
        <v>33</v>
      </c>
      <c r="C10" s="62">
        <f>C6*C33</f>
        <v>7911799.9999999991</v>
      </c>
      <c r="D10" s="62">
        <f>D6*D33</f>
        <v>6582400</v>
      </c>
      <c r="E10" s="62">
        <f>E6*材料成本!J33</f>
        <v>0</v>
      </c>
      <c r="F10" s="62">
        <f>F6*材料成本!K33</f>
        <v>0</v>
      </c>
      <c r="G10" s="62">
        <f>G6*材料成本!L33</f>
        <v>0</v>
      </c>
      <c r="H10" s="62">
        <f t="shared" si="0"/>
        <v>14494200</v>
      </c>
      <c r="S10" s="60" t="s">
        <v>33</v>
      </c>
      <c r="AI10" s="60" t="s">
        <v>34</v>
      </c>
      <c r="AJ10" s="60" t="s">
        <v>33</v>
      </c>
      <c r="AK10" s="56" t="s">
        <v>35</v>
      </c>
    </row>
    <row r="11" spans="1:37">
      <c r="A11" s="166">
        <v>5</v>
      </c>
      <c r="B11" s="60" t="s">
        <v>36</v>
      </c>
      <c r="C11" s="62">
        <f>+C6*C36</f>
        <v>293080</v>
      </c>
      <c r="D11" s="62">
        <f>+D6*D36</f>
        <v>293080</v>
      </c>
      <c r="E11" s="62">
        <f>+E6*E36</f>
        <v>0</v>
      </c>
      <c r="F11" s="62">
        <f>+F6*F36</f>
        <v>0</v>
      </c>
      <c r="G11" s="62">
        <f>+G6*G36</f>
        <v>0</v>
      </c>
      <c r="H11" s="62">
        <f t="shared" si="0"/>
        <v>586160</v>
      </c>
      <c r="S11" s="60" t="s">
        <v>36</v>
      </c>
      <c r="AI11" s="60" t="s">
        <v>37</v>
      </c>
      <c r="AJ11" s="60" t="s">
        <v>36</v>
      </c>
    </row>
    <row r="12" spans="1:37">
      <c r="A12" s="166">
        <v>6</v>
      </c>
      <c r="B12" s="60" t="s">
        <v>38</v>
      </c>
      <c r="C12" s="62">
        <f>+C6*C37</f>
        <v>147560</v>
      </c>
      <c r="D12" s="62">
        <f>+D6*D37</f>
        <v>147560</v>
      </c>
      <c r="E12" s="62">
        <f>+E6*E37</f>
        <v>0</v>
      </c>
      <c r="F12" s="62">
        <f>+F6*F37</f>
        <v>0</v>
      </c>
      <c r="G12" s="62">
        <f>+G6*G37</f>
        <v>0</v>
      </c>
      <c r="H12" s="62">
        <f t="shared" si="0"/>
        <v>295120</v>
      </c>
      <c r="S12" s="60" t="s">
        <v>38</v>
      </c>
      <c r="AI12" s="60" t="s">
        <v>39</v>
      </c>
      <c r="AJ12" s="60" t="s">
        <v>38</v>
      </c>
    </row>
    <row r="13" spans="1:37">
      <c r="A13" s="166">
        <v>7</v>
      </c>
      <c r="B13" s="60" t="s">
        <v>40</v>
      </c>
      <c r="C13" s="62">
        <f>+C6*C38</f>
        <v>217600.00000000003</v>
      </c>
      <c r="D13" s="62">
        <f t="shared" ref="D13:G13" si="2">+D6*D38</f>
        <v>217600.00000000003</v>
      </c>
      <c r="E13" s="62">
        <f t="shared" si="2"/>
        <v>0</v>
      </c>
      <c r="F13" s="62">
        <f t="shared" si="2"/>
        <v>0</v>
      </c>
      <c r="G13" s="62">
        <f t="shared" si="2"/>
        <v>0</v>
      </c>
      <c r="H13" s="62">
        <f t="shared" si="0"/>
        <v>435200.00000000006</v>
      </c>
      <c r="S13" s="60" t="s">
        <v>40</v>
      </c>
      <c r="AI13" s="60" t="s">
        <v>41</v>
      </c>
      <c r="AJ13" s="60" t="s">
        <v>40</v>
      </c>
      <c r="AK13" s="56" t="s">
        <v>24</v>
      </c>
    </row>
    <row r="14" spans="1:37">
      <c r="A14" s="166">
        <v>8</v>
      </c>
      <c r="B14" s="63" t="s">
        <v>42</v>
      </c>
      <c r="C14" s="62">
        <f>SUM(C11:C13)</f>
        <v>658240</v>
      </c>
      <c r="D14" s="62">
        <f t="shared" ref="D14:G14" si="3">SUM(D11:D13)</f>
        <v>658240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0"/>
        <v>1316480</v>
      </c>
      <c r="S14" s="63" t="s">
        <v>42</v>
      </c>
      <c r="AI14" s="60" t="s">
        <v>43</v>
      </c>
      <c r="AJ14" s="63" t="s">
        <v>42</v>
      </c>
    </row>
    <row r="15" spans="1:37">
      <c r="A15" s="166">
        <v>9</v>
      </c>
      <c r="B15" s="63" t="s">
        <v>44</v>
      </c>
      <c r="C15" s="62">
        <f>+C9-C10-C14</f>
        <v>-1770039.9999999991</v>
      </c>
      <c r="D15" s="62">
        <f t="shared" ref="D15:G15" si="4">+D9-D10-D14</f>
        <v>-440640</v>
      </c>
      <c r="E15" s="62">
        <f t="shared" si="4"/>
        <v>0</v>
      </c>
      <c r="F15" s="62">
        <f t="shared" si="4"/>
        <v>0</v>
      </c>
      <c r="G15" s="62">
        <f t="shared" si="4"/>
        <v>0</v>
      </c>
      <c r="H15" s="62">
        <f t="shared" si="0"/>
        <v>-2210679.9999999991</v>
      </c>
      <c r="S15" s="63" t="s">
        <v>44</v>
      </c>
      <c r="AI15" s="60" t="s">
        <v>45</v>
      </c>
      <c r="AJ15" s="63" t="s">
        <v>44</v>
      </c>
    </row>
    <row r="16" spans="1:37">
      <c r="A16" s="166">
        <v>10</v>
      </c>
      <c r="B16" s="60" t="s">
        <v>46</v>
      </c>
      <c r="C16" s="64">
        <f>+C15/C9</f>
        <v>-0.26029999999999986</v>
      </c>
      <c r="D16" s="64">
        <f t="shared" ref="D16:H16" si="5">+D15/D9</f>
        <v>-6.4799999999999996E-2</v>
      </c>
      <c r="E16" s="64" t="e">
        <f t="shared" si="5"/>
        <v>#DIV/0!</v>
      </c>
      <c r="F16" s="64" t="e">
        <f t="shared" si="5"/>
        <v>#DIV/0!</v>
      </c>
      <c r="G16" s="64" t="e">
        <f t="shared" si="5"/>
        <v>#DIV/0!</v>
      </c>
      <c r="H16" s="64">
        <f t="shared" si="5"/>
        <v>-0.16254999999999994</v>
      </c>
      <c r="S16" s="60" t="s">
        <v>46</v>
      </c>
      <c r="AI16" s="60" t="s">
        <v>47</v>
      </c>
      <c r="AJ16" s="60" t="s">
        <v>46</v>
      </c>
    </row>
    <row r="17" spans="1:37">
      <c r="A17" s="166">
        <v>11</v>
      </c>
      <c r="B17" s="60" t="s">
        <v>48</v>
      </c>
      <c r="C17" s="62">
        <f>C6*C43+C18</f>
        <v>4750</v>
      </c>
      <c r="D17" s="62">
        <f>D6*D43+D18</f>
        <v>4750</v>
      </c>
      <c r="E17" s="62">
        <f>E6*E43+E18</f>
        <v>0</v>
      </c>
      <c r="F17" s="62">
        <f>F6*F43+F18</f>
        <v>0</v>
      </c>
      <c r="G17" s="62">
        <f>G6*G43+G18</f>
        <v>0</v>
      </c>
      <c r="H17" s="62">
        <f>SUM(C17:G17)</f>
        <v>9500</v>
      </c>
      <c r="I17" s="77"/>
      <c r="S17" s="60" t="s">
        <v>48</v>
      </c>
      <c r="AI17" s="60" t="s">
        <v>49</v>
      </c>
      <c r="AJ17" s="60" t="s">
        <v>48</v>
      </c>
    </row>
    <row r="18" spans="1:37" s="54" customFormat="1">
      <c r="A18" s="166">
        <v>12</v>
      </c>
      <c r="B18" s="65" t="s">
        <v>154</v>
      </c>
      <c r="C18" s="66">
        <f>$H$18/$H$6*C6</f>
        <v>4750</v>
      </c>
      <c r="D18" s="66">
        <f>$H$18/$H$6*D6</f>
        <v>4750</v>
      </c>
      <c r="E18" s="66">
        <f>$H$18/$H$6*E6</f>
        <v>0</v>
      </c>
      <c r="F18" s="66">
        <f>$H$18/$H$6*F6</f>
        <v>0</v>
      </c>
      <c r="G18" s="66">
        <f>$H$18/$H$6*G6</f>
        <v>0</v>
      </c>
      <c r="H18" s="66">
        <f>项目投资!H26</f>
        <v>9500</v>
      </c>
      <c r="I18" s="78" t="s">
        <v>155</v>
      </c>
      <c r="J18" s="78"/>
      <c r="K18" s="78"/>
    </row>
    <row r="19" spans="1:37">
      <c r="A19" s="166">
        <v>13</v>
      </c>
      <c r="B19" s="60" t="s">
        <v>50</v>
      </c>
      <c r="C19" s="62">
        <f>C6*C44</f>
        <v>0</v>
      </c>
      <c r="D19" s="62">
        <f>D6*D44</f>
        <v>0</v>
      </c>
      <c r="E19" s="62">
        <f>E6*E44</f>
        <v>0</v>
      </c>
      <c r="F19" s="62">
        <f>F6*F44</f>
        <v>0</v>
      </c>
      <c r="G19" s="62">
        <f>G6*G44</f>
        <v>0</v>
      </c>
      <c r="H19" s="62">
        <f>SUM(C19:G19)</f>
        <v>0</v>
      </c>
      <c r="I19" s="54"/>
      <c r="S19" s="60" t="s">
        <v>50</v>
      </c>
      <c r="AI19" s="60" t="s">
        <v>51</v>
      </c>
      <c r="AJ19" s="60" t="s">
        <v>50</v>
      </c>
      <c r="AK19" s="56" t="s">
        <v>24</v>
      </c>
    </row>
    <row r="20" spans="1:37">
      <c r="A20" s="166">
        <v>14</v>
      </c>
      <c r="B20" s="60" t="s">
        <v>52</v>
      </c>
      <c r="C20" s="62">
        <f>C6*C45</f>
        <v>0</v>
      </c>
      <c r="D20" s="62">
        <f>D6*D45</f>
        <v>0</v>
      </c>
      <c r="E20" s="62">
        <f>E6*E45</f>
        <v>0</v>
      </c>
      <c r="F20" s="62">
        <f>F6*F45</f>
        <v>0</v>
      </c>
      <c r="G20" s="62">
        <f>G6*G45</f>
        <v>0</v>
      </c>
      <c r="H20" s="62">
        <f>SUM(C20:G20)</f>
        <v>0</v>
      </c>
      <c r="S20" s="60" t="s">
        <v>52</v>
      </c>
      <c r="AI20" s="60" t="s">
        <v>53</v>
      </c>
      <c r="AJ20" s="60" t="s">
        <v>52</v>
      </c>
    </row>
    <row r="21" spans="1:37">
      <c r="A21" s="166">
        <v>15</v>
      </c>
      <c r="B21" s="60" t="s">
        <v>54</v>
      </c>
      <c r="C21" s="67">
        <f>$H$21/$H$6*C6</f>
        <v>31000</v>
      </c>
      <c r="D21" s="67">
        <f>$H$21/$H$6*D6</f>
        <v>31000</v>
      </c>
      <c r="E21" s="67">
        <f>$H$21/$H$6*E6</f>
        <v>0</v>
      </c>
      <c r="F21" s="67">
        <f>$H$21/$H$6*F6</f>
        <v>0</v>
      </c>
      <c r="G21" s="67">
        <f>$H$21/$H$6*G6</f>
        <v>0</v>
      </c>
      <c r="H21" s="62">
        <f>项目投资!H27</f>
        <v>62000</v>
      </c>
      <c r="S21" s="60" t="s">
        <v>54</v>
      </c>
      <c r="AI21" s="60"/>
      <c r="AJ21" s="60"/>
    </row>
    <row r="22" spans="1:37">
      <c r="A22" s="166">
        <v>16</v>
      </c>
      <c r="B22" s="60" t="s">
        <v>55</v>
      </c>
      <c r="C22" s="62">
        <f>C6*C47</f>
        <v>204000</v>
      </c>
      <c r="D22" s="62">
        <f>D6*D47</f>
        <v>204000</v>
      </c>
      <c r="E22" s="62">
        <f>E6*E47</f>
        <v>0</v>
      </c>
      <c r="F22" s="62">
        <f>F6*F47</f>
        <v>0</v>
      </c>
      <c r="G22" s="62">
        <f>G6*G47</f>
        <v>0</v>
      </c>
      <c r="H22" s="62">
        <f>+SUM(C22:G22)</f>
        <v>408000</v>
      </c>
      <c r="S22" s="60" t="s">
        <v>55</v>
      </c>
      <c r="AI22" s="60" t="s">
        <v>56</v>
      </c>
      <c r="AJ22" s="60" t="s">
        <v>55</v>
      </c>
    </row>
    <row r="23" spans="1:37">
      <c r="A23" s="166">
        <v>17</v>
      </c>
      <c r="B23" s="63" t="s">
        <v>57</v>
      </c>
      <c r="C23" s="67">
        <f>+C22+C21+C20+C19+C17</f>
        <v>239750</v>
      </c>
      <c r="D23" s="67">
        <f>+D22+D21+D20+D19+D17</f>
        <v>239750</v>
      </c>
      <c r="E23" s="67">
        <f>+E22+E21+E20+E19+E17</f>
        <v>0</v>
      </c>
      <c r="F23" s="67">
        <f>+F22+F21+F20+F19+F17</f>
        <v>0</v>
      </c>
      <c r="G23" s="67">
        <f>+G22+G21+G20+G19+G17</f>
        <v>0</v>
      </c>
      <c r="H23" s="67">
        <f t="shared" ref="H23" si="6">+H22+H21+H20+H19+H17</f>
        <v>479500</v>
      </c>
      <c r="S23" s="63" t="s">
        <v>57</v>
      </c>
      <c r="AI23" s="60" t="s">
        <v>58</v>
      </c>
      <c r="AJ23" s="63" t="s">
        <v>57</v>
      </c>
    </row>
    <row r="24" spans="1:37">
      <c r="A24" s="166">
        <v>18</v>
      </c>
      <c r="B24" s="68" t="s">
        <v>59</v>
      </c>
      <c r="C24" s="67">
        <f>+C15-C23</f>
        <v>-2009789.9999999991</v>
      </c>
      <c r="D24" s="67">
        <f>+D15-D23</f>
        <v>-680390</v>
      </c>
      <c r="E24" s="67">
        <f>+E15-E23</f>
        <v>0</v>
      </c>
      <c r="F24" s="67">
        <f>+F15-F23</f>
        <v>0</v>
      </c>
      <c r="G24" s="67">
        <f>+G15-G23</f>
        <v>0</v>
      </c>
      <c r="H24" s="67">
        <f t="shared" ref="H24" si="7">+H15-H23</f>
        <v>-2690179.9999999991</v>
      </c>
      <c r="J24" s="79"/>
      <c r="S24" s="60" t="s">
        <v>59</v>
      </c>
      <c r="AI24" s="60" t="s">
        <v>60</v>
      </c>
      <c r="AJ24" s="60" t="s">
        <v>59</v>
      </c>
    </row>
    <row r="25" spans="1:37">
      <c r="A25" s="166">
        <v>19</v>
      </c>
      <c r="B25" s="60" t="s">
        <v>156</v>
      </c>
      <c r="C25" s="67">
        <f>IF(C24&lt;0,0,C24*0.25)</f>
        <v>0</v>
      </c>
      <c r="D25" s="67">
        <f>IF(D24&lt;0,0,D24*0.25)</f>
        <v>0</v>
      </c>
      <c r="E25" s="67">
        <f>IF(E24&lt;0,0,E24*0.25)</f>
        <v>0</v>
      </c>
      <c r="F25" s="67">
        <f>IF(F24&lt;0,0,F24*0.25)</f>
        <v>0</v>
      </c>
      <c r="G25" s="67">
        <f>IF(G24&lt;0,0,G24*0.25)</f>
        <v>0</v>
      </c>
      <c r="H25" s="67">
        <f>C25+D25</f>
        <v>0</v>
      </c>
      <c r="I25" s="75"/>
      <c r="J25" s="75"/>
      <c r="K25" s="75"/>
      <c r="S25" s="60" t="s">
        <v>61</v>
      </c>
      <c r="AI25" s="60" t="s">
        <v>62</v>
      </c>
      <c r="AJ25" s="60" t="s">
        <v>61</v>
      </c>
    </row>
    <row r="26" spans="1:37">
      <c r="A26" s="166">
        <v>20</v>
      </c>
      <c r="B26" s="60" t="s">
        <v>63</v>
      </c>
      <c r="C26" s="67">
        <f t="shared" ref="C26" si="8">C24-C25</f>
        <v>-2009789.9999999991</v>
      </c>
      <c r="D26" s="67">
        <f>D24-D25</f>
        <v>-680390</v>
      </c>
      <c r="E26" s="67">
        <f>E24-E25</f>
        <v>0</v>
      </c>
      <c r="F26" s="67">
        <f>F24-F25</f>
        <v>0</v>
      </c>
      <c r="G26" s="67">
        <f>G24-G25</f>
        <v>0</v>
      </c>
      <c r="H26" s="62">
        <f>+SUM(C26:G26)</f>
        <v>-2690179.9999999991</v>
      </c>
      <c r="I26" s="75"/>
      <c r="J26" s="75"/>
      <c r="K26" s="75"/>
      <c r="S26" s="60" t="s">
        <v>63</v>
      </c>
      <c r="AI26" s="60" t="s">
        <v>64</v>
      </c>
      <c r="AJ26" s="60" t="s">
        <v>63</v>
      </c>
    </row>
    <row r="27" spans="1:37">
      <c r="A27" s="166">
        <v>21</v>
      </c>
      <c r="B27" s="60" t="s">
        <v>67</v>
      </c>
      <c r="C27" s="69">
        <f t="shared" ref="C27:H27" si="9">C26/C7</f>
        <v>-0.29555735294117635</v>
      </c>
      <c r="D27" s="69">
        <f t="shared" si="9"/>
        <v>-0.10005735294117647</v>
      </c>
      <c r="E27" s="69" t="e">
        <f t="shared" si="9"/>
        <v>#DIV/0!</v>
      </c>
      <c r="F27" s="69" t="e">
        <f t="shared" si="9"/>
        <v>#DIV/0!</v>
      </c>
      <c r="G27" s="69" t="e">
        <f t="shared" si="9"/>
        <v>#DIV/0!</v>
      </c>
      <c r="H27" s="69">
        <f t="shared" si="9"/>
        <v>-0.19780735294117641</v>
      </c>
      <c r="I27" s="75"/>
      <c r="J27" s="75"/>
      <c r="K27" s="75"/>
      <c r="S27" s="60" t="s">
        <v>67</v>
      </c>
      <c r="AI27" s="60" t="s">
        <v>66</v>
      </c>
      <c r="AJ27" s="60" t="s">
        <v>67</v>
      </c>
    </row>
    <row r="28" spans="1:37">
      <c r="I28" s="75"/>
      <c r="J28" s="75"/>
      <c r="K28" s="75"/>
      <c r="S28" s="60"/>
    </row>
    <row r="29" spans="1:37">
      <c r="A29" s="56" t="s">
        <v>68</v>
      </c>
      <c r="H29" s="57" t="s">
        <v>157</v>
      </c>
      <c r="I29" s="75"/>
      <c r="J29" s="75"/>
      <c r="K29" s="75"/>
      <c r="S29" s="60"/>
      <c r="AI29" s="56" t="s">
        <v>68</v>
      </c>
    </row>
    <row r="30" spans="1:37">
      <c r="A30" s="60" t="s">
        <v>73</v>
      </c>
      <c r="B30" s="63" t="s">
        <v>74</v>
      </c>
      <c r="C30" s="67"/>
      <c r="D30" s="67"/>
      <c r="E30" s="67"/>
      <c r="F30" s="67"/>
      <c r="G30" s="67"/>
      <c r="H30" s="67"/>
      <c r="I30" s="75"/>
      <c r="J30" s="75"/>
      <c r="K30" s="75"/>
      <c r="M30" s="75"/>
      <c r="S30" s="63" t="s">
        <v>74</v>
      </c>
      <c r="AI30" s="60" t="s">
        <v>75</v>
      </c>
      <c r="AJ30" s="63" t="s">
        <v>74</v>
      </c>
    </row>
    <row r="31" spans="1:37">
      <c r="A31" s="166">
        <v>1</v>
      </c>
      <c r="B31" s="65" t="s">
        <v>76</v>
      </c>
      <c r="C31" s="71">
        <f>销量!C8</f>
        <v>340</v>
      </c>
      <c r="D31" s="71">
        <f>销量!D8</f>
        <v>340</v>
      </c>
      <c r="E31" s="71">
        <f>销量!E8</f>
        <v>0</v>
      </c>
      <c r="F31" s="71">
        <f>销量!J8</f>
        <v>0</v>
      </c>
      <c r="G31" s="71">
        <f>销量!K8</f>
        <v>0</v>
      </c>
      <c r="H31" s="67"/>
      <c r="I31" s="75"/>
      <c r="J31" s="75"/>
      <c r="K31" s="75"/>
      <c r="M31" s="75"/>
      <c r="S31" s="60" t="s">
        <v>76</v>
      </c>
      <c r="AI31" s="60" t="s">
        <v>26</v>
      </c>
      <c r="AJ31" s="60" t="s">
        <v>76</v>
      </c>
    </row>
    <row r="32" spans="1:37">
      <c r="A32" s="166">
        <v>2</v>
      </c>
      <c r="B32" s="60" t="s">
        <v>158</v>
      </c>
      <c r="C32" s="62">
        <f>C9/C6</f>
        <v>340</v>
      </c>
      <c r="D32" s="62">
        <f>D9/D6</f>
        <v>340</v>
      </c>
      <c r="E32" s="62">
        <f t="shared" ref="E32:G32" si="10">E31*1</f>
        <v>0</v>
      </c>
      <c r="F32" s="62">
        <f t="shared" si="10"/>
        <v>0</v>
      </c>
      <c r="G32" s="62">
        <f t="shared" si="10"/>
        <v>0</v>
      </c>
      <c r="H32" s="67"/>
      <c r="I32" s="75"/>
      <c r="J32" s="75"/>
      <c r="K32" s="75"/>
      <c r="L32" s="75"/>
      <c r="M32" s="75"/>
      <c r="N32" s="75"/>
      <c r="O32" s="75"/>
      <c r="AI32" s="60"/>
      <c r="AJ32" s="60"/>
    </row>
    <row r="33" spans="1:36">
      <c r="A33" s="166">
        <v>3</v>
      </c>
      <c r="B33" s="65" t="s">
        <v>77</v>
      </c>
      <c r="C33" s="62">
        <f>材料成本!L39</f>
        <v>395.59</v>
      </c>
      <c r="D33" s="62">
        <f>材料成本!L40</f>
        <v>329.12</v>
      </c>
      <c r="E33" s="62">
        <f>材料成本!J33</f>
        <v>0</v>
      </c>
      <c r="F33" s="62">
        <f>材料成本!K33</f>
        <v>0</v>
      </c>
      <c r="G33" s="62">
        <f>材料成本!L33</f>
        <v>0</v>
      </c>
      <c r="H33" s="67"/>
      <c r="J33" s="75"/>
      <c r="K33" s="75"/>
      <c r="L33" s="75"/>
      <c r="M33" s="75"/>
      <c r="N33" s="75"/>
      <c r="O33" s="75"/>
      <c r="S33" s="60" t="s">
        <v>77</v>
      </c>
      <c r="AI33" s="60" t="s">
        <v>28</v>
      </c>
      <c r="AJ33" s="60" t="s">
        <v>77</v>
      </c>
    </row>
    <row r="34" spans="1:36" ht="17.25" customHeight="1">
      <c r="A34" s="166">
        <v>4</v>
      </c>
      <c r="B34" s="60" t="s">
        <v>79</v>
      </c>
      <c r="C34" s="72">
        <f>C32-C33</f>
        <v>-55.589999999999975</v>
      </c>
      <c r="D34" s="72">
        <f t="shared" ref="D34:G34" si="11">D32-D33</f>
        <v>10.879999999999995</v>
      </c>
      <c r="E34" s="72">
        <f t="shared" si="11"/>
        <v>0</v>
      </c>
      <c r="F34" s="72">
        <f t="shared" si="11"/>
        <v>0</v>
      </c>
      <c r="G34" s="72">
        <f t="shared" si="11"/>
        <v>0</v>
      </c>
      <c r="H34" s="67"/>
      <c r="J34" s="75"/>
      <c r="K34" s="75"/>
      <c r="L34" s="75"/>
      <c r="M34" s="75"/>
      <c r="N34" s="75"/>
      <c r="O34" s="75"/>
      <c r="S34" s="60" t="s">
        <v>79</v>
      </c>
      <c r="AI34" s="60" t="s">
        <v>78</v>
      </c>
      <c r="AJ34" s="60" t="s">
        <v>79</v>
      </c>
    </row>
    <row r="35" spans="1:36">
      <c r="A35" s="60" t="s">
        <v>75</v>
      </c>
      <c r="B35" s="63" t="s">
        <v>10</v>
      </c>
      <c r="C35" s="67"/>
      <c r="D35" s="67"/>
      <c r="E35" s="67"/>
      <c r="F35" s="67"/>
      <c r="G35" s="67"/>
      <c r="H35" s="67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63" t="s">
        <v>10</v>
      </c>
      <c r="AI35" s="60" t="s">
        <v>81</v>
      </c>
      <c r="AJ35" s="63" t="s">
        <v>10</v>
      </c>
    </row>
    <row r="36" spans="1:36">
      <c r="A36" s="166">
        <v>1</v>
      </c>
      <c r="B36" s="60" t="s">
        <v>82</v>
      </c>
      <c r="C36" s="66">
        <f>标准成本!E4</f>
        <v>14.654</v>
      </c>
      <c r="D36" s="66">
        <f>C36</f>
        <v>14.654</v>
      </c>
      <c r="E36" s="66">
        <f t="shared" ref="E36:G38" si="12">D36</f>
        <v>14.654</v>
      </c>
      <c r="F36" s="66">
        <f t="shared" si="12"/>
        <v>14.654</v>
      </c>
      <c r="G36" s="66">
        <f t="shared" si="12"/>
        <v>14.654</v>
      </c>
      <c r="H36" s="71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60" t="s">
        <v>82</v>
      </c>
      <c r="AI36" s="60" t="s">
        <v>78</v>
      </c>
      <c r="AJ36" s="60" t="s">
        <v>82</v>
      </c>
    </row>
    <row r="37" spans="1:36">
      <c r="A37" s="166">
        <v>2</v>
      </c>
      <c r="B37" s="60" t="s">
        <v>83</v>
      </c>
      <c r="C37" s="66">
        <f>标准成本!E6</f>
        <v>7.3780000000000001</v>
      </c>
      <c r="D37" s="66">
        <f>C37</f>
        <v>7.3780000000000001</v>
      </c>
      <c r="E37" s="66">
        <f t="shared" si="12"/>
        <v>7.3780000000000001</v>
      </c>
      <c r="F37" s="66">
        <f t="shared" si="12"/>
        <v>7.3780000000000001</v>
      </c>
      <c r="G37" s="66">
        <f t="shared" si="12"/>
        <v>7.3780000000000001</v>
      </c>
      <c r="H37" s="71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60" t="s">
        <v>83</v>
      </c>
      <c r="AI37" s="60" t="s">
        <v>31</v>
      </c>
      <c r="AJ37" s="60" t="s">
        <v>83</v>
      </c>
    </row>
    <row r="38" spans="1:36">
      <c r="A38" s="166">
        <v>3</v>
      </c>
      <c r="B38" s="60" t="s">
        <v>84</v>
      </c>
      <c r="C38" s="66">
        <f>标准成本!E10</f>
        <v>10.88</v>
      </c>
      <c r="D38" s="66">
        <f>C38</f>
        <v>10.88</v>
      </c>
      <c r="E38" s="66">
        <f t="shared" si="12"/>
        <v>10.88</v>
      </c>
      <c r="F38" s="66">
        <f t="shared" si="12"/>
        <v>10.88</v>
      </c>
      <c r="G38" s="66">
        <f t="shared" si="12"/>
        <v>10.88</v>
      </c>
      <c r="H38" s="71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60" t="s">
        <v>84</v>
      </c>
      <c r="AI38" s="60" t="s">
        <v>37</v>
      </c>
      <c r="AJ38" s="60" t="s">
        <v>84</v>
      </c>
    </row>
    <row r="39" spans="1:36">
      <c r="A39" s="60" t="s">
        <v>81</v>
      </c>
      <c r="B39" s="63" t="s">
        <v>86</v>
      </c>
      <c r="C39" s="67"/>
      <c r="D39" s="67"/>
      <c r="E39" s="67"/>
      <c r="F39" s="67"/>
      <c r="G39" s="67"/>
      <c r="H39" s="67"/>
      <c r="S39" s="63" t="s">
        <v>86</v>
      </c>
      <c r="AI39" s="60" t="s">
        <v>85</v>
      </c>
      <c r="AJ39" s="63" t="s">
        <v>86</v>
      </c>
    </row>
    <row r="40" spans="1:36">
      <c r="A40" s="166">
        <v>1</v>
      </c>
      <c r="B40" s="60" t="s">
        <v>88</v>
      </c>
      <c r="C40" s="67">
        <f>C34-C36-C37-C38</f>
        <v>-88.501999999999967</v>
      </c>
      <c r="D40" s="67">
        <f t="shared" ref="D40:G40" si="13">D34-D36-D37-D38</f>
        <v>-22.032000000000004</v>
      </c>
      <c r="E40" s="67">
        <f t="shared" si="13"/>
        <v>-32.911999999999999</v>
      </c>
      <c r="F40" s="67">
        <f t="shared" si="13"/>
        <v>-32.911999999999999</v>
      </c>
      <c r="G40" s="67">
        <f t="shared" si="13"/>
        <v>-32.911999999999999</v>
      </c>
      <c r="H40" s="67"/>
      <c r="S40" s="60" t="s">
        <v>88</v>
      </c>
      <c r="AI40" s="60" t="s">
        <v>26</v>
      </c>
      <c r="AJ40" s="60" t="s">
        <v>88</v>
      </c>
    </row>
    <row r="41" spans="1:36">
      <c r="A41" s="166">
        <v>2</v>
      </c>
      <c r="B41" s="60" t="s">
        <v>89</v>
      </c>
      <c r="C41" s="67"/>
      <c r="D41" s="67"/>
      <c r="E41" s="67"/>
      <c r="F41" s="67"/>
      <c r="G41" s="67"/>
      <c r="H41" s="67"/>
      <c r="S41" s="60" t="s">
        <v>89</v>
      </c>
      <c r="AI41" s="60" t="s">
        <v>28</v>
      </c>
      <c r="AJ41" s="60" t="s">
        <v>89</v>
      </c>
    </row>
    <row r="42" spans="1:36">
      <c r="A42" s="60" t="s">
        <v>85</v>
      </c>
      <c r="B42" s="63" t="s">
        <v>91</v>
      </c>
      <c r="C42" s="67"/>
      <c r="D42" s="67"/>
      <c r="E42" s="67"/>
      <c r="F42" s="67"/>
      <c r="G42" s="67"/>
      <c r="H42" s="67"/>
      <c r="S42" s="63" t="s">
        <v>91</v>
      </c>
      <c r="AI42" s="60" t="s">
        <v>90</v>
      </c>
      <c r="AJ42" s="63" t="s">
        <v>91</v>
      </c>
    </row>
    <row r="43" spans="1:36">
      <c r="A43" s="166">
        <v>1</v>
      </c>
      <c r="B43" s="68" t="s">
        <v>92</v>
      </c>
      <c r="C43" s="66">
        <f>标准成本!E5</f>
        <v>0</v>
      </c>
      <c r="D43" s="66">
        <f>C43</f>
        <v>0</v>
      </c>
      <c r="E43" s="66">
        <f t="shared" ref="E43:G45" si="14">D43</f>
        <v>0</v>
      </c>
      <c r="F43" s="66">
        <f t="shared" si="14"/>
        <v>0</v>
      </c>
      <c r="G43" s="66">
        <f t="shared" si="14"/>
        <v>0</v>
      </c>
      <c r="H43" s="67"/>
      <c r="S43" s="60" t="s">
        <v>92</v>
      </c>
      <c r="AI43" s="60" t="s">
        <v>26</v>
      </c>
      <c r="AJ43" s="60" t="s">
        <v>92</v>
      </c>
    </row>
    <row r="44" spans="1:36">
      <c r="A44" s="166">
        <v>2</v>
      </c>
      <c r="B44" s="68" t="s">
        <v>93</v>
      </c>
      <c r="C44" s="66">
        <f>标准成本!E9</f>
        <v>0</v>
      </c>
      <c r="D44" s="66">
        <f>C44</f>
        <v>0</v>
      </c>
      <c r="E44" s="66">
        <f t="shared" si="14"/>
        <v>0</v>
      </c>
      <c r="F44" s="66">
        <f t="shared" si="14"/>
        <v>0</v>
      </c>
      <c r="G44" s="66">
        <f t="shared" si="14"/>
        <v>0</v>
      </c>
      <c r="H44" s="67"/>
      <c r="S44" s="60" t="s">
        <v>93</v>
      </c>
      <c r="AI44" s="60" t="s">
        <v>28</v>
      </c>
      <c r="AJ44" s="60" t="s">
        <v>93</v>
      </c>
    </row>
    <row r="45" spans="1:36">
      <c r="A45" s="166">
        <v>3</v>
      </c>
      <c r="B45" s="68" t="s">
        <v>94</v>
      </c>
      <c r="C45" s="66">
        <f>标准成本!E8</f>
        <v>0</v>
      </c>
      <c r="D45" s="66">
        <f>C45</f>
        <v>0</v>
      </c>
      <c r="E45" s="66">
        <f t="shared" si="14"/>
        <v>0</v>
      </c>
      <c r="F45" s="66">
        <f t="shared" si="14"/>
        <v>0</v>
      </c>
      <c r="G45" s="66">
        <f t="shared" si="14"/>
        <v>0</v>
      </c>
      <c r="H45" s="67"/>
      <c r="S45" s="60" t="s">
        <v>94</v>
      </c>
      <c r="AI45" s="60" t="s">
        <v>78</v>
      </c>
      <c r="AJ45" s="60" t="s">
        <v>94</v>
      </c>
    </row>
    <row r="46" spans="1:36" s="55" customFormat="1">
      <c r="A46" s="166">
        <v>4</v>
      </c>
      <c r="B46" s="68" t="s">
        <v>95</v>
      </c>
      <c r="C46" s="73">
        <f>C21/C6</f>
        <v>1.55</v>
      </c>
      <c r="D46" s="73">
        <f>D21/D6</f>
        <v>1.55</v>
      </c>
      <c r="E46" s="73" t="e">
        <f>E21/E6</f>
        <v>#DIV/0!</v>
      </c>
      <c r="F46" s="73" t="e">
        <f>F21/F6</f>
        <v>#DIV/0!</v>
      </c>
      <c r="G46" s="73" t="e">
        <f>G21/G6</f>
        <v>#DIV/0!</v>
      </c>
      <c r="H46" s="73"/>
      <c r="S46" s="68" t="s">
        <v>97</v>
      </c>
      <c r="AI46" s="68" t="s">
        <v>34</v>
      </c>
      <c r="AJ46" s="68" t="s">
        <v>97</v>
      </c>
    </row>
    <row r="47" spans="1:36" s="55" customFormat="1">
      <c r="A47" s="166">
        <v>5</v>
      </c>
      <c r="B47" s="68" t="s">
        <v>97</v>
      </c>
      <c r="C47" s="73">
        <f>标准成本!E11</f>
        <v>10.199999999999999</v>
      </c>
      <c r="D47" s="73">
        <f>C47</f>
        <v>10.199999999999999</v>
      </c>
      <c r="E47" s="73">
        <f>D47</f>
        <v>10.199999999999999</v>
      </c>
      <c r="F47" s="73">
        <f>E47</f>
        <v>10.199999999999999</v>
      </c>
      <c r="G47" s="73">
        <f>F47</f>
        <v>10.199999999999999</v>
      </c>
      <c r="H47" s="73"/>
      <c r="S47" s="68" t="s">
        <v>97</v>
      </c>
      <c r="AI47" s="68" t="s">
        <v>34</v>
      </c>
      <c r="AJ47" s="68" t="s">
        <v>97</v>
      </c>
    </row>
    <row r="48" spans="1:36">
      <c r="A48" s="60" t="s">
        <v>90</v>
      </c>
      <c r="B48" s="63" t="s">
        <v>108</v>
      </c>
      <c r="C48" s="67">
        <f>C40-C43-C44-C45-C47-C46</f>
        <v>-100.25199999999997</v>
      </c>
      <c r="D48" s="67">
        <f>D40-D43-D44-D45-D47-D46</f>
        <v>-33.781999999999996</v>
      </c>
      <c r="E48" s="67" t="e">
        <f>E40-E43-E44-E45-E47-E46</f>
        <v>#DIV/0!</v>
      </c>
      <c r="F48" s="67" t="e">
        <f>F40-F43-F44-F45-F47-F46</f>
        <v>#DIV/0!</v>
      </c>
      <c r="G48" s="67" t="e">
        <f>G40-G43-G44-G45-G47-G46</f>
        <v>#DIV/0!</v>
      </c>
      <c r="H48" s="67"/>
      <c r="S48" s="63" t="s">
        <v>108</v>
      </c>
      <c r="AI48" s="60" t="s">
        <v>107</v>
      </c>
      <c r="AJ48" s="63" t="s">
        <v>108</v>
      </c>
    </row>
    <row r="51" spans="2:13">
      <c r="C51" s="74"/>
      <c r="D51" s="74"/>
      <c r="E51" s="74"/>
      <c r="F51" s="74"/>
      <c r="G51" s="74"/>
    </row>
    <row r="54" spans="2:13">
      <c r="B54" s="75"/>
      <c r="C54" s="76"/>
      <c r="D54" s="76"/>
      <c r="E54" s="76"/>
      <c r="F54" s="76"/>
      <c r="G54" s="76"/>
      <c r="H54" s="76"/>
      <c r="I54" s="75"/>
      <c r="J54" s="75"/>
      <c r="K54" s="75"/>
      <c r="L54" s="75"/>
      <c r="M54" s="75"/>
    </row>
    <row r="55" spans="2:13">
      <c r="B55" s="75"/>
      <c r="C55" s="76"/>
      <c r="D55" s="76"/>
      <c r="E55" s="76"/>
      <c r="F55" s="76"/>
      <c r="G55" s="76"/>
      <c r="H55" s="76"/>
      <c r="I55" s="75"/>
      <c r="J55" s="75"/>
      <c r="K55" s="75"/>
      <c r="L55" s="75"/>
      <c r="M55" s="75"/>
    </row>
    <row r="56" spans="2:13">
      <c r="B56" s="75"/>
      <c r="C56" s="76"/>
      <c r="D56" s="76"/>
      <c r="E56" s="76"/>
      <c r="F56" s="76"/>
      <c r="G56" s="76"/>
      <c r="H56" s="76"/>
      <c r="I56" s="75"/>
      <c r="J56" s="75"/>
      <c r="K56" s="75"/>
      <c r="L56" s="75"/>
      <c r="M56" s="75"/>
    </row>
    <row r="57" spans="2:13">
      <c r="B57" s="75"/>
      <c r="C57" s="76"/>
      <c r="D57" s="76"/>
      <c r="E57" s="76"/>
      <c r="F57" s="76"/>
      <c r="G57" s="76"/>
      <c r="H57" s="76"/>
      <c r="I57" s="75"/>
      <c r="J57" s="75"/>
      <c r="K57" s="75"/>
      <c r="L57" s="75"/>
      <c r="M57" s="75"/>
    </row>
    <row r="58" spans="2:13">
      <c r="B58" s="75"/>
      <c r="C58" s="76"/>
      <c r="D58" s="76"/>
      <c r="E58" s="76"/>
      <c r="F58" s="76"/>
      <c r="G58" s="76"/>
      <c r="H58" s="76"/>
      <c r="I58" s="75"/>
      <c r="J58" s="75"/>
      <c r="K58" s="75"/>
      <c r="L58" s="75"/>
      <c r="M58" s="75"/>
    </row>
    <row r="59" spans="2:13">
      <c r="B59" s="75"/>
      <c r="C59" s="76"/>
      <c r="D59" s="76"/>
      <c r="E59" s="76"/>
      <c r="F59" s="76"/>
      <c r="G59" s="76"/>
      <c r="H59" s="76"/>
      <c r="I59" s="75"/>
      <c r="J59" s="75"/>
      <c r="K59" s="75"/>
      <c r="L59" s="75"/>
      <c r="M59" s="75"/>
    </row>
    <row r="60" spans="2:13">
      <c r="B60" s="75"/>
      <c r="C60" s="76"/>
      <c r="D60" s="76"/>
      <c r="E60" s="76"/>
      <c r="F60" s="76"/>
      <c r="G60" s="76"/>
      <c r="H60" s="76"/>
      <c r="I60" s="75"/>
      <c r="J60" s="75"/>
      <c r="K60" s="75"/>
      <c r="L60" s="75"/>
      <c r="M60" s="75"/>
    </row>
    <row r="61" spans="2:13">
      <c r="B61" s="75"/>
      <c r="C61" s="76"/>
      <c r="D61" s="76"/>
      <c r="E61" s="76"/>
      <c r="F61" s="76"/>
      <c r="G61" s="76"/>
      <c r="H61" s="76"/>
      <c r="I61" s="75"/>
      <c r="J61" s="75"/>
      <c r="K61" s="75"/>
      <c r="L61" s="75"/>
      <c r="M61" s="75"/>
    </row>
    <row r="62" spans="2:13">
      <c r="B62" s="75"/>
      <c r="C62" s="76"/>
      <c r="D62" s="76"/>
      <c r="E62" s="76"/>
      <c r="F62" s="76"/>
      <c r="G62" s="76"/>
      <c r="H62" s="76"/>
      <c r="I62" s="75"/>
      <c r="J62" s="75"/>
      <c r="K62" s="75"/>
      <c r="L62" s="75"/>
      <c r="M62" s="75"/>
    </row>
    <row r="63" spans="2:13">
      <c r="B63" s="75"/>
      <c r="C63" s="76"/>
      <c r="D63" s="76"/>
      <c r="E63" s="76"/>
      <c r="F63" s="76"/>
      <c r="G63" s="76"/>
      <c r="H63" s="76"/>
      <c r="I63" s="75"/>
      <c r="J63" s="75"/>
      <c r="K63" s="75"/>
      <c r="L63" s="75"/>
      <c r="M63" s="75"/>
    </row>
    <row r="64" spans="2:13">
      <c r="B64" s="75"/>
      <c r="C64" s="76"/>
      <c r="D64" s="76"/>
      <c r="E64" s="76"/>
      <c r="F64" s="76"/>
      <c r="G64" s="76"/>
      <c r="H64" s="76"/>
      <c r="I64" s="75"/>
      <c r="J64" s="75"/>
      <c r="K64" s="75"/>
      <c r="L64" s="75"/>
      <c r="M64" s="75"/>
    </row>
    <row r="65" spans="2:13">
      <c r="B65" s="75"/>
      <c r="C65" s="76"/>
      <c r="D65" s="76"/>
      <c r="E65" s="76"/>
      <c r="F65" s="76"/>
      <c r="G65" s="76"/>
      <c r="H65" s="76"/>
      <c r="I65" s="75"/>
      <c r="J65" s="75"/>
      <c r="K65" s="75"/>
      <c r="L65" s="75"/>
      <c r="M65" s="75"/>
    </row>
    <row r="66" spans="2:13">
      <c r="B66" s="75"/>
      <c r="C66" s="76"/>
      <c r="D66" s="76"/>
      <c r="E66" s="76"/>
      <c r="F66" s="76"/>
      <c r="G66" s="76"/>
      <c r="H66" s="76"/>
      <c r="I66" s="75"/>
      <c r="J66" s="75"/>
      <c r="K66" s="75"/>
      <c r="L66" s="75"/>
      <c r="M66" s="75"/>
    </row>
    <row r="67" spans="2:13">
      <c r="B67" s="75"/>
      <c r="C67" s="76"/>
      <c r="D67" s="76"/>
      <c r="E67" s="76"/>
      <c r="F67" s="76"/>
      <c r="G67" s="76"/>
      <c r="H67" s="76"/>
      <c r="I67" s="75"/>
    </row>
    <row r="68" spans="2:13">
      <c r="B68" s="75"/>
      <c r="C68" s="76"/>
      <c r="D68" s="76"/>
      <c r="E68" s="76"/>
      <c r="F68" s="76"/>
      <c r="G68" s="76"/>
      <c r="H68" s="76"/>
      <c r="I68" s="75"/>
    </row>
    <row r="69" spans="2:13">
      <c r="B69" s="75"/>
      <c r="C69" s="76"/>
      <c r="D69" s="76"/>
      <c r="E69" s="76"/>
      <c r="F69" s="76"/>
      <c r="G69" s="76"/>
      <c r="H69" s="76"/>
      <c r="I69" s="75"/>
    </row>
    <row r="70" spans="2:13">
      <c r="B70" s="75"/>
      <c r="C70" s="76"/>
      <c r="D70" s="76"/>
      <c r="E70" s="76"/>
      <c r="F70" s="76"/>
      <c r="G70" s="76"/>
      <c r="H70" s="76"/>
      <c r="I70" s="75"/>
    </row>
    <row r="71" spans="2:13">
      <c r="B71" s="75"/>
      <c r="C71" s="76"/>
      <c r="D71" s="76"/>
      <c r="E71" s="76"/>
      <c r="F71" s="76"/>
      <c r="G71" s="76"/>
      <c r="H71" s="76"/>
      <c r="I71" s="75"/>
    </row>
    <row r="72" spans="2:13">
      <c r="B72" s="75"/>
      <c r="C72" s="76"/>
      <c r="D72" s="76"/>
      <c r="E72" s="76"/>
      <c r="F72" s="76"/>
      <c r="G72" s="76"/>
      <c r="H72" s="76"/>
      <c r="I72" s="75"/>
    </row>
    <row r="73" spans="2:13">
      <c r="B73" s="75"/>
      <c r="C73" s="76"/>
      <c r="D73" s="76"/>
      <c r="E73" s="76"/>
      <c r="F73" s="76"/>
      <c r="G73" s="76"/>
      <c r="H73" s="76"/>
      <c r="I73" s="75"/>
    </row>
    <row r="74" spans="2:13">
      <c r="B74" s="75"/>
      <c r="C74" s="76"/>
      <c r="D74" s="76"/>
      <c r="E74" s="76"/>
      <c r="F74" s="76"/>
      <c r="G74" s="76"/>
      <c r="H74" s="76"/>
      <c r="I74" s="75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H26" sqref="H26"/>
    </sheetView>
  </sheetViews>
  <sheetFormatPr defaultColWidth="9" defaultRowHeight="13.5"/>
  <cols>
    <col min="1" max="1" width="20.625" customWidth="1"/>
    <col min="2" max="2" width="14.25" style="33" customWidth="1"/>
    <col min="3" max="3" width="13.125" customWidth="1"/>
    <col min="4" max="6" width="14.5" customWidth="1"/>
    <col min="7" max="7" width="19.375" bestFit="1" customWidth="1"/>
    <col min="8" max="8" width="18.75" customWidth="1"/>
    <col min="9" max="9" width="15" customWidth="1"/>
    <col min="10" max="10" width="14.125" customWidth="1"/>
  </cols>
  <sheetData>
    <row r="1" spans="1:8" ht="20.25">
      <c r="A1" s="217" t="s">
        <v>159</v>
      </c>
      <c r="B1" s="217"/>
      <c r="C1" s="217"/>
      <c r="E1" s="218" t="s">
        <v>268</v>
      </c>
      <c r="F1" s="219"/>
      <c r="G1" s="219"/>
      <c r="H1" s="220"/>
    </row>
    <row r="2" spans="1:8" ht="23.45" customHeight="1">
      <c r="A2" s="34" t="s">
        <v>1</v>
      </c>
      <c r="B2" s="35" t="s">
        <v>160</v>
      </c>
      <c r="C2" s="36" t="s">
        <v>161</v>
      </c>
      <c r="E2" s="1" t="s">
        <v>162</v>
      </c>
      <c r="F2" s="1" t="s">
        <v>1</v>
      </c>
      <c r="G2" s="37" t="s">
        <v>163</v>
      </c>
      <c r="H2" s="1" t="s">
        <v>161</v>
      </c>
    </row>
    <row r="3" spans="1:8" ht="15.75" customHeight="1">
      <c r="A3" s="38" t="s">
        <v>164</v>
      </c>
      <c r="B3" s="39"/>
      <c r="C3" s="40"/>
      <c r="E3" s="225" t="s">
        <v>165</v>
      </c>
      <c r="F3" s="2" t="s">
        <v>166</v>
      </c>
      <c r="G3" s="41"/>
      <c r="H3" s="2"/>
    </row>
    <row r="4" spans="1:8" ht="15.75" customHeight="1">
      <c r="A4" s="38" t="s">
        <v>167</v>
      </c>
      <c r="B4" s="39"/>
      <c r="C4" s="42"/>
      <c r="E4" s="226"/>
      <c r="F4" s="2" t="s">
        <v>168</v>
      </c>
      <c r="G4" s="41"/>
      <c r="H4" s="2"/>
    </row>
    <row r="5" spans="1:8" ht="15.75" customHeight="1">
      <c r="A5" s="38" t="s">
        <v>169</v>
      </c>
      <c r="B5" s="43">
        <f>SUM(G3:G4)</f>
        <v>0</v>
      </c>
      <c r="C5" s="40"/>
      <c r="E5" s="227" t="s">
        <v>170</v>
      </c>
      <c r="F5" s="44" t="s">
        <v>171</v>
      </c>
      <c r="G5" s="195">
        <v>3</v>
      </c>
      <c r="H5" s="196" t="s">
        <v>276</v>
      </c>
    </row>
    <row r="6" spans="1:8" ht="15.75" customHeight="1">
      <c r="A6" s="38" t="s">
        <v>172</v>
      </c>
      <c r="B6" s="39"/>
      <c r="C6" s="40"/>
      <c r="E6" s="228"/>
      <c r="F6" s="44" t="s">
        <v>173</v>
      </c>
      <c r="G6" s="41"/>
      <c r="H6" s="2"/>
    </row>
    <row r="7" spans="1:8" ht="15.75" customHeight="1">
      <c r="A7" s="45" t="s">
        <v>174</v>
      </c>
      <c r="B7" s="43">
        <f>SUM(B3:B6)</f>
        <v>0</v>
      </c>
      <c r="C7" s="40"/>
      <c r="E7" s="228"/>
      <c r="F7" s="44" t="s">
        <v>175</v>
      </c>
      <c r="G7" s="41"/>
      <c r="H7" s="2"/>
    </row>
    <row r="8" spans="1:8" ht="15.75" customHeight="1">
      <c r="A8" s="46" t="s">
        <v>176</v>
      </c>
      <c r="B8" s="43">
        <f>SUM(G5:G12)</f>
        <v>5</v>
      </c>
      <c r="C8" s="47"/>
      <c r="E8" s="228"/>
      <c r="F8" s="44" t="s">
        <v>177</v>
      </c>
      <c r="G8" s="41"/>
      <c r="H8" s="168"/>
    </row>
    <row r="9" spans="1:8" ht="15.75" customHeight="1">
      <c r="A9" s="38" t="s">
        <v>178</v>
      </c>
      <c r="B9" s="43">
        <f>SUM(G13:G21)</f>
        <v>31</v>
      </c>
      <c r="C9" s="40"/>
      <c r="E9" s="228"/>
      <c r="F9" s="2" t="s">
        <v>179</v>
      </c>
      <c r="G9" s="195">
        <v>2</v>
      </c>
      <c r="H9" s="197" t="s">
        <v>277</v>
      </c>
    </row>
    <row r="10" spans="1:8" ht="15.75" customHeight="1">
      <c r="A10" s="42" t="s">
        <v>22</v>
      </c>
      <c r="B10" s="43">
        <f>B7+B8+B9</f>
        <v>36</v>
      </c>
      <c r="C10" s="40"/>
      <c r="E10" s="228"/>
      <c r="F10" s="2" t="s">
        <v>180</v>
      </c>
      <c r="G10" s="41"/>
      <c r="H10" s="2"/>
    </row>
    <row r="11" spans="1:8" ht="15.75" customHeight="1">
      <c r="E11" s="228"/>
      <c r="F11" s="2" t="s">
        <v>181</v>
      </c>
      <c r="G11" s="41"/>
      <c r="H11" s="2"/>
    </row>
    <row r="12" spans="1:8" ht="15.75" customHeight="1">
      <c r="E12" s="229"/>
      <c r="F12" s="2" t="s">
        <v>182</v>
      </c>
      <c r="G12" s="41"/>
      <c r="H12" s="168"/>
    </row>
    <row r="13" spans="1:8" ht="15.75" customHeight="1">
      <c r="E13" s="225" t="s">
        <v>54</v>
      </c>
      <c r="F13" s="2" t="s">
        <v>183</v>
      </c>
      <c r="G13" s="41"/>
      <c r="H13" s="48"/>
    </row>
    <row r="14" spans="1:8" ht="15.75" customHeight="1">
      <c r="E14" s="226"/>
      <c r="F14" s="2" t="s">
        <v>184</v>
      </c>
      <c r="G14" s="195">
        <v>2</v>
      </c>
      <c r="H14" s="197"/>
    </row>
    <row r="15" spans="1:8" ht="15.75" customHeight="1">
      <c r="E15" s="226"/>
      <c r="F15" s="2" t="s">
        <v>185</v>
      </c>
      <c r="G15" s="195">
        <v>1</v>
      </c>
      <c r="H15" s="197"/>
    </row>
    <row r="16" spans="1:8" ht="15.75" customHeight="1">
      <c r="E16" s="226"/>
      <c r="F16" s="2" t="s">
        <v>186</v>
      </c>
      <c r="G16" s="195">
        <v>2</v>
      </c>
      <c r="H16" s="197"/>
    </row>
    <row r="17" spans="1:10" ht="15.75" customHeight="1">
      <c r="E17" s="226"/>
      <c r="F17" s="2" t="s">
        <v>187</v>
      </c>
      <c r="G17" s="195">
        <v>6</v>
      </c>
      <c r="H17" s="197"/>
    </row>
    <row r="18" spans="1:10" ht="15.75" customHeight="1">
      <c r="E18" s="226"/>
      <c r="F18" s="2" t="s">
        <v>188</v>
      </c>
      <c r="G18" s="195">
        <v>2</v>
      </c>
      <c r="H18" s="198" t="s">
        <v>278</v>
      </c>
    </row>
    <row r="19" spans="1:10" ht="15.75" customHeight="1">
      <c r="E19" s="226"/>
      <c r="F19" s="2" t="s">
        <v>189</v>
      </c>
      <c r="G19" s="195">
        <v>18</v>
      </c>
      <c r="H19" s="197" t="s">
        <v>279</v>
      </c>
    </row>
    <row r="20" spans="1:10" ht="15.75" customHeight="1">
      <c r="E20" s="226"/>
      <c r="F20" s="2" t="s">
        <v>190</v>
      </c>
      <c r="G20" s="41"/>
      <c r="H20" s="2"/>
    </row>
    <row r="21" spans="1:10" ht="15.75" customHeight="1">
      <c r="E21" s="230"/>
      <c r="F21" s="2" t="s">
        <v>136</v>
      </c>
      <c r="G21" s="41"/>
      <c r="H21" s="2"/>
    </row>
    <row r="22" spans="1:10" ht="15.75" customHeight="1">
      <c r="E22" s="1" t="s">
        <v>22</v>
      </c>
      <c r="F22" s="2"/>
      <c r="G22" s="37">
        <f>SUM(G3:G21)</f>
        <v>36</v>
      </c>
      <c r="H22" s="2"/>
    </row>
    <row r="23" spans="1:10" ht="30.75" customHeight="1">
      <c r="E23" s="221" t="s">
        <v>191</v>
      </c>
      <c r="F23" s="221"/>
      <c r="G23" s="221"/>
      <c r="H23" s="221"/>
    </row>
    <row r="25" spans="1:10" ht="17.25">
      <c r="A25" s="22" t="s">
        <v>1</v>
      </c>
      <c r="B25" s="22" t="s">
        <v>160</v>
      </c>
      <c r="C25" s="22" t="s">
        <v>192</v>
      </c>
      <c r="D25" s="27" t="s">
        <v>20</v>
      </c>
      <c r="E25" s="27" t="s">
        <v>21</v>
      </c>
      <c r="F25" s="27" t="s">
        <v>193</v>
      </c>
      <c r="G25" s="27" t="s">
        <v>194</v>
      </c>
      <c r="H25" s="27" t="s">
        <v>195</v>
      </c>
      <c r="I25" s="27" t="s">
        <v>22</v>
      </c>
      <c r="J25" s="52" t="s">
        <v>196</v>
      </c>
    </row>
    <row r="26" spans="1:10" ht="16.5">
      <c r="A26" s="49" t="s">
        <v>154</v>
      </c>
      <c r="B26" s="50">
        <f>(B5+B8)*10000</f>
        <v>50000</v>
      </c>
      <c r="C26" s="51">
        <v>0.05</v>
      </c>
      <c r="D26" s="15">
        <f>B26*(1-C26)/5</f>
        <v>9500</v>
      </c>
      <c r="E26" s="15">
        <f t="shared" ref="E26:H27" si="0">D26</f>
        <v>9500</v>
      </c>
      <c r="F26" s="15">
        <f t="shared" si="0"/>
        <v>9500</v>
      </c>
      <c r="G26" s="15">
        <f>F26</f>
        <v>9500</v>
      </c>
      <c r="H26" s="15">
        <f t="shared" si="0"/>
        <v>9500</v>
      </c>
      <c r="I26" s="15">
        <f>SUM(D26:H26)</f>
        <v>47500</v>
      </c>
      <c r="J26" s="15">
        <f>B26*0.05</f>
        <v>2500</v>
      </c>
    </row>
    <row r="27" spans="1:10" ht="16.5">
      <c r="A27" s="49" t="s">
        <v>197</v>
      </c>
      <c r="B27" s="50">
        <f>B9*10000</f>
        <v>310000</v>
      </c>
      <c r="C27" s="15"/>
      <c r="D27" s="15">
        <f>B27/5</f>
        <v>62000</v>
      </c>
      <c r="E27" s="15">
        <f t="shared" si="0"/>
        <v>62000</v>
      </c>
      <c r="F27" s="15">
        <f t="shared" si="0"/>
        <v>62000</v>
      </c>
      <c r="G27" s="15">
        <f>F27</f>
        <v>62000</v>
      </c>
      <c r="H27" s="15">
        <f t="shared" si="0"/>
        <v>62000</v>
      </c>
      <c r="I27" s="15">
        <f>SUM(D27:H27)</f>
        <v>310000</v>
      </c>
      <c r="J27" s="15"/>
    </row>
    <row r="28" spans="1:10" ht="16.5">
      <c r="A28" s="222" t="s">
        <v>116</v>
      </c>
      <c r="B28" s="223"/>
      <c r="C28" s="224"/>
      <c r="D28" s="15">
        <f>SUM(D26:D27)</f>
        <v>71500</v>
      </c>
      <c r="E28" s="15">
        <f t="shared" ref="E28:H28" si="1">SUM(E26:E27)</f>
        <v>71500</v>
      </c>
      <c r="F28" s="15">
        <f t="shared" si="1"/>
        <v>71500</v>
      </c>
      <c r="G28" s="15">
        <f t="shared" si="1"/>
        <v>71500</v>
      </c>
      <c r="H28" s="15">
        <f t="shared" si="1"/>
        <v>71500</v>
      </c>
      <c r="I28" s="53"/>
      <c r="J28" s="53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9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2021-08-10T06:39:14Z</cp:lastPrinted>
  <dcterms:created xsi:type="dcterms:W3CDTF">2006-09-13T11:21:00Z</dcterms:created>
  <dcterms:modified xsi:type="dcterms:W3CDTF">2021-10-13T06:51:34Z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