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吴英格\Desktop\岳众问题整理-2021.10.10\"/>
    </mc:Choice>
  </mc:AlternateContent>
  <xr:revisionPtr revIDLastSave="0" documentId="13_ncr:1_{B4FA86D8-1A51-4292-8C19-E5272F4F4D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总结费用" sheetId="4" r:id="rId1"/>
    <sheet name="打样费用-合计10.12修改" sheetId="10" state="hidden" r:id="rId2"/>
    <sheet name="打样费用-20年打件数量" sheetId="2" r:id="rId3"/>
    <sheet name="打样费用-21年打件数量" sheetId="9" r:id="rId4"/>
    <sheet name="打样费用 (2)" sheetId="8" state="hidden" r:id="rId5"/>
    <sheet name="模具费用" sheetId="3" r:id="rId6"/>
    <sheet name="运费" sheetId="5" state="hidden" r:id="rId7"/>
    <sheet name="模具维修费" sheetId="6" r:id="rId8"/>
    <sheet name="Sheet1" sheetId="11" r:id="rId9"/>
    <sheet name="模具维修费 (线)" sheetId="7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2" hidden="1">'打样费用-20年打件数量'!$A$5:$AA$43</definedName>
    <definedName name="_xlnm._FilterDatabase" localSheetId="3" hidden="1">'打样费用-21年打件数量'!$A$5:$AA$43</definedName>
    <definedName name="_xlnm._FilterDatabase" localSheetId="1" hidden="1">'打样费用-合计10.12修改'!$A$5:$AE$43</definedName>
    <definedName name="_xlnm._FilterDatabase" localSheetId="7" hidden="1">模具维修费!$A$2:$L$168</definedName>
    <definedName name="_xlnm.Print_Area" localSheetId="4">'打样费用 (2)'!$A$1:$Q$42</definedName>
    <definedName name="_xlnm.Print_Area" localSheetId="2">'打样费用-20年打件数量'!$A$1:$X$43</definedName>
    <definedName name="_xlnm.Print_Area" localSheetId="3">'打样费用-21年打件数量'!$A$1:$X$43</definedName>
    <definedName name="_xlnm.Print_Area" localSheetId="1">'打样费用-合计10.12修改'!$A$1:$Y$43</definedName>
    <definedName name="_xlnm.Print_Area" localSheetId="5">模具费用!$A$1:$O$7</definedName>
    <definedName name="_xlnm.Print_Area" localSheetId="7">模具维修费!$A$1:$K$169</definedName>
    <definedName name="_xlnm.Print_Area" localSheetId="9">'模具维修费 (线)'!$A$1:$K$169</definedName>
    <definedName name="_xlnm.Print_Area" localSheetId="0">总结费用!$A$1:$G$11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  <c r="I7" i="3" l="1"/>
  <c r="X43" i="2"/>
  <c r="X43" i="9"/>
  <c r="I23" i="9"/>
  <c r="I24" i="9"/>
  <c r="I31" i="9"/>
  <c r="L7" i="3" l="1"/>
  <c r="K7" i="3"/>
  <c r="J7" i="3"/>
  <c r="T43" i="9" l="1"/>
  <c r="S43" i="9"/>
  <c r="T43" i="2"/>
  <c r="X7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U43" i="10"/>
  <c r="U12" i="10"/>
  <c r="U13" i="10"/>
  <c r="U26" i="10"/>
  <c r="U27" i="10"/>
  <c r="U29" i="10"/>
  <c r="U30" i="10"/>
  <c r="U31" i="10"/>
  <c r="U32" i="10"/>
  <c r="U33" i="10"/>
  <c r="U34" i="10"/>
  <c r="U35" i="10"/>
  <c r="U38" i="10"/>
  <c r="U39" i="10"/>
  <c r="U40" i="10"/>
  <c r="U41" i="10"/>
  <c r="U42" i="10"/>
  <c r="S43" i="2" l="1"/>
  <c r="M42" i="9" l="1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4" i="9"/>
  <c r="L24" i="9"/>
  <c r="M23" i="9"/>
  <c r="L23" i="9"/>
  <c r="M22" i="9"/>
  <c r="L22" i="9"/>
  <c r="M21" i="9"/>
  <c r="L21" i="9"/>
  <c r="M20" i="9"/>
  <c r="L20" i="9"/>
  <c r="M19" i="9"/>
  <c r="L19" i="9"/>
  <c r="M18" i="9"/>
  <c r="L18" i="9"/>
  <c r="M17" i="9"/>
  <c r="L17" i="9"/>
  <c r="M16" i="9"/>
  <c r="L16" i="9"/>
  <c r="M15" i="9"/>
  <c r="L15" i="9"/>
  <c r="M14" i="9"/>
  <c r="L14" i="9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E42" i="10"/>
  <c r="E40" i="10"/>
  <c r="E39" i="10"/>
  <c r="E38" i="10"/>
  <c r="E30" i="10"/>
  <c r="E29" i="10"/>
  <c r="E41" i="10"/>
  <c r="E34" i="2"/>
  <c r="E33" i="2"/>
  <c r="E32" i="2"/>
  <c r="E31" i="2"/>
  <c r="E26" i="2"/>
  <c r="E19" i="2"/>
  <c r="E18" i="2"/>
  <c r="E42" i="2"/>
  <c r="E40" i="2"/>
  <c r="E39" i="2"/>
  <c r="E38" i="2"/>
  <c r="E30" i="2"/>
  <c r="E29" i="2"/>
  <c r="E41" i="2"/>
  <c r="E37" i="2"/>
  <c r="E36" i="2"/>
  <c r="E35" i="2"/>
  <c r="E28" i="2"/>
  <c r="E27" i="2"/>
  <c r="E17" i="2"/>
  <c r="E16" i="2"/>
  <c r="E15" i="2"/>
  <c r="E14" i="2"/>
  <c r="E13" i="2"/>
  <c r="E12" i="2"/>
  <c r="E11" i="2"/>
  <c r="E10" i="2"/>
  <c r="E9" i="2"/>
  <c r="E8" i="2"/>
  <c r="E7" i="2"/>
  <c r="E6" i="2"/>
  <c r="E34" i="10"/>
  <c r="E33" i="10"/>
  <c r="E32" i="10"/>
  <c r="E31" i="10"/>
  <c r="E26" i="10"/>
  <c r="E19" i="10"/>
  <c r="E18" i="10"/>
  <c r="E37" i="10"/>
  <c r="E36" i="10"/>
  <c r="E35" i="10"/>
  <c r="E28" i="10"/>
  <c r="E27" i="10"/>
  <c r="E17" i="10"/>
  <c r="E16" i="10"/>
  <c r="E15" i="10"/>
  <c r="E14" i="10"/>
  <c r="E13" i="10"/>
  <c r="E12" i="10"/>
  <c r="E11" i="10"/>
  <c r="E10" i="10"/>
  <c r="E7" i="10"/>
  <c r="E8" i="10"/>
  <c r="E9" i="10"/>
  <c r="E6" i="10"/>
  <c r="F51" i="10"/>
  <c r="G43" i="10"/>
  <c r="AD42" i="10"/>
  <c r="AE42" i="10" s="1"/>
  <c r="W42" i="10"/>
  <c r="M42" i="10"/>
  <c r="L42" i="10"/>
  <c r="J42" i="10"/>
  <c r="AD41" i="10"/>
  <c r="AE41" i="10" s="1"/>
  <c r="W41" i="10"/>
  <c r="M41" i="10"/>
  <c r="L41" i="10"/>
  <c r="J41" i="10"/>
  <c r="K41" i="10" s="1"/>
  <c r="D41" i="10"/>
  <c r="AD40" i="10"/>
  <c r="AE40" i="10" s="1"/>
  <c r="W40" i="10"/>
  <c r="M40" i="10"/>
  <c r="L40" i="10"/>
  <c r="J40" i="10"/>
  <c r="D40" i="10"/>
  <c r="AD39" i="10"/>
  <c r="AE39" i="10" s="1"/>
  <c r="W39" i="10"/>
  <c r="M39" i="10"/>
  <c r="L39" i="10"/>
  <c r="J39" i="10"/>
  <c r="D39" i="10"/>
  <c r="AD38" i="10"/>
  <c r="AE38" i="10" s="1"/>
  <c r="W38" i="10"/>
  <c r="M38" i="10"/>
  <c r="L38" i="10"/>
  <c r="J38" i="10"/>
  <c r="K38" i="10" s="1"/>
  <c r="D38" i="10"/>
  <c r="AD37" i="10"/>
  <c r="AE37" i="10" s="1"/>
  <c r="W37" i="10"/>
  <c r="M37" i="10"/>
  <c r="L37" i="10"/>
  <c r="J37" i="10"/>
  <c r="D37" i="10"/>
  <c r="AD36" i="10"/>
  <c r="AE36" i="10" s="1"/>
  <c r="W36" i="10"/>
  <c r="M36" i="10"/>
  <c r="L36" i="10"/>
  <c r="J36" i="10"/>
  <c r="D36" i="10"/>
  <c r="AD35" i="10"/>
  <c r="AE35" i="10" s="1"/>
  <c r="W35" i="10"/>
  <c r="M35" i="10"/>
  <c r="L35" i="10"/>
  <c r="J35" i="10"/>
  <c r="D35" i="10"/>
  <c r="AD34" i="10"/>
  <c r="AE34" i="10" s="1"/>
  <c r="W34" i="10"/>
  <c r="M34" i="10"/>
  <c r="L34" i="10"/>
  <c r="J34" i="10"/>
  <c r="K34" i="10" s="1"/>
  <c r="D34" i="10"/>
  <c r="AD33" i="10"/>
  <c r="AE33" i="10" s="1"/>
  <c r="W33" i="10"/>
  <c r="M33" i="10"/>
  <c r="L33" i="10"/>
  <c r="J33" i="10"/>
  <c r="D33" i="10"/>
  <c r="AD32" i="10"/>
  <c r="AE32" i="10" s="1"/>
  <c r="W32" i="10"/>
  <c r="M32" i="10"/>
  <c r="L32" i="10"/>
  <c r="J32" i="10"/>
  <c r="D32" i="10"/>
  <c r="AD31" i="10"/>
  <c r="AE31" i="10" s="1"/>
  <c r="W31" i="10"/>
  <c r="M31" i="10"/>
  <c r="L31" i="10"/>
  <c r="J31" i="10"/>
  <c r="K31" i="10" s="1"/>
  <c r="D31" i="10"/>
  <c r="AD30" i="10"/>
  <c r="AE30" i="10" s="1"/>
  <c r="W30" i="10"/>
  <c r="M30" i="10"/>
  <c r="L30" i="10"/>
  <c r="J30" i="10"/>
  <c r="D30" i="10"/>
  <c r="AD29" i="10"/>
  <c r="AE29" i="10" s="1"/>
  <c r="W29" i="10"/>
  <c r="M29" i="10"/>
  <c r="L29" i="10"/>
  <c r="J29" i="10"/>
  <c r="D29" i="10"/>
  <c r="AD28" i="10"/>
  <c r="AE28" i="10" s="1"/>
  <c r="W28" i="10"/>
  <c r="M28" i="10"/>
  <c r="L28" i="10"/>
  <c r="J28" i="10"/>
  <c r="K28" i="10" s="1"/>
  <c r="AD27" i="10"/>
  <c r="AE27" i="10" s="1"/>
  <c r="W27" i="10"/>
  <c r="M27" i="10"/>
  <c r="L27" i="10"/>
  <c r="J27" i="10"/>
  <c r="K27" i="10" s="1"/>
  <c r="AD26" i="10"/>
  <c r="AE26" i="10" s="1"/>
  <c r="W26" i="10"/>
  <c r="M26" i="10"/>
  <c r="L26" i="10"/>
  <c r="J26" i="10"/>
  <c r="D26" i="10"/>
  <c r="AD25" i="10"/>
  <c r="AE25" i="10" s="1"/>
  <c r="W25" i="10"/>
  <c r="M25" i="10"/>
  <c r="L25" i="10"/>
  <c r="J25" i="10"/>
  <c r="K25" i="10" s="1"/>
  <c r="AD24" i="10"/>
  <c r="AE24" i="10" s="1"/>
  <c r="W24" i="10"/>
  <c r="M24" i="10"/>
  <c r="L24" i="10"/>
  <c r="J24" i="10"/>
  <c r="K24" i="10" s="1"/>
  <c r="AD23" i="10"/>
  <c r="AE23" i="10" s="1"/>
  <c r="W23" i="10"/>
  <c r="M23" i="10"/>
  <c r="L23" i="10"/>
  <c r="J23" i="10"/>
  <c r="K23" i="10" s="1"/>
  <c r="AD22" i="10"/>
  <c r="AE22" i="10" s="1"/>
  <c r="W22" i="10"/>
  <c r="M22" i="10"/>
  <c r="L22" i="10"/>
  <c r="J22" i="10"/>
  <c r="K22" i="10" s="1"/>
  <c r="D22" i="10"/>
  <c r="AD21" i="10"/>
  <c r="AE21" i="10" s="1"/>
  <c r="W21" i="10"/>
  <c r="M21" i="10"/>
  <c r="L21" i="10"/>
  <c r="J21" i="10"/>
  <c r="K21" i="10" s="1"/>
  <c r="D21" i="10"/>
  <c r="AD20" i="10"/>
  <c r="AE20" i="10" s="1"/>
  <c r="W20" i="10"/>
  <c r="M20" i="10"/>
  <c r="L20" i="10"/>
  <c r="J20" i="10"/>
  <c r="K20" i="10" s="1"/>
  <c r="D20" i="10"/>
  <c r="AD19" i="10"/>
  <c r="AE19" i="10" s="1"/>
  <c r="W19" i="10"/>
  <c r="M19" i="10"/>
  <c r="L19" i="10"/>
  <c r="J19" i="10"/>
  <c r="K19" i="10" s="1"/>
  <c r="D19" i="10"/>
  <c r="AD18" i="10"/>
  <c r="AE18" i="10" s="1"/>
  <c r="W18" i="10"/>
  <c r="M18" i="10"/>
  <c r="L18" i="10"/>
  <c r="J18" i="10"/>
  <c r="D18" i="10"/>
  <c r="AD17" i="10"/>
  <c r="AE17" i="10" s="1"/>
  <c r="W17" i="10"/>
  <c r="M17" i="10"/>
  <c r="L17" i="10"/>
  <c r="J17" i="10"/>
  <c r="AD16" i="10"/>
  <c r="AE16" i="10" s="1"/>
  <c r="W16" i="10"/>
  <c r="M16" i="10"/>
  <c r="L16" i="10"/>
  <c r="J16" i="10"/>
  <c r="K16" i="10" s="1"/>
  <c r="AD15" i="10"/>
  <c r="AE15" i="10" s="1"/>
  <c r="W15" i="10"/>
  <c r="M15" i="10"/>
  <c r="L15" i="10"/>
  <c r="J15" i="10"/>
  <c r="AD14" i="10"/>
  <c r="AE14" i="10" s="1"/>
  <c r="W14" i="10"/>
  <c r="M14" i="10"/>
  <c r="L14" i="10"/>
  <c r="J14" i="10"/>
  <c r="AD13" i="10"/>
  <c r="AE13" i="10" s="1"/>
  <c r="W13" i="10"/>
  <c r="M13" i="10"/>
  <c r="L13" i="10"/>
  <c r="J13" i="10"/>
  <c r="K13" i="10" s="1"/>
  <c r="AD12" i="10"/>
  <c r="AE12" i="10" s="1"/>
  <c r="W12" i="10"/>
  <c r="M12" i="10"/>
  <c r="L12" i="10"/>
  <c r="J12" i="10"/>
  <c r="AD11" i="10"/>
  <c r="AE11" i="10" s="1"/>
  <c r="W11" i="10"/>
  <c r="M11" i="10"/>
  <c r="L11" i="10"/>
  <c r="J11" i="10"/>
  <c r="K11" i="10" s="1"/>
  <c r="AD10" i="10"/>
  <c r="AE10" i="10" s="1"/>
  <c r="W10" i="10"/>
  <c r="M10" i="10"/>
  <c r="L10" i="10"/>
  <c r="J10" i="10"/>
  <c r="AD9" i="10"/>
  <c r="AE9" i="10" s="1"/>
  <c r="W9" i="10"/>
  <c r="M9" i="10"/>
  <c r="L9" i="10"/>
  <c r="J9" i="10"/>
  <c r="D9" i="10"/>
  <c r="AD8" i="10"/>
  <c r="AE8" i="10" s="1"/>
  <c r="W8" i="10"/>
  <c r="M8" i="10"/>
  <c r="L8" i="10"/>
  <c r="J8" i="10"/>
  <c r="K8" i="10" s="1"/>
  <c r="D8" i="10"/>
  <c r="AD7" i="10"/>
  <c r="AE7" i="10" s="1"/>
  <c r="W7" i="10"/>
  <c r="M7" i="10"/>
  <c r="L7" i="10"/>
  <c r="J7" i="10"/>
  <c r="D7" i="10"/>
  <c r="AD6" i="10"/>
  <c r="AE6" i="10" s="1"/>
  <c r="W6" i="10"/>
  <c r="X6" i="10" s="1"/>
  <c r="M6" i="10"/>
  <c r="L6" i="10"/>
  <c r="D6" i="10"/>
  <c r="N16" i="9" l="1"/>
  <c r="N24" i="9"/>
  <c r="N28" i="9"/>
  <c r="N36" i="9"/>
  <c r="N39" i="9"/>
  <c r="N21" i="9"/>
  <c r="N33" i="9"/>
  <c r="N37" i="9"/>
  <c r="N41" i="9"/>
  <c r="N11" i="9"/>
  <c r="N19" i="9"/>
  <c r="N27" i="9"/>
  <c r="N35" i="9"/>
  <c r="N38" i="9"/>
  <c r="K15" i="10"/>
  <c r="K18" i="10"/>
  <c r="K9" i="10"/>
  <c r="K30" i="10"/>
  <c r="K10" i="10"/>
  <c r="K7" i="10"/>
  <c r="T43" i="10"/>
  <c r="K26" i="10"/>
  <c r="K17" i="10"/>
  <c r="N20" i="9"/>
  <c r="N31" i="9"/>
  <c r="N12" i="9"/>
  <c r="N9" i="9"/>
  <c r="N13" i="9"/>
  <c r="N40" i="9"/>
  <c r="N6" i="9"/>
  <c r="N10" i="9"/>
  <c r="N14" i="9"/>
  <c r="N29" i="9"/>
  <c r="N22" i="9"/>
  <c r="N26" i="9"/>
  <c r="N34" i="9"/>
  <c r="N42" i="9"/>
  <c r="N15" i="9"/>
  <c r="N23" i="9"/>
  <c r="N30" i="9"/>
  <c r="N17" i="9"/>
  <c r="N7" i="9"/>
  <c r="N18" i="9"/>
  <c r="N25" i="9"/>
  <c r="N32" i="9"/>
  <c r="N8" i="9"/>
  <c r="K40" i="10"/>
  <c r="K42" i="10"/>
  <c r="K39" i="10"/>
  <c r="K29" i="10"/>
  <c r="N25" i="10"/>
  <c r="P25" i="10" s="1"/>
  <c r="Q25" i="10" s="1"/>
  <c r="R25" i="10" s="1"/>
  <c r="N41" i="10"/>
  <c r="P41" i="10" s="1"/>
  <c r="Q41" i="10" s="1"/>
  <c r="N7" i="10"/>
  <c r="P7" i="10" s="1"/>
  <c r="Q7" i="10" s="1"/>
  <c r="K33" i="10"/>
  <c r="K32" i="10"/>
  <c r="N18" i="10"/>
  <c r="P18" i="10" s="1"/>
  <c r="Q18" i="10" s="1"/>
  <c r="R18" i="10" s="1"/>
  <c r="K12" i="10"/>
  <c r="K36" i="10"/>
  <c r="K35" i="10"/>
  <c r="K37" i="10"/>
  <c r="K14" i="10"/>
  <c r="N8" i="10"/>
  <c r="P8" i="10" s="1"/>
  <c r="Q8" i="10" s="1"/>
  <c r="R8" i="10" s="1"/>
  <c r="N28" i="10"/>
  <c r="P28" i="10" s="1"/>
  <c r="Q28" i="10" s="1"/>
  <c r="R28" i="10" s="1"/>
  <c r="N6" i="10"/>
  <c r="P6" i="10" s="1"/>
  <c r="Q6" i="10" s="1"/>
  <c r="N36" i="10"/>
  <c r="P36" i="10" s="1"/>
  <c r="Q36" i="10" s="1"/>
  <c r="N19" i="10"/>
  <c r="P19" i="10" s="1"/>
  <c r="Q19" i="10" s="1"/>
  <c r="R19" i="10" s="1"/>
  <c r="N34" i="10"/>
  <c r="P34" i="10" s="1"/>
  <c r="Q34" i="10" s="1"/>
  <c r="R34" i="10" s="1"/>
  <c r="N39" i="10"/>
  <c r="P39" i="10" s="1"/>
  <c r="Q39" i="10" s="1"/>
  <c r="N14" i="10"/>
  <c r="P14" i="10" s="1"/>
  <c r="Q14" i="10" s="1"/>
  <c r="N17" i="10"/>
  <c r="P17" i="10" s="1"/>
  <c r="Q17" i="10" s="1"/>
  <c r="N23" i="10"/>
  <c r="P23" i="10" s="1"/>
  <c r="Q23" i="10" s="1"/>
  <c r="R23" i="10" s="1"/>
  <c r="N12" i="10"/>
  <c r="P12" i="10" s="1"/>
  <c r="Q12" i="10" s="1"/>
  <c r="N9" i="10"/>
  <c r="P9" i="10" s="1"/>
  <c r="Q9" i="10" s="1"/>
  <c r="R9" i="10" s="1"/>
  <c r="N16" i="10"/>
  <c r="P16" i="10" s="1"/>
  <c r="Q16" i="10" s="1"/>
  <c r="R16" i="10" s="1"/>
  <c r="N21" i="10"/>
  <c r="P21" i="10" s="1"/>
  <c r="Q21" i="10" s="1"/>
  <c r="R21" i="10" s="1"/>
  <c r="N22" i="10"/>
  <c r="P22" i="10" s="1"/>
  <c r="Q22" i="10" s="1"/>
  <c r="R22" i="10" s="1"/>
  <c r="N26" i="10"/>
  <c r="P26" i="10" s="1"/>
  <c r="Q26" i="10" s="1"/>
  <c r="N42" i="10"/>
  <c r="P42" i="10" s="1"/>
  <c r="Q42" i="10" s="1"/>
  <c r="N20" i="10"/>
  <c r="P20" i="10" s="1"/>
  <c r="Q20" i="10" s="1"/>
  <c r="R20" i="10" s="1"/>
  <c r="N31" i="10"/>
  <c r="P31" i="10" s="1"/>
  <c r="Q31" i="10" s="1"/>
  <c r="R31" i="10" s="1"/>
  <c r="N24" i="10"/>
  <c r="P24" i="10" s="1"/>
  <c r="Q24" i="10" s="1"/>
  <c r="R24" i="10" s="1"/>
  <c r="N27" i="10"/>
  <c r="P27" i="10" s="1"/>
  <c r="Q27" i="10" s="1"/>
  <c r="R27" i="10" s="1"/>
  <c r="N29" i="10"/>
  <c r="P29" i="10" s="1"/>
  <c r="Q29" i="10" s="1"/>
  <c r="N37" i="10"/>
  <c r="P37" i="10" s="1"/>
  <c r="Q37" i="10" s="1"/>
  <c r="N30" i="10"/>
  <c r="P30" i="10" s="1"/>
  <c r="Q30" i="10" s="1"/>
  <c r="R30" i="10" s="1"/>
  <c r="N38" i="10"/>
  <c r="P38" i="10" s="1"/>
  <c r="Q38" i="10" s="1"/>
  <c r="R38" i="10" s="1"/>
  <c r="W43" i="10"/>
  <c r="N15" i="10"/>
  <c r="P15" i="10" s="1"/>
  <c r="Q15" i="10" s="1"/>
  <c r="N13" i="10"/>
  <c r="P13" i="10" s="1"/>
  <c r="Q13" i="10" s="1"/>
  <c r="R13" i="10" s="1"/>
  <c r="N32" i="10"/>
  <c r="P32" i="10" s="1"/>
  <c r="Q32" i="10" s="1"/>
  <c r="N40" i="10"/>
  <c r="P40" i="10" s="1"/>
  <c r="Q40" i="10" s="1"/>
  <c r="R41" i="10"/>
  <c r="N33" i="10"/>
  <c r="P33" i="10" s="1"/>
  <c r="Q33" i="10" s="1"/>
  <c r="F43" i="10"/>
  <c r="N10" i="10"/>
  <c r="P10" i="10" s="1"/>
  <c r="Q10" i="10" s="1"/>
  <c r="R10" i="10" s="1"/>
  <c r="Y10" i="10" s="1"/>
  <c r="N11" i="10"/>
  <c r="P11" i="10" s="1"/>
  <c r="Q11" i="10" s="1"/>
  <c r="R11" i="10" s="1"/>
  <c r="N35" i="10"/>
  <c r="P35" i="10" s="1"/>
  <c r="Q35" i="10" s="1"/>
  <c r="J6" i="10"/>
  <c r="J43" i="10" s="1"/>
  <c r="R7" i="10" l="1"/>
  <c r="Y7" i="10" s="1"/>
  <c r="R32" i="10"/>
  <c r="R17" i="10"/>
  <c r="R15" i="10"/>
  <c r="Y15" i="10" s="1"/>
  <c r="R26" i="10"/>
  <c r="Y26" i="10" s="1"/>
  <c r="Y18" i="10"/>
  <c r="R14" i="10"/>
  <c r="Y14" i="10" s="1"/>
  <c r="R42" i="10"/>
  <c r="Y42" i="10" s="1"/>
  <c r="R40" i="10"/>
  <c r="Y40" i="10" s="1"/>
  <c r="R39" i="10"/>
  <c r="Y39" i="10" s="1"/>
  <c r="R29" i="10"/>
  <c r="Y29" i="10" s="1"/>
  <c r="Y23" i="10"/>
  <c r="Y31" i="10"/>
  <c r="Y41" i="10"/>
  <c r="Y32" i="10"/>
  <c r="Y19" i="10"/>
  <c r="Y11" i="10"/>
  <c r="Y24" i="10"/>
  <c r="Y34" i="10"/>
  <c r="Y25" i="10"/>
  <c r="R33" i="10"/>
  <c r="Y33" i="10" s="1"/>
  <c r="Y30" i="10"/>
  <c r="Y20" i="10"/>
  <c r="Y38" i="10"/>
  <c r="Y22" i="10"/>
  <c r="Y8" i="10"/>
  <c r="R12" i="10"/>
  <c r="Y12" i="10" s="1"/>
  <c r="Y28" i="10"/>
  <c r="R35" i="10"/>
  <c r="Y35" i="10" s="1"/>
  <c r="R36" i="10"/>
  <c r="Y36" i="10" s="1"/>
  <c r="R37" i="10"/>
  <c r="Y37" i="10" s="1"/>
  <c r="Y17" i="10"/>
  <c r="Y21" i="10"/>
  <c r="Y13" i="10"/>
  <c r="Q43" i="10"/>
  <c r="Y16" i="10"/>
  <c r="Y27" i="10"/>
  <c r="Y9" i="10"/>
  <c r="K6" i="10"/>
  <c r="X43" i="10"/>
  <c r="R6" i="10" l="1"/>
  <c r="K43" i="10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6" i="2"/>
  <c r="L7" i="2"/>
  <c r="N7" i="2" s="1"/>
  <c r="P7" i="2" s="1"/>
  <c r="Q7" i="2" s="1"/>
  <c r="L8" i="2"/>
  <c r="L9" i="2"/>
  <c r="L10" i="2"/>
  <c r="L11" i="2"/>
  <c r="L12" i="2"/>
  <c r="L13" i="2"/>
  <c r="L14" i="2"/>
  <c r="L15" i="2"/>
  <c r="N15" i="2" s="1"/>
  <c r="P15" i="2" s="1"/>
  <c r="Q15" i="2" s="1"/>
  <c r="L16" i="2"/>
  <c r="L17" i="2"/>
  <c r="L18" i="2"/>
  <c r="L19" i="2"/>
  <c r="L20" i="2"/>
  <c r="L21" i="2"/>
  <c r="L22" i="2"/>
  <c r="L23" i="2"/>
  <c r="N23" i="2" s="1"/>
  <c r="P23" i="2" s="1"/>
  <c r="Q23" i="2" s="1"/>
  <c r="L24" i="2"/>
  <c r="L25" i="2"/>
  <c r="L26" i="2"/>
  <c r="L27" i="2"/>
  <c r="L28" i="2"/>
  <c r="L29" i="2"/>
  <c r="L30" i="2"/>
  <c r="L31" i="2"/>
  <c r="N31" i="2" s="1"/>
  <c r="P31" i="2" s="1"/>
  <c r="Q31" i="2" s="1"/>
  <c r="L32" i="2"/>
  <c r="L33" i="2"/>
  <c r="L34" i="2"/>
  <c r="L35" i="2"/>
  <c r="L36" i="2"/>
  <c r="L37" i="2"/>
  <c r="L38" i="2"/>
  <c r="L39" i="2"/>
  <c r="N39" i="2" s="1"/>
  <c r="P39" i="2" s="1"/>
  <c r="Q39" i="2" s="1"/>
  <c r="L40" i="2"/>
  <c r="L41" i="2"/>
  <c r="L42" i="2"/>
  <c r="L6" i="2"/>
  <c r="F7" i="9"/>
  <c r="J7" i="9" s="1"/>
  <c r="K7" i="9" s="1"/>
  <c r="F8" i="9"/>
  <c r="J8" i="9" s="1"/>
  <c r="K8" i="9" s="1"/>
  <c r="F9" i="9"/>
  <c r="F10" i="9"/>
  <c r="J10" i="9" s="1"/>
  <c r="K10" i="9" s="1"/>
  <c r="F11" i="9"/>
  <c r="J11" i="9" s="1"/>
  <c r="K11" i="9" s="1"/>
  <c r="F12" i="9"/>
  <c r="J12" i="9" s="1"/>
  <c r="K12" i="9" s="1"/>
  <c r="F13" i="9"/>
  <c r="J13" i="9" s="1"/>
  <c r="K13" i="9" s="1"/>
  <c r="F14" i="9"/>
  <c r="J14" i="9" s="1"/>
  <c r="K14" i="9" s="1"/>
  <c r="F15" i="9"/>
  <c r="F16" i="9"/>
  <c r="J16" i="9" s="1"/>
  <c r="K16" i="9" s="1"/>
  <c r="F17" i="9"/>
  <c r="F18" i="9"/>
  <c r="J18" i="9" s="1"/>
  <c r="K18" i="9" s="1"/>
  <c r="F19" i="9"/>
  <c r="J19" i="9" s="1"/>
  <c r="K19" i="9" s="1"/>
  <c r="F20" i="9"/>
  <c r="J20" i="9" s="1"/>
  <c r="K20" i="9" s="1"/>
  <c r="F21" i="9"/>
  <c r="J21" i="9" s="1"/>
  <c r="K21" i="9" s="1"/>
  <c r="F22" i="9"/>
  <c r="J22" i="9" s="1"/>
  <c r="K22" i="9" s="1"/>
  <c r="F23" i="9"/>
  <c r="F24" i="9"/>
  <c r="J24" i="9" s="1"/>
  <c r="K24" i="9" s="1"/>
  <c r="F25" i="9"/>
  <c r="F26" i="9"/>
  <c r="J26" i="9" s="1"/>
  <c r="K26" i="9" s="1"/>
  <c r="F27" i="9"/>
  <c r="J27" i="9" s="1"/>
  <c r="K27" i="9" s="1"/>
  <c r="F28" i="9"/>
  <c r="J28" i="9" s="1"/>
  <c r="K28" i="9" s="1"/>
  <c r="F29" i="9"/>
  <c r="J29" i="9" s="1"/>
  <c r="K29" i="9" s="1"/>
  <c r="F30" i="9"/>
  <c r="J30" i="9" s="1"/>
  <c r="K30" i="9" s="1"/>
  <c r="F31" i="9"/>
  <c r="F32" i="9"/>
  <c r="J32" i="9" s="1"/>
  <c r="K32" i="9" s="1"/>
  <c r="F33" i="9"/>
  <c r="F34" i="9"/>
  <c r="J34" i="9" s="1"/>
  <c r="K34" i="9" s="1"/>
  <c r="F35" i="9"/>
  <c r="J35" i="9" s="1"/>
  <c r="K35" i="9" s="1"/>
  <c r="F36" i="9"/>
  <c r="J36" i="9" s="1"/>
  <c r="K36" i="9" s="1"/>
  <c r="F37" i="9"/>
  <c r="J37" i="9" s="1"/>
  <c r="K37" i="9" s="1"/>
  <c r="F38" i="9"/>
  <c r="J38" i="9" s="1"/>
  <c r="K38" i="9" s="1"/>
  <c r="F39" i="9"/>
  <c r="J39" i="9" s="1"/>
  <c r="K39" i="9" s="1"/>
  <c r="F40" i="9"/>
  <c r="J40" i="9" s="1"/>
  <c r="K40" i="9" s="1"/>
  <c r="F41" i="9"/>
  <c r="F42" i="9"/>
  <c r="J42" i="9" s="1"/>
  <c r="K42" i="9" s="1"/>
  <c r="F6" i="9"/>
  <c r="J6" i="9" s="1"/>
  <c r="K6" i="9" s="1"/>
  <c r="F51" i="2"/>
  <c r="F7" i="2"/>
  <c r="J7" i="2" s="1"/>
  <c r="K7" i="2" s="1"/>
  <c r="F8" i="2"/>
  <c r="J8" i="2" s="1"/>
  <c r="K8" i="2" s="1"/>
  <c r="F9" i="2"/>
  <c r="J9" i="2" s="1"/>
  <c r="K9" i="2" s="1"/>
  <c r="F10" i="2"/>
  <c r="J10" i="2" s="1"/>
  <c r="K10" i="2" s="1"/>
  <c r="F11" i="2"/>
  <c r="J11" i="2" s="1"/>
  <c r="K11" i="2" s="1"/>
  <c r="F12" i="2"/>
  <c r="J12" i="2" s="1"/>
  <c r="K12" i="2" s="1"/>
  <c r="F13" i="2"/>
  <c r="J13" i="2" s="1"/>
  <c r="K13" i="2" s="1"/>
  <c r="F14" i="2"/>
  <c r="J14" i="2" s="1"/>
  <c r="K14" i="2" s="1"/>
  <c r="F15" i="2"/>
  <c r="J15" i="2" s="1"/>
  <c r="K15" i="2" s="1"/>
  <c r="F16" i="2"/>
  <c r="J16" i="2" s="1"/>
  <c r="K16" i="2" s="1"/>
  <c r="F17" i="2"/>
  <c r="J17" i="2" s="1"/>
  <c r="K17" i="2" s="1"/>
  <c r="F18" i="2"/>
  <c r="J18" i="2" s="1"/>
  <c r="K18" i="2" s="1"/>
  <c r="F19" i="2"/>
  <c r="J19" i="2" s="1"/>
  <c r="K19" i="2" s="1"/>
  <c r="F20" i="2"/>
  <c r="J20" i="2" s="1"/>
  <c r="K20" i="2" s="1"/>
  <c r="F21" i="2"/>
  <c r="J21" i="2" s="1"/>
  <c r="K21" i="2" s="1"/>
  <c r="F22" i="2"/>
  <c r="J22" i="2" s="1"/>
  <c r="K22" i="2" s="1"/>
  <c r="F23" i="2"/>
  <c r="J23" i="2" s="1"/>
  <c r="K23" i="2" s="1"/>
  <c r="F24" i="2"/>
  <c r="J24" i="2" s="1"/>
  <c r="K24" i="2" s="1"/>
  <c r="F25" i="2"/>
  <c r="J25" i="2" s="1"/>
  <c r="K25" i="2" s="1"/>
  <c r="F26" i="2"/>
  <c r="J26" i="2" s="1"/>
  <c r="K26" i="2" s="1"/>
  <c r="F27" i="2"/>
  <c r="J27" i="2" s="1"/>
  <c r="K27" i="2" s="1"/>
  <c r="F28" i="2"/>
  <c r="J28" i="2" s="1"/>
  <c r="K28" i="2" s="1"/>
  <c r="F29" i="2"/>
  <c r="J29" i="2" s="1"/>
  <c r="K29" i="2" s="1"/>
  <c r="F30" i="2"/>
  <c r="J30" i="2" s="1"/>
  <c r="K30" i="2" s="1"/>
  <c r="F31" i="2"/>
  <c r="J31" i="2" s="1"/>
  <c r="K31" i="2" s="1"/>
  <c r="F32" i="2"/>
  <c r="J32" i="2" s="1"/>
  <c r="K32" i="2" s="1"/>
  <c r="F33" i="2"/>
  <c r="F34" i="2"/>
  <c r="J34" i="2" s="1"/>
  <c r="K34" i="2" s="1"/>
  <c r="F35" i="2"/>
  <c r="J35" i="2" s="1"/>
  <c r="K35" i="2" s="1"/>
  <c r="F36" i="2"/>
  <c r="J36" i="2" s="1"/>
  <c r="K36" i="2" s="1"/>
  <c r="F37" i="2"/>
  <c r="J37" i="2" s="1"/>
  <c r="K37" i="2" s="1"/>
  <c r="F38" i="2"/>
  <c r="J38" i="2" s="1"/>
  <c r="K38" i="2" s="1"/>
  <c r="F39" i="2"/>
  <c r="J39" i="2" s="1"/>
  <c r="K39" i="2" s="1"/>
  <c r="F40" i="2"/>
  <c r="J40" i="2" s="1"/>
  <c r="K40" i="2" s="1"/>
  <c r="F41" i="2"/>
  <c r="J41" i="2" s="1"/>
  <c r="K41" i="2" s="1"/>
  <c r="F42" i="2"/>
  <c r="J42" i="2" s="1"/>
  <c r="K42" i="2" s="1"/>
  <c r="F6" i="2"/>
  <c r="G43" i="9"/>
  <c r="Q43" i="9" s="1"/>
  <c r="V42" i="9"/>
  <c r="P42" i="9"/>
  <c r="Q42" i="9" s="1"/>
  <c r="V41" i="9"/>
  <c r="P41" i="9"/>
  <c r="Q41" i="9" s="1"/>
  <c r="J41" i="9"/>
  <c r="K41" i="9" s="1"/>
  <c r="D41" i="9"/>
  <c r="V40" i="9"/>
  <c r="P40" i="9"/>
  <c r="Q40" i="9" s="1"/>
  <c r="D40" i="9"/>
  <c r="V39" i="9"/>
  <c r="P39" i="9"/>
  <c r="Q39" i="9" s="1"/>
  <c r="D39" i="9"/>
  <c r="V38" i="9"/>
  <c r="P38" i="9"/>
  <c r="Q38" i="9" s="1"/>
  <c r="D38" i="9"/>
  <c r="V37" i="9"/>
  <c r="P37" i="9"/>
  <c r="Q37" i="9" s="1"/>
  <c r="D37" i="9"/>
  <c r="V36" i="9"/>
  <c r="P36" i="9"/>
  <c r="Q36" i="9" s="1"/>
  <c r="D36" i="9"/>
  <c r="V35" i="9"/>
  <c r="P35" i="9"/>
  <c r="Q35" i="9" s="1"/>
  <c r="D35" i="9"/>
  <c r="V34" i="9"/>
  <c r="P34" i="9"/>
  <c r="Q34" i="9" s="1"/>
  <c r="D34" i="9"/>
  <c r="V33" i="9"/>
  <c r="P33" i="9"/>
  <c r="Q33" i="9" s="1"/>
  <c r="I33" i="9"/>
  <c r="D33" i="9"/>
  <c r="V32" i="9"/>
  <c r="P32" i="9"/>
  <c r="Q32" i="9" s="1"/>
  <c r="D32" i="9"/>
  <c r="V31" i="9"/>
  <c r="P31" i="9"/>
  <c r="Q31" i="9" s="1"/>
  <c r="J31" i="9"/>
  <c r="K31" i="9" s="1"/>
  <c r="D31" i="9"/>
  <c r="V30" i="9"/>
  <c r="P30" i="9"/>
  <c r="Q30" i="9" s="1"/>
  <c r="D30" i="9"/>
  <c r="V29" i="9"/>
  <c r="P29" i="9"/>
  <c r="Q29" i="9" s="1"/>
  <c r="D29" i="9"/>
  <c r="V28" i="9"/>
  <c r="P28" i="9"/>
  <c r="Q28" i="9" s="1"/>
  <c r="V27" i="9"/>
  <c r="P27" i="9"/>
  <c r="Q27" i="9" s="1"/>
  <c r="V26" i="9"/>
  <c r="P26" i="9"/>
  <c r="Q26" i="9" s="1"/>
  <c r="D26" i="9"/>
  <c r="V25" i="9"/>
  <c r="P25" i="9"/>
  <c r="Q25" i="9" s="1"/>
  <c r="J25" i="9"/>
  <c r="K25" i="9" s="1"/>
  <c r="V24" i="9"/>
  <c r="P24" i="9"/>
  <c r="Q24" i="9" s="1"/>
  <c r="V23" i="9"/>
  <c r="P23" i="9"/>
  <c r="Q23" i="9" s="1"/>
  <c r="J23" i="9"/>
  <c r="K23" i="9" s="1"/>
  <c r="V22" i="9"/>
  <c r="P22" i="9"/>
  <c r="Q22" i="9" s="1"/>
  <c r="D22" i="9"/>
  <c r="V21" i="9"/>
  <c r="W21" i="9" s="1"/>
  <c r="P21" i="9"/>
  <c r="Q21" i="9" s="1"/>
  <c r="D21" i="9"/>
  <c r="V20" i="9"/>
  <c r="P20" i="9"/>
  <c r="Q20" i="9" s="1"/>
  <c r="D20" i="9"/>
  <c r="V19" i="9"/>
  <c r="P19" i="9"/>
  <c r="Q19" i="9" s="1"/>
  <c r="D19" i="9"/>
  <c r="V18" i="9"/>
  <c r="P18" i="9"/>
  <c r="Q18" i="9" s="1"/>
  <c r="D18" i="9"/>
  <c r="V17" i="9"/>
  <c r="P17" i="9"/>
  <c r="Q17" i="9" s="1"/>
  <c r="J17" i="9"/>
  <c r="K17" i="9" s="1"/>
  <c r="V16" i="9"/>
  <c r="P16" i="9"/>
  <c r="Q16" i="9" s="1"/>
  <c r="V15" i="9"/>
  <c r="P15" i="9"/>
  <c r="Q15" i="9" s="1"/>
  <c r="J15" i="9"/>
  <c r="K15" i="9" s="1"/>
  <c r="V14" i="9"/>
  <c r="P14" i="9"/>
  <c r="Q14" i="9" s="1"/>
  <c r="V13" i="9"/>
  <c r="P13" i="9"/>
  <c r="Q13" i="9" s="1"/>
  <c r="V12" i="9"/>
  <c r="P12" i="9"/>
  <c r="Q12" i="9" s="1"/>
  <c r="V11" i="9"/>
  <c r="P11" i="9"/>
  <c r="Q11" i="9" s="1"/>
  <c r="V10" i="9"/>
  <c r="P10" i="9"/>
  <c r="Q10" i="9" s="1"/>
  <c r="V9" i="9"/>
  <c r="W9" i="9" s="1"/>
  <c r="P9" i="9"/>
  <c r="Q9" i="9" s="1"/>
  <c r="J9" i="9"/>
  <c r="K9" i="9" s="1"/>
  <c r="D9" i="9"/>
  <c r="V8" i="9"/>
  <c r="P8" i="9"/>
  <c r="Q8" i="9" s="1"/>
  <c r="D8" i="9"/>
  <c r="V7" i="9"/>
  <c r="P7" i="9"/>
  <c r="Q7" i="9" s="1"/>
  <c r="D7" i="9"/>
  <c r="V6" i="9"/>
  <c r="P6" i="9"/>
  <c r="Q6" i="9" s="1"/>
  <c r="D6" i="9"/>
  <c r="G43" i="2"/>
  <c r="V33" i="2"/>
  <c r="G7" i="3"/>
  <c r="V6" i="2"/>
  <c r="P41" i="8"/>
  <c r="L41" i="8"/>
  <c r="M41" i="8" s="1"/>
  <c r="I41" i="8"/>
  <c r="J41" i="8" s="1"/>
  <c r="K41" i="8" s="1"/>
  <c r="P40" i="8"/>
  <c r="L40" i="8"/>
  <c r="M40" i="8" s="1"/>
  <c r="I40" i="8"/>
  <c r="J40" i="8" s="1"/>
  <c r="K40" i="8" s="1"/>
  <c r="D40" i="8"/>
  <c r="P39" i="8"/>
  <c r="L39" i="8"/>
  <c r="M39" i="8" s="1"/>
  <c r="I39" i="8"/>
  <c r="J39" i="8" s="1"/>
  <c r="K39" i="8" s="1"/>
  <c r="D39" i="8"/>
  <c r="P38" i="8"/>
  <c r="L38" i="8"/>
  <c r="I38" i="8"/>
  <c r="D38" i="8"/>
  <c r="P37" i="8"/>
  <c r="L37" i="8"/>
  <c r="I37" i="8"/>
  <c r="D37" i="8"/>
  <c r="P36" i="8"/>
  <c r="L36" i="8"/>
  <c r="M36" i="8" s="1"/>
  <c r="J36" i="8"/>
  <c r="K36" i="8" s="1"/>
  <c r="I36" i="8"/>
  <c r="D36" i="8"/>
  <c r="P35" i="8"/>
  <c r="L35" i="8"/>
  <c r="M35" i="8" s="1"/>
  <c r="I35" i="8"/>
  <c r="J35" i="8" s="1"/>
  <c r="K35" i="8" s="1"/>
  <c r="D35" i="8"/>
  <c r="P34" i="8"/>
  <c r="L34" i="8"/>
  <c r="M34" i="8" s="1"/>
  <c r="J34" i="8"/>
  <c r="K34" i="8" s="1"/>
  <c r="I34" i="8"/>
  <c r="D34" i="8"/>
  <c r="P33" i="8"/>
  <c r="L33" i="8"/>
  <c r="M33" i="8" s="1"/>
  <c r="K33" i="8"/>
  <c r="J33" i="8"/>
  <c r="I33" i="8"/>
  <c r="D33" i="8"/>
  <c r="P32" i="8"/>
  <c r="L32" i="8"/>
  <c r="M32" i="8" s="1"/>
  <c r="I32" i="8"/>
  <c r="J32" i="8" s="1"/>
  <c r="K32" i="8" s="1"/>
  <c r="D32" i="8"/>
  <c r="P31" i="8"/>
  <c r="L31" i="8"/>
  <c r="M31" i="8" s="1"/>
  <c r="I31" i="8"/>
  <c r="J31" i="8" s="1"/>
  <c r="K31" i="8" s="1"/>
  <c r="D31" i="8"/>
  <c r="P30" i="8"/>
  <c r="L30" i="8"/>
  <c r="I30" i="8"/>
  <c r="D30" i="8"/>
  <c r="P29" i="8"/>
  <c r="L29" i="8"/>
  <c r="I29" i="8"/>
  <c r="D29" i="8"/>
  <c r="P28" i="8"/>
  <c r="L28" i="8"/>
  <c r="M28" i="8" s="1"/>
  <c r="J28" i="8"/>
  <c r="K28" i="8" s="1"/>
  <c r="I28" i="8"/>
  <c r="D28" i="8"/>
  <c r="P27" i="8"/>
  <c r="L27" i="8"/>
  <c r="M27" i="8" s="1"/>
  <c r="I27" i="8"/>
  <c r="J27" i="8" s="1"/>
  <c r="K27" i="8" s="1"/>
  <c r="P26" i="8"/>
  <c r="L26" i="8"/>
  <c r="M26" i="8" s="1"/>
  <c r="I26" i="8"/>
  <c r="J26" i="8" s="1"/>
  <c r="K26" i="8" s="1"/>
  <c r="P25" i="8"/>
  <c r="L25" i="8"/>
  <c r="M25" i="8" s="1"/>
  <c r="I25" i="8"/>
  <c r="J25" i="8" s="1"/>
  <c r="K25" i="8" s="1"/>
  <c r="D25" i="8"/>
  <c r="P24" i="8"/>
  <c r="L24" i="8"/>
  <c r="M24" i="8" s="1"/>
  <c r="J24" i="8"/>
  <c r="K24" i="8" s="1"/>
  <c r="I24" i="8"/>
  <c r="P23" i="8"/>
  <c r="L23" i="8"/>
  <c r="M23" i="8" s="1"/>
  <c r="J23" i="8"/>
  <c r="K23" i="8" s="1"/>
  <c r="I23" i="8"/>
  <c r="P22" i="8"/>
  <c r="L22" i="8"/>
  <c r="M22" i="8" s="1"/>
  <c r="J22" i="8"/>
  <c r="K22" i="8" s="1"/>
  <c r="I22" i="8"/>
  <c r="P21" i="8"/>
  <c r="L21" i="8"/>
  <c r="M21" i="8" s="1"/>
  <c r="J21" i="8"/>
  <c r="K21" i="8" s="1"/>
  <c r="I21" i="8"/>
  <c r="D21" i="8"/>
  <c r="P20" i="8"/>
  <c r="L20" i="8"/>
  <c r="M20" i="8" s="1"/>
  <c r="N20" i="8" s="1"/>
  <c r="K20" i="8"/>
  <c r="J20" i="8"/>
  <c r="I20" i="8"/>
  <c r="D20" i="8"/>
  <c r="P19" i="8"/>
  <c r="L19" i="8"/>
  <c r="M19" i="8" s="1"/>
  <c r="N19" i="8" s="1"/>
  <c r="K19" i="8"/>
  <c r="J19" i="8"/>
  <c r="I19" i="8"/>
  <c r="D19" i="8"/>
  <c r="P18" i="8"/>
  <c r="L18" i="8"/>
  <c r="M18" i="8" s="1"/>
  <c r="I18" i="8"/>
  <c r="J18" i="8" s="1"/>
  <c r="K18" i="8" s="1"/>
  <c r="D18" i="8"/>
  <c r="P17" i="8"/>
  <c r="L17" i="8"/>
  <c r="M17" i="8" s="1"/>
  <c r="I17" i="8"/>
  <c r="J17" i="8" s="1"/>
  <c r="K17" i="8" s="1"/>
  <c r="D17" i="8"/>
  <c r="P16" i="8"/>
  <c r="L16" i="8"/>
  <c r="I16" i="8"/>
  <c r="P15" i="8"/>
  <c r="L15" i="8"/>
  <c r="M15" i="8" s="1"/>
  <c r="I15" i="8"/>
  <c r="J15" i="8" s="1"/>
  <c r="K15" i="8" s="1"/>
  <c r="P14" i="8"/>
  <c r="L14" i="8"/>
  <c r="M14" i="8" s="1"/>
  <c r="I14" i="8"/>
  <c r="J14" i="8" s="1"/>
  <c r="K14" i="8" s="1"/>
  <c r="P13" i="8"/>
  <c r="L13" i="8"/>
  <c r="M13" i="8" s="1"/>
  <c r="I13" i="8"/>
  <c r="J13" i="8" s="1"/>
  <c r="K13" i="8" s="1"/>
  <c r="P12" i="8"/>
  <c r="L12" i="8"/>
  <c r="M12" i="8" s="1"/>
  <c r="I12" i="8"/>
  <c r="J12" i="8" s="1"/>
  <c r="K12" i="8" s="1"/>
  <c r="P11" i="8"/>
  <c r="L11" i="8"/>
  <c r="M11" i="8" s="1"/>
  <c r="I11" i="8"/>
  <c r="J11" i="8" s="1"/>
  <c r="K11" i="8" s="1"/>
  <c r="P10" i="8"/>
  <c r="L10" i="8"/>
  <c r="M10" i="8" s="1"/>
  <c r="I10" i="8"/>
  <c r="J10" i="8" s="1"/>
  <c r="K10" i="8" s="1"/>
  <c r="P9" i="8"/>
  <c r="L9" i="8"/>
  <c r="M9" i="8" s="1"/>
  <c r="I9" i="8"/>
  <c r="J9" i="8" s="1"/>
  <c r="K9" i="8" s="1"/>
  <c r="P8" i="8"/>
  <c r="L8" i="8"/>
  <c r="M8" i="8" s="1"/>
  <c r="I8" i="8"/>
  <c r="J8" i="8" s="1"/>
  <c r="K8" i="8" s="1"/>
  <c r="D8" i="8"/>
  <c r="P7" i="8"/>
  <c r="L7" i="8"/>
  <c r="M7" i="8" s="1"/>
  <c r="J7" i="8"/>
  <c r="K7" i="8" s="1"/>
  <c r="I7" i="8"/>
  <c r="D7" i="8"/>
  <c r="P6" i="8"/>
  <c r="L6" i="8"/>
  <c r="M6" i="8" s="1"/>
  <c r="I6" i="8"/>
  <c r="J6" i="8" s="1"/>
  <c r="K6" i="8" s="1"/>
  <c r="D6" i="8"/>
  <c r="P5" i="8"/>
  <c r="P42" i="8" s="1"/>
  <c r="L5" i="8"/>
  <c r="M5" i="8" s="1"/>
  <c r="J5" i="8"/>
  <c r="K5" i="8" s="1"/>
  <c r="I5" i="8"/>
  <c r="D5" i="8"/>
  <c r="M38" i="8" l="1"/>
  <c r="N20" i="2"/>
  <c r="P20" i="2" s="1"/>
  <c r="Q20" i="2" s="1"/>
  <c r="N36" i="2"/>
  <c r="P36" i="2" s="1"/>
  <c r="Q36" i="2" s="1"/>
  <c r="N28" i="2"/>
  <c r="P28" i="2" s="1"/>
  <c r="Q28" i="2" s="1"/>
  <c r="N12" i="2"/>
  <c r="P12" i="2" s="1"/>
  <c r="Q12" i="2" s="1"/>
  <c r="N8" i="8"/>
  <c r="M16" i="8"/>
  <c r="N12" i="8"/>
  <c r="Q12" i="8" s="1"/>
  <c r="N17" i="8"/>
  <c r="Q17" i="8" s="1"/>
  <c r="W17" i="9"/>
  <c r="W25" i="9"/>
  <c r="W33" i="9"/>
  <c r="W39" i="9"/>
  <c r="W41" i="9"/>
  <c r="J33" i="9"/>
  <c r="K33" i="9" s="1"/>
  <c r="K43" i="9" s="1"/>
  <c r="N40" i="2"/>
  <c r="P40" i="2" s="1"/>
  <c r="Q40" i="2" s="1"/>
  <c r="N32" i="2"/>
  <c r="P32" i="2" s="1"/>
  <c r="Q32" i="2" s="1"/>
  <c r="N24" i="2"/>
  <c r="P24" i="2" s="1"/>
  <c r="Q24" i="2" s="1"/>
  <c r="N16" i="2"/>
  <c r="P16" i="2" s="1"/>
  <c r="Q16" i="2" s="1"/>
  <c r="N8" i="2"/>
  <c r="P8" i="2" s="1"/>
  <c r="Q8" i="2" s="1"/>
  <c r="N37" i="2"/>
  <c r="P37" i="2" s="1"/>
  <c r="Q37" i="2" s="1"/>
  <c r="N29" i="2"/>
  <c r="P29" i="2" s="1"/>
  <c r="Q29" i="2" s="1"/>
  <c r="N21" i="2"/>
  <c r="P21" i="2" s="1"/>
  <c r="Q21" i="2" s="1"/>
  <c r="N13" i="2"/>
  <c r="P13" i="2" s="1"/>
  <c r="Q13" i="2" s="1"/>
  <c r="N6" i="2"/>
  <c r="P6" i="2" s="1"/>
  <c r="Q6" i="2" s="1"/>
  <c r="N35" i="2"/>
  <c r="P35" i="2" s="1"/>
  <c r="Q35" i="2" s="1"/>
  <c r="N27" i="2"/>
  <c r="P27" i="2" s="1"/>
  <c r="Q27" i="2" s="1"/>
  <c r="N19" i="2"/>
  <c r="P19" i="2" s="1"/>
  <c r="Q19" i="2" s="1"/>
  <c r="N11" i="2"/>
  <c r="P11" i="2" s="1"/>
  <c r="Q11" i="2" s="1"/>
  <c r="R43" i="10"/>
  <c r="Y6" i="10"/>
  <c r="Y43" i="10" s="1"/>
  <c r="N41" i="2"/>
  <c r="P41" i="2" s="1"/>
  <c r="Q41" i="2" s="1"/>
  <c r="N33" i="2"/>
  <c r="P33" i="2" s="1"/>
  <c r="Q33" i="2" s="1"/>
  <c r="N25" i="2"/>
  <c r="P25" i="2" s="1"/>
  <c r="Q25" i="2" s="1"/>
  <c r="N17" i="2"/>
  <c r="P17" i="2" s="1"/>
  <c r="Q17" i="2" s="1"/>
  <c r="N9" i="2"/>
  <c r="P9" i="2" s="1"/>
  <c r="Q9" i="2" s="1"/>
  <c r="N38" i="2"/>
  <c r="P38" i="2" s="1"/>
  <c r="Q38" i="2" s="1"/>
  <c r="N30" i="2"/>
  <c r="P30" i="2" s="1"/>
  <c r="Q30" i="2" s="1"/>
  <c r="N22" i="2"/>
  <c r="P22" i="2" s="1"/>
  <c r="Q22" i="2" s="1"/>
  <c r="N14" i="2"/>
  <c r="P14" i="2" s="1"/>
  <c r="Q14" i="2" s="1"/>
  <c r="N42" i="2"/>
  <c r="P42" i="2" s="1"/>
  <c r="Q42" i="2" s="1"/>
  <c r="N34" i="2"/>
  <c r="P34" i="2" s="1"/>
  <c r="Q34" i="2" s="1"/>
  <c r="N26" i="2"/>
  <c r="P26" i="2" s="1"/>
  <c r="Q26" i="2" s="1"/>
  <c r="N18" i="2"/>
  <c r="P18" i="2" s="1"/>
  <c r="Q18" i="2" s="1"/>
  <c r="N10" i="2"/>
  <c r="P10" i="2" s="1"/>
  <c r="Q10" i="2" s="1"/>
  <c r="N18" i="8"/>
  <c r="Q18" i="8" s="1"/>
  <c r="Q8" i="8"/>
  <c r="N14" i="8"/>
  <c r="Q14" i="8" s="1"/>
  <c r="M29" i="8"/>
  <c r="N31" i="8"/>
  <c r="N7" i="8"/>
  <c r="Q7" i="8" s="1"/>
  <c r="N9" i="8"/>
  <c r="N21" i="8"/>
  <c r="Q21" i="8" s="1"/>
  <c r="N23" i="8"/>
  <c r="Q23" i="8" s="1"/>
  <c r="N25" i="8"/>
  <c r="Q25" i="8" s="1"/>
  <c r="N34" i="8"/>
  <c r="Q34" i="8" s="1"/>
  <c r="N15" i="8"/>
  <c r="N33" i="8"/>
  <c r="Q33" i="8" s="1"/>
  <c r="N40" i="8"/>
  <c r="Q40" i="8" s="1"/>
  <c r="N26" i="8"/>
  <c r="Q26" i="8" s="1"/>
  <c r="M30" i="8"/>
  <c r="Q20" i="8"/>
  <c r="M37" i="8"/>
  <c r="N39" i="8"/>
  <c r="Q39" i="8" s="1"/>
  <c r="N41" i="8"/>
  <c r="Q41" i="8" s="1"/>
  <c r="W6" i="2"/>
  <c r="W18" i="9"/>
  <c r="W26" i="9"/>
  <c r="W34" i="9"/>
  <c r="W42" i="9"/>
  <c r="W10" i="9"/>
  <c r="W27" i="9"/>
  <c r="W19" i="9"/>
  <c r="W35" i="9"/>
  <c r="W31" i="9"/>
  <c r="W23" i="9"/>
  <c r="W15" i="9"/>
  <c r="W7" i="9"/>
  <c r="W11" i="9"/>
  <c r="W37" i="9"/>
  <c r="W29" i="9"/>
  <c r="W13" i="9"/>
  <c r="W6" i="9"/>
  <c r="W36" i="9"/>
  <c r="W28" i="9"/>
  <c r="W20" i="9"/>
  <c r="W12" i="9"/>
  <c r="W40" i="9"/>
  <c r="W32" i="9"/>
  <c r="W24" i="9"/>
  <c r="W16" i="9"/>
  <c r="W8" i="9"/>
  <c r="W38" i="9"/>
  <c r="W30" i="9"/>
  <c r="W22" i="9"/>
  <c r="W14" i="9"/>
  <c r="W33" i="2"/>
  <c r="R34" i="9"/>
  <c r="R29" i="9"/>
  <c r="R36" i="9"/>
  <c r="R40" i="9"/>
  <c r="R13" i="9"/>
  <c r="R16" i="9"/>
  <c r="R32" i="9"/>
  <c r="R35" i="9"/>
  <c r="R42" i="9"/>
  <c r="R37" i="9"/>
  <c r="R11" i="9"/>
  <c r="R19" i="9"/>
  <c r="R22" i="9"/>
  <c r="R31" i="9"/>
  <c r="R28" i="9"/>
  <c r="R41" i="9"/>
  <c r="R38" i="9"/>
  <c r="R30" i="9"/>
  <c r="R10" i="9"/>
  <c r="R20" i="9"/>
  <c r="R12" i="9"/>
  <c r="R23" i="9"/>
  <c r="R26" i="9"/>
  <c r="R21" i="9"/>
  <c r="X21" i="9" s="1"/>
  <c r="R9" i="9"/>
  <c r="X9" i="9" s="1"/>
  <c r="R25" i="9"/>
  <c r="V43" i="9"/>
  <c r="R18" i="9"/>
  <c r="R15" i="9"/>
  <c r="R14" i="9"/>
  <c r="F43" i="9"/>
  <c r="R7" i="9"/>
  <c r="R24" i="9"/>
  <c r="J33" i="2"/>
  <c r="K33" i="2" s="1"/>
  <c r="F43" i="2"/>
  <c r="J6" i="2"/>
  <c r="K6" i="2" s="1"/>
  <c r="R39" i="9"/>
  <c r="R6" i="9"/>
  <c r="R17" i="9"/>
  <c r="R8" i="9"/>
  <c r="R27" i="9"/>
  <c r="N36" i="8"/>
  <c r="Q36" i="8" s="1"/>
  <c r="Q9" i="8"/>
  <c r="Q31" i="8"/>
  <c r="N6" i="8"/>
  <c r="Q6" i="8" s="1"/>
  <c r="N10" i="8"/>
  <c r="Q10" i="8" s="1"/>
  <c r="N28" i="8"/>
  <c r="Q28" i="8" s="1"/>
  <c r="N13" i="8"/>
  <c r="Q13" i="8" s="1"/>
  <c r="Q15" i="8"/>
  <c r="N22" i="8"/>
  <c r="Q22" i="8" s="1"/>
  <c r="N24" i="8"/>
  <c r="Q24" i="8" s="1"/>
  <c r="N32" i="8"/>
  <c r="Q32" i="8" s="1"/>
  <c r="N35" i="8"/>
  <c r="Q35" i="8" s="1"/>
  <c r="N5" i="8"/>
  <c r="N11" i="8"/>
  <c r="Q11" i="8" s="1"/>
  <c r="Q19" i="8"/>
  <c r="N27" i="8"/>
  <c r="Q27" i="8" s="1"/>
  <c r="J29" i="8"/>
  <c r="K29" i="8" s="1"/>
  <c r="N29" i="8" s="1"/>
  <c r="Q29" i="8" s="1"/>
  <c r="J37" i="8"/>
  <c r="K37" i="8" s="1"/>
  <c r="J16" i="8"/>
  <c r="K16" i="8" s="1"/>
  <c r="N16" i="8" s="1"/>
  <c r="Q16" i="8" s="1"/>
  <c r="J30" i="8"/>
  <c r="K30" i="8" s="1"/>
  <c r="N30" i="8" s="1"/>
  <c r="Q30" i="8" s="1"/>
  <c r="J38" i="8"/>
  <c r="K38" i="8" s="1"/>
  <c r="N38" i="8" s="1"/>
  <c r="Q38" i="8" s="1"/>
  <c r="K170" i="6"/>
  <c r="J6" i="3"/>
  <c r="I6" i="3"/>
  <c r="G6" i="3"/>
  <c r="J5" i="3"/>
  <c r="I5" i="3"/>
  <c r="G5" i="3"/>
  <c r="J4" i="3"/>
  <c r="J163" i="6"/>
  <c r="J162" i="6"/>
  <c r="J161" i="6"/>
  <c r="J160" i="6"/>
  <c r="J159" i="6"/>
  <c r="J157" i="6"/>
  <c r="J156" i="6"/>
  <c r="J155" i="6"/>
  <c r="J154" i="6"/>
  <c r="J153" i="6"/>
  <c r="J152" i="6"/>
  <c r="J151" i="6"/>
  <c r="J150" i="6"/>
  <c r="J146" i="6"/>
  <c r="J142" i="6"/>
  <c r="J138" i="6"/>
  <c r="J137" i="6"/>
  <c r="J136" i="6"/>
  <c r="J135" i="6"/>
  <c r="J133" i="6"/>
  <c r="J132" i="6"/>
  <c r="J131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5" i="6"/>
  <c r="J103" i="6"/>
  <c r="J102" i="6"/>
  <c r="J101" i="6"/>
  <c r="J100" i="6"/>
  <c r="J99" i="6"/>
  <c r="J98" i="6"/>
  <c r="J96" i="6"/>
  <c r="J95" i="6"/>
  <c r="J94" i="6"/>
  <c r="J93" i="6"/>
  <c r="J92" i="6"/>
  <c r="J91" i="6"/>
  <c r="J90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7" i="6"/>
  <c r="J65" i="6"/>
  <c r="J64" i="6"/>
  <c r="J63" i="6"/>
  <c r="J62" i="6"/>
  <c r="J60" i="6"/>
  <c r="J59" i="6"/>
  <c r="J58" i="6"/>
  <c r="J57" i="6"/>
  <c r="J56" i="6"/>
  <c r="J55" i="6"/>
  <c r="J54" i="6"/>
  <c r="J53" i="6"/>
  <c r="J52" i="6"/>
  <c r="J51" i="6"/>
  <c r="J50" i="6"/>
  <c r="J49" i="6"/>
  <c r="J47" i="6"/>
  <c r="J46" i="6"/>
  <c r="J45" i="6"/>
  <c r="J43" i="6"/>
  <c r="J42" i="6"/>
  <c r="J41" i="6"/>
  <c r="J39" i="6"/>
  <c r="J37" i="6"/>
  <c r="J35" i="6"/>
  <c r="J34" i="6"/>
  <c r="J33" i="6"/>
  <c r="J31" i="6"/>
  <c r="J30" i="6"/>
  <c r="J28" i="6"/>
  <c r="J27" i="6"/>
  <c r="J25" i="6"/>
  <c r="J24" i="6"/>
  <c r="J23" i="6"/>
  <c r="J20" i="6"/>
  <c r="J19" i="6"/>
  <c r="J18" i="6"/>
  <c r="J17" i="6"/>
  <c r="J16" i="6"/>
  <c r="J15" i="6"/>
  <c r="J14" i="6"/>
  <c r="J10" i="6"/>
  <c r="J9" i="6"/>
  <c r="J8" i="6"/>
  <c r="J7" i="6"/>
  <c r="J6" i="6"/>
  <c r="J5" i="6"/>
  <c r="J4" i="6"/>
  <c r="J3" i="6"/>
  <c r="I167" i="7"/>
  <c r="I168" i="7" s="1"/>
  <c r="G167" i="7"/>
  <c r="G168" i="7" s="1"/>
  <c r="H166" i="7"/>
  <c r="H165" i="7"/>
  <c r="H164" i="7"/>
  <c r="J163" i="7"/>
  <c r="H163" i="7"/>
  <c r="J162" i="7"/>
  <c r="H162" i="7"/>
  <c r="J161" i="7"/>
  <c r="H161" i="7"/>
  <c r="J160" i="7"/>
  <c r="H160" i="7"/>
  <c r="J159" i="7"/>
  <c r="H159" i="7"/>
  <c r="H158" i="7"/>
  <c r="J157" i="7"/>
  <c r="H157" i="7"/>
  <c r="J156" i="7"/>
  <c r="H156" i="7"/>
  <c r="J155" i="7"/>
  <c r="H155" i="7"/>
  <c r="J154" i="7"/>
  <c r="H154" i="7"/>
  <c r="J153" i="7"/>
  <c r="H153" i="7"/>
  <c r="J152" i="7"/>
  <c r="H152" i="7"/>
  <c r="J151" i="7"/>
  <c r="H151" i="7"/>
  <c r="J150" i="7"/>
  <c r="H150" i="7"/>
  <c r="H149" i="7"/>
  <c r="H148" i="7"/>
  <c r="H147" i="7"/>
  <c r="J146" i="7"/>
  <c r="H146" i="7"/>
  <c r="H145" i="7"/>
  <c r="H144" i="7"/>
  <c r="H143" i="7"/>
  <c r="J142" i="7"/>
  <c r="H142" i="7"/>
  <c r="H141" i="7"/>
  <c r="H140" i="7"/>
  <c r="H139" i="7"/>
  <c r="J138" i="7"/>
  <c r="H138" i="7"/>
  <c r="J137" i="7"/>
  <c r="H137" i="7"/>
  <c r="J136" i="7"/>
  <c r="H136" i="7"/>
  <c r="J135" i="7"/>
  <c r="H135" i="7"/>
  <c r="H134" i="7"/>
  <c r="J133" i="7"/>
  <c r="H133" i="7"/>
  <c r="J132" i="7"/>
  <c r="H132" i="7"/>
  <c r="J131" i="7"/>
  <c r="H131" i="7"/>
  <c r="H130" i="7"/>
  <c r="J129" i="7"/>
  <c r="H129" i="7"/>
  <c r="J128" i="7"/>
  <c r="H128" i="7"/>
  <c r="J127" i="7"/>
  <c r="H127" i="7"/>
  <c r="J126" i="7"/>
  <c r="H126" i="7"/>
  <c r="J125" i="7"/>
  <c r="H125" i="7"/>
  <c r="J124" i="7"/>
  <c r="H124" i="7"/>
  <c r="J123" i="7"/>
  <c r="H123" i="7"/>
  <c r="J122" i="7"/>
  <c r="H122" i="7"/>
  <c r="J121" i="7"/>
  <c r="H121" i="7"/>
  <c r="J120" i="7"/>
  <c r="H120" i="7"/>
  <c r="J119" i="7"/>
  <c r="H119" i="7"/>
  <c r="J118" i="7"/>
  <c r="H118" i="7"/>
  <c r="J117" i="7"/>
  <c r="H117" i="7"/>
  <c r="J116" i="7"/>
  <c r="H116" i="7"/>
  <c r="J115" i="7"/>
  <c r="H115" i="7"/>
  <c r="J114" i="7"/>
  <c r="H114" i="7"/>
  <c r="J113" i="7"/>
  <c r="H113" i="7"/>
  <c r="J112" i="7"/>
  <c r="H112" i="7"/>
  <c r="J111" i="7"/>
  <c r="H111" i="7"/>
  <c r="J110" i="7"/>
  <c r="H110" i="7"/>
  <c r="J109" i="7"/>
  <c r="H109" i="7"/>
  <c r="J108" i="7"/>
  <c r="H108" i="7"/>
  <c r="H107" i="7"/>
  <c r="H106" i="7"/>
  <c r="J105" i="7"/>
  <c r="H105" i="7"/>
  <c r="H104" i="7"/>
  <c r="J103" i="7"/>
  <c r="H103" i="7"/>
  <c r="J102" i="7"/>
  <c r="H102" i="7"/>
  <c r="J101" i="7"/>
  <c r="H101" i="7"/>
  <c r="J100" i="7"/>
  <c r="H100" i="7"/>
  <c r="J99" i="7"/>
  <c r="H99" i="7"/>
  <c r="J98" i="7"/>
  <c r="H98" i="7"/>
  <c r="H97" i="7"/>
  <c r="J96" i="7"/>
  <c r="H96" i="7"/>
  <c r="J95" i="7"/>
  <c r="H95" i="7"/>
  <c r="J94" i="7"/>
  <c r="H94" i="7"/>
  <c r="J93" i="7"/>
  <c r="H93" i="7"/>
  <c r="J92" i="7"/>
  <c r="H92" i="7"/>
  <c r="J91" i="7"/>
  <c r="H91" i="7"/>
  <c r="J90" i="7"/>
  <c r="H90" i="7"/>
  <c r="H89" i="7"/>
  <c r="H88" i="7"/>
  <c r="H87" i="7"/>
  <c r="J86" i="7"/>
  <c r="H86" i="7"/>
  <c r="J85" i="7"/>
  <c r="H85" i="7"/>
  <c r="J84" i="7"/>
  <c r="H84" i="7"/>
  <c r="J83" i="7"/>
  <c r="H83" i="7"/>
  <c r="J82" i="7"/>
  <c r="H82" i="7"/>
  <c r="J81" i="7"/>
  <c r="H81" i="7"/>
  <c r="J80" i="7"/>
  <c r="H80" i="7"/>
  <c r="J79" i="7"/>
  <c r="H79" i="7"/>
  <c r="J78" i="7"/>
  <c r="H78" i="7"/>
  <c r="J77" i="7"/>
  <c r="H77" i="7"/>
  <c r="J76" i="7"/>
  <c r="H76" i="7"/>
  <c r="J75" i="7"/>
  <c r="H75" i="7"/>
  <c r="J74" i="7"/>
  <c r="H74" i="7"/>
  <c r="J73" i="7"/>
  <c r="H73" i="7"/>
  <c r="J72" i="7"/>
  <c r="H72" i="7"/>
  <c r="J71" i="7"/>
  <c r="H71" i="7"/>
  <c r="J70" i="7"/>
  <c r="H70" i="7"/>
  <c r="J69" i="7"/>
  <c r="H69" i="7"/>
  <c r="H68" i="7"/>
  <c r="J67" i="7"/>
  <c r="H67" i="7"/>
  <c r="H66" i="7"/>
  <c r="J65" i="7"/>
  <c r="H65" i="7"/>
  <c r="J64" i="7"/>
  <c r="H64" i="7"/>
  <c r="J63" i="7"/>
  <c r="H63" i="7"/>
  <c r="J62" i="7"/>
  <c r="H62" i="7"/>
  <c r="H61" i="7"/>
  <c r="J60" i="7"/>
  <c r="H60" i="7"/>
  <c r="J59" i="7"/>
  <c r="H59" i="7"/>
  <c r="J58" i="7"/>
  <c r="H58" i="7"/>
  <c r="J57" i="7"/>
  <c r="H57" i="7"/>
  <c r="J56" i="7"/>
  <c r="H56" i="7"/>
  <c r="J55" i="7"/>
  <c r="H55" i="7"/>
  <c r="J54" i="7"/>
  <c r="H54" i="7"/>
  <c r="J53" i="7"/>
  <c r="H53" i="7"/>
  <c r="J52" i="7"/>
  <c r="H52" i="7"/>
  <c r="J51" i="7"/>
  <c r="H51" i="7"/>
  <c r="J50" i="7"/>
  <c r="H50" i="7"/>
  <c r="J49" i="7"/>
  <c r="H49" i="7"/>
  <c r="H48" i="7"/>
  <c r="J47" i="7"/>
  <c r="H47" i="7"/>
  <c r="J46" i="7"/>
  <c r="H46" i="7"/>
  <c r="J45" i="7"/>
  <c r="H45" i="7"/>
  <c r="H44" i="7"/>
  <c r="J43" i="7"/>
  <c r="H43" i="7"/>
  <c r="J42" i="7"/>
  <c r="H42" i="7"/>
  <c r="J41" i="7"/>
  <c r="H41" i="7"/>
  <c r="H40" i="7"/>
  <c r="J39" i="7"/>
  <c r="H39" i="7"/>
  <c r="H38" i="7"/>
  <c r="J37" i="7"/>
  <c r="H37" i="7"/>
  <c r="H36" i="7"/>
  <c r="J35" i="7"/>
  <c r="H35" i="7"/>
  <c r="J34" i="7"/>
  <c r="H34" i="7"/>
  <c r="J33" i="7"/>
  <c r="H33" i="7"/>
  <c r="J31" i="7"/>
  <c r="H31" i="7"/>
  <c r="J30" i="7"/>
  <c r="H30" i="7"/>
  <c r="H29" i="7"/>
  <c r="J28" i="7"/>
  <c r="H28" i="7"/>
  <c r="J27" i="7"/>
  <c r="H27" i="7"/>
  <c r="H26" i="7"/>
  <c r="J25" i="7"/>
  <c r="H25" i="7"/>
  <c r="J24" i="7"/>
  <c r="H24" i="7"/>
  <c r="J23" i="7"/>
  <c r="H23" i="7"/>
  <c r="H22" i="7"/>
  <c r="H21" i="7"/>
  <c r="J20" i="7"/>
  <c r="H20" i="7"/>
  <c r="J19" i="7"/>
  <c r="H19" i="7"/>
  <c r="J18" i="7"/>
  <c r="H18" i="7"/>
  <c r="J17" i="7"/>
  <c r="H17" i="7"/>
  <c r="J16" i="7"/>
  <c r="H16" i="7"/>
  <c r="J15" i="7"/>
  <c r="H15" i="7"/>
  <c r="J14" i="7"/>
  <c r="H14" i="7"/>
  <c r="H13" i="7"/>
  <c r="H12" i="7"/>
  <c r="H11" i="7"/>
  <c r="J10" i="7"/>
  <c r="H10" i="7"/>
  <c r="J9" i="7"/>
  <c r="H9" i="7"/>
  <c r="J8" i="7"/>
  <c r="H8" i="7"/>
  <c r="J7" i="7"/>
  <c r="H7" i="7"/>
  <c r="J6" i="7"/>
  <c r="H6" i="7"/>
  <c r="J5" i="7"/>
  <c r="H5" i="7"/>
  <c r="J4" i="7"/>
  <c r="J167" i="7" s="1"/>
  <c r="J168" i="7" s="1"/>
  <c r="H4" i="7"/>
  <c r="J3" i="7"/>
  <c r="H3" i="7"/>
  <c r="H167" i="7" s="1"/>
  <c r="H168" i="7" s="1"/>
  <c r="L4" i="3"/>
  <c r="I4" i="3"/>
  <c r="R33" i="9" l="1"/>
  <c r="M42" i="8"/>
  <c r="N37" i="8"/>
  <c r="Q37" i="8" s="1"/>
  <c r="X39" i="9"/>
  <c r="X33" i="9"/>
  <c r="X17" i="9"/>
  <c r="X25" i="9"/>
  <c r="J43" i="9"/>
  <c r="X41" i="9"/>
  <c r="X7" i="9"/>
  <c r="X42" i="9"/>
  <c r="X13" i="9"/>
  <c r="Q43" i="2"/>
  <c r="X34" i="9"/>
  <c r="X15" i="9"/>
  <c r="X26" i="9"/>
  <c r="X18" i="9"/>
  <c r="X27" i="9"/>
  <c r="X37" i="9"/>
  <c r="X29" i="9"/>
  <c r="X23" i="9"/>
  <c r="X19" i="9"/>
  <c r="X10" i="9"/>
  <c r="X11" i="9"/>
  <c r="X38" i="9"/>
  <c r="X16" i="9"/>
  <c r="X35" i="9"/>
  <c r="X24" i="9"/>
  <c r="X6" i="9"/>
  <c r="X31" i="9"/>
  <c r="X40" i="9"/>
  <c r="X32" i="9"/>
  <c r="W43" i="9"/>
  <c r="X14" i="9"/>
  <c r="X22" i="9"/>
  <c r="X12" i="9"/>
  <c r="X30" i="9"/>
  <c r="X20" i="9"/>
  <c r="X28" i="9"/>
  <c r="X8" i="9"/>
  <c r="X36" i="9"/>
  <c r="J43" i="2"/>
  <c r="R43" i="9"/>
  <c r="K6" i="3"/>
  <c r="K5" i="3"/>
  <c r="K42" i="8"/>
  <c r="Q5" i="8"/>
  <c r="Q42" i="8" s="1"/>
  <c r="L6" i="3"/>
  <c r="L5" i="3"/>
  <c r="H40" i="6"/>
  <c r="N42" i="8" l="1"/>
  <c r="R6" i="2"/>
  <c r="X6" i="2" s="1"/>
  <c r="I167" i="6"/>
  <c r="J167" i="6" l="1"/>
  <c r="D26" i="2" l="1"/>
  <c r="V7" i="2"/>
  <c r="W7" i="2" s="1"/>
  <c r="R42" i="2" l="1"/>
  <c r="B5" i="5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3" i="6"/>
  <c r="H34" i="6"/>
  <c r="H35" i="6"/>
  <c r="H36" i="6"/>
  <c r="H37" i="6"/>
  <c r="H38" i="6"/>
  <c r="H39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3" i="6"/>
  <c r="G167" i="6"/>
  <c r="G168" i="6" s="1"/>
  <c r="I168" i="6"/>
  <c r="K4" i="3"/>
  <c r="G4" i="3"/>
  <c r="O14" i="3"/>
  <c r="O13" i="3"/>
  <c r="O9" i="3"/>
  <c r="O11" i="3"/>
  <c r="O10" i="3"/>
  <c r="D7" i="2"/>
  <c r="D8" i="2"/>
  <c r="D9" i="2"/>
  <c r="D18" i="2"/>
  <c r="D19" i="2"/>
  <c r="D20" i="2"/>
  <c r="D21" i="2"/>
  <c r="D22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6" i="2"/>
  <c r="H167" i="6" l="1"/>
  <c r="H168" i="6" s="1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X33" i="2" s="1"/>
  <c r="R34" i="2"/>
  <c r="R35" i="2"/>
  <c r="R36" i="2"/>
  <c r="R37" i="2"/>
  <c r="R38" i="2"/>
  <c r="R39" i="2"/>
  <c r="R40" i="2"/>
  <c r="V8" i="2"/>
  <c r="W8" i="2" s="1"/>
  <c r="V9" i="2"/>
  <c r="W9" i="2" s="1"/>
  <c r="V10" i="2"/>
  <c r="W10" i="2" s="1"/>
  <c r="V11" i="2"/>
  <c r="W11" i="2" s="1"/>
  <c r="V12" i="2"/>
  <c r="W12" i="2" s="1"/>
  <c r="V13" i="2"/>
  <c r="W13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0" i="2"/>
  <c r="W20" i="2" s="1"/>
  <c r="V21" i="2"/>
  <c r="W21" i="2" s="1"/>
  <c r="V22" i="2"/>
  <c r="W22" i="2" s="1"/>
  <c r="V23" i="2"/>
  <c r="W23" i="2" s="1"/>
  <c r="V24" i="2"/>
  <c r="W24" i="2" s="1"/>
  <c r="V25" i="2"/>
  <c r="W25" i="2" s="1"/>
  <c r="V26" i="2"/>
  <c r="W26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4" i="2"/>
  <c r="W34" i="2" s="1"/>
  <c r="X34" i="2" s="1"/>
  <c r="V35" i="2"/>
  <c r="W35" i="2" s="1"/>
  <c r="X35" i="2" s="1"/>
  <c r="V36" i="2"/>
  <c r="W36" i="2" s="1"/>
  <c r="X36" i="2" s="1"/>
  <c r="V37" i="2"/>
  <c r="W37" i="2" s="1"/>
  <c r="X37" i="2" s="1"/>
  <c r="V38" i="2"/>
  <c r="W38" i="2" s="1"/>
  <c r="X38" i="2" s="1"/>
  <c r="V39" i="2"/>
  <c r="W39" i="2" s="1"/>
  <c r="V40" i="2"/>
  <c r="W40" i="2" s="1"/>
  <c r="X40" i="2" s="1"/>
  <c r="V41" i="2"/>
  <c r="W41" i="2" s="1"/>
  <c r="V42" i="2"/>
  <c r="W42" i="2" s="1"/>
  <c r="X42" i="2" s="1"/>
  <c r="W43" i="2" l="1"/>
  <c r="X21" i="2"/>
  <c r="X23" i="2"/>
  <c r="X31" i="2"/>
  <c r="X39" i="2"/>
  <c r="X29" i="2"/>
  <c r="X15" i="2"/>
  <c r="X27" i="2"/>
  <c r="X19" i="2"/>
  <c r="X11" i="2"/>
  <c r="X26" i="2"/>
  <c r="X18" i="2"/>
  <c r="X10" i="2"/>
  <c r="X28" i="2"/>
  <c r="X20" i="2"/>
  <c r="X12" i="2"/>
  <c r="X17" i="2"/>
  <c r="X9" i="2"/>
  <c r="X13" i="2"/>
  <c r="X25" i="2"/>
  <c r="X32" i="2"/>
  <c r="X24" i="2"/>
  <c r="X16" i="2"/>
  <c r="X8" i="2"/>
  <c r="X30" i="2"/>
  <c r="X22" i="2"/>
  <c r="X14" i="2"/>
  <c r="V43" i="2"/>
  <c r="R7" i="2"/>
  <c r="X7" i="2" s="1"/>
  <c r="J168" i="6"/>
  <c r="R41" i="2"/>
  <c r="X41" i="2" s="1"/>
  <c r="B4" i="4" l="1"/>
  <c r="R43" i="2"/>
  <c r="K4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  <author>Administrator</author>
    <author>dreamsummit</author>
  </authors>
  <commentList>
    <comment ref="V5" authorId="0" shapeId="0" xr:uid="{71B1BF79-93D9-4C22-A179-A0CCE1AD4A15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岳众回复的</t>
        </r>
      </text>
    </comment>
    <comment ref="D10" authorId="1" shapeId="0" xr:uid="{647901C8-A6FD-422C-82B0-B656489A0E0B}">
      <text>
        <r>
          <rPr>
            <sz val="12"/>
            <rFont val="宋体"/>
            <family val="3"/>
            <charset val="134"/>
          </rPr>
          <t>由SPFH590 T=1.5设变成SPFH590  t=1.6</t>
        </r>
      </text>
    </comment>
    <comment ref="D11" authorId="1" shapeId="0" xr:uid="{B7230867-68F5-4232-9163-2FED9F7A79CA}">
      <text>
        <r>
          <rPr>
            <sz val="12"/>
            <rFont val="宋体"/>
            <family val="3"/>
            <charset val="134"/>
          </rPr>
          <t>由SPFH590 T=1.5设变成SPFH590  t=1.6</t>
        </r>
      </text>
    </comment>
    <comment ref="D12" authorId="1" shapeId="0" xr:uid="{F967061F-BFD0-4C7F-8C0D-9B46689AD1F6}">
      <text>
        <r>
          <rPr>
            <sz val="12"/>
            <rFont val="宋体"/>
            <family val="3"/>
            <charset val="134"/>
          </rPr>
          <t>由SPFH590 T=1.5设变成SPFH590  t=1.6</t>
        </r>
      </text>
    </comment>
    <comment ref="D13" authorId="0" shapeId="0" xr:uid="{E9B56466-8580-4A74-AF6C-326D96CC8A2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D14" authorId="0" shapeId="0" xr:uid="{42BAFFE9-31B4-4D5C-AF6F-870B1C9BB58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D15" authorId="0" shapeId="0" xr:uid="{F75AFCDC-A67D-4058-800F-4DBE089DA82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D16" authorId="0" shapeId="0" xr:uid="{1FB07366-0D15-4026-9E39-7968BB759D6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D17" authorId="0" shapeId="0" xr:uid="{5E2C58DD-74F8-47F3-B2D6-9594903D9E05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B20" authorId="2" shapeId="0" xr:uid="{20471A5D-E153-4879-86C5-1A4AC45253BB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S20" authorId="2" shapeId="0" xr:uid="{B4666A20-DC4B-4870-BD5F-533D75348E38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21" authorId="2" shapeId="0" xr:uid="{4A133D2F-D739-47CC-A36D-C4DC6B005504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S21" authorId="2" shapeId="0" xr:uid="{06C42236-EF0F-4700-9854-72CCF7C6ADE4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22" authorId="2" shapeId="0" xr:uid="{937CFD99-D309-47EE-A1E1-BBCED92E722C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S22" authorId="2" shapeId="0" xr:uid="{001D160E-B5BB-4818-841F-0C6C70D9E472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23" authorId="2" shapeId="0" xr:uid="{253061C8-447A-410D-8D3D-C6DB8E2C1DE6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副驾底支架专用，共计4个件：1031、1032、1033、1034（1034单台4个）。</t>
        </r>
      </text>
    </comment>
    <comment ref="D23" authorId="1" shapeId="0" xr:uid="{5EAB9BCE-8103-4539-A5A3-146D63B85E29}">
      <text>
        <r>
          <rPr>
            <sz val="12"/>
            <rFont val="宋体"/>
            <family val="3"/>
            <charset val="134"/>
          </rPr>
          <t>由S420MC  t=2.5材质设变成QSTE420TM</t>
        </r>
      </text>
    </comment>
    <comment ref="S23" authorId="2" shapeId="0" xr:uid="{A8A91771-32A2-4A25-988C-3C3AA2F182C8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副驾底支架专用，共计4个件：1031、1032、1033、1034（1034单台4个）。</t>
        </r>
      </text>
    </comment>
    <comment ref="B24" authorId="2" shapeId="0" xr:uid="{3819AAD0-B2F5-416A-A466-DABBF0DCD218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</t>
        </r>
      </text>
    </comment>
    <comment ref="D24" authorId="1" shapeId="0" xr:uid="{5DCECE08-6E39-4ED8-825A-19B49610E532}">
      <text>
        <r>
          <rPr>
            <sz val="12"/>
            <rFont val="宋体"/>
            <family val="3"/>
            <charset val="134"/>
          </rPr>
          <t>由S420MC  t=2.5材质设变成QSTE420TM</t>
        </r>
      </text>
    </comment>
    <comment ref="S24" authorId="2" shapeId="0" xr:uid="{9375A9CC-57F7-4F8A-83D4-71B96DA20465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</t>
        </r>
      </text>
    </comment>
    <comment ref="B25" authorId="2" shapeId="0" xr:uid="{AB257F1E-CD0A-42C1-84F0-97A43AD7912A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副驾底支架专用，共计4个件：1031、1032、1033、1034（1034单台4个）。</t>
        </r>
      </text>
    </comment>
    <comment ref="D25" authorId="1" shapeId="0" xr:uid="{54EC8CC1-77FE-48A4-AA24-447D891B4E8D}">
      <text>
        <r>
          <rPr>
            <sz val="12"/>
            <rFont val="宋体"/>
            <family val="3"/>
            <charset val="134"/>
          </rPr>
          <t>由S420MC  t=2.5材质设变成QSTE420TM</t>
        </r>
      </text>
    </comment>
    <comment ref="S25" authorId="2" shapeId="0" xr:uid="{3CB0D7D5-3E5E-4F57-A045-A9C3FAE23661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副驾底支架专用，共计4个件：1031、1032、1033、1034（1034单台4个）。</t>
        </r>
      </text>
    </comment>
    <comment ref="D27" authorId="1" shapeId="0" xr:uid="{75CDADDB-D771-44E8-AB43-071A56CEB8EF}">
      <text>
        <r>
          <rPr>
            <sz val="12"/>
            <rFont val="宋体"/>
            <family val="3"/>
            <charset val="134"/>
          </rPr>
          <t>SPFH590  t=1.5设变成SPFH590  t=1.6</t>
        </r>
      </text>
    </comment>
    <comment ref="D28" authorId="1" shapeId="0" xr:uid="{0E06B9A9-2D63-4B7E-B0F5-4E73F5B2E6AA}">
      <text>
        <r>
          <rPr>
            <sz val="12"/>
            <rFont val="宋体"/>
            <family val="3"/>
            <charset val="134"/>
          </rPr>
          <t>SPFH590  t=1.5设变成SPFH590  t=1.6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吴英格</author>
    <author>dreamsummit</author>
  </authors>
  <commentList>
    <comment ref="D10" authorId="0" shapeId="0" xr:uid="{65539774-7818-4F28-B432-5D5492BBFC70}">
      <text>
        <r>
          <rPr>
            <sz val="12"/>
            <rFont val="宋体"/>
            <family val="3"/>
            <charset val="134"/>
          </rPr>
          <t>由SPFH590 T=1.5设变成SPFH590  t=1.6</t>
        </r>
      </text>
    </comment>
    <comment ref="D11" authorId="0" shapeId="0" xr:uid="{236C2926-81CB-4DF1-8C2B-11FC897970FC}">
      <text>
        <r>
          <rPr>
            <sz val="12"/>
            <rFont val="宋体"/>
            <family val="3"/>
            <charset val="134"/>
          </rPr>
          <t>由SPFH590 T=1.5设变成SPFH590  t=1.6</t>
        </r>
      </text>
    </comment>
    <comment ref="D12" authorId="0" shapeId="0" xr:uid="{802161E8-E14F-42CD-B0F6-71F84DBCF45C}">
      <text>
        <r>
          <rPr>
            <sz val="12"/>
            <rFont val="宋体"/>
            <family val="3"/>
            <charset val="134"/>
          </rPr>
          <t>由SPFH590 T=1.5设变成SPFH590  t=1.6</t>
        </r>
      </text>
    </comment>
    <comment ref="D13" authorId="1" shapeId="0" xr:uid="{8C272537-20ED-42A9-A99E-49915FFBA76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D14" authorId="1" shapeId="0" xr:uid="{205004DF-DF78-4059-B778-18CEC1F429A5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D15" authorId="1" shapeId="0" xr:uid="{04D70036-0724-4900-9912-2837DD6EF221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D16" authorId="1" shapeId="0" xr:uid="{1F131402-CFF1-49C7-A308-1B257638C93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D17" authorId="1" shapeId="0" xr:uid="{10B8D964-0A31-43FA-A899-3E6F4477972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B20" authorId="2" shapeId="0" xr:uid="{53860475-143C-4CA5-BA22-FBDF388C6864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21" authorId="2" shapeId="0" xr:uid="{011E6380-5590-4D62-ACC6-F7D47DE2A6E3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22" authorId="2" shapeId="0" xr:uid="{679B752A-FFEC-4FC8-83BC-9BA9E4E62A29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23" authorId="2" shapeId="0" xr:uid="{99B5363C-22B9-42A7-9FCB-127FA85DAE60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副驾底支架专用，共计4个件：1031、1032、1033、1034（1034单台4个）。</t>
        </r>
      </text>
    </comment>
    <comment ref="D23" authorId="0" shapeId="0" xr:uid="{5F558DA9-B6F3-43B1-9BCD-03DFA937B552}">
      <text>
        <r>
          <rPr>
            <sz val="12"/>
            <rFont val="宋体"/>
            <family val="3"/>
            <charset val="134"/>
          </rPr>
          <t>由S420MC  t=2.5材质设变成QSTE420TM</t>
        </r>
      </text>
    </comment>
    <comment ref="B24" authorId="2" shapeId="0" xr:uid="{5089DB63-38E5-43C1-8713-C3D35959813D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</t>
        </r>
      </text>
    </comment>
    <comment ref="D24" authorId="0" shapeId="0" xr:uid="{A4AA1CA9-12ED-420B-954E-10D610B828B6}">
      <text>
        <r>
          <rPr>
            <sz val="12"/>
            <rFont val="宋体"/>
            <family val="3"/>
            <charset val="134"/>
          </rPr>
          <t>由S420MC  t=2.5材质设变成QSTE420TM</t>
        </r>
      </text>
    </comment>
    <comment ref="B25" authorId="2" shapeId="0" xr:uid="{C456C756-CBB4-4FAD-8512-ECC9F3695940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副驾底支架专用，共计4个件：1031、1032、1033、1034（1034单台4个）。</t>
        </r>
      </text>
    </comment>
    <comment ref="D25" authorId="0" shapeId="0" xr:uid="{6D2C4C60-3E4E-4E6E-B922-9F30C1C13276}">
      <text>
        <r>
          <rPr>
            <sz val="12"/>
            <rFont val="宋体"/>
            <family val="3"/>
            <charset val="134"/>
          </rPr>
          <t>由S420MC  t=2.5材质设变成QSTE420TM</t>
        </r>
      </text>
    </comment>
    <comment ref="D27" authorId="0" shapeId="0" xr:uid="{C66323E9-7859-44BD-878B-E7EF4C6C363A}">
      <text>
        <r>
          <rPr>
            <sz val="12"/>
            <rFont val="宋体"/>
            <family val="3"/>
            <charset val="134"/>
          </rPr>
          <t>SPFH590  t=1.5设变成SPFH590  t=1.6</t>
        </r>
      </text>
    </comment>
    <comment ref="D28" authorId="0" shapeId="0" xr:uid="{B14E6C33-0513-496E-8B22-81CE6927A225}">
      <text>
        <r>
          <rPr>
            <sz val="12"/>
            <rFont val="宋体"/>
            <family val="3"/>
            <charset val="134"/>
          </rPr>
          <t>SPFH590  t=1.5设变成SPFH590  t=1.6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吴英格</author>
    <author>dreamsummit</author>
  </authors>
  <commentList>
    <comment ref="D10" authorId="0" shapeId="0" xr:uid="{FF1AB6F4-97AA-4058-A9AC-573CE71FCA43}">
      <text>
        <r>
          <rPr>
            <sz val="12"/>
            <rFont val="宋体"/>
            <family val="3"/>
            <charset val="134"/>
          </rPr>
          <t>由SPFH590 T=1.5设变成SPFH590  t=1.6</t>
        </r>
      </text>
    </comment>
    <comment ref="D11" authorId="0" shapeId="0" xr:uid="{F229C95C-2BDE-4AB0-8348-7EA3C015F52E}">
      <text>
        <r>
          <rPr>
            <sz val="12"/>
            <rFont val="宋体"/>
            <family val="3"/>
            <charset val="134"/>
          </rPr>
          <t>由SPFH590 T=1.5设变成SPFH590  t=1.6</t>
        </r>
      </text>
    </comment>
    <comment ref="D12" authorId="0" shapeId="0" xr:uid="{028DC26F-672E-4C54-B10A-1FF618FE2D53}">
      <text>
        <r>
          <rPr>
            <sz val="12"/>
            <rFont val="宋体"/>
            <family val="3"/>
            <charset val="134"/>
          </rPr>
          <t>由SPFH590 T=1.5设变成SPFH590  t=1.6</t>
        </r>
      </text>
    </comment>
    <comment ref="D13" authorId="1" shapeId="0" xr:uid="{A4A0EFA9-FBD1-4B94-8BDC-E090B4CB93CC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D14" authorId="1" shapeId="0" xr:uid="{66D67A97-51F9-4714-8DA6-B19F891E9BF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D15" authorId="1" shapeId="0" xr:uid="{B4CDE2D0-7DA6-4EB8-BE1E-CD4E39C8812C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D16" authorId="1" shapeId="0" xr:uid="{B90E6745-AF7D-4BC2-AA50-962F95CA83A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D17" authorId="1" shapeId="0" xr:uid="{B3AD9E5F-E9FA-4F35-915D-185F9539AE0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B20" authorId="2" shapeId="0" xr:uid="{44726BB4-3B61-4CAB-8B2C-6892F82E9F3B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21" authorId="2" shapeId="0" xr:uid="{4A6960FF-F57B-47CF-B5DE-5615D77CE943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22" authorId="2" shapeId="0" xr:uid="{C365587C-A2BB-4C7F-B0AE-AFEA3BDBC9F4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23" authorId="2" shapeId="0" xr:uid="{2E6EF030-24DA-44F8-AC3C-A399AC30C39E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副驾底支架专用，共计4个件：1031、1032、1033、1034（1034单台4个）。</t>
        </r>
      </text>
    </comment>
    <comment ref="D23" authorId="0" shapeId="0" xr:uid="{292915BD-433F-4937-B598-4B242F72A32A}">
      <text>
        <r>
          <rPr>
            <sz val="12"/>
            <rFont val="宋体"/>
            <family val="3"/>
            <charset val="134"/>
          </rPr>
          <t>由S420MC  t=2.5材质设变成QSTE420TM</t>
        </r>
      </text>
    </comment>
    <comment ref="B24" authorId="2" shapeId="0" xr:uid="{564388BE-3087-4520-A1C7-2F6173194B70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</t>
        </r>
      </text>
    </comment>
    <comment ref="D24" authorId="0" shapeId="0" xr:uid="{4A6A23F5-16DC-4EC5-9DB4-39F859250C1C}">
      <text>
        <r>
          <rPr>
            <sz val="12"/>
            <rFont val="宋体"/>
            <family val="3"/>
            <charset val="134"/>
          </rPr>
          <t>由S420MC  t=2.5材质设变成QSTE420TM</t>
        </r>
      </text>
    </comment>
    <comment ref="B25" authorId="2" shapeId="0" xr:uid="{F6FEDCDD-F291-4C25-A513-2E5E604DA987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副驾底支架专用，共计4个件：1031、1032、1033、1034（1034单台4个）。</t>
        </r>
      </text>
    </comment>
    <comment ref="D25" authorId="0" shapeId="0" xr:uid="{DF40C7AE-7149-4CDD-9599-D33F9AD81F21}">
      <text>
        <r>
          <rPr>
            <sz val="12"/>
            <rFont val="宋体"/>
            <family val="3"/>
            <charset val="134"/>
          </rPr>
          <t>由S420MC  t=2.5材质设变成QSTE420TM</t>
        </r>
      </text>
    </comment>
    <comment ref="D27" authorId="0" shapeId="0" xr:uid="{8794EC6C-581A-4408-B485-1564712A7003}">
      <text>
        <r>
          <rPr>
            <sz val="12"/>
            <rFont val="宋体"/>
            <family val="3"/>
            <charset val="134"/>
          </rPr>
          <t>SPFH590  t=1.5设变成SPFH590  t=1.6</t>
        </r>
      </text>
    </comment>
    <comment ref="D28" authorId="0" shapeId="0" xr:uid="{9CF6A48D-FE92-48E7-BC7E-C3CDC80C66BB}">
      <text>
        <r>
          <rPr>
            <sz val="12"/>
            <rFont val="宋体"/>
            <family val="3"/>
            <charset val="134"/>
          </rPr>
          <t>SPFH590  t=1.5设变成SPFH590  t=1.6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  <author>Administrator</author>
    <author>dreamsummit</author>
  </authors>
  <commentList>
    <comment ref="O4" authorId="0" shapeId="0" xr:uid="{9914BD9B-7EB2-424E-BE4D-E42D863CAAE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岳众回复的</t>
        </r>
      </text>
    </comment>
    <comment ref="D9" authorId="1" shapeId="0" xr:uid="{7E8C2697-AE88-4429-9620-C686116845AA}">
      <text>
        <r>
          <rPr>
            <sz val="12"/>
            <rFont val="宋体"/>
            <family val="3"/>
            <charset val="134"/>
          </rPr>
          <t>由SPFH590 T=1.5设变成SPFH590  t=1.6</t>
        </r>
      </text>
    </comment>
    <comment ref="D10" authorId="1" shapeId="0" xr:uid="{FD92635B-7434-4CEF-95A7-8E837BFDDA78}">
      <text>
        <r>
          <rPr>
            <sz val="12"/>
            <rFont val="宋体"/>
            <family val="3"/>
            <charset val="134"/>
          </rPr>
          <t>由SPFH590 T=1.5设变成SPFH590  t=1.6</t>
        </r>
      </text>
    </comment>
    <comment ref="D11" authorId="1" shapeId="0" xr:uid="{AF499C40-CD33-465F-89A9-698D60FB716E}">
      <text>
        <r>
          <rPr>
            <sz val="12"/>
            <rFont val="宋体"/>
            <family val="3"/>
            <charset val="134"/>
          </rPr>
          <t>由SPFH590 T=1.5设变成SPFH590  t=1.6</t>
        </r>
      </text>
    </comment>
    <comment ref="D12" authorId="0" shapeId="0" xr:uid="{5F540E38-44D7-44B7-BE71-A3FCFF92E08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D13" authorId="0" shapeId="0" xr:uid="{63F24372-EDDF-4B99-B5A5-CA8F508674F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D14" authorId="0" shapeId="0" xr:uid="{03632BE1-8951-45D8-8BD1-C576E1FD603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D15" authorId="0" shapeId="0" xr:uid="{ECDF5826-98B2-4BA6-A0C2-5E6AD7C48E1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D16" authorId="0" shapeId="0" xr:uid="{B0CF2A5D-1BB0-489A-B02E-B0CB43E9A42C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由SPFH590 T=1.5设变成SPFH590  t=1.6</t>
        </r>
      </text>
    </comment>
    <comment ref="B19" authorId="2" shapeId="0" xr:uid="{D5F24E80-21F6-4253-B98C-A07DFDD32394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20" authorId="2" shapeId="0" xr:uid="{2DA2BCAA-6CD2-46C1-BE22-C328E42372B1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21" authorId="2" shapeId="0" xr:uid="{23CF0732-AAD5-4A4E-A001-C5A13ACC3E86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22" authorId="2" shapeId="0" xr:uid="{7AC91080-7AAA-4A0A-821F-D347AEFA1A59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副驾底支架专用，共计4个件：1031、1032、1033、1034（1034单台4个）。</t>
        </r>
      </text>
    </comment>
    <comment ref="D22" authorId="1" shapeId="0" xr:uid="{AB045E23-43BC-4C2D-B0DD-EC5D5F26861C}">
      <text>
        <r>
          <rPr>
            <sz val="12"/>
            <rFont val="宋体"/>
            <family val="3"/>
            <charset val="134"/>
          </rPr>
          <t>由S420MC  t=2.5材质设变成QSTE420TM</t>
        </r>
      </text>
    </comment>
    <comment ref="B23" authorId="2" shapeId="0" xr:uid="{5D7AC24D-6AE2-4F4B-8FA8-B764EBF0CC37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</t>
        </r>
      </text>
    </comment>
    <comment ref="D23" authorId="1" shapeId="0" xr:uid="{9EF0C886-D6B9-48A7-9EC9-25A310B324FC}">
      <text>
        <r>
          <rPr>
            <sz val="12"/>
            <rFont val="宋体"/>
            <family val="3"/>
            <charset val="134"/>
          </rPr>
          <t>由S420MC  t=2.5材质设变成QSTE420TM</t>
        </r>
      </text>
    </comment>
    <comment ref="B24" authorId="2" shapeId="0" xr:uid="{1C35851D-2CA1-41CB-8166-1EAA0E358ABF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副驾底支架专用，共计4个件：1031、1032、1033、1034（1034单台4个）。</t>
        </r>
      </text>
    </comment>
    <comment ref="D24" authorId="1" shapeId="0" xr:uid="{D0506014-BA86-41DE-8BA5-63453AAB18F7}">
      <text>
        <r>
          <rPr>
            <sz val="12"/>
            <rFont val="宋体"/>
            <family val="3"/>
            <charset val="134"/>
          </rPr>
          <t>由S420MC  t=2.5材质设变成QSTE420TM</t>
        </r>
      </text>
    </comment>
    <comment ref="D26" authorId="1" shapeId="0" xr:uid="{5B94DCDC-DFB0-43B8-8316-77E63BC19FFB}">
      <text>
        <r>
          <rPr>
            <sz val="12"/>
            <rFont val="宋体"/>
            <family val="3"/>
            <charset val="134"/>
          </rPr>
          <t>SPFH590  t=1.5设变成SPFH590  t=1.6</t>
        </r>
      </text>
    </comment>
    <comment ref="D27" authorId="1" shapeId="0" xr:uid="{CA7912D0-117C-46F3-9F9E-22CA6DD61B27}">
      <text>
        <r>
          <rPr>
            <sz val="12"/>
            <rFont val="宋体"/>
            <family val="3"/>
            <charset val="134"/>
          </rPr>
          <t>SPFH590  t=1.5设变成SPFH590  t=1.6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  <author>dreamsummit</author>
  </authors>
  <commentList>
    <comment ref="I2" authorId="0" shapeId="0" xr:uid="{4E455DBA-F964-459A-B44B-04DC8E9B954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应扣除</t>
        </r>
      </text>
    </comment>
    <comment ref="J2" authorId="0" shapeId="0" xr:uid="{38A42BE5-6EB8-4440-AABE-91F03965DCE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应从货款扣除</t>
        </r>
      </text>
    </comment>
    <comment ref="B77" authorId="1" shapeId="0" xr:uid="{2F04BD82-6962-4679-877B-2F9D00DEC811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82" authorId="1" shapeId="0" xr:uid="{8B29D9D1-A513-469D-BD06-8580D52885E4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87" authorId="1" shapeId="0" xr:uid="{26A5E305-5364-4629-A58F-77BEC3DA6D79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91" authorId="1" shapeId="0" xr:uid="{B74107DF-E742-42BE-83D6-D1D8EC1DE8C1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副驾底支架专用，共计4个件：1031、1032、1033、1034（1034单台4个）。</t>
        </r>
      </text>
    </comment>
    <comment ref="B97" authorId="1" shapeId="0" xr:uid="{F4771711-A07C-4E75-A802-67D6EBB8C7D6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</t>
        </r>
      </text>
    </comment>
    <comment ref="B100" authorId="1" shapeId="0" xr:uid="{29FD2847-174A-4D7A-BFB6-D2ABFF273BA5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  <author>dreamsummit</author>
  </authors>
  <commentList>
    <comment ref="I2" authorId="0" shapeId="0" xr:uid="{962E3900-5A22-417F-AA81-4367232815A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应扣除</t>
        </r>
      </text>
    </comment>
    <comment ref="J2" authorId="0" shapeId="0" xr:uid="{426769CB-345C-484A-8E75-4EF9F2240D3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应从货款扣除</t>
        </r>
      </text>
    </comment>
    <comment ref="B77" authorId="1" shapeId="0" xr:uid="{A688BABF-B870-45A0-8E20-FDD0CBFF068D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82" authorId="1" shapeId="0" xr:uid="{0CC3862F-C5CC-4DD5-AA5F-37BA5E49BE89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87" authorId="1" shapeId="0" xr:uid="{6BCEC556-D993-43A7-870C-4800617ABB76}">
      <text>
        <r>
          <rPr>
            <b/>
            <sz val="9"/>
            <rFont val="宋体"/>
            <family val="3"/>
            <charset val="134"/>
          </rPr>
          <t>主驾底支架专用，共计7个件，岳众846、848、851。荣威850、852、853、854。</t>
        </r>
      </text>
    </comment>
    <comment ref="B91" authorId="1" shapeId="0" xr:uid="{1F4C0102-05B6-4B4E-B066-073F9DA56E03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副驾底支架专用，共计4个件：1031、1032、1033、1034（1034单台4个）。</t>
        </r>
      </text>
    </comment>
    <comment ref="B97" authorId="1" shapeId="0" xr:uid="{1A0972C2-E292-4BE4-B476-6F4E59149EAF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</t>
        </r>
      </text>
    </comment>
    <comment ref="B100" authorId="1" shapeId="0" xr:uid="{93CB5443-6F1B-4CA3-9D10-82A9B7328AF4}">
      <text>
        <r>
          <rPr>
            <b/>
            <sz val="9"/>
            <rFont val="宋体"/>
            <family val="3"/>
            <charset val="134"/>
          </rPr>
          <t>副驾底支架专用，共计4个件：1031、1032、1033、1034（1034单台4个）。</t>
        </r>
      </text>
    </comment>
  </commentList>
</comments>
</file>

<file path=xl/sharedStrings.xml><?xml version="1.0" encoding="utf-8"?>
<sst xmlns="http://schemas.openxmlformats.org/spreadsheetml/2006/main" count="1506" uniqueCount="304">
  <si>
    <t>荣昌</t>
    <phoneticPr fontId="2" type="noConversion"/>
  </si>
  <si>
    <t>产品名称</t>
  </si>
  <si>
    <t>图号</t>
  </si>
  <si>
    <t>安全带上固定钣金</t>
  </si>
  <si>
    <t>副司机安全带上固定钣金（H6）</t>
  </si>
  <si>
    <t>SHT0010368</t>
  </si>
  <si>
    <t>安全带上固定加强钣金</t>
  </si>
  <si>
    <t>SHT0010249</t>
  </si>
  <si>
    <t>副司机安全带上固定加强钣金（H6）</t>
  </si>
  <si>
    <t>SHT0010369</t>
  </si>
  <si>
    <t>安全带高调机构固定板1</t>
  </si>
  <si>
    <t>SHT0010775</t>
  </si>
  <si>
    <t>安全带高调机构固定板2</t>
  </si>
  <si>
    <t>SHT0010776</t>
  </si>
  <si>
    <t>司机主边调角器下连接板A</t>
  </si>
  <si>
    <t>SHT0010722</t>
  </si>
  <si>
    <t>司机副边调角器下连接钣A</t>
  </si>
  <si>
    <t>SHT0010724</t>
  </si>
  <si>
    <t>司机主边调角器下连接板B</t>
  </si>
  <si>
    <t>SHT0010723</t>
  </si>
  <si>
    <t>司机副边调角器下连接钣B</t>
  </si>
  <si>
    <t>SHT0010725</t>
  </si>
  <si>
    <t>扶手固定加强板1</t>
  </si>
  <si>
    <t>SHT0010070</t>
  </si>
  <si>
    <t>扶手固定加强板2</t>
  </si>
  <si>
    <t>SHT0010245</t>
  </si>
  <si>
    <t>内绞架支撑钣金</t>
  </si>
  <si>
    <t>SHT0010050</t>
  </si>
  <si>
    <t>外绞架支撑钣金</t>
  </si>
  <si>
    <t>SHT0010057</t>
  </si>
  <si>
    <t>支架左边板</t>
  </si>
  <si>
    <t>SHT0010846</t>
  </si>
  <si>
    <t>支架右边板</t>
  </si>
  <si>
    <t>SHT0010848</t>
  </si>
  <si>
    <t>支架后板</t>
  </si>
  <si>
    <t>SHT0010851</t>
  </si>
  <si>
    <t>H6副司机座椅底支架上板</t>
  </si>
  <si>
    <t>SHT0011031</t>
  </si>
  <si>
    <t>H6副司机座椅底支架左下板</t>
  </si>
  <si>
    <t>SHT0011032</t>
  </si>
  <si>
    <t>H6副司机座椅底支架右下板</t>
  </si>
  <si>
    <t>SHT0011033</t>
  </si>
  <si>
    <t>气囊支撑钣金</t>
  </si>
  <si>
    <t>SHT0010051</t>
  </si>
  <si>
    <t>仰角小齿板防护板</t>
  </si>
  <si>
    <t>SHT0010840</t>
  </si>
  <si>
    <t>副司机仰角小齿板防护板</t>
  </si>
  <si>
    <t>SHT0011421</t>
  </si>
  <si>
    <t>坐垫翻折连接钣金左</t>
  </si>
  <si>
    <t>SHT0010385</t>
  </si>
  <si>
    <t>坐垫翻折连接钣金右</t>
  </si>
  <si>
    <t>SHT0010386</t>
  </si>
  <si>
    <t>蜗簧固定钣金片1</t>
  </si>
  <si>
    <t>SHT0010191</t>
  </si>
  <si>
    <t>副驾蜗簧固定钣金片1</t>
  </si>
  <si>
    <t>SHT0010384</t>
  </si>
  <si>
    <t>坐垫翻折支撑钣金右</t>
  </si>
  <si>
    <t>SHT0010371</t>
  </si>
  <si>
    <t>坐垫翻折支撑钣金左</t>
  </si>
  <si>
    <t>SHT0010370</t>
  </si>
  <si>
    <t>减震器上框后横梁</t>
  </si>
  <si>
    <t>SHT0010215</t>
  </si>
  <si>
    <t>气囊下支撑板金</t>
  </si>
  <si>
    <t>SHT0010080</t>
  </si>
  <si>
    <t>座框前连接板</t>
  </si>
  <si>
    <t>SHT0010132</t>
  </si>
  <si>
    <t>左旁侧板</t>
  </si>
  <si>
    <t>SHT0010696</t>
  </si>
  <si>
    <t>右旁侧板</t>
  </si>
  <si>
    <t>SHT0010698</t>
  </si>
  <si>
    <t>H6副驾安全带固定钣金</t>
  </si>
  <si>
    <t>SHT0010395</t>
  </si>
  <si>
    <t>仰角调节钣金</t>
  </si>
  <si>
    <t>SHT0010260</t>
  </si>
  <si>
    <t>坐垫翻折限位钣金</t>
    <phoneticPr fontId="2" type="noConversion"/>
  </si>
  <si>
    <t>SHT0010372</t>
    <phoneticPr fontId="2" type="noConversion"/>
  </si>
  <si>
    <t>冲次费（元）</t>
    <phoneticPr fontId="2" type="noConversion"/>
  </si>
  <si>
    <t>废铁总价</t>
    <phoneticPr fontId="2" type="noConversion"/>
  </si>
  <si>
    <t>序号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</si>
  <si>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</si>
  <si>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</si>
  <si>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</si>
  <si>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</si>
  <si>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</si>
  <si>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</si>
  <si>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</si>
  <si>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</si>
  <si>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</si>
  <si>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</si>
  <si>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</si>
  <si>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</si>
  <si>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</si>
  <si>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</si>
  <si>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</si>
  <si>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</si>
  <si>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</si>
  <si>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</si>
  <si>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</si>
  <si>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</si>
  <si>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</si>
  <si>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</si>
  <si>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</si>
  <si>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</si>
  <si>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</si>
  <si>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</si>
  <si>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</si>
  <si>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</si>
  <si>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</si>
  <si>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</si>
  <si>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</si>
  <si>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</si>
  <si>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</si>
  <si>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</si>
  <si>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</si>
  <si>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</si>
  <si>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  <phoneticPr fontId="2" type="noConversion"/>
  </si>
  <si>
    <t>荣昌发货数量（件）</t>
    <phoneticPr fontId="2" type="noConversion"/>
  </si>
  <si>
    <t>荣昌应付</t>
    <phoneticPr fontId="2" type="noConversion"/>
  </si>
  <si>
    <t>荣昌应收</t>
    <phoneticPr fontId="2" type="noConversion"/>
  </si>
  <si>
    <t>原材料损失数</t>
    <phoneticPr fontId="2" type="noConversion"/>
  </si>
  <si>
    <t>原材料损失费用</t>
    <phoneticPr fontId="2" type="noConversion"/>
  </si>
  <si>
    <t>材质</t>
    <phoneticPr fontId="2" type="noConversion"/>
  </si>
  <si>
    <t>SHT0010073</t>
    <phoneticPr fontId="2" type="noConversion"/>
  </si>
  <si>
    <t>原材料单价（元/kg）</t>
    <phoneticPr fontId="2" type="noConversion"/>
  </si>
  <si>
    <t>SAPH440 T=6.0</t>
    <phoneticPr fontId="2" type="noConversion"/>
  </si>
  <si>
    <t>应收款</t>
    <phoneticPr fontId="2" type="noConversion"/>
  </si>
  <si>
    <t>单件废铁费用</t>
    <phoneticPr fontId="2" type="noConversion"/>
  </si>
  <si>
    <t>冲次费总价</t>
    <phoneticPr fontId="2" type="noConversion"/>
  </si>
  <si>
    <t>岳众应收</t>
    <phoneticPr fontId="2" type="noConversion"/>
  </si>
  <si>
    <t>合同编号</t>
  </si>
  <si>
    <t>具体事项</t>
  </si>
  <si>
    <t>合同总金额</t>
  </si>
  <si>
    <t>付款比例</t>
    <phoneticPr fontId="14" type="noConversion"/>
  </si>
  <si>
    <t>结算方式</t>
    <phoneticPr fontId="14" type="noConversion"/>
  </si>
  <si>
    <t>说明</t>
    <phoneticPr fontId="14" type="noConversion"/>
  </si>
  <si>
    <t>GHRC-HB-CG-202005002</t>
    <phoneticPr fontId="14" type="noConversion"/>
  </si>
  <si>
    <t>H6冲压模具</t>
    <phoneticPr fontId="14" type="noConversion"/>
  </si>
  <si>
    <t>发货款30%（有6套模有争议、1套模具未做）</t>
    <phoneticPr fontId="14" type="noConversion"/>
  </si>
  <si>
    <t>承兑</t>
    <phoneticPr fontId="14" type="noConversion"/>
  </si>
  <si>
    <t>确定后再支付</t>
    <phoneticPr fontId="14" type="noConversion"/>
  </si>
  <si>
    <t>停付金额</t>
    <phoneticPr fontId="2" type="noConversion"/>
  </si>
  <si>
    <t>2021年10月阶段性付款金额</t>
    <phoneticPr fontId="2" type="noConversion"/>
  </si>
  <si>
    <t>打件费</t>
    <phoneticPr fontId="2" type="noConversion"/>
  </si>
  <si>
    <t>模具费-发货款</t>
    <phoneticPr fontId="2" type="noConversion"/>
  </si>
  <si>
    <t>预付款比例</t>
    <phoneticPr fontId="2" type="noConversion"/>
  </si>
  <si>
    <t>应付预付款</t>
    <phoneticPr fontId="2" type="noConversion"/>
  </si>
  <si>
    <t>实付预付款</t>
    <phoneticPr fontId="2" type="noConversion"/>
  </si>
  <si>
    <t>合同未付金额</t>
    <phoneticPr fontId="14" type="noConversion"/>
  </si>
  <si>
    <t>剩余合同应付</t>
    <phoneticPr fontId="2" type="noConversion"/>
  </si>
  <si>
    <t>岳众</t>
    <phoneticPr fontId="2" type="noConversion"/>
  </si>
  <si>
    <t>运费</t>
    <phoneticPr fontId="2" type="noConversion"/>
  </si>
  <si>
    <t>说明</t>
    <phoneticPr fontId="2" type="noConversion"/>
  </si>
  <si>
    <t>H6打件样品结算-含13%增值税</t>
    <phoneticPr fontId="2" type="noConversion"/>
  </si>
  <si>
    <t>运费-含税</t>
    <phoneticPr fontId="2" type="noConversion"/>
  </si>
  <si>
    <t>双方费用结算-含13%增值税</t>
    <phoneticPr fontId="2" type="noConversion"/>
  </si>
  <si>
    <t>预估模具维修费</t>
    <phoneticPr fontId="2" type="noConversion"/>
  </si>
  <si>
    <t>产品材质</t>
    <phoneticPr fontId="2" type="noConversion"/>
  </si>
  <si>
    <t>工序模</t>
    <phoneticPr fontId="2" type="noConversion"/>
  </si>
  <si>
    <t>落料</t>
  </si>
  <si>
    <t>成型</t>
  </si>
  <si>
    <t>冲孔</t>
  </si>
  <si>
    <t>模具未税价-万元</t>
    <phoneticPr fontId="2" type="noConversion"/>
  </si>
  <si>
    <t>冲压吨位T</t>
    <phoneticPr fontId="2" type="noConversion"/>
  </si>
  <si>
    <t>落料</t>
    <phoneticPr fontId="2" type="noConversion"/>
  </si>
  <si>
    <t>成型</t>
    <phoneticPr fontId="2" type="noConversion"/>
  </si>
  <si>
    <t>冲孔</t>
    <phoneticPr fontId="2" type="noConversion"/>
  </si>
  <si>
    <t>翻边成型</t>
    <phoneticPr fontId="2" type="noConversion"/>
  </si>
  <si>
    <t>翻边</t>
    <phoneticPr fontId="2" type="noConversion"/>
  </si>
  <si>
    <t>修边冲孔</t>
    <phoneticPr fontId="2" type="noConversion"/>
  </si>
  <si>
    <t>冲孔侧冲孔</t>
    <phoneticPr fontId="2" type="noConversion"/>
  </si>
  <si>
    <t>落料冲孔</t>
    <phoneticPr fontId="2" type="noConversion"/>
  </si>
  <si>
    <t>成型冲孔</t>
    <phoneticPr fontId="2" type="noConversion"/>
  </si>
  <si>
    <t>侧修边冲孔</t>
    <phoneticPr fontId="2" type="noConversion"/>
  </si>
  <si>
    <t>分切冲孔</t>
    <phoneticPr fontId="2" type="noConversion"/>
  </si>
  <si>
    <t>修边</t>
    <phoneticPr fontId="2" type="noConversion"/>
  </si>
  <si>
    <t>压小勾</t>
    <phoneticPr fontId="2" type="noConversion"/>
  </si>
  <si>
    <t>侧冲孔</t>
    <phoneticPr fontId="2" type="noConversion"/>
  </si>
  <si>
    <t>整形</t>
    <phoneticPr fontId="2" type="noConversion"/>
  </si>
  <si>
    <t>拉伸</t>
    <phoneticPr fontId="2" type="noConversion"/>
  </si>
  <si>
    <t>翻边整形</t>
    <phoneticPr fontId="2" type="noConversion"/>
  </si>
  <si>
    <t>拉延</t>
    <phoneticPr fontId="2" type="noConversion"/>
  </si>
  <si>
    <t>侧切边冲孔</t>
    <phoneticPr fontId="2" type="noConversion"/>
  </si>
  <si>
    <t>折弯</t>
    <phoneticPr fontId="2" type="noConversion"/>
  </si>
  <si>
    <t>模具含税价-万元</t>
    <phoneticPr fontId="2" type="noConversion"/>
  </si>
  <si>
    <t>预估未税维修费-万元</t>
    <phoneticPr fontId="2" type="noConversion"/>
  </si>
  <si>
    <t>预估含税维修费-万元</t>
    <phoneticPr fontId="2" type="noConversion"/>
  </si>
  <si>
    <t>合计（万元）</t>
    <phoneticPr fontId="2" type="noConversion"/>
  </si>
  <si>
    <t>合计（元）</t>
    <phoneticPr fontId="2" type="noConversion"/>
  </si>
  <si>
    <t>SPFH590  t=1.6</t>
  </si>
  <si>
    <t>QSTE420TM  t=2.0</t>
  </si>
  <si>
    <t>QSTE420TM  t=2.5</t>
    <phoneticPr fontId="2" type="noConversion"/>
  </si>
  <si>
    <t>SHT0010775</t>
    <phoneticPr fontId="2" type="noConversion"/>
  </si>
  <si>
    <t>SPFH590  t=1.6</t>
    <phoneticPr fontId="2" type="noConversion"/>
  </si>
  <si>
    <t>SHT0011031</t>
    <phoneticPr fontId="2" type="noConversion"/>
  </si>
  <si>
    <t>QSTE420TM  t=2.5</t>
  </si>
  <si>
    <t>SHT0010840</t>
    <phoneticPr fontId="2" type="noConversion"/>
  </si>
  <si>
    <t>转为模摊</t>
  </si>
  <si>
    <t>制件与废料不分离。</t>
  </si>
  <si>
    <t>未TD</t>
  </si>
  <si>
    <t>取消第四序，作业内容已移到第一序。</t>
  </si>
  <si>
    <t>翻边拉毛，需TD。</t>
  </si>
  <si>
    <t>修J4、J6、J7孔，调试，试装，验证</t>
  </si>
  <si>
    <t>翻边超差，修模，调试，试装，验证</t>
  </si>
  <si>
    <t>通规不通过。修模，调试，试装，验证</t>
  </si>
  <si>
    <t>新增打凸包模具，凸包修模，调试，试装，验证</t>
  </si>
  <si>
    <t>未TD,修整凸包高度</t>
  </si>
  <si>
    <t>与连接板A配合有缝隙，调整修边尺寸</t>
  </si>
  <si>
    <t>产品与靠背骨架侧边板0064无法匹配，放不进去。</t>
  </si>
  <si>
    <t>段差修模，调试，试装，验证</t>
  </si>
  <si>
    <t>定位修模，调试，试装，验证</t>
  </si>
  <si>
    <t>未验收</t>
  </si>
  <si>
    <t>修落料，调整折弯尺寸</t>
  </si>
  <si>
    <t>开口尺寸超差，未TD。</t>
  </si>
  <si>
    <t>修模，调试，试装，验证</t>
  </si>
  <si>
    <t>制件与原材料不分离。修退料，落料尺寸，调试，试装，验证.</t>
  </si>
  <si>
    <t>需修整落料模具。修模，调试，试装，验证</t>
  </si>
  <si>
    <t>需修改落料冲孔，修模，调试，试装，验证</t>
  </si>
  <si>
    <t>上模不脱料。</t>
  </si>
  <si>
    <t>U型压料板崩断</t>
  </si>
  <si>
    <t>长方形斜冲孔毛刺。</t>
  </si>
  <si>
    <t>整形不平</t>
  </si>
  <si>
    <t>需修整孔位、产品平面度。修模，调试，试装，验证</t>
  </si>
  <si>
    <t>修冲孔，调试，试装，验证</t>
  </si>
  <si>
    <t>模具停开</t>
  </si>
  <si>
    <t>总结说明</t>
    <phoneticPr fontId="2" type="noConversion"/>
  </si>
  <si>
    <t>2.打件费用：①荣昌发往岳众的原材料，如100件，岳众实际寄回荣昌80件，损失的20件，按照荣昌购买原材的价格，属于荣昌应收（从打件费用中扣除）②每件原材料正常打件产生的废料，将按照市场废铁价格，属于荣昌应收（从打件费用中扣除）③岳众打件产生的制造费，属于荣昌应付。</t>
    <phoneticPr fontId="2" type="noConversion"/>
  </si>
  <si>
    <t>1.双方需要核对打件费用、模具费、往来运费、模具不良产生的后续维修费</t>
    <phoneticPr fontId="2" type="noConversion"/>
  </si>
  <si>
    <t>5.预估模具维修费：目前岳众部分模具并未具备合格状态，如未作TD处理等，荣昌转移模具后将自行或委外维修，因此产生的费用需要在发货款中扣除</t>
    <phoneticPr fontId="2" type="noConversion"/>
  </si>
  <si>
    <t>4.运费：我司发送原材料、岳众既往荣昌样品，均是由荣昌自行承担的运费。期间由于岳众将普通货运发成加急货运，因此荣昌产生超额运费，此费用应在发货款中扣除</t>
    <phoneticPr fontId="2" type="noConversion"/>
  </si>
  <si>
    <t>SPFH590 t=2.0</t>
  </si>
  <si>
    <t>SPFH590 t=1.6</t>
  </si>
  <si>
    <t>SPFH590 t=3.5</t>
  </si>
  <si>
    <t>SPFH590 t=4.0</t>
  </si>
  <si>
    <t>QSTE420TM  t=1.5</t>
  </si>
  <si>
    <t>SPFH590 t=3.0</t>
  </si>
  <si>
    <t>SAPH440 t=5.0</t>
  </si>
  <si>
    <t>SAPH440 t=3.0</t>
  </si>
  <si>
    <t>SAPH440 T=2.0</t>
  </si>
  <si>
    <t>SHT0010722</t>
    <phoneticPr fontId="2" type="noConversion"/>
  </si>
  <si>
    <t>此序新增，目前未计算模具费，不确认岳众到时是否提出.此模具是一处二？还是左右各加1付？</t>
    <phoneticPr fontId="2" type="noConversion"/>
  </si>
  <si>
    <t>3.模具费用：①有6种产品模具双方有争议，双方协商从模具合同中将货款扣除，由岳众为荣昌供应产品，每种产品的模具费分摊至对应的产品中，按照10万件/种或2年分摊②1种产品的模具岳众未开发，该费用直接从模具费用减掉③减去上述7种产品模具费，剩余模具费，按照合同进度，10月份应付30%发货款（发货款中应再扣除在预付款时已付的7种产品模具费的30%）。</t>
    <phoneticPr fontId="2" type="noConversion"/>
  </si>
  <si>
    <t>均为荣昌自行承担的往来运费</t>
    <phoneticPr fontId="2" type="noConversion"/>
  </si>
  <si>
    <t>新增打凸包模具(和SHT0010722通用)，凸包修模，调试，试装，验证</t>
    <phoneticPr fontId="2" type="noConversion"/>
  </si>
  <si>
    <t>岳众返回荣昌数量</t>
    <phoneticPr fontId="2" type="noConversion"/>
  </si>
  <si>
    <t>H6模具维修费-含13%增值税</t>
    <phoneticPr fontId="2" type="noConversion"/>
  </si>
  <si>
    <t>合同履行模具费用-含13%增值税</t>
    <phoneticPr fontId="2" type="noConversion"/>
  </si>
  <si>
    <t>厂家</t>
    <phoneticPr fontId="2" type="noConversion"/>
  </si>
  <si>
    <t>修J6、J7孔，调试，试装，验证</t>
    <phoneticPr fontId="25" type="noConversion"/>
  </si>
  <si>
    <t>开口尺寸超差，未TD。</t>
    <phoneticPr fontId="25" type="noConversion"/>
  </si>
  <si>
    <t>1.有6套模具不合格+1套坐垫翻折限位钣金模具未开，暂不转移，共计1005000+55596元。
2.我司已支付合同总价款的30%，即1305150元。
3.剩余总体应支付4350500-1305150-1005000-55596=1984754。
4.10月应付发货款，按照剪掉7套模具费用及首付款已经支付了的7套模具的30%，本次发货款应付（4350500-1005000-55596）*30%-（1005000+55596）*30%=668792.40
5.7套模具费用已从上述中剪掉，不再重复从模具维修费中扣除</t>
    <phoneticPr fontId="14" type="noConversion"/>
  </si>
  <si>
    <t>返回数量</t>
    <phoneticPr fontId="2" type="noConversion"/>
  </si>
  <si>
    <t>试模料数量（要剪掉）</t>
    <phoneticPr fontId="2" type="noConversion"/>
  </si>
  <si>
    <t>按照6套模具预付30%+70%分摊计算</t>
    <phoneticPr fontId="2" type="noConversion"/>
  </si>
  <si>
    <t>按照6套模具预付60%+40%分摊计算</t>
    <phoneticPr fontId="2" type="noConversion"/>
  </si>
  <si>
    <t>2021年7月14日，荣昌要求发隔日达，但岳众发送次日达，造成荣昌运费增加5943元，此笔费用应由岳众承担</t>
    <phoneticPr fontId="2" type="noConversion"/>
  </si>
  <si>
    <t>原材总损失数</t>
    <phoneticPr fontId="2" type="noConversion"/>
  </si>
  <si>
    <t>未使用板料（拉回荣昌，不算入损失）</t>
    <phoneticPr fontId="2" type="noConversion"/>
  </si>
  <si>
    <t>岳众返回荣威数量总结</t>
    <phoneticPr fontId="2" type="noConversion"/>
  </si>
  <si>
    <t>免费试模料数量（要剪掉）</t>
    <phoneticPr fontId="2" type="noConversion"/>
  </si>
  <si>
    <t>排除</t>
    <phoneticPr fontId="2" type="noConversion"/>
  </si>
  <si>
    <t>按照6套模具正常支付，1套停开</t>
    <phoneticPr fontId="2" type="noConversion"/>
  </si>
  <si>
    <t>方案</t>
    <phoneticPr fontId="2" type="noConversion"/>
  </si>
  <si>
    <t>一</t>
    <phoneticPr fontId="2" type="noConversion"/>
  </si>
  <si>
    <t>二</t>
    <phoneticPr fontId="2" type="noConversion"/>
  </si>
  <si>
    <t xml:space="preserve">三 </t>
    <phoneticPr fontId="2" type="noConversion"/>
  </si>
  <si>
    <t>四</t>
    <phoneticPr fontId="2" type="noConversion"/>
  </si>
  <si>
    <t>SHT0010385</t>
    <phoneticPr fontId="2" type="noConversion"/>
  </si>
  <si>
    <t>SHT0010057</t>
    <phoneticPr fontId="2" type="noConversion"/>
  </si>
  <si>
    <t>SHT0011032</t>
    <phoneticPr fontId="2" type="noConversion"/>
  </si>
  <si>
    <t>SHT0011033</t>
    <phoneticPr fontId="2" type="noConversion"/>
  </si>
  <si>
    <t>SHT0010051</t>
    <phoneticPr fontId="2" type="noConversion"/>
  </si>
  <si>
    <t>SHT0010386</t>
    <phoneticPr fontId="2" type="noConversion"/>
  </si>
  <si>
    <t>SHT0010191</t>
    <phoneticPr fontId="2" type="noConversion"/>
  </si>
  <si>
    <t>SHT0010384</t>
    <phoneticPr fontId="2" type="noConversion"/>
  </si>
  <si>
    <t>SHT0010371</t>
    <phoneticPr fontId="2" type="noConversion"/>
  </si>
  <si>
    <t>SHT0010370</t>
    <phoneticPr fontId="2" type="noConversion"/>
  </si>
  <si>
    <t>SHT0010215</t>
    <phoneticPr fontId="2" type="noConversion"/>
  </si>
  <si>
    <t>SHT0010080</t>
    <phoneticPr fontId="2" type="noConversion"/>
  </si>
  <si>
    <t>SHT0010132</t>
    <phoneticPr fontId="2" type="noConversion"/>
  </si>
  <si>
    <t>SHT0010696</t>
    <phoneticPr fontId="2" type="noConversion"/>
  </si>
  <si>
    <t>SHT0010698</t>
    <phoneticPr fontId="2" type="noConversion"/>
  </si>
  <si>
    <t>SHT0010395</t>
    <phoneticPr fontId="2" type="noConversion"/>
  </si>
  <si>
    <t>SHT0010260</t>
    <phoneticPr fontId="2" type="noConversion"/>
  </si>
  <si>
    <t>总计</t>
    <phoneticPr fontId="2" type="noConversion"/>
  </si>
  <si>
    <t>讨论方案</t>
    <phoneticPr fontId="2" type="noConversion"/>
  </si>
  <si>
    <t>★</t>
    <phoneticPr fontId="2" type="noConversion"/>
  </si>
  <si>
    <t>不计入</t>
    <phoneticPr fontId="2" type="noConversion"/>
  </si>
  <si>
    <t>废铁重量</t>
    <phoneticPr fontId="2" type="noConversion"/>
  </si>
  <si>
    <t>废铁单价</t>
    <phoneticPr fontId="2" type="noConversion"/>
  </si>
  <si>
    <t>产品毛重kg</t>
    <phoneticPr fontId="2" type="noConversion"/>
  </si>
  <si>
    <t>产品净重kg</t>
    <phoneticPr fontId="2" type="noConversion"/>
  </si>
  <si>
    <t>废铁</t>
    <phoneticPr fontId="2" type="noConversion"/>
  </si>
  <si>
    <t>SHT0010050</t>
    <phoneticPr fontId="2" type="noConversion"/>
  </si>
  <si>
    <t>SHT0010723</t>
    <phoneticPr fontId="2" type="noConversion"/>
  </si>
  <si>
    <t>3D激光切割费用（元）</t>
    <phoneticPr fontId="2" type="noConversion"/>
  </si>
  <si>
    <t>2D激光切割费用（元）</t>
    <phoneticPr fontId="2" type="noConversion"/>
  </si>
  <si>
    <t>SHT0010249</t>
    <phoneticPr fontId="2" type="noConversion"/>
  </si>
  <si>
    <t>3D激光切割总价</t>
    <phoneticPr fontId="2" type="noConversion"/>
  </si>
  <si>
    <t>2D激光切割总价</t>
    <phoneticPr fontId="2" type="noConversion"/>
  </si>
  <si>
    <t>选定方案</t>
    <phoneticPr fontId="2" type="noConversion"/>
  </si>
  <si>
    <t>会签：</t>
    <phoneticPr fontId="2" type="noConversion"/>
  </si>
  <si>
    <t>设变费用</t>
    <phoneticPr fontId="2" type="noConversion"/>
  </si>
  <si>
    <t>合计应付（发货款+设变费）</t>
    <phoneticPr fontId="2" type="noConversion"/>
  </si>
  <si>
    <t>17+31+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</si>
</sst>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);[Red]\(#,##0.00\)"/>
    <numFmt numFmtId="178" formatCode="0.00_);[Red]\(0.00\)"/>
    <numFmt numFmtId="179" formatCode="0_);[Red]\(0\)"/>
  </numFmts>
  <fonts count="3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9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24"/>
      <color theme="1"/>
      <name val="等线"/>
      <family val="3"/>
      <charset val="134"/>
      <scheme val="minor"/>
    </font>
    <font>
      <sz val="11"/>
      <color indexed="8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等线"/>
      <family val="3"/>
      <charset val="134"/>
      <scheme val="minor"/>
    </font>
    <font>
      <sz val="16"/>
      <color theme="1"/>
      <name val="等线"/>
      <family val="2"/>
      <scheme val="minor"/>
    </font>
    <font>
      <sz val="16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</font>
    <font>
      <sz val="9"/>
      <name val="Arial"/>
      <family val="2"/>
    </font>
    <font>
      <b/>
      <sz val="11"/>
      <color theme="1"/>
      <name val="等线"/>
      <family val="3"/>
      <charset val="134"/>
      <scheme val="minor"/>
    </font>
    <font>
      <sz val="20"/>
      <color theme="1"/>
      <name val="微软雅黑"/>
      <family val="2"/>
      <charset val="134"/>
    </font>
    <font>
      <b/>
      <sz val="12"/>
      <color rgb="FFFF0000"/>
      <name val="等线"/>
      <family val="3"/>
      <charset val="134"/>
      <scheme val="minor"/>
    </font>
    <font>
      <sz val="20"/>
      <color theme="1"/>
      <name val="等线"/>
      <family val="2"/>
      <scheme val="minor"/>
    </font>
    <font>
      <b/>
      <sz val="16"/>
      <color theme="1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7499923703726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/>
    <xf numFmtId="0" fontId="26" fillId="0" borderId="1" applyNumberFormat="0" applyFill="0" applyBorder="0" applyAlignment="0" applyProtection="0">
      <alignment vertical="center"/>
    </xf>
    <xf numFmtId="0" fontId="3" fillId="0" borderId="0"/>
  </cellStyleXfs>
  <cellXfs count="204">
    <xf numFmtId="0" fontId="0" fillId="0" borderId="0" xfId="0"/>
    <xf numFmtId="0" fontId="0" fillId="0" borderId="1" xfId="0" applyBorder="1" applyAlignment="1">
      <alignment horizontal="center" vertical="center"/>
    </xf>
    <xf numFmtId="0" fontId="6" fillId="0" borderId="0" xfId="3">
      <alignment vertical="center"/>
    </xf>
    <xf numFmtId="0" fontId="6" fillId="0" borderId="1" xfId="3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6" fillId="0" borderId="1" xfId="3" applyBorder="1">
      <alignment vertical="center"/>
    </xf>
    <xf numFmtId="0" fontId="5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6" fillId="0" borderId="0" xfId="3" applyAlignment="1">
      <alignment horizontal="center" vertical="center"/>
    </xf>
    <xf numFmtId="49" fontId="11" fillId="0" borderId="1" xfId="4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2" fontId="6" fillId="0" borderId="1" xfId="3" applyNumberFormat="1" applyBorder="1" applyAlignment="1">
      <alignment horizontal="center" vertical="center"/>
    </xf>
    <xf numFmtId="0" fontId="6" fillId="0" borderId="1" xfId="3" applyBorder="1" applyAlignment="1">
      <alignment horizontal="center" vertical="center" wrapText="1"/>
    </xf>
    <xf numFmtId="2" fontId="6" fillId="0" borderId="1" xfId="3" applyNumberFormat="1" applyBorder="1" applyAlignment="1">
      <alignment horizontal="right" vertical="center"/>
    </xf>
    <xf numFmtId="176" fontId="6" fillId="0" borderId="1" xfId="3" applyNumberFormat="1" applyBorder="1" applyAlignment="1">
      <alignment horizontal="right" vertical="center"/>
    </xf>
    <xf numFmtId="0" fontId="6" fillId="0" borderId="1" xfId="3" applyBorder="1" applyAlignment="1">
      <alignment horizontal="right" vertical="center"/>
    </xf>
    <xf numFmtId="2" fontId="9" fillId="0" borderId="1" xfId="3" applyNumberFormat="1" applyFont="1" applyBorder="1" applyAlignment="1">
      <alignment horizontal="right" vertical="center"/>
    </xf>
    <xf numFmtId="2" fontId="12" fillId="0" borderId="1" xfId="3" applyNumberFormat="1" applyFont="1" applyBorder="1" applyAlignment="1">
      <alignment horizontal="right" vertical="center"/>
    </xf>
    <xf numFmtId="0" fontId="13" fillId="0" borderId="1" xfId="5" applyFont="1" applyBorder="1" applyAlignment="1">
      <alignment horizontal="center" vertical="center"/>
    </xf>
    <xf numFmtId="177" fontId="13" fillId="0" borderId="1" xfId="5" applyNumberFormat="1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6" fillId="0" borderId="0" xfId="5">
      <alignment vertical="center"/>
    </xf>
    <xf numFmtId="0" fontId="15" fillId="0" borderId="1" xfId="5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horizontal="left" vertical="center" wrapText="1"/>
    </xf>
    <xf numFmtId="0" fontId="16" fillId="0" borderId="0" xfId="5" applyFont="1" applyFill="1" applyAlignment="1">
      <alignment horizontal="left" vertical="center"/>
    </xf>
    <xf numFmtId="0" fontId="6" fillId="0" borderId="0" xfId="5" applyFill="1">
      <alignment vertical="center"/>
    </xf>
    <xf numFmtId="176" fontId="16" fillId="0" borderId="1" xfId="5" applyNumberFormat="1" applyFont="1" applyFill="1" applyBorder="1" applyAlignment="1">
      <alignment horizontal="center" vertical="center" wrapText="1"/>
    </xf>
    <xf numFmtId="0" fontId="0" fillId="0" borderId="1" xfId="0" applyBorder="1"/>
    <xf numFmtId="2" fontId="5" fillId="0" borderId="1" xfId="3" applyNumberFormat="1" applyFont="1" applyBorder="1" applyAlignment="1">
      <alignment horizontal="center" vertical="center"/>
    </xf>
    <xf numFmtId="0" fontId="6" fillId="0" borderId="1" xfId="3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6" fillId="0" borderId="0" xfId="3" applyAlignment="1">
      <alignment horizontal="left" vertical="center"/>
    </xf>
    <xf numFmtId="2" fontId="0" fillId="0" borderId="0" xfId="0" applyNumberFormat="1"/>
    <xf numFmtId="177" fontId="16" fillId="0" borderId="1" xfId="0" applyNumberFormat="1" applyFont="1" applyFill="1" applyBorder="1" applyAlignment="1">
      <alignment horizontal="right" vertical="center"/>
    </xf>
    <xf numFmtId="9" fontId="16" fillId="0" borderId="1" xfId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6" fillId="0" borderId="0" xfId="3" applyBorder="1">
      <alignment vertical="center"/>
    </xf>
    <xf numFmtId="0" fontId="22" fillId="0" borderId="1" xfId="2" applyFont="1" applyBorder="1" applyAlignment="1">
      <alignment horizontal="center" vertical="center" wrapText="1"/>
    </xf>
    <xf numFmtId="0" fontId="22" fillId="0" borderId="1" xfId="2" applyNumberFormat="1" applyFont="1" applyBorder="1" applyAlignment="1">
      <alignment horizontal="center" vertical="center" wrapText="1"/>
    </xf>
    <xf numFmtId="0" fontId="6" fillId="0" borderId="1" xfId="3" applyNumberFormat="1" applyBorder="1" applyAlignment="1">
      <alignment horizontal="center" vertical="center"/>
    </xf>
    <xf numFmtId="0" fontId="5" fillId="0" borderId="1" xfId="3" applyNumberFormat="1" applyFont="1" applyBorder="1" applyAlignment="1">
      <alignment horizontal="center" vertical="center"/>
    </xf>
    <xf numFmtId="0" fontId="6" fillId="0" borderId="0" xfId="3" applyNumberFormat="1">
      <alignment vertical="center"/>
    </xf>
    <xf numFmtId="0" fontId="6" fillId="3" borderId="1" xfId="3" applyFill="1" applyBorder="1" applyAlignment="1">
      <alignment horizontal="center" vertical="center"/>
    </xf>
    <xf numFmtId="0" fontId="6" fillId="3" borderId="1" xfId="3" applyFill="1" applyBorder="1" applyAlignment="1">
      <alignment horizontal="left" vertical="center"/>
    </xf>
    <xf numFmtId="0" fontId="6" fillId="3" borderId="1" xfId="3" applyNumberFormat="1" applyFill="1" applyBorder="1" applyAlignment="1">
      <alignment horizontal="center" vertical="center"/>
    </xf>
    <xf numFmtId="0" fontId="6" fillId="3" borderId="0" xfId="3" applyFill="1">
      <alignment vertical="center"/>
    </xf>
    <xf numFmtId="2" fontId="6" fillId="3" borderId="1" xfId="3" applyNumberFormat="1" applyFill="1" applyBorder="1" applyAlignment="1">
      <alignment horizontal="center" vertical="center"/>
    </xf>
    <xf numFmtId="2" fontId="6" fillId="4" borderId="1" xfId="3" applyNumberFormat="1" applyFill="1" applyBorder="1" applyAlignment="1">
      <alignment horizontal="center" vertical="center"/>
    </xf>
    <xf numFmtId="0" fontId="6" fillId="4" borderId="1" xfId="3" applyNumberFormat="1" applyFill="1" applyBorder="1" applyAlignment="1">
      <alignment horizontal="center" vertical="center"/>
    </xf>
    <xf numFmtId="0" fontId="6" fillId="4" borderId="1" xfId="3" applyFill="1" applyBorder="1" applyAlignment="1">
      <alignment horizontal="center" vertical="center"/>
    </xf>
    <xf numFmtId="0" fontId="6" fillId="4" borderId="1" xfId="3" applyFill="1" applyBorder="1" applyAlignment="1">
      <alignment horizontal="left" vertical="center"/>
    </xf>
    <xf numFmtId="0" fontId="6" fillId="4" borderId="0" xfId="3" applyFill="1">
      <alignment vertical="center"/>
    </xf>
    <xf numFmtId="0" fontId="6" fillId="4" borderId="1" xfId="3" applyFill="1" applyBorder="1">
      <alignment vertical="center"/>
    </xf>
    <xf numFmtId="2" fontId="5" fillId="4" borderId="1" xfId="3" applyNumberFormat="1" applyFont="1" applyFill="1" applyBorder="1" applyAlignment="1">
      <alignment horizontal="center" vertical="center"/>
    </xf>
    <xf numFmtId="0" fontId="5" fillId="4" borderId="1" xfId="3" applyNumberFormat="1" applyFont="1" applyFill="1" applyBorder="1" applyAlignment="1">
      <alignment horizontal="center" vertical="center"/>
    </xf>
    <xf numFmtId="0" fontId="6" fillId="0" borderId="0" xfId="3" applyBorder="1" applyAlignment="1">
      <alignment horizontal="left" vertical="center"/>
    </xf>
    <xf numFmtId="0" fontId="0" fillId="0" borderId="0" xfId="0" applyBorder="1"/>
    <xf numFmtId="0" fontId="8" fillId="4" borderId="1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/>
    </xf>
    <xf numFmtId="0" fontId="6" fillId="4" borderId="0" xfId="3" applyFill="1" applyAlignment="1">
      <alignment horizontal="center" vertical="center"/>
    </xf>
    <xf numFmtId="0" fontId="6" fillId="0" borderId="1" xfId="3" applyBorder="1" applyAlignment="1">
      <alignment vertical="center" wrapText="1"/>
    </xf>
    <xf numFmtId="0" fontId="6" fillId="5" borderId="1" xfId="3" applyFill="1" applyBorder="1">
      <alignment vertical="center"/>
    </xf>
    <xf numFmtId="0" fontId="6" fillId="5" borderId="1" xfId="3" applyNumberFormat="1" applyFill="1" applyBorder="1">
      <alignment vertical="center"/>
    </xf>
    <xf numFmtId="2" fontId="6" fillId="5" borderId="1" xfId="3" applyNumberFormat="1" applyFill="1" applyBorder="1" applyAlignment="1">
      <alignment horizontal="center" vertical="center"/>
    </xf>
    <xf numFmtId="0" fontId="6" fillId="5" borderId="1" xfId="3" applyFill="1" applyBorder="1" applyAlignment="1">
      <alignment horizontal="left" vertical="center"/>
    </xf>
    <xf numFmtId="0" fontId="6" fillId="6" borderId="1" xfId="3" applyFill="1" applyBorder="1" applyAlignment="1">
      <alignment horizontal="center" vertical="center"/>
    </xf>
    <xf numFmtId="0" fontId="8" fillId="5" borderId="1" xfId="3" applyFont="1" applyFill="1" applyBorder="1" applyAlignment="1">
      <alignment horizontal="center" vertical="center"/>
    </xf>
    <xf numFmtId="0" fontId="6" fillId="3" borderId="1" xfId="3" applyFill="1" applyBorder="1">
      <alignment vertical="center"/>
    </xf>
    <xf numFmtId="0" fontId="6" fillId="7" borderId="1" xfId="3" applyFill="1" applyBorder="1">
      <alignment vertical="center"/>
    </xf>
    <xf numFmtId="2" fontId="6" fillId="7" borderId="1" xfId="3" applyNumberFormat="1" applyFill="1" applyBorder="1" applyAlignment="1">
      <alignment horizontal="center" vertical="center"/>
    </xf>
    <xf numFmtId="0" fontId="6" fillId="7" borderId="1" xfId="3" applyFill="1" applyBorder="1" applyAlignment="1">
      <alignment horizontal="left" vertical="center"/>
    </xf>
    <xf numFmtId="2" fontId="6" fillId="8" borderId="1" xfId="3" applyNumberFormat="1" applyFill="1" applyBorder="1" applyAlignment="1">
      <alignment horizontal="center" vertical="center"/>
    </xf>
    <xf numFmtId="2" fontId="5" fillId="8" borderId="1" xfId="3" applyNumberFormat="1" applyFont="1" applyFill="1" applyBorder="1" applyAlignment="1">
      <alignment horizontal="center" vertical="center"/>
    </xf>
    <xf numFmtId="0" fontId="6" fillId="8" borderId="1" xfId="3" applyFill="1" applyBorder="1" applyAlignment="1">
      <alignment horizontal="center" vertical="center"/>
    </xf>
    <xf numFmtId="0" fontId="6" fillId="8" borderId="0" xfId="3" applyFill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8" fillId="7" borderId="1" xfId="3" applyFont="1" applyFill="1" applyBorder="1" applyAlignment="1">
      <alignment horizontal="center" vertical="center"/>
    </xf>
    <xf numFmtId="0" fontId="9" fillId="7" borderId="1" xfId="3" applyFont="1" applyFill="1" applyBorder="1" applyAlignment="1">
      <alignment horizontal="center" vertical="center"/>
    </xf>
    <xf numFmtId="0" fontId="6" fillId="7" borderId="0" xfId="3" applyFill="1" applyAlignment="1">
      <alignment horizontal="center" vertical="center"/>
    </xf>
    <xf numFmtId="2" fontId="6" fillId="2" borderId="1" xfId="3" applyNumberFormat="1" applyFill="1" applyBorder="1" applyAlignment="1">
      <alignment horizontal="center" vertical="center"/>
    </xf>
    <xf numFmtId="0" fontId="6" fillId="0" borderId="1" xfId="3" applyBorder="1" applyAlignment="1">
      <alignment horizontal="left" vertical="center" wrapText="1"/>
    </xf>
    <xf numFmtId="9" fontId="6" fillId="0" borderId="0" xfId="1" applyFont="1" applyAlignment="1">
      <alignment horizontal="left" vertical="center"/>
    </xf>
    <xf numFmtId="0" fontId="9" fillId="5" borderId="1" xfId="3" applyFont="1" applyFill="1" applyBorder="1" applyAlignment="1">
      <alignment horizontal="center" vertical="center"/>
    </xf>
    <xf numFmtId="0" fontId="6" fillId="5" borderId="0" xfId="3" applyFill="1" applyAlignment="1">
      <alignment horizontal="center" vertical="center"/>
    </xf>
    <xf numFmtId="178" fontId="9" fillId="0" borderId="1" xfId="3" applyNumberFormat="1" applyFont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6" fillId="2" borderId="0" xfId="3" applyFill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2" fontId="12" fillId="0" borderId="1" xfId="3" applyNumberFormat="1" applyFont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0" fontId="6" fillId="0" borderId="0" xfId="3" applyFill="1" applyAlignment="1">
      <alignment horizontal="center" vertical="center"/>
    </xf>
    <xf numFmtId="2" fontId="6" fillId="9" borderId="1" xfId="3" applyNumberFormat="1" applyFill="1" applyBorder="1" applyAlignment="1">
      <alignment horizontal="center" vertical="center"/>
    </xf>
    <xf numFmtId="2" fontId="5" fillId="9" borderId="1" xfId="3" applyNumberFormat="1" applyFont="1" applyFill="1" applyBorder="1" applyAlignment="1">
      <alignment horizontal="center" vertical="center"/>
    </xf>
    <xf numFmtId="49" fontId="11" fillId="2" borderId="1" xfId="4" applyNumberFormat="1" applyFont="1" applyFill="1" applyBorder="1" applyAlignment="1">
      <alignment horizontal="center" vertical="center"/>
    </xf>
    <xf numFmtId="0" fontId="6" fillId="2" borderId="1" xfId="3" applyFill="1" applyBorder="1" applyAlignment="1">
      <alignment horizontal="center" vertical="center"/>
    </xf>
    <xf numFmtId="0" fontId="6" fillId="2" borderId="1" xfId="3" applyFill="1" applyBorder="1" applyAlignment="1">
      <alignment horizontal="left" vertical="center"/>
    </xf>
    <xf numFmtId="2" fontId="12" fillId="2" borderId="1" xfId="3" applyNumberFormat="1" applyFont="1" applyFill="1" applyBorder="1" applyAlignment="1">
      <alignment horizontal="right" vertical="center"/>
    </xf>
    <xf numFmtId="2" fontId="12" fillId="2" borderId="1" xfId="3" applyNumberFormat="1" applyFont="1" applyFill="1" applyBorder="1" applyAlignment="1">
      <alignment horizontal="center" vertical="center"/>
    </xf>
    <xf numFmtId="2" fontId="6" fillId="2" borderId="1" xfId="3" applyNumberFormat="1" applyFill="1" applyBorder="1" applyAlignment="1">
      <alignment horizontal="right" vertical="center"/>
    </xf>
    <xf numFmtId="176" fontId="6" fillId="2" borderId="1" xfId="3" applyNumberFormat="1" applyFill="1" applyBorder="1" applyAlignment="1">
      <alignment horizontal="right" vertical="center"/>
    </xf>
    <xf numFmtId="0" fontId="6" fillId="2" borderId="0" xfId="3" applyFill="1">
      <alignment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2" fontId="5" fillId="2" borderId="1" xfId="3" applyNumberFormat="1" applyFont="1" applyFill="1" applyBorder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/>
    </xf>
    <xf numFmtId="0" fontId="6" fillId="0" borderId="1" xfId="3" applyFill="1" applyBorder="1" applyAlignment="1">
      <alignment horizontal="center" vertical="center"/>
    </xf>
    <xf numFmtId="0" fontId="6" fillId="0" borderId="1" xfId="3" applyFill="1" applyBorder="1" applyAlignment="1">
      <alignment horizontal="left" vertical="center"/>
    </xf>
    <xf numFmtId="2" fontId="6" fillId="0" borderId="1" xfId="3" applyNumberFormat="1" applyFill="1" applyBorder="1" applyAlignment="1">
      <alignment horizontal="center" vertical="center"/>
    </xf>
    <xf numFmtId="2" fontId="12" fillId="0" borderId="1" xfId="3" applyNumberFormat="1" applyFont="1" applyFill="1" applyBorder="1" applyAlignment="1">
      <alignment horizontal="right" vertical="center"/>
    </xf>
    <xf numFmtId="2" fontId="12" fillId="0" borderId="1" xfId="3" applyNumberFormat="1" applyFont="1" applyFill="1" applyBorder="1" applyAlignment="1">
      <alignment horizontal="center" vertical="center"/>
    </xf>
    <xf numFmtId="2" fontId="6" fillId="0" borderId="1" xfId="3" applyNumberFormat="1" applyFill="1" applyBorder="1" applyAlignment="1">
      <alignment horizontal="right" vertical="center"/>
    </xf>
    <xf numFmtId="176" fontId="6" fillId="0" borderId="1" xfId="3" applyNumberFormat="1" applyFill="1" applyBorder="1" applyAlignment="1">
      <alignment horizontal="right" vertical="center"/>
    </xf>
    <xf numFmtId="0" fontId="6" fillId="0" borderId="0" xfId="3" applyFill="1">
      <alignment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2" fontId="5" fillId="0" borderId="1" xfId="3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/>
    <xf numFmtId="0" fontId="28" fillId="0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 vertical="center"/>
    </xf>
    <xf numFmtId="177" fontId="31" fillId="0" borderId="1" xfId="0" applyNumberFormat="1" applyFont="1" applyBorder="1" applyAlignment="1">
      <alignment horizontal="center" vertical="center"/>
    </xf>
    <xf numFmtId="176" fontId="31" fillId="0" borderId="1" xfId="0" applyNumberFormat="1" applyFont="1" applyBorder="1" applyAlignment="1">
      <alignment horizontal="center" vertical="center"/>
    </xf>
    <xf numFmtId="57" fontId="31" fillId="0" borderId="1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4" fillId="10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4" fillId="10" borderId="1" xfId="0" applyFont="1" applyFill="1" applyBorder="1" applyAlignment="1">
      <alignment horizontal="left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5" borderId="5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5" xfId="3" applyBorder="1" applyAlignment="1">
      <alignment horizontal="center" vertical="center"/>
    </xf>
    <xf numFmtId="0" fontId="6" fillId="0" borderId="4" xfId="3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8" borderId="5" xfId="2" applyFont="1" applyFill="1" applyBorder="1" applyAlignment="1">
      <alignment horizontal="center" vertical="center" wrapText="1"/>
    </xf>
    <xf numFmtId="0" fontId="4" fillId="8" borderId="3" xfId="2" applyFont="1" applyFill="1" applyBorder="1" applyAlignment="1">
      <alignment horizontal="center" vertical="center" wrapText="1"/>
    </xf>
    <xf numFmtId="0" fontId="4" fillId="8" borderId="4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3" xfId="3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 wrapText="1"/>
    </xf>
    <xf numFmtId="0" fontId="6" fillId="0" borderId="1" xfId="3" applyBorder="1" applyAlignment="1">
      <alignment horizontal="center" vertical="center" wrapText="1"/>
    </xf>
    <xf numFmtId="0" fontId="4" fillId="7" borderId="5" xfId="2" applyFont="1" applyFill="1" applyBorder="1" applyAlignment="1">
      <alignment horizontal="center" vertical="center" wrapText="1"/>
    </xf>
    <xf numFmtId="0" fontId="4" fillId="7" borderId="4" xfId="2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1" fillId="0" borderId="5" xfId="4" applyNumberFormat="1" applyFont="1" applyBorder="1" applyAlignment="1">
      <alignment horizontal="center" vertical="center"/>
    </xf>
    <xf numFmtId="49" fontId="11" fillId="0" borderId="3" xfId="4" applyNumberFormat="1" applyFont="1" applyBorder="1" applyAlignment="1">
      <alignment horizontal="center" vertical="center"/>
    </xf>
    <xf numFmtId="49" fontId="11" fillId="0" borderId="4" xfId="4" applyNumberFormat="1" applyFont="1" applyBorder="1" applyAlignment="1">
      <alignment horizontal="center" vertical="center"/>
    </xf>
    <xf numFmtId="0" fontId="6" fillId="3" borderId="6" xfId="3" applyFill="1" applyBorder="1" applyAlignment="1">
      <alignment horizontal="center" vertical="center"/>
    </xf>
    <xf numFmtId="0" fontId="6" fillId="3" borderId="8" xfId="3" applyFill="1" applyBorder="1" applyAlignment="1">
      <alignment horizontal="center" vertical="center"/>
    </xf>
    <xf numFmtId="0" fontId="6" fillId="3" borderId="7" xfId="3" applyFill="1" applyBorder="1" applyAlignment="1">
      <alignment horizontal="center" vertical="center"/>
    </xf>
    <xf numFmtId="0" fontId="6" fillId="5" borderId="1" xfId="3" applyFill="1" applyBorder="1" applyAlignment="1">
      <alignment horizontal="center" vertical="center"/>
    </xf>
    <xf numFmtId="49" fontId="11" fillId="2" borderId="5" xfId="4" applyNumberFormat="1" applyFont="1" applyFill="1" applyBorder="1" applyAlignment="1">
      <alignment horizontal="center" vertical="center"/>
    </xf>
    <xf numFmtId="49" fontId="11" fillId="2" borderId="3" xfId="4" applyNumberFormat="1" applyFont="1" applyFill="1" applyBorder="1" applyAlignment="1">
      <alignment horizontal="center" vertical="center"/>
    </xf>
    <xf numFmtId="49" fontId="11" fillId="2" borderId="4" xfId="4" applyNumberFormat="1" applyFont="1" applyFill="1" applyBorder="1" applyAlignment="1">
      <alignment horizontal="center" vertical="center"/>
    </xf>
    <xf numFmtId="49" fontId="11" fillId="4" borderId="5" xfId="4" applyNumberFormat="1" applyFont="1" applyFill="1" applyBorder="1" applyAlignment="1">
      <alignment horizontal="center" vertical="center"/>
    </xf>
    <xf numFmtId="49" fontId="11" fillId="4" borderId="3" xfId="4" applyNumberFormat="1" applyFont="1" applyFill="1" applyBorder="1" applyAlignment="1">
      <alignment horizontal="center" vertical="center"/>
    </xf>
    <xf numFmtId="49" fontId="11" fillId="4" borderId="4" xfId="4" applyNumberFormat="1" applyFont="1" applyFill="1" applyBorder="1" applyAlignment="1">
      <alignment horizontal="center" vertical="center"/>
    </xf>
    <xf numFmtId="0" fontId="6" fillId="4" borderId="5" xfId="3" applyFill="1" applyBorder="1" applyAlignment="1">
      <alignment horizontal="center" vertical="center"/>
    </xf>
    <xf numFmtId="0" fontId="6" fillId="4" borderId="3" xfId="3" applyFill="1" applyBorder="1" applyAlignment="1">
      <alignment horizontal="center" vertical="center"/>
    </xf>
    <xf numFmtId="0" fontId="6" fillId="4" borderId="4" xfId="3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79" fontId="9" fillId="0" borderId="1" xfId="3" applyNumberFormat="1" applyFont="1" applyFill="1" applyBorder="1" applyAlignment="1">
      <alignment horizontal="center" vertical="center"/>
    </xf>
    <xf numFmtId="0" fontId="29" fillId="0" borderId="1" xfId="3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</cellXfs>
  <cellStyles count="9">
    <cellStyle name="BOM_Level_Below3" xfId="7" xr:uid="{107BDD4E-4ED6-41B8-9E35-B9BB6A3C3842}"/>
    <cellStyle name="百分比" xfId="1" builtinId="5"/>
    <cellStyle name="常规" xfId="0" builtinId="0"/>
    <cellStyle name="常规 2" xfId="3" xr:uid="{C49E609B-B260-45FA-B8D9-B7021361CEE9}"/>
    <cellStyle name="常规 2 2" xfId="2" xr:uid="{583FC389-3103-4841-9A30-5DD7394D78BE}"/>
    <cellStyle name="常规 22" xfId="5" xr:uid="{116796F5-C992-4E49-958C-E0FC2B34012A}"/>
    <cellStyle name="常规 28" xfId="4" xr:uid="{5BDCE1EB-A29C-4215-B76B-3327A38C9C42}"/>
    <cellStyle name="常规 3" xfId="6" xr:uid="{EB9521FA-49CF-4D08-B8FC-BB4633FA4A7E}"/>
    <cellStyle name="样式 1" xfId="8" xr:uid="{BA04CE14-70F4-4618-92DB-FD7954A10684}"/>
  </cellStyles>
  <dxfs count="1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449580</xdr:colOff>
      <xdr:row>36</xdr:row>
      <xdr:rowOff>171450</xdr:rowOff>
    </xdr:from>
    <xdr:to>
      <xdr:col>1</xdr:col>
      <xdr:colOff>876300</xdr:colOff>
      <xdr:row>36</xdr:row>
      <xdr:rowOff>171450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45BDC49-3429-4C5C-A329-070B6896F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" y="10092690"/>
          <a:ext cx="426720" cy="0"/>
        </a:xfrm>
        <a:prstGeom prst="rect">
          <a:avLst/>
        </a:prstGeom>
      </xdr:spPr>
    </xdr:pic>
    <xdr:clientData/>
  </xdr:twoCellAnchor>
  <xdr:twoCellAnchor>
    <xdr:from>
      <xdr:col>1</xdr:col>
      <xdr:colOff>141605</xdr:colOff>
      <xdr:row>36</xdr:row>
      <xdr:rowOff>171450</xdr:rowOff>
    </xdr:from>
    <xdr:to>
      <xdr:col>1</xdr:col>
      <xdr:colOff>141605</xdr:colOff>
      <xdr:row>36</xdr:row>
      <xdr:rowOff>171450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DC53718-BAF6-47B8-9642-F84960AC2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585" y="10092690"/>
          <a:ext cx="0" cy="0"/>
        </a:xfrm>
        <a:prstGeom prst="rect">
          <a:avLst/>
        </a:prstGeom>
      </xdr:spPr>
    </xdr:pic>
    <xdr:clientData/>
  </xdr:twoCellAnchor>
  <xdr:twoCellAnchor>
    <xdr:from>
      <xdr:col>18</xdr:col>
      <xdr:colOff>449580</xdr:colOff>
      <xdr:row>36</xdr:row>
      <xdr:rowOff>171450</xdr:rowOff>
    </xdr:from>
    <xdr:to>
      <xdr:col>18</xdr:col>
      <xdr:colOff>876300</xdr:colOff>
      <xdr:row>36</xdr:row>
      <xdr:rowOff>171450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C2DC19F-FC5F-4062-92A0-FBCBF35C2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713" y="10238317"/>
          <a:ext cx="426720" cy="0"/>
        </a:xfrm>
        <a:prstGeom prst="rect">
          <a:avLst/>
        </a:prstGeom>
      </xdr:spPr>
    </xdr:pic>
    <xdr:clientData/>
  </xdr:twoCellAnchor>
  <xdr:twoCellAnchor>
    <xdr:from>
      <xdr:col>18</xdr:col>
      <xdr:colOff>141605</xdr:colOff>
      <xdr:row>36</xdr:row>
      <xdr:rowOff>171450</xdr:rowOff>
    </xdr:from>
    <xdr:to>
      <xdr:col>18</xdr:col>
      <xdr:colOff>141605</xdr:colOff>
      <xdr:row>36</xdr:row>
      <xdr:rowOff>171450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630884C-DC29-45E8-A58C-E6A2A7479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738" y="10238317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449580</xdr:colOff>
      <xdr:row>36</xdr:row>
      <xdr:rowOff>171450</xdr:rowOff>
    </xdr:from>
    <xdr:to>
      <xdr:col>1</xdr:col>
      <xdr:colOff>876300</xdr:colOff>
      <xdr:row>36</xdr:row>
      <xdr:rowOff>171450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241DA22-51F5-4B8D-BC6B-3FE5CCA2B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6280" y="9744075"/>
          <a:ext cx="426720" cy="0"/>
        </a:xfrm>
        <a:prstGeom prst="rect">
          <a:avLst/>
        </a:prstGeom>
      </xdr:spPr>
    </xdr:pic>
    <xdr:clientData/>
  </xdr:twoCellAnchor>
  <xdr:twoCellAnchor>
    <xdr:from>
      <xdr:col>1</xdr:col>
      <xdr:colOff>141605</xdr:colOff>
      <xdr:row>36</xdr:row>
      <xdr:rowOff>171450</xdr:rowOff>
    </xdr:from>
    <xdr:to>
      <xdr:col>1</xdr:col>
      <xdr:colOff>141605</xdr:colOff>
      <xdr:row>36</xdr:row>
      <xdr:rowOff>171450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EE3A33B-FA63-4B57-969E-7DE3C81D0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8305" y="9744075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449580</xdr:colOff>
      <xdr:row>36</xdr:row>
      <xdr:rowOff>171450</xdr:rowOff>
    </xdr:from>
    <xdr:to>
      <xdr:col>1</xdr:col>
      <xdr:colOff>876300</xdr:colOff>
      <xdr:row>36</xdr:row>
      <xdr:rowOff>171450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176D2B5-D1D8-484F-80A9-7358C27E4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" y="9825990"/>
          <a:ext cx="426720" cy="0"/>
        </a:xfrm>
        <a:prstGeom prst="rect">
          <a:avLst/>
        </a:prstGeom>
      </xdr:spPr>
    </xdr:pic>
    <xdr:clientData/>
  </xdr:twoCellAnchor>
  <xdr:twoCellAnchor>
    <xdr:from>
      <xdr:col>1</xdr:col>
      <xdr:colOff>141605</xdr:colOff>
      <xdr:row>36</xdr:row>
      <xdr:rowOff>171450</xdr:rowOff>
    </xdr:from>
    <xdr:to>
      <xdr:col>1</xdr:col>
      <xdr:colOff>141605</xdr:colOff>
      <xdr:row>36</xdr:row>
      <xdr:rowOff>171450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454B23E-2415-406E-A368-DF3B2C043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585" y="982599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449580</xdr:colOff>
      <xdr:row>35</xdr:row>
      <xdr:rowOff>171450</xdr:rowOff>
    </xdr:from>
    <xdr:to>
      <xdr:col>1</xdr:col>
      <xdr:colOff>876300</xdr:colOff>
      <xdr:row>35</xdr:row>
      <xdr:rowOff>171450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63F8222-4FBA-48F9-96CB-B0D3FFAF0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" y="9749790"/>
          <a:ext cx="426720" cy="0"/>
        </a:xfrm>
        <a:prstGeom prst="rect">
          <a:avLst/>
        </a:prstGeom>
      </xdr:spPr>
    </xdr:pic>
    <xdr:clientData/>
  </xdr:twoCellAnchor>
  <xdr:twoCellAnchor>
    <xdr:from>
      <xdr:col>1</xdr:col>
      <xdr:colOff>141605</xdr:colOff>
      <xdr:row>35</xdr:row>
      <xdr:rowOff>171450</xdr:rowOff>
    </xdr:from>
    <xdr:to>
      <xdr:col>1</xdr:col>
      <xdr:colOff>141605</xdr:colOff>
      <xdr:row>35</xdr:row>
      <xdr:rowOff>171450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1C92D6D-7C69-49B4-9406-3FAB81B4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585" y="974979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10</xdr:row>
      <xdr:rowOff>152400</xdr:rowOff>
    </xdr:from>
    <xdr:to>
      <xdr:col>20</xdr:col>
      <xdr:colOff>608314</xdr:colOff>
      <xdr:row>115</xdr:row>
      <xdr:rowOff>35814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AC82D8E-2154-4A6C-ABFF-7BC9334D8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8740" y="3238500"/>
          <a:ext cx="10285714" cy="18285714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55</xdr:row>
      <xdr:rowOff>15240</xdr:rowOff>
    </xdr:from>
    <xdr:to>
      <xdr:col>22</xdr:col>
      <xdr:colOff>304800</xdr:colOff>
      <xdr:row>61</xdr:row>
      <xdr:rowOff>121920</xdr:rowOff>
    </xdr:to>
    <xdr:sp macro="" textlink="">
      <xdr:nvSpPr>
        <xdr:cNvPr id="3" name="椭圆 2">
          <a:extLst>
            <a:ext uri="{FF2B5EF4-FFF2-40B4-BE49-F238E27FC236}">
              <a16:creationId xmlns:a16="http://schemas.microsoft.com/office/drawing/2014/main" id="{B61DC84C-0120-4E05-8DAB-625B6A456C70}"/>
            </a:ext>
          </a:extLst>
        </xdr:cNvPr>
        <xdr:cNvSpPr/>
      </xdr:nvSpPr>
      <xdr:spPr>
        <a:xfrm>
          <a:off x="8930640" y="10988040"/>
          <a:ext cx="11239500" cy="1158240"/>
        </a:xfrm>
        <a:prstGeom prst="ellipse">
          <a:avLst/>
        </a:prstGeom>
        <a:noFill/>
        <a:ln w="444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449580</xdr:colOff>
      <xdr:row>145</xdr:row>
      <xdr:rowOff>171450</xdr:rowOff>
    </xdr:from>
    <xdr:to>
      <xdr:col>1</xdr:col>
      <xdr:colOff>876300</xdr:colOff>
      <xdr:row>145</xdr:row>
      <xdr:rowOff>171450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0240F5F-FB62-495B-BFF6-797698EE5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" y="9749790"/>
          <a:ext cx="426720" cy="0"/>
        </a:xfrm>
        <a:prstGeom prst="rect">
          <a:avLst/>
        </a:prstGeom>
      </xdr:spPr>
    </xdr:pic>
    <xdr:clientData/>
  </xdr:twoCellAnchor>
  <xdr:twoCellAnchor>
    <xdr:from>
      <xdr:col>1</xdr:col>
      <xdr:colOff>141605</xdr:colOff>
      <xdr:row>145</xdr:row>
      <xdr:rowOff>171450</xdr:rowOff>
    </xdr:from>
    <xdr:to>
      <xdr:col>1</xdr:col>
      <xdr:colOff>141605</xdr:colOff>
      <xdr:row>145</xdr:row>
      <xdr:rowOff>171450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F236090-7D4D-4B17-A844-15A21DAD6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585" y="974979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449580</xdr:colOff>
      <xdr:row>145</xdr:row>
      <xdr:rowOff>171450</xdr:rowOff>
    </xdr:from>
    <xdr:to>
      <xdr:col>1</xdr:col>
      <xdr:colOff>876300</xdr:colOff>
      <xdr:row>145</xdr:row>
      <xdr:rowOff>171450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0ADEE61-6299-4B59-8263-0BC319D06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" y="39086790"/>
          <a:ext cx="426720" cy="0"/>
        </a:xfrm>
        <a:prstGeom prst="rect">
          <a:avLst/>
        </a:prstGeom>
      </xdr:spPr>
    </xdr:pic>
    <xdr:clientData/>
  </xdr:twoCellAnchor>
  <xdr:twoCellAnchor>
    <xdr:from>
      <xdr:col>1</xdr:col>
      <xdr:colOff>141605</xdr:colOff>
      <xdr:row>145</xdr:row>
      <xdr:rowOff>171450</xdr:rowOff>
    </xdr:from>
    <xdr:to>
      <xdr:col>1</xdr:col>
      <xdr:colOff>141605</xdr:colOff>
      <xdr:row>145</xdr:row>
      <xdr:rowOff>171450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86FE61E-C4C1-455E-A07D-6CC4A7427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585" y="3908679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39033;&#30446;&#24320;&#21457;\&#24231;&#26885;\H6&#24231;&#26885;\&#26448;&#26009;&#25104;&#26412;\H6&#20914;&#21387;&#20214;&#24067;&#28857;\&#20914;&#21387;&#20214;&#26680;&#31639;&#26032;&#29256;-2021&#24180;-&#23731;&#20247;-&#33635;&#2304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14;&#21387;&#20214;&#26680;&#31639;&#26032;&#29256;-2021&#24180;-&#33635;&#26124;&#26680;&#3163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556;&#33521;&#26684;/Desktop/&#25171;&#20214;&#36153;&#29992;-&#23731;&#20247;&#21453;&#39304;2021.10.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8050;&#26448;&#20215;&#26684;&#32479;&#35745;/2020&#24180;&#21457;&#36135;&#25968;&#37327;/2020&#24180;&#21457;&#36135;&#25968;&#373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序费"/>
      <sheetName val="冲压件核价"/>
      <sheetName val="座椅骨架核价"/>
      <sheetName val="Sheet3"/>
      <sheetName val="Sheet1"/>
    </sheetNames>
    <sheetDataSet>
      <sheetData sheetId="0" refreshError="1"/>
      <sheetData sheetId="1" refreshError="1">
        <row r="4">
          <cell r="D4" t="str">
            <v>02.03.59.005</v>
          </cell>
          <cell r="E4" t="str">
            <v>左侧调角器连接板焊接总成</v>
          </cell>
          <cell r="F4" t="str">
            <v>右侧调角器连接板</v>
          </cell>
          <cell r="G4" t="str">
            <v>SAPH440</v>
          </cell>
          <cell r="H4">
            <v>1</v>
          </cell>
          <cell r="I4">
            <v>223</v>
          </cell>
          <cell r="J4">
            <v>140</v>
          </cell>
          <cell r="K4">
            <v>2.5</v>
          </cell>
          <cell r="L4">
            <v>5.7</v>
          </cell>
          <cell r="M4">
            <v>3</v>
          </cell>
          <cell r="N4">
            <v>0.61269249999999997</v>
          </cell>
          <cell r="O4">
            <v>0.41199999999999998</v>
          </cell>
          <cell r="P4">
            <v>0.2006925</v>
          </cell>
        </row>
        <row r="8">
          <cell r="F8" t="str">
            <v>M10焊接螺母</v>
          </cell>
          <cell r="H8">
            <v>2</v>
          </cell>
          <cell r="L8">
            <v>0.13</v>
          </cell>
        </row>
        <row r="9">
          <cell r="F9" t="str">
            <v>7/16焊接螺母</v>
          </cell>
          <cell r="H9">
            <v>1</v>
          </cell>
          <cell r="L9">
            <v>0.42</v>
          </cell>
        </row>
        <row r="10">
          <cell r="F10" t="str">
            <v>材料合计：</v>
          </cell>
        </row>
        <row r="11">
          <cell r="D11" t="str">
            <v>02.03.59.006</v>
          </cell>
          <cell r="E11" t="str">
            <v>右侧调角器连接板焊接总成</v>
          </cell>
          <cell r="F11" t="str">
            <v>右侧调角器连接板</v>
          </cell>
          <cell r="G11" t="str">
            <v>SAPH440</v>
          </cell>
          <cell r="H11">
            <v>1</v>
          </cell>
          <cell r="I11">
            <v>223</v>
          </cell>
          <cell r="J11">
            <v>140</v>
          </cell>
          <cell r="K11">
            <v>2.5</v>
          </cell>
          <cell r="L11">
            <v>5.7</v>
          </cell>
          <cell r="M11">
            <v>3</v>
          </cell>
          <cell r="N11">
            <v>0.61269249999999997</v>
          </cell>
          <cell r="O11">
            <v>0.41199999999999998</v>
          </cell>
          <cell r="P11">
            <v>0.2006925</v>
          </cell>
        </row>
        <row r="15">
          <cell r="F15" t="str">
            <v>M10焊接螺母</v>
          </cell>
          <cell r="H15">
            <v>2</v>
          </cell>
          <cell r="L15">
            <v>0.13</v>
          </cell>
        </row>
        <row r="16">
          <cell r="F16" t="str">
            <v>7/16焊接螺母</v>
          </cell>
          <cell r="H16">
            <v>1</v>
          </cell>
          <cell r="L16">
            <v>0.42</v>
          </cell>
        </row>
        <row r="17">
          <cell r="F17" t="str">
            <v>材料合计：</v>
          </cell>
        </row>
        <row r="18">
          <cell r="D18" t="str">
            <v>02.03.59.011</v>
          </cell>
          <cell r="E18" t="str">
            <v>座框右侧内边板</v>
          </cell>
          <cell r="F18" t="str">
            <v>座框右侧内边板</v>
          </cell>
          <cell r="G18" t="str">
            <v>SPFH590</v>
          </cell>
          <cell r="H18">
            <v>1</v>
          </cell>
          <cell r="I18">
            <v>530</v>
          </cell>
          <cell r="J18">
            <v>130</v>
          </cell>
          <cell r="K18">
            <v>2</v>
          </cell>
          <cell r="L18">
            <v>6.3</v>
          </cell>
          <cell r="M18">
            <v>3</v>
          </cell>
          <cell r="N18">
            <v>1.0817300000000001</v>
          </cell>
          <cell r="O18">
            <v>0.68</v>
          </cell>
          <cell r="P18">
            <v>0.40172999999999998</v>
          </cell>
        </row>
        <row r="24">
          <cell r="F24" t="str">
            <v>材料合计：</v>
          </cell>
        </row>
        <row r="25">
          <cell r="D25" t="str">
            <v>02.03.59.012</v>
          </cell>
          <cell r="E25" t="str">
            <v>座框左侧内边板</v>
          </cell>
          <cell r="F25" t="str">
            <v>座框左侧内边板</v>
          </cell>
          <cell r="G25" t="str">
            <v>SPFH590</v>
          </cell>
          <cell r="H25">
            <v>1</v>
          </cell>
          <cell r="I25">
            <v>530</v>
          </cell>
          <cell r="J25">
            <v>130</v>
          </cell>
          <cell r="K25">
            <v>2</v>
          </cell>
          <cell r="L25">
            <v>6.3</v>
          </cell>
          <cell r="M25">
            <v>3</v>
          </cell>
          <cell r="N25">
            <v>1.0817300000000001</v>
          </cell>
          <cell r="O25">
            <v>0.68</v>
          </cell>
          <cell r="P25">
            <v>0.40172999999999998</v>
          </cell>
        </row>
        <row r="31">
          <cell r="F31" t="str">
            <v>材料合计：</v>
          </cell>
        </row>
        <row r="32">
          <cell r="D32" t="str">
            <v>02.03.59.007</v>
          </cell>
          <cell r="E32" t="str">
            <v>右侧仰角卡板</v>
          </cell>
          <cell r="F32" t="str">
            <v>右侧仰角卡板</v>
          </cell>
          <cell r="G32" t="str">
            <v>SAPH440</v>
          </cell>
          <cell r="H32">
            <v>1</v>
          </cell>
          <cell r="I32">
            <v>125</v>
          </cell>
          <cell r="J32">
            <v>115</v>
          </cell>
          <cell r="K32">
            <v>5</v>
          </cell>
          <cell r="L32">
            <v>5.6</v>
          </cell>
          <cell r="M32">
            <v>3</v>
          </cell>
          <cell r="N32">
            <v>0.56421874999999999</v>
          </cell>
          <cell r="O32">
            <v>0.23799999999999999</v>
          </cell>
          <cell r="P32">
            <v>0.32621875</v>
          </cell>
        </row>
        <row r="38">
          <cell r="F38" t="str">
            <v>材料合计：</v>
          </cell>
        </row>
        <row r="39">
          <cell r="D39" t="str">
            <v>02.03.59.008</v>
          </cell>
          <cell r="E39" t="str">
            <v>左侧仰角卡板</v>
          </cell>
          <cell r="F39" t="str">
            <v>右侧仰角卡板</v>
          </cell>
          <cell r="G39" t="str">
            <v>SAPH440</v>
          </cell>
          <cell r="H39">
            <v>1</v>
          </cell>
          <cell r="I39">
            <v>125</v>
          </cell>
          <cell r="J39">
            <v>115</v>
          </cell>
          <cell r="K39">
            <v>5</v>
          </cell>
          <cell r="L39">
            <v>5.6</v>
          </cell>
          <cell r="M39">
            <v>3</v>
          </cell>
          <cell r="N39">
            <v>0.56421874999999999</v>
          </cell>
          <cell r="O39">
            <v>0.23799999999999999</v>
          </cell>
          <cell r="P39">
            <v>0.32621875</v>
          </cell>
        </row>
        <row r="45">
          <cell r="F45" t="str">
            <v>材料合计：</v>
          </cell>
        </row>
        <row r="46">
          <cell r="D46" t="str">
            <v>02.03.59.017</v>
          </cell>
          <cell r="E46" t="str">
            <v>齿板锁舌</v>
          </cell>
          <cell r="F46" t="str">
            <v>齿板锁舌</v>
          </cell>
          <cell r="G46" t="str">
            <v>SPFH590</v>
          </cell>
          <cell r="H46">
            <v>1</v>
          </cell>
          <cell r="I46">
            <v>144</v>
          </cell>
          <cell r="J46">
            <v>26.5</v>
          </cell>
          <cell r="K46">
            <v>4</v>
          </cell>
          <cell r="L46">
            <v>6.1</v>
          </cell>
          <cell r="M46">
            <v>3</v>
          </cell>
          <cell r="N46">
            <v>0.1198224</v>
          </cell>
          <cell r="O46">
            <v>4.1000000000000002E-2</v>
          </cell>
          <cell r="P46">
            <v>7.8822400000000001E-2</v>
          </cell>
        </row>
        <row r="51">
          <cell r="F51" t="str">
            <v>材料合计：</v>
          </cell>
        </row>
        <row r="52">
          <cell r="D52" t="str">
            <v>02.03.59.013</v>
          </cell>
          <cell r="E52" t="str">
            <v>座框前边板</v>
          </cell>
          <cell r="F52" t="str">
            <v>座框前边板</v>
          </cell>
          <cell r="G52" t="str">
            <v>SPFH590</v>
          </cell>
          <cell r="H52">
            <v>1</v>
          </cell>
          <cell r="I52">
            <v>358</v>
          </cell>
          <cell r="J52">
            <v>70</v>
          </cell>
          <cell r="K52">
            <v>2</v>
          </cell>
          <cell r="L52">
            <v>6.3</v>
          </cell>
          <cell r="M52">
            <v>3</v>
          </cell>
          <cell r="N52">
            <v>0.39344200000000001</v>
          </cell>
          <cell r="O52">
            <v>0.21199999999999999</v>
          </cell>
          <cell r="P52">
            <v>0.18144199999999999</v>
          </cell>
        </row>
        <row r="58">
          <cell r="F58" t="str">
            <v>材料合计：</v>
          </cell>
        </row>
        <row r="59">
          <cell r="D59" t="str">
            <v>02.03.37.064</v>
          </cell>
          <cell r="E59" t="str">
            <v>X3000调角器左上连接板</v>
          </cell>
          <cell r="F59" t="str">
            <v>X3000调角器左上连接板</v>
          </cell>
          <cell r="G59" t="str">
            <v>SPFH590 3.0</v>
          </cell>
          <cell r="H59">
            <v>1</v>
          </cell>
          <cell r="I59">
            <v>139.94</v>
          </cell>
          <cell r="J59">
            <v>100.4</v>
          </cell>
          <cell r="K59">
            <v>3</v>
          </cell>
          <cell r="L59">
            <v>6.1</v>
          </cell>
          <cell r="M59">
            <v>3</v>
          </cell>
          <cell r="N59">
            <v>0.33087693480000002</v>
          </cell>
          <cell r="O59">
            <v>0.24</v>
          </cell>
          <cell r="P59">
            <v>9.0876934800000003E-2</v>
          </cell>
        </row>
        <row r="64">
          <cell r="F64" t="str">
            <v>材料合计：</v>
          </cell>
        </row>
        <row r="65">
          <cell r="D65" t="str">
            <v>02.03.37.065</v>
          </cell>
          <cell r="E65" t="str">
            <v>X3000调角器右上连接板</v>
          </cell>
          <cell r="F65" t="str">
            <v>X3000调角器左上连接板</v>
          </cell>
          <cell r="G65" t="str">
            <v>SPFH590 3.0</v>
          </cell>
          <cell r="H65">
            <v>1</v>
          </cell>
          <cell r="I65">
            <v>139.94</v>
          </cell>
          <cell r="J65">
            <v>100.4</v>
          </cell>
          <cell r="K65">
            <v>3</v>
          </cell>
          <cell r="L65">
            <v>6.1</v>
          </cell>
          <cell r="M65">
            <v>3</v>
          </cell>
          <cell r="N65">
            <v>0.33087693480000002</v>
          </cell>
          <cell r="O65">
            <v>0.24</v>
          </cell>
          <cell r="P65">
            <v>9.0876934800000003E-2</v>
          </cell>
        </row>
        <row r="70">
          <cell r="F70" t="str">
            <v>材料合计：</v>
          </cell>
        </row>
        <row r="71">
          <cell r="D71" t="str">
            <v>02.03.37.066</v>
          </cell>
          <cell r="E71" t="str">
            <v>X3000调角器左（右）下连接板</v>
          </cell>
          <cell r="F71" t="str">
            <v>X3000调角器左上连接板</v>
          </cell>
          <cell r="G71" t="str">
            <v>SPFH590 3.0</v>
          </cell>
          <cell r="H71">
            <v>1</v>
          </cell>
          <cell r="I71">
            <v>169.01</v>
          </cell>
          <cell r="J71">
            <v>131.25</v>
          </cell>
          <cell r="K71">
            <v>3</v>
          </cell>
          <cell r="L71">
            <v>6.1</v>
          </cell>
          <cell r="M71">
            <v>3</v>
          </cell>
          <cell r="N71">
            <v>0.522399346875</v>
          </cell>
          <cell r="O71">
            <v>0.32</v>
          </cell>
          <cell r="P71">
            <v>0.202399346875</v>
          </cell>
        </row>
        <row r="76">
          <cell r="F76" t="str">
            <v>材料合计：</v>
          </cell>
        </row>
        <row r="77">
          <cell r="D77" t="str">
            <v>02.03.37.066</v>
          </cell>
          <cell r="E77" t="str">
            <v>X3000调角器左（右）下连接板</v>
          </cell>
          <cell r="F77" t="str">
            <v>X3000调角器左上连接板</v>
          </cell>
          <cell r="G77" t="str">
            <v>SPFH590 3.0</v>
          </cell>
          <cell r="H77">
            <v>1</v>
          </cell>
          <cell r="I77">
            <v>169.01</v>
          </cell>
          <cell r="J77">
            <v>131.25</v>
          </cell>
          <cell r="K77">
            <v>3</v>
          </cell>
          <cell r="L77">
            <v>6.1</v>
          </cell>
          <cell r="M77">
            <v>3</v>
          </cell>
          <cell r="N77">
            <v>0.522399346875</v>
          </cell>
          <cell r="O77">
            <v>0.32</v>
          </cell>
          <cell r="P77">
            <v>0.202399346875</v>
          </cell>
        </row>
        <row r="82">
          <cell r="F82" t="str">
            <v>材料合计：</v>
          </cell>
        </row>
        <row r="83">
          <cell r="D83" t="str">
            <v>02.03.50.074</v>
          </cell>
          <cell r="E83" t="str">
            <v>靠背左边板</v>
          </cell>
          <cell r="F83" t="str">
            <v>靠背左边板</v>
          </cell>
          <cell r="G83" t="str">
            <v>HC420/780DF</v>
          </cell>
          <cell r="H83">
            <v>1</v>
          </cell>
          <cell r="I83">
            <v>522</v>
          </cell>
          <cell r="J83">
            <v>178.57</v>
          </cell>
          <cell r="K83">
            <v>1</v>
          </cell>
          <cell r="L83">
            <v>6</v>
          </cell>
          <cell r="M83">
            <v>2.2000000000000002</v>
          </cell>
          <cell r="N83">
            <v>0.73172628900000003</v>
          </cell>
          <cell r="O83">
            <v>0.43</v>
          </cell>
          <cell r="P83">
            <v>0.30172628899999998</v>
          </cell>
        </row>
        <row r="88">
          <cell r="F88" t="str">
            <v>材料合计：</v>
          </cell>
        </row>
        <row r="89">
          <cell r="D89" t="str">
            <v>02.03.50.075</v>
          </cell>
          <cell r="E89" t="str">
            <v>靠背右边板</v>
          </cell>
          <cell r="F89" t="str">
            <v>靠背右边板</v>
          </cell>
          <cell r="G89" t="str">
            <v>HC420/780DF</v>
          </cell>
          <cell r="H89">
            <v>1</v>
          </cell>
          <cell r="I89">
            <v>522</v>
          </cell>
          <cell r="J89">
            <v>178.57</v>
          </cell>
          <cell r="K89">
            <v>1</v>
          </cell>
          <cell r="L89">
            <v>6</v>
          </cell>
          <cell r="M89">
            <v>2.2000000000000002</v>
          </cell>
          <cell r="N89">
            <v>0.73172628900000003</v>
          </cell>
          <cell r="O89">
            <v>0.43</v>
          </cell>
          <cell r="P89">
            <v>0.30172628899999998</v>
          </cell>
        </row>
        <row r="94">
          <cell r="F94" t="str">
            <v>材料合计：</v>
          </cell>
        </row>
        <row r="95">
          <cell r="D95" t="str">
            <v>02.03.19.064</v>
          </cell>
          <cell r="E95" t="str">
            <v>H3左侧升降旋转钣金</v>
          </cell>
          <cell r="F95" t="str">
            <v>H3左侧升降旋转钣金</v>
          </cell>
          <cell r="G95" t="str">
            <v>SAPH440</v>
          </cell>
          <cell r="H95">
            <v>1</v>
          </cell>
          <cell r="I95">
            <v>90</v>
          </cell>
          <cell r="J95">
            <v>80</v>
          </cell>
          <cell r="K95">
            <v>3</v>
          </cell>
          <cell r="L95">
            <v>4.8</v>
          </cell>
          <cell r="M95">
            <v>2.2000000000000002</v>
          </cell>
          <cell r="N95">
            <v>0.16955999999999999</v>
          </cell>
          <cell r="O95">
            <v>7.9000000000000001E-2</v>
          </cell>
          <cell r="P95">
            <v>9.0560000000000002E-2</v>
          </cell>
        </row>
        <row r="100">
          <cell r="F100" t="str">
            <v>材料合计：</v>
          </cell>
        </row>
        <row r="101">
          <cell r="D101" t="str">
            <v>02.03.19.065</v>
          </cell>
          <cell r="E101" t="str">
            <v>H3右侧升降旋转钣金</v>
          </cell>
          <cell r="F101" t="str">
            <v>H3左侧升降旋转钣金</v>
          </cell>
          <cell r="G101" t="str">
            <v>SAPH440</v>
          </cell>
          <cell r="H101">
            <v>1</v>
          </cell>
          <cell r="I101">
            <v>90</v>
          </cell>
          <cell r="J101">
            <v>80</v>
          </cell>
          <cell r="K101">
            <v>3</v>
          </cell>
          <cell r="L101">
            <v>4.8</v>
          </cell>
          <cell r="M101">
            <v>2.2000000000000002</v>
          </cell>
          <cell r="N101">
            <v>0.16955999999999999</v>
          </cell>
          <cell r="O101">
            <v>7.9000000000000001E-2</v>
          </cell>
          <cell r="P101">
            <v>9.0560000000000002E-2</v>
          </cell>
        </row>
        <row r="106">
          <cell r="F106" t="str">
            <v>材料合计：</v>
          </cell>
        </row>
        <row r="107">
          <cell r="E107" t="str">
            <v>H6司机滑轨解锁手柄</v>
          </cell>
          <cell r="F107" t="str">
            <v>H6司机滑轨解锁手柄</v>
          </cell>
          <cell r="G107" t="str">
            <v>SAPH440</v>
          </cell>
          <cell r="H107">
            <v>1</v>
          </cell>
          <cell r="I107">
            <v>90</v>
          </cell>
          <cell r="J107">
            <v>80</v>
          </cell>
          <cell r="K107">
            <v>3</v>
          </cell>
          <cell r="L107">
            <v>5.7</v>
          </cell>
          <cell r="M107">
            <v>3</v>
          </cell>
          <cell r="N107">
            <v>0.16955999999999999</v>
          </cell>
          <cell r="O107">
            <v>7.9000000000000001E-2</v>
          </cell>
          <cell r="P107">
            <v>9.0560000000000002E-2</v>
          </cell>
        </row>
        <row r="112">
          <cell r="F112" t="str">
            <v>材料合计：</v>
          </cell>
        </row>
        <row r="113">
          <cell r="D113" t="str">
            <v>SHT0010073</v>
          </cell>
          <cell r="E113" t="str">
            <v>安全带上固定钣金</v>
          </cell>
          <cell r="F113" t="str">
            <v>安全带上固定钣金</v>
          </cell>
          <cell r="G113" t="str">
            <v>SPFH590 t=2.0</v>
          </cell>
          <cell r="H113">
            <v>1</v>
          </cell>
          <cell r="I113">
            <v>395</v>
          </cell>
          <cell r="J113">
            <v>200</v>
          </cell>
          <cell r="K113">
            <v>2</v>
          </cell>
          <cell r="L113">
            <v>6.3</v>
          </cell>
          <cell r="M113">
            <v>3</v>
          </cell>
          <cell r="N113">
            <v>1.2403</v>
          </cell>
          <cell r="O113">
            <v>0.65900000000000003</v>
          </cell>
          <cell r="P113">
            <v>0.58130000000000004</v>
          </cell>
        </row>
        <row r="118">
          <cell r="F118" t="str">
            <v>材料合计：</v>
          </cell>
        </row>
        <row r="119">
          <cell r="D119" t="str">
            <v>SHT0010368</v>
          </cell>
          <cell r="E119" t="str">
            <v>副司机安全带上固定钣金（H6）</v>
          </cell>
          <cell r="F119" t="str">
            <v>副司机安全带上固定钣金（H6）</v>
          </cell>
          <cell r="G119" t="str">
            <v>SPFH590 t=2.0</v>
          </cell>
          <cell r="H119">
            <v>1</v>
          </cell>
          <cell r="I119">
            <v>395</v>
          </cell>
          <cell r="J119">
            <v>200</v>
          </cell>
          <cell r="K119">
            <v>2</v>
          </cell>
          <cell r="L119">
            <v>6.3</v>
          </cell>
          <cell r="M119">
            <v>3</v>
          </cell>
          <cell r="N119">
            <v>1.2403</v>
          </cell>
          <cell r="O119">
            <v>0.70199999999999996</v>
          </cell>
          <cell r="P119">
            <v>0.5383</v>
          </cell>
        </row>
        <row r="124">
          <cell r="F124" t="str">
            <v>材料合计：</v>
          </cell>
        </row>
        <row r="125">
          <cell r="D125" t="str">
            <v>SHT0010249</v>
          </cell>
          <cell r="E125" t="str">
            <v>安全带上固定加强钣金）</v>
          </cell>
          <cell r="F125" t="str">
            <v>安全带上固定加强钣金</v>
          </cell>
          <cell r="G125" t="str">
            <v>SPFH590 t=2.0</v>
          </cell>
          <cell r="H125">
            <v>1</v>
          </cell>
          <cell r="I125">
            <v>130</v>
          </cell>
          <cell r="J125">
            <v>50</v>
          </cell>
          <cell r="K125">
            <v>2</v>
          </cell>
          <cell r="L125">
            <v>6.3</v>
          </cell>
          <cell r="M125">
            <v>3</v>
          </cell>
          <cell r="N125">
            <v>0.10205</v>
          </cell>
          <cell r="O125">
            <v>7.3999999999999996E-2</v>
          </cell>
          <cell r="P125">
            <v>2.8049999999999999E-2</v>
          </cell>
        </row>
        <row r="128">
          <cell r="F128" t="str">
            <v>材料合计：</v>
          </cell>
        </row>
        <row r="129">
          <cell r="D129" t="str">
            <v>SHT0010369</v>
          </cell>
          <cell r="E129" t="str">
            <v>副司机安全带上固定加强钣金（H6）</v>
          </cell>
          <cell r="F129" t="str">
            <v>副司机安全带上固定加强钣金（H6）</v>
          </cell>
          <cell r="G129" t="str">
            <v>SPFH590 t=2.0</v>
          </cell>
          <cell r="H129">
            <v>1</v>
          </cell>
          <cell r="I129">
            <v>130</v>
          </cell>
          <cell r="J129">
            <v>50</v>
          </cell>
          <cell r="K129">
            <v>2</v>
          </cell>
          <cell r="L129">
            <v>6.3</v>
          </cell>
          <cell r="M129">
            <v>3</v>
          </cell>
          <cell r="N129">
            <v>0.10205</v>
          </cell>
          <cell r="O129">
            <v>7.0999999999999994E-2</v>
          </cell>
          <cell r="P129">
            <v>3.1050000000000001E-2</v>
          </cell>
        </row>
        <row r="132">
          <cell r="F132" t="str">
            <v>材料合计：</v>
          </cell>
        </row>
        <row r="133">
          <cell r="D133" t="str">
            <v>SHT0010057</v>
          </cell>
          <cell r="E133" t="str">
            <v>外绞架支撑钣金</v>
          </cell>
          <cell r="F133" t="str">
            <v>外绞架支撑钣金</v>
          </cell>
          <cell r="G133" t="str">
            <v>SPFH590 t=4.0</v>
          </cell>
          <cell r="H133">
            <v>1</v>
          </cell>
          <cell r="I133">
            <v>420</v>
          </cell>
          <cell r="J133">
            <v>100</v>
          </cell>
          <cell r="K133">
            <v>4</v>
          </cell>
          <cell r="L133">
            <v>6.3</v>
          </cell>
          <cell r="M133">
            <v>3</v>
          </cell>
          <cell r="N133">
            <v>1.3188</v>
          </cell>
          <cell r="O133">
            <v>0.72399999999999998</v>
          </cell>
          <cell r="P133">
            <v>0.5948</v>
          </cell>
        </row>
        <row r="139">
          <cell r="F139" t="str">
            <v>材料合计：</v>
          </cell>
        </row>
        <row r="140">
          <cell r="D140" t="str">
            <v>SHT0010775</v>
          </cell>
          <cell r="E140" t="str">
            <v>安全带高调机构固定板1</v>
          </cell>
          <cell r="F140" t="str">
            <v>安全带高调机构固定板1</v>
          </cell>
          <cell r="G140" t="str">
            <v>SPFH590 t=1.5</v>
          </cell>
          <cell r="H140">
            <v>1</v>
          </cell>
          <cell r="I140">
            <v>370</v>
          </cell>
          <cell r="J140">
            <v>225</v>
          </cell>
          <cell r="K140">
            <v>1.5</v>
          </cell>
          <cell r="L140">
            <v>6.3</v>
          </cell>
          <cell r="M140">
            <v>3</v>
          </cell>
          <cell r="N140">
            <v>0.98026875000000002</v>
          </cell>
          <cell r="O140">
            <v>0.39900000000000002</v>
          </cell>
          <cell r="P140">
            <v>0.58126875</v>
          </cell>
        </row>
        <row r="146">
          <cell r="F146" t="str">
            <v>材料合计：</v>
          </cell>
        </row>
        <row r="147">
          <cell r="D147" t="str">
            <v>SHT0010776</v>
          </cell>
          <cell r="E147" t="str">
            <v>安全带高调机构固定板2</v>
          </cell>
          <cell r="F147" t="str">
            <v>安全带高调机构固定板2</v>
          </cell>
          <cell r="G147" t="str">
            <v>SPFH590 t=1.5</v>
          </cell>
          <cell r="H147">
            <v>1</v>
          </cell>
          <cell r="I147">
            <v>405</v>
          </cell>
          <cell r="J147">
            <v>200</v>
          </cell>
          <cell r="K147">
            <v>1.5</v>
          </cell>
          <cell r="L147">
            <v>6.3</v>
          </cell>
          <cell r="M147">
            <v>3</v>
          </cell>
          <cell r="N147">
            <v>0.95377500000000004</v>
          </cell>
          <cell r="O147">
            <v>0.52</v>
          </cell>
          <cell r="P147">
            <v>0.43377500000000002</v>
          </cell>
        </row>
        <row r="153">
          <cell r="F153" t="str">
            <v>材料合计：</v>
          </cell>
        </row>
        <row r="154">
          <cell r="D154" t="str">
            <v>SHT0010722</v>
          </cell>
          <cell r="E154" t="str">
            <v>司机主边调角器下连接板A</v>
          </cell>
          <cell r="F154" t="str">
            <v>司机主边调角器下连接板A</v>
          </cell>
          <cell r="G154" t="str">
            <v>SPFH590 t=1.5</v>
          </cell>
          <cell r="H154">
            <v>1</v>
          </cell>
          <cell r="I154">
            <v>250</v>
          </cell>
          <cell r="J154">
            <v>270</v>
          </cell>
          <cell r="K154">
            <v>1.5</v>
          </cell>
          <cell r="L154">
            <v>6.3</v>
          </cell>
          <cell r="M154">
            <v>3</v>
          </cell>
          <cell r="N154">
            <v>0.79481250000000003</v>
          </cell>
          <cell r="O154">
            <v>0.38400000000000001</v>
          </cell>
          <cell r="P154">
            <v>0.41081250000000002</v>
          </cell>
        </row>
        <row r="162">
          <cell r="F162" t="str">
            <v>材料合计：</v>
          </cell>
        </row>
        <row r="163">
          <cell r="D163" t="str">
            <v>SHT0010724</v>
          </cell>
          <cell r="E163" t="str">
            <v>司机副边调角器下连接钣A</v>
          </cell>
          <cell r="F163" t="str">
            <v>司机副边调角器下连接钣A</v>
          </cell>
          <cell r="G163" t="str">
            <v>SPFH590 t=1.5</v>
          </cell>
          <cell r="H163">
            <v>1</v>
          </cell>
          <cell r="I163">
            <v>250</v>
          </cell>
          <cell r="J163">
            <v>270</v>
          </cell>
          <cell r="K163">
            <v>1.5</v>
          </cell>
          <cell r="L163">
            <v>6.3</v>
          </cell>
          <cell r="M163">
            <v>3</v>
          </cell>
          <cell r="N163">
            <v>0.79481250000000003</v>
          </cell>
          <cell r="O163">
            <v>0.58699999999999997</v>
          </cell>
          <cell r="P163">
            <v>0.20781250000000001</v>
          </cell>
        </row>
        <row r="170">
          <cell r="F170" t="str">
            <v>材料合计：</v>
          </cell>
        </row>
        <row r="171">
          <cell r="D171" t="str">
            <v>SHT0010723</v>
          </cell>
          <cell r="E171" t="str">
            <v>司机主边调角器下连接板B</v>
          </cell>
          <cell r="F171" t="str">
            <v>司机主边调角器下连接板B</v>
          </cell>
          <cell r="G171" t="str">
            <v>SPFH590 t=1.5</v>
          </cell>
          <cell r="H171">
            <v>1</v>
          </cell>
          <cell r="I171">
            <v>225</v>
          </cell>
          <cell r="J171">
            <v>240</v>
          </cell>
          <cell r="K171">
            <v>1.5</v>
          </cell>
          <cell r="L171">
            <v>6.3</v>
          </cell>
          <cell r="M171">
            <v>3</v>
          </cell>
          <cell r="N171">
            <v>0.63585000000000003</v>
          </cell>
          <cell r="O171">
            <v>0.39100000000000001</v>
          </cell>
          <cell r="P171">
            <v>0.24485000000000001</v>
          </cell>
        </row>
        <row r="177">
          <cell r="F177" t="str">
            <v>材料合计：</v>
          </cell>
        </row>
        <row r="178">
          <cell r="D178" t="str">
            <v>SHT0010725</v>
          </cell>
          <cell r="E178" t="str">
            <v>司机主边调角器下连接板B</v>
          </cell>
          <cell r="F178" t="str">
            <v>司机主边调角器下连接板B</v>
          </cell>
          <cell r="G178" t="str">
            <v>SPFH590 t=1.5</v>
          </cell>
          <cell r="H178">
            <v>1</v>
          </cell>
          <cell r="I178">
            <v>225</v>
          </cell>
          <cell r="J178">
            <v>240</v>
          </cell>
          <cell r="K178">
            <v>1.5</v>
          </cell>
          <cell r="L178">
            <v>6.3</v>
          </cell>
          <cell r="M178">
            <v>3</v>
          </cell>
          <cell r="N178">
            <v>0.63585000000000003</v>
          </cell>
          <cell r="O178">
            <v>0.378</v>
          </cell>
          <cell r="P178">
            <v>0.25785000000000002</v>
          </cell>
        </row>
        <row r="184">
          <cell r="F184" t="str">
            <v>材料合计：</v>
          </cell>
        </row>
        <row r="185">
          <cell r="D185" t="str">
            <v>SHT0010070</v>
          </cell>
          <cell r="E185" t="str">
            <v>扶手固定加强板1</v>
          </cell>
          <cell r="F185" t="str">
            <v>扶手固定加强板1</v>
          </cell>
          <cell r="G185" t="str">
            <v>SPFH590 t=1.5</v>
          </cell>
          <cell r="H185">
            <v>1</v>
          </cell>
          <cell r="I185">
            <v>270</v>
          </cell>
          <cell r="J185">
            <v>145</v>
          </cell>
          <cell r="K185">
            <v>1.5</v>
          </cell>
          <cell r="L185">
            <v>6.3</v>
          </cell>
          <cell r="M185">
            <v>3</v>
          </cell>
          <cell r="N185">
            <v>0.46099125000000002</v>
          </cell>
          <cell r="O185">
            <v>0.25600000000000001</v>
          </cell>
          <cell r="P185">
            <v>0.20499125000000001</v>
          </cell>
        </row>
        <row r="190">
          <cell r="F190" t="str">
            <v>材料合计：</v>
          </cell>
        </row>
        <row r="191">
          <cell r="D191" t="str">
            <v>SHT0010245</v>
          </cell>
          <cell r="E191" t="str">
            <v>扶手固定加强板2</v>
          </cell>
          <cell r="F191" t="str">
            <v>扶手固定加强板2</v>
          </cell>
          <cell r="G191" t="str">
            <v>SPFH590 t=1.5</v>
          </cell>
          <cell r="H191">
            <v>1</v>
          </cell>
          <cell r="I191">
            <v>270</v>
          </cell>
          <cell r="J191">
            <v>145</v>
          </cell>
          <cell r="K191">
            <v>1.5</v>
          </cell>
          <cell r="L191">
            <v>6.3</v>
          </cell>
          <cell r="M191">
            <v>3</v>
          </cell>
          <cell r="N191">
            <v>0.46099125000000002</v>
          </cell>
          <cell r="O191">
            <v>0.255</v>
          </cell>
          <cell r="P191">
            <v>0.20599124999999999</v>
          </cell>
        </row>
        <row r="196">
          <cell r="F196" t="str">
            <v>材料合计：</v>
          </cell>
        </row>
        <row r="197">
          <cell r="D197" t="str">
            <v>SHT0010050</v>
          </cell>
          <cell r="E197" t="str">
            <v>内绞架支撑钣金</v>
          </cell>
          <cell r="F197" t="str">
            <v>内绞架支撑钣金</v>
          </cell>
          <cell r="G197" t="str">
            <v>SPFH590 t=3.5</v>
          </cell>
          <cell r="H197">
            <v>1</v>
          </cell>
          <cell r="I197">
            <v>420</v>
          </cell>
          <cell r="J197">
            <v>100</v>
          </cell>
          <cell r="K197">
            <v>3.5</v>
          </cell>
          <cell r="L197">
            <v>6.3</v>
          </cell>
          <cell r="M197">
            <v>3</v>
          </cell>
          <cell r="N197">
            <v>1.15395</v>
          </cell>
          <cell r="O197">
            <v>0.72399999999999998</v>
          </cell>
          <cell r="P197">
            <v>0.42995</v>
          </cell>
        </row>
        <row r="202">
          <cell r="F202" t="str">
            <v>材料合计：</v>
          </cell>
        </row>
        <row r="203">
          <cell r="D203" t="str">
            <v>SHT0011031</v>
          </cell>
          <cell r="E203" t="str">
            <v>H6副司机座椅底支架上板</v>
          </cell>
          <cell r="F203" t="str">
            <v>H6副司机座椅底支架上板</v>
          </cell>
          <cell r="G203" t="str">
            <v>S420MC  t=2.5</v>
          </cell>
          <cell r="H203">
            <v>1</v>
          </cell>
          <cell r="I203">
            <v>600</v>
          </cell>
          <cell r="J203">
            <v>450</v>
          </cell>
          <cell r="K203">
            <v>2.5</v>
          </cell>
          <cell r="L203">
            <v>6</v>
          </cell>
          <cell r="M203">
            <v>3</v>
          </cell>
          <cell r="N203">
            <v>5.2987500000000001</v>
          </cell>
          <cell r="O203">
            <v>3.3620000000000001</v>
          </cell>
          <cell r="P203">
            <v>1.93675</v>
          </cell>
        </row>
        <row r="210">
          <cell r="F210" t="str">
            <v>材料合计：</v>
          </cell>
        </row>
        <row r="211">
          <cell r="D211" t="str">
            <v>SHT0011032</v>
          </cell>
          <cell r="E211" t="str">
            <v>H6副司机座椅底支架左下板</v>
          </cell>
          <cell r="F211" t="str">
            <v>H6副司机座椅底支架左下板</v>
          </cell>
          <cell r="G211" t="str">
            <v>S420MC  t=2.0</v>
          </cell>
          <cell r="H211">
            <v>1</v>
          </cell>
          <cell r="I211">
            <v>260</v>
          </cell>
          <cell r="J211">
            <v>220</v>
          </cell>
          <cell r="K211">
            <v>2</v>
          </cell>
          <cell r="L211">
            <v>6</v>
          </cell>
          <cell r="M211">
            <v>3</v>
          </cell>
          <cell r="N211">
            <v>0.89803999999999995</v>
          </cell>
          <cell r="O211">
            <v>0.33200000000000002</v>
          </cell>
          <cell r="P211">
            <v>0.56603999999999999</v>
          </cell>
        </row>
        <row r="214">
          <cell r="F214" t="str">
            <v>材料合计：</v>
          </cell>
        </row>
        <row r="215">
          <cell r="D215" t="str">
            <v>SHT0011033</v>
          </cell>
          <cell r="E215" t="str">
            <v>H6副司机座椅底支架右下板</v>
          </cell>
          <cell r="F215" t="str">
            <v>H6副司机座椅底支架右下板</v>
          </cell>
          <cell r="G215" t="str">
            <v>S420MC  t=2.0</v>
          </cell>
          <cell r="H215">
            <v>1</v>
          </cell>
          <cell r="I215">
            <v>260</v>
          </cell>
          <cell r="J215">
            <v>220</v>
          </cell>
          <cell r="K215">
            <v>2</v>
          </cell>
          <cell r="L215">
            <v>6</v>
          </cell>
          <cell r="M215">
            <v>3</v>
          </cell>
          <cell r="N215">
            <v>0.89803999999999995</v>
          </cell>
          <cell r="O215">
            <v>0.33500000000000002</v>
          </cell>
          <cell r="P215">
            <v>0.56303999999999998</v>
          </cell>
        </row>
        <row r="218">
          <cell r="F218" t="str">
            <v>材料合计：</v>
          </cell>
        </row>
        <row r="219">
          <cell r="D219" t="str">
            <v>SHT0010260</v>
          </cell>
          <cell r="E219" t="str">
            <v>仰角调节钣金</v>
          </cell>
          <cell r="F219" t="str">
            <v>仰角调节钣金</v>
          </cell>
          <cell r="G219" t="str">
            <v>SAPH440 T=2.0</v>
          </cell>
          <cell r="H219">
            <v>1</v>
          </cell>
          <cell r="I219">
            <v>100</v>
          </cell>
          <cell r="J219">
            <v>35</v>
          </cell>
          <cell r="K219">
            <v>2</v>
          </cell>
          <cell r="L219">
            <v>6.1</v>
          </cell>
          <cell r="M219">
            <v>3</v>
          </cell>
          <cell r="N219">
            <v>5.4949999999999999E-2</v>
          </cell>
          <cell r="O219">
            <v>2.5000000000000001E-2</v>
          </cell>
          <cell r="P219">
            <v>2.9950000000000001E-2</v>
          </cell>
        </row>
        <row r="222">
          <cell r="F222" t="str">
            <v>材料合计：</v>
          </cell>
        </row>
        <row r="223">
          <cell r="D223" t="str">
            <v>SHT0010840</v>
          </cell>
          <cell r="E223" t="str">
            <v>仰角小齿板防护板</v>
          </cell>
          <cell r="F223" t="str">
            <v>仰角小齿板防护板</v>
          </cell>
          <cell r="G223" t="str">
            <v>SPFH590 t=1.5</v>
          </cell>
          <cell r="H223">
            <v>1</v>
          </cell>
          <cell r="I223">
            <v>130</v>
          </cell>
          <cell r="J223">
            <v>80</v>
          </cell>
          <cell r="K223">
            <v>1.5</v>
          </cell>
          <cell r="L223">
            <v>6.3</v>
          </cell>
          <cell r="M223">
            <v>3</v>
          </cell>
          <cell r="N223">
            <v>0.12246</v>
          </cell>
          <cell r="O223">
            <v>7.1999999999999995E-2</v>
          </cell>
          <cell r="P223">
            <v>5.0459999999999998E-2</v>
          </cell>
        </row>
        <row r="226">
          <cell r="F226" t="str">
            <v>材料合计：</v>
          </cell>
        </row>
        <row r="227">
          <cell r="D227" t="str">
            <v>SHT0011421</v>
          </cell>
          <cell r="E227" t="str">
            <v>副司机仰角小齿板防护板</v>
          </cell>
          <cell r="F227" t="str">
            <v>副司机仰角小齿板防护板</v>
          </cell>
          <cell r="G227" t="str">
            <v>SPFH590 t=1.5</v>
          </cell>
          <cell r="H227">
            <v>1</v>
          </cell>
          <cell r="I227">
            <v>130</v>
          </cell>
          <cell r="J227">
            <v>80</v>
          </cell>
          <cell r="K227">
            <v>1.5</v>
          </cell>
          <cell r="L227">
            <v>6.3</v>
          </cell>
          <cell r="M227">
            <v>3</v>
          </cell>
          <cell r="N227">
            <v>0.12246</v>
          </cell>
          <cell r="O227">
            <v>7.0000000000000007E-2</v>
          </cell>
          <cell r="P227">
            <v>5.246E-2</v>
          </cell>
        </row>
        <row r="230">
          <cell r="F230" t="str">
            <v>材料合计：</v>
          </cell>
        </row>
        <row r="231">
          <cell r="D231" t="str">
            <v>SHT0010395</v>
          </cell>
          <cell r="E231" t="str">
            <v>H6副驾安全带固定钣金</v>
          </cell>
          <cell r="F231" t="str">
            <v>H6副驾安全带固定钣金</v>
          </cell>
          <cell r="G231" t="str">
            <v>SAPH440 t=3.0</v>
          </cell>
          <cell r="H231">
            <v>1</v>
          </cell>
          <cell r="I231">
            <v>370</v>
          </cell>
          <cell r="J231">
            <v>90</v>
          </cell>
          <cell r="K231">
            <v>3</v>
          </cell>
          <cell r="L231">
            <v>6.1</v>
          </cell>
          <cell r="M231">
            <v>3</v>
          </cell>
          <cell r="N231">
            <v>0.784215</v>
          </cell>
          <cell r="O231">
            <v>0.67200000000000004</v>
          </cell>
          <cell r="P231">
            <v>0.112215</v>
          </cell>
        </row>
        <row r="234">
          <cell r="F234" t="str">
            <v>材料合计：</v>
          </cell>
        </row>
        <row r="235">
          <cell r="D235" t="str">
            <v>SHT0010696</v>
          </cell>
          <cell r="E235" t="str">
            <v>左旁侧板</v>
          </cell>
          <cell r="F235" t="str">
            <v>左旁侧板</v>
          </cell>
          <cell r="G235" t="str">
            <v>SAPH440 t=3.0</v>
          </cell>
          <cell r="H235">
            <v>1</v>
          </cell>
          <cell r="I235">
            <v>170</v>
          </cell>
          <cell r="J235">
            <v>100</v>
          </cell>
          <cell r="K235">
            <v>3</v>
          </cell>
          <cell r="L235">
            <v>6.1</v>
          </cell>
          <cell r="M235">
            <v>3</v>
          </cell>
          <cell r="N235">
            <v>0.40034999999999998</v>
          </cell>
          <cell r="O235">
            <v>0.217</v>
          </cell>
          <cell r="P235">
            <v>0.18335000000000001</v>
          </cell>
        </row>
        <row r="239">
          <cell r="F239" t="str">
            <v>材料合计：</v>
          </cell>
        </row>
        <row r="240">
          <cell r="D240" t="str">
            <v>SHT0010698</v>
          </cell>
          <cell r="E240" t="str">
            <v>右旁侧板</v>
          </cell>
          <cell r="F240" t="str">
            <v>右旁侧板</v>
          </cell>
          <cell r="G240" t="str">
            <v>SAPH440 t=3.0</v>
          </cell>
          <cell r="H240">
            <v>1</v>
          </cell>
          <cell r="I240">
            <v>170</v>
          </cell>
          <cell r="J240">
            <v>100</v>
          </cell>
          <cell r="K240">
            <v>3</v>
          </cell>
          <cell r="L240">
            <v>6.1</v>
          </cell>
          <cell r="M240">
            <v>3</v>
          </cell>
          <cell r="N240">
            <v>0.40034999999999998</v>
          </cell>
          <cell r="O240">
            <v>0.217</v>
          </cell>
          <cell r="P240">
            <v>0.18335000000000001</v>
          </cell>
        </row>
        <row r="244">
          <cell r="F244" t="str">
            <v>材料合计：</v>
          </cell>
        </row>
        <row r="245">
          <cell r="D245" t="str">
            <v>SHT0010385</v>
          </cell>
          <cell r="E245" t="str">
            <v>坐垫翻折连接钣金左</v>
          </cell>
          <cell r="F245" t="str">
            <v>坐垫翻折连接钣金左</v>
          </cell>
          <cell r="G245" t="str">
            <v>SAPH440 t=5.0</v>
          </cell>
          <cell r="H245">
            <v>1</v>
          </cell>
          <cell r="I245">
            <v>125</v>
          </cell>
          <cell r="J245">
            <v>60</v>
          </cell>
          <cell r="K245">
            <v>5</v>
          </cell>
          <cell r="L245">
            <v>6.1</v>
          </cell>
          <cell r="M245">
            <v>3</v>
          </cell>
          <cell r="N245">
            <v>0.294375</v>
          </cell>
          <cell r="O245">
            <v>0.182</v>
          </cell>
          <cell r="P245">
            <v>0.112375</v>
          </cell>
        </row>
        <row r="248">
          <cell r="F248" t="str">
            <v>材料合计：</v>
          </cell>
        </row>
        <row r="249">
          <cell r="D249" t="str">
            <v>SHT0010386</v>
          </cell>
          <cell r="E249" t="str">
            <v>坐垫翻折连接钣金右</v>
          </cell>
          <cell r="F249" t="str">
            <v>坐垫翻折连接钣金右</v>
          </cell>
          <cell r="G249" t="str">
            <v>SAPH440 t=5.0</v>
          </cell>
          <cell r="H249">
            <v>1</v>
          </cell>
          <cell r="I249">
            <v>130</v>
          </cell>
          <cell r="J249">
            <v>100</v>
          </cell>
          <cell r="K249">
            <v>5</v>
          </cell>
          <cell r="L249">
            <v>6.1</v>
          </cell>
          <cell r="M249">
            <v>3</v>
          </cell>
          <cell r="N249">
            <v>0.51024999999999998</v>
          </cell>
          <cell r="O249">
            <v>0.224</v>
          </cell>
          <cell r="P249">
            <v>0.28625</v>
          </cell>
        </row>
        <row r="252">
          <cell r="F252" t="str">
            <v>材料合计：</v>
          </cell>
        </row>
        <row r="253">
          <cell r="D253" t="str">
            <v>SHT0010132</v>
          </cell>
          <cell r="E253" t="str">
            <v>座框前连接板</v>
          </cell>
          <cell r="F253" t="str">
            <v>座框前连接板</v>
          </cell>
          <cell r="G253" t="str">
            <v>SPFH590 t=2.0</v>
          </cell>
          <cell r="H253">
            <v>1</v>
          </cell>
          <cell r="I253">
            <v>400</v>
          </cell>
          <cell r="J253">
            <v>195</v>
          </cell>
          <cell r="K253">
            <v>2</v>
          </cell>
          <cell r="L253">
            <v>6.3</v>
          </cell>
          <cell r="M253">
            <v>3</v>
          </cell>
          <cell r="N253">
            <v>1.2245999999999999</v>
          </cell>
          <cell r="O253">
            <v>0.60599999999999998</v>
          </cell>
          <cell r="P253">
            <v>0.61860000000000004</v>
          </cell>
        </row>
        <row r="257">
          <cell r="F257" t="str">
            <v>材料合计：</v>
          </cell>
        </row>
        <row r="258">
          <cell r="D258" t="str">
            <v>SHT0010215</v>
          </cell>
          <cell r="E258" t="str">
            <v>减震器上框后横梁</v>
          </cell>
          <cell r="F258" t="str">
            <v>减震器上框后横梁</v>
          </cell>
          <cell r="G258" t="str">
            <v>SPFH590 t=2.0</v>
          </cell>
          <cell r="H258">
            <v>1</v>
          </cell>
          <cell r="I258">
            <v>280</v>
          </cell>
          <cell r="J258">
            <v>300</v>
          </cell>
          <cell r="K258">
            <v>2</v>
          </cell>
          <cell r="L258">
            <v>6.3</v>
          </cell>
          <cell r="M258">
            <v>3</v>
          </cell>
          <cell r="N258">
            <v>1.3188</v>
          </cell>
          <cell r="O258">
            <v>0.51600000000000001</v>
          </cell>
          <cell r="P258">
            <v>0.80279999999999996</v>
          </cell>
        </row>
        <row r="263">
          <cell r="F263" t="str">
            <v>材料合计：</v>
          </cell>
        </row>
        <row r="264">
          <cell r="D264" t="str">
            <v>SHT0010080</v>
          </cell>
          <cell r="E264" t="str">
            <v>气囊下支撑板金</v>
          </cell>
          <cell r="F264" t="str">
            <v>气囊下支撑板金</v>
          </cell>
          <cell r="G264" t="str">
            <v>SPFH590 t=2.0</v>
          </cell>
          <cell r="H264">
            <v>1</v>
          </cell>
          <cell r="I264">
            <v>360</v>
          </cell>
          <cell r="J264">
            <v>285</v>
          </cell>
          <cell r="K264">
            <v>2</v>
          </cell>
          <cell r="L264">
            <v>6.3</v>
          </cell>
          <cell r="M264">
            <v>3</v>
          </cell>
          <cell r="N264">
            <v>1.6108199999999999</v>
          </cell>
          <cell r="O264">
            <v>1.0009999999999999</v>
          </cell>
          <cell r="P264">
            <v>0.60982000000000003</v>
          </cell>
        </row>
        <row r="270">
          <cell r="F270" t="str">
            <v>材料合计：</v>
          </cell>
        </row>
        <row r="271">
          <cell r="D271" t="str">
            <v>SHT0010051</v>
          </cell>
          <cell r="E271" t="str">
            <v>气囊支撑钣金</v>
          </cell>
          <cell r="F271" t="str">
            <v>气囊支撑钣金</v>
          </cell>
          <cell r="G271" t="str">
            <v>SPFH590 t=3.0</v>
          </cell>
          <cell r="H271">
            <v>1</v>
          </cell>
          <cell r="I271">
            <v>260</v>
          </cell>
          <cell r="J271">
            <v>145</v>
          </cell>
          <cell r="K271">
            <v>3</v>
          </cell>
          <cell r="L271">
            <v>6.3</v>
          </cell>
          <cell r="M271">
            <v>3</v>
          </cell>
          <cell r="N271">
            <v>0.88783500000000004</v>
          </cell>
          <cell r="O271">
            <v>0.59599999999999997</v>
          </cell>
          <cell r="P271">
            <v>0.29183500000000001</v>
          </cell>
        </row>
        <row r="275">
          <cell r="F275" t="str">
            <v>材料合计：</v>
          </cell>
        </row>
        <row r="276">
          <cell r="D276" t="str">
            <v>SHT0010371</v>
          </cell>
          <cell r="E276" t="str">
            <v>坐垫翻折支撑钣金右</v>
          </cell>
          <cell r="F276" t="str">
            <v>坐垫翻折支撑钣金右</v>
          </cell>
          <cell r="G276" t="str">
            <v>SPFH590 t=3.0</v>
          </cell>
          <cell r="H276">
            <v>1</v>
          </cell>
          <cell r="I276">
            <v>100</v>
          </cell>
          <cell r="J276">
            <v>75</v>
          </cell>
          <cell r="K276">
            <v>3</v>
          </cell>
          <cell r="L276">
            <v>6.3</v>
          </cell>
          <cell r="M276">
            <v>3</v>
          </cell>
          <cell r="N276">
            <v>0.176625</v>
          </cell>
          <cell r="O276">
            <v>7.0999999999999994E-2</v>
          </cell>
          <cell r="P276">
            <v>0.105625</v>
          </cell>
        </row>
        <row r="280">
          <cell r="F280" t="str">
            <v>材料合计：</v>
          </cell>
        </row>
        <row r="281">
          <cell r="D281" t="str">
            <v>SHT0010370</v>
          </cell>
          <cell r="E281" t="str">
            <v>坐垫翻折支撑钣金左</v>
          </cell>
          <cell r="F281" t="str">
            <v>坐垫翻折支撑钣金左</v>
          </cell>
          <cell r="G281" t="str">
            <v>SPFH590 t=3.0</v>
          </cell>
          <cell r="H281">
            <v>1</v>
          </cell>
          <cell r="I281">
            <v>100</v>
          </cell>
          <cell r="J281">
            <v>75</v>
          </cell>
          <cell r="K281">
            <v>3</v>
          </cell>
          <cell r="L281">
            <v>6.3</v>
          </cell>
          <cell r="M281">
            <v>3</v>
          </cell>
          <cell r="N281">
            <v>0.176625</v>
          </cell>
          <cell r="O281">
            <v>7.3999999999999996E-2</v>
          </cell>
          <cell r="P281">
            <v>0.10262499999999999</v>
          </cell>
        </row>
        <row r="285">
          <cell r="F285" t="str">
            <v>材料合计：</v>
          </cell>
        </row>
        <row r="286">
          <cell r="D286" t="str">
            <v>SHT0010384</v>
          </cell>
          <cell r="E286" t="str">
            <v>副驾蜗簧固定钣金片1</v>
          </cell>
          <cell r="F286" t="str">
            <v>副驾蜗簧固定钣金片1</v>
          </cell>
          <cell r="G286" t="str">
            <v>SPFH590 t=3.0</v>
          </cell>
          <cell r="H286">
            <v>1</v>
          </cell>
          <cell r="I286">
            <v>105</v>
          </cell>
          <cell r="J286">
            <v>130</v>
          </cell>
          <cell r="K286">
            <v>3</v>
          </cell>
          <cell r="L286">
            <v>6.3</v>
          </cell>
          <cell r="M286">
            <v>3</v>
          </cell>
          <cell r="N286">
            <v>0.32145750000000001</v>
          </cell>
          <cell r="O286">
            <v>0.188</v>
          </cell>
          <cell r="P286">
            <v>0.13345750000000001</v>
          </cell>
        </row>
        <row r="290">
          <cell r="F290" t="str">
            <v>材料合计：</v>
          </cell>
        </row>
        <row r="291">
          <cell r="D291" t="str">
            <v>SHT0010191</v>
          </cell>
          <cell r="E291" t="str">
            <v>蜗簧固定钣金片1</v>
          </cell>
          <cell r="F291" t="str">
            <v>蜗簧固定钣金片1</v>
          </cell>
          <cell r="G291" t="str">
            <v>SPFH590 t=3.0</v>
          </cell>
          <cell r="H291">
            <v>1</v>
          </cell>
          <cell r="I291">
            <v>105</v>
          </cell>
          <cell r="J291">
            <v>130</v>
          </cell>
          <cell r="K291">
            <v>3</v>
          </cell>
          <cell r="L291">
            <v>6.3</v>
          </cell>
          <cell r="M291">
            <v>3</v>
          </cell>
          <cell r="N291">
            <v>0.32145750000000001</v>
          </cell>
          <cell r="O291">
            <v>0.16900000000000001</v>
          </cell>
          <cell r="P291">
            <v>0.1524575</v>
          </cell>
        </row>
        <row r="295">
          <cell r="F295" t="str">
            <v>材料合计：</v>
          </cell>
        </row>
        <row r="296">
          <cell r="D296" t="str">
            <v>SHT0010846</v>
          </cell>
          <cell r="E296" t="str">
            <v>支架左边板</v>
          </cell>
          <cell r="F296" t="str">
            <v>支架左边板</v>
          </cell>
          <cell r="G296" t="str">
            <v>QSTE420TM  t=1.5</v>
          </cell>
          <cell r="H296">
            <v>1</v>
          </cell>
          <cell r="I296">
            <v>550</v>
          </cell>
          <cell r="J296">
            <v>280</v>
          </cell>
          <cell r="K296">
            <v>1.5</v>
          </cell>
          <cell r="L296">
            <v>6</v>
          </cell>
          <cell r="M296">
            <v>3</v>
          </cell>
          <cell r="N296">
            <v>1.81335</v>
          </cell>
          <cell r="O296">
            <v>1.0169999999999999</v>
          </cell>
          <cell r="P296">
            <v>0.79635</v>
          </cell>
        </row>
        <row r="303">
          <cell r="F303" t="str">
            <v>材料合计：</v>
          </cell>
        </row>
        <row r="304">
          <cell r="D304" t="str">
            <v>SHT0010848</v>
          </cell>
          <cell r="E304" t="str">
            <v>支架右边板</v>
          </cell>
          <cell r="F304" t="str">
            <v>支架右边板</v>
          </cell>
          <cell r="G304" t="str">
            <v>QSTE420TM  t=1.5</v>
          </cell>
          <cell r="H304">
            <v>1</v>
          </cell>
          <cell r="I304">
            <v>550</v>
          </cell>
          <cell r="J304">
            <v>280</v>
          </cell>
          <cell r="K304">
            <v>1.5</v>
          </cell>
          <cell r="L304">
            <v>6</v>
          </cell>
          <cell r="M304">
            <v>3</v>
          </cell>
          <cell r="N304">
            <v>1.81335</v>
          </cell>
          <cell r="O304">
            <v>1.0069999999999999</v>
          </cell>
          <cell r="P304">
            <v>0.80635000000000001</v>
          </cell>
        </row>
        <row r="311">
          <cell r="F311" t="str">
            <v>材料合计：</v>
          </cell>
        </row>
        <row r="312">
          <cell r="D312" t="str">
            <v>SHT0010851</v>
          </cell>
          <cell r="E312" t="str">
            <v>支架后板</v>
          </cell>
          <cell r="F312" t="str">
            <v>支架后板</v>
          </cell>
          <cell r="G312" t="str">
            <v>QSTE420TM  t=1.5</v>
          </cell>
          <cell r="H312">
            <v>1</v>
          </cell>
          <cell r="I312">
            <v>550</v>
          </cell>
          <cell r="J312">
            <v>280</v>
          </cell>
          <cell r="K312">
            <v>1.5</v>
          </cell>
          <cell r="L312">
            <v>6</v>
          </cell>
          <cell r="M312">
            <v>3</v>
          </cell>
          <cell r="N312">
            <v>1.81335</v>
          </cell>
          <cell r="O312">
            <v>0.76400000000000001</v>
          </cell>
          <cell r="P312">
            <v>1.04935</v>
          </cell>
        </row>
        <row r="319">
          <cell r="F319" t="str">
            <v>材料合计：</v>
          </cell>
        </row>
        <row r="320">
          <cell r="D320" t="str">
            <v>SHT0011362</v>
          </cell>
          <cell r="E320" t="str">
            <v>H6扶手支架</v>
          </cell>
          <cell r="F320" t="str">
            <v>H6扶手支架</v>
          </cell>
          <cell r="G320" t="str">
            <v>SAPH440 t=3.0</v>
          </cell>
          <cell r="H320">
            <v>1</v>
          </cell>
          <cell r="I320">
            <v>115</v>
          </cell>
          <cell r="J320">
            <v>110</v>
          </cell>
          <cell r="K320">
            <v>3</v>
          </cell>
          <cell r="L320">
            <v>6.1</v>
          </cell>
          <cell r="M320">
            <v>3</v>
          </cell>
          <cell r="N320">
            <v>0.29790749999999999</v>
          </cell>
          <cell r="O320">
            <v>0.13100000000000001</v>
          </cell>
          <cell r="P320">
            <v>0.16690749999999999</v>
          </cell>
        </row>
        <row r="323">
          <cell r="F323" t="str">
            <v>材料合计：</v>
          </cell>
        </row>
        <row r="324">
          <cell r="D324" t="str">
            <v>SHT0010212</v>
          </cell>
          <cell r="E324" t="str">
            <v>上框加强板</v>
          </cell>
          <cell r="F324" t="str">
            <v>上框加强板</v>
          </cell>
          <cell r="G324" t="str">
            <v>SAPH440 t=1.5</v>
          </cell>
          <cell r="H324">
            <v>1</v>
          </cell>
          <cell r="I324">
            <v>275</v>
          </cell>
          <cell r="J324">
            <v>67</v>
          </cell>
          <cell r="K324">
            <v>1.5</v>
          </cell>
          <cell r="L324">
            <v>6.1</v>
          </cell>
          <cell r="M324">
            <v>3</v>
          </cell>
          <cell r="N324">
            <v>0.216954375</v>
          </cell>
          <cell r="P324">
            <v>0.216954375</v>
          </cell>
        </row>
        <row r="327">
          <cell r="F327" t="str">
            <v>材料合计：</v>
          </cell>
        </row>
        <row r="328">
          <cell r="D328" t="str">
            <v>SHT0011362</v>
          </cell>
          <cell r="E328" t="str">
            <v>H6扶手支架</v>
          </cell>
          <cell r="F328" t="str">
            <v>H6扶手支架</v>
          </cell>
          <cell r="G328" t="str">
            <v>SAPH440 t=3.0</v>
          </cell>
          <cell r="H328">
            <v>1</v>
          </cell>
          <cell r="I328">
            <v>115</v>
          </cell>
          <cell r="J328">
            <v>110</v>
          </cell>
          <cell r="K328">
            <v>3</v>
          </cell>
          <cell r="L328">
            <v>6.1</v>
          </cell>
          <cell r="M328">
            <v>3</v>
          </cell>
          <cell r="N328">
            <v>0.29790749999999999</v>
          </cell>
          <cell r="O328">
            <v>0.13100000000000001</v>
          </cell>
          <cell r="P328">
            <v>0.16690749999999999</v>
          </cell>
        </row>
        <row r="330">
          <cell r="F330" t="str">
            <v>材料合计：</v>
          </cell>
        </row>
        <row r="331">
          <cell r="D331" t="str">
            <v>SHT0011009</v>
          </cell>
          <cell r="E331" t="str">
            <v>后罩壳固定钣金</v>
          </cell>
          <cell r="F331" t="str">
            <v>后罩壳固定钣金</v>
          </cell>
          <cell r="G331" t="str">
            <v>SAPH440 t=1.5</v>
          </cell>
          <cell r="H331">
            <v>1</v>
          </cell>
          <cell r="I331">
            <v>160</v>
          </cell>
          <cell r="J331">
            <v>160</v>
          </cell>
          <cell r="K331">
            <v>1.5</v>
          </cell>
          <cell r="L331">
            <v>6.1</v>
          </cell>
          <cell r="M331">
            <v>3</v>
          </cell>
          <cell r="N331">
            <v>0.30143999999999999</v>
          </cell>
          <cell r="P331">
            <v>0.30143999999999999</v>
          </cell>
        </row>
        <row r="332">
          <cell r="D332" t="str">
            <v>SHT0010212</v>
          </cell>
          <cell r="E332" t="str">
            <v>上框加强板</v>
          </cell>
          <cell r="F332" t="str">
            <v>上框加强板</v>
          </cell>
          <cell r="G332" t="str">
            <v>SAPH440 t=1.5</v>
          </cell>
          <cell r="H332">
            <v>1</v>
          </cell>
          <cell r="I332">
            <v>275</v>
          </cell>
          <cell r="J332">
            <v>67</v>
          </cell>
          <cell r="K332">
            <v>1.5</v>
          </cell>
          <cell r="L332">
            <v>6.1</v>
          </cell>
          <cell r="M332">
            <v>3</v>
          </cell>
          <cell r="N332">
            <v>0.216954375</v>
          </cell>
          <cell r="P332">
            <v>0.216954375</v>
          </cell>
        </row>
        <row r="338">
          <cell r="F338" t="str">
            <v>材料合计：</v>
          </cell>
        </row>
        <row r="339">
          <cell r="D339" t="str">
            <v>SHT0011010</v>
          </cell>
          <cell r="E339" t="str">
            <v>防尘罩后固定支架钣金</v>
          </cell>
          <cell r="F339" t="str">
            <v>防尘罩后固定支架钣金</v>
          </cell>
          <cell r="G339" t="str">
            <v>SAPH440 t=1.5</v>
          </cell>
          <cell r="H339">
            <v>1</v>
          </cell>
          <cell r="I339">
            <v>320</v>
          </cell>
          <cell r="J339">
            <v>60</v>
          </cell>
          <cell r="K339">
            <v>1.5</v>
          </cell>
          <cell r="L339">
            <v>6.1</v>
          </cell>
          <cell r="M339">
            <v>3</v>
          </cell>
          <cell r="N339">
            <v>0.22608</v>
          </cell>
          <cell r="O339">
            <v>0.13100000000000001</v>
          </cell>
          <cell r="P339">
            <v>9.5079999999999998E-2</v>
          </cell>
        </row>
        <row r="343">
          <cell r="F343" t="str">
            <v>材料合计：</v>
          </cell>
        </row>
        <row r="344">
          <cell r="D344" t="str">
            <v>SHT0010209</v>
          </cell>
          <cell r="E344" t="str">
            <v>上框右侧加强板</v>
          </cell>
          <cell r="F344" t="str">
            <v>上框右侧加强板</v>
          </cell>
          <cell r="G344" t="str">
            <v>SAPH440 t=2.0</v>
          </cell>
          <cell r="H344">
            <v>1</v>
          </cell>
          <cell r="I344">
            <v>130</v>
          </cell>
          <cell r="J344">
            <v>180</v>
          </cell>
          <cell r="K344">
            <v>2</v>
          </cell>
          <cell r="L344">
            <v>6.1</v>
          </cell>
          <cell r="M344">
            <v>3</v>
          </cell>
          <cell r="N344">
            <v>0.36737999999999998</v>
          </cell>
          <cell r="O344">
            <v>0.26</v>
          </cell>
          <cell r="P344">
            <v>0.10738</v>
          </cell>
        </row>
        <row r="346">
          <cell r="F346" t="str">
            <v>材料合计：</v>
          </cell>
        </row>
        <row r="347">
          <cell r="D347" t="str">
            <v>SHT0011010</v>
          </cell>
          <cell r="E347" t="str">
            <v>防尘罩后固定支架钣金</v>
          </cell>
          <cell r="F347" t="str">
            <v>防尘罩后固定支架钣金</v>
          </cell>
          <cell r="G347" t="str">
            <v>SAPH440 t=1.5</v>
          </cell>
          <cell r="H347">
            <v>1</v>
          </cell>
          <cell r="I347">
            <v>320</v>
          </cell>
          <cell r="J347">
            <v>60</v>
          </cell>
          <cell r="K347">
            <v>1.5</v>
          </cell>
          <cell r="L347">
            <v>6.1</v>
          </cell>
          <cell r="M347">
            <v>3</v>
          </cell>
          <cell r="N347">
            <v>0.22608</v>
          </cell>
          <cell r="O347">
            <v>0.13100000000000001</v>
          </cell>
          <cell r="P347">
            <v>9.5079999999999998E-2</v>
          </cell>
        </row>
        <row r="349">
          <cell r="F349" t="str">
            <v>材料合计：</v>
          </cell>
        </row>
        <row r="350">
          <cell r="D350" t="str">
            <v>SHT0010210</v>
          </cell>
          <cell r="E350" t="str">
            <v>上框左侧加强板</v>
          </cell>
          <cell r="F350" t="str">
            <v>上框左侧加强板</v>
          </cell>
          <cell r="G350" t="str">
            <v>SAPH440 t=2.0</v>
          </cell>
          <cell r="H350">
            <v>1</v>
          </cell>
          <cell r="I350">
            <v>130</v>
          </cell>
          <cell r="J350">
            <v>180</v>
          </cell>
          <cell r="K350">
            <v>2</v>
          </cell>
          <cell r="L350">
            <v>6.1</v>
          </cell>
          <cell r="M350">
            <v>3</v>
          </cell>
          <cell r="N350">
            <v>0.36737999999999998</v>
          </cell>
          <cell r="O350">
            <v>0.26</v>
          </cell>
          <cell r="P350">
            <v>0.10738</v>
          </cell>
        </row>
        <row r="351">
          <cell r="F351" t="str">
            <v>材料合计：</v>
          </cell>
        </row>
        <row r="352">
          <cell r="D352" t="str">
            <v>SHT0010209</v>
          </cell>
          <cell r="E352" t="str">
            <v>上框右侧加强板</v>
          </cell>
          <cell r="F352" t="str">
            <v>上框右侧加强板</v>
          </cell>
          <cell r="G352" t="str">
            <v>SAPH440 t=2.0</v>
          </cell>
          <cell r="H352">
            <v>1</v>
          </cell>
          <cell r="I352">
            <v>130</v>
          </cell>
          <cell r="J352">
            <v>180</v>
          </cell>
          <cell r="K352">
            <v>2</v>
          </cell>
          <cell r="L352">
            <v>6.1</v>
          </cell>
          <cell r="M352">
            <v>3</v>
          </cell>
          <cell r="N352">
            <v>0.36737999999999998</v>
          </cell>
          <cell r="O352">
            <v>0.26</v>
          </cell>
          <cell r="P352">
            <v>0.10738</v>
          </cell>
        </row>
        <row r="355">
          <cell r="F355" t="str">
            <v>材料合计：</v>
          </cell>
        </row>
        <row r="356">
          <cell r="D356" t="str">
            <v>SHT0010211</v>
          </cell>
          <cell r="E356" t="str">
            <v>减震前横梁</v>
          </cell>
          <cell r="F356" t="str">
            <v>减震前横梁</v>
          </cell>
          <cell r="G356" t="str">
            <v>SAPH440 t=2.0</v>
          </cell>
          <cell r="H356">
            <v>1</v>
          </cell>
          <cell r="I356">
            <v>271</v>
          </cell>
          <cell r="J356">
            <v>71</v>
          </cell>
          <cell r="K356">
            <v>2</v>
          </cell>
          <cell r="L356">
            <v>6.1</v>
          </cell>
          <cell r="M356">
            <v>3</v>
          </cell>
          <cell r="N356">
            <v>0.30208370000000001</v>
          </cell>
          <cell r="P356">
            <v>0.30208370000000001</v>
          </cell>
        </row>
        <row r="357">
          <cell r="F357" t="str">
            <v>材料合计：</v>
          </cell>
        </row>
        <row r="358">
          <cell r="D358" t="str">
            <v>SHT0010210</v>
          </cell>
          <cell r="E358" t="str">
            <v>上框左侧加强板</v>
          </cell>
          <cell r="F358" t="str">
            <v>上框左侧加强板</v>
          </cell>
          <cell r="G358" t="str">
            <v>SAPH440 t=2.0</v>
          </cell>
          <cell r="H358">
            <v>1</v>
          </cell>
          <cell r="I358">
            <v>130</v>
          </cell>
          <cell r="J358">
            <v>180</v>
          </cell>
          <cell r="K358">
            <v>2</v>
          </cell>
          <cell r="L358">
            <v>6.1</v>
          </cell>
          <cell r="M358">
            <v>3</v>
          </cell>
          <cell r="N358">
            <v>0.36737999999999998</v>
          </cell>
          <cell r="O358">
            <v>0.26</v>
          </cell>
          <cell r="P358">
            <v>0.10738</v>
          </cell>
        </row>
        <row r="361">
          <cell r="F361" t="str">
            <v>材料合计：</v>
          </cell>
        </row>
        <row r="362">
          <cell r="D362" t="str">
            <v>SHT0010121</v>
          </cell>
          <cell r="E362" t="str">
            <v>座框左侧内边板</v>
          </cell>
          <cell r="F362" t="str">
            <v>座框左侧内边板</v>
          </cell>
          <cell r="G362" t="str">
            <v>SPFH590 t=1.5</v>
          </cell>
          <cell r="H362">
            <v>1</v>
          </cell>
          <cell r="I362">
            <v>130</v>
          </cell>
          <cell r="J362">
            <v>252</v>
          </cell>
          <cell r="K362">
            <v>1.5</v>
          </cell>
          <cell r="L362">
            <v>6.3</v>
          </cell>
          <cell r="M362">
            <v>3</v>
          </cell>
          <cell r="N362">
            <v>0.38574900000000001</v>
          </cell>
          <cell r="O362">
            <v>0.24299999999999999</v>
          </cell>
          <cell r="P362">
            <v>0.14274899999999999</v>
          </cell>
        </row>
        <row r="363">
          <cell r="F363" t="str">
            <v>材料合计：</v>
          </cell>
        </row>
        <row r="364">
          <cell r="D364" t="str">
            <v>SHT0010211</v>
          </cell>
          <cell r="E364" t="str">
            <v>减震前横梁</v>
          </cell>
          <cell r="F364" t="str">
            <v>减震前横梁</v>
          </cell>
          <cell r="G364" t="str">
            <v>SAPH440 t=2.0</v>
          </cell>
          <cell r="H364">
            <v>1</v>
          </cell>
          <cell r="I364">
            <v>271</v>
          </cell>
          <cell r="J364">
            <v>71</v>
          </cell>
          <cell r="K364">
            <v>2</v>
          </cell>
          <cell r="L364">
            <v>6.1</v>
          </cell>
          <cell r="M364">
            <v>3</v>
          </cell>
          <cell r="N364">
            <v>0.30208370000000001</v>
          </cell>
          <cell r="P364">
            <v>0.30208370000000001</v>
          </cell>
        </row>
        <row r="366">
          <cell r="F366" t="str">
            <v>材料合计：</v>
          </cell>
        </row>
        <row r="367">
          <cell r="D367" t="str">
            <v>SHT0010125</v>
          </cell>
          <cell r="E367" t="str">
            <v>座框右侧内边板</v>
          </cell>
          <cell r="F367" t="str">
            <v>座框右侧内边板</v>
          </cell>
          <cell r="G367" t="str">
            <v>SPFH590 t=1.5</v>
          </cell>
          <cell r="H367">
            <v>1</v>
          </cell>
          <cell r="I367">
            <v>130</v>
          </cell>
          <cell r="J367">
            <v>252</v>
          </cell>
          <cell r="K367">
            <v>1.5</v>
          </cell>
          <cell r="L367">
            <v>6.3</v>
          </cell>
          <cell r="M367">
            <v>3</v>
          </cell>
          <cell r="N367">
            <v>0.38574900000000001</v>
          </cell>
          <cell r="O367">
            <v>0.252</v>
          </cell>
          <cell r="P367">
            <v>0.13374900000000001</v>
          </cell>
        </row>
        <row r="369">
          <cell r="F369" t="str">
            <v>材料合计：</v>
          </cell>
        </row>
        <row r="370">
          <cell r="D370" t="str">
            <v>SHT0010121</v>
          </cell>
          <cell r="E370" t="str">
            <v>座框左侧内边板</v>
          </cell>
          <cell r="F370" t="str">
            <v>座框左侧内边板</v>
          </cell>
          <cell r="G370" t="str">
            <v>SPFH590 t=1.5</v>
          </cell>
          <cell r="H370">
            <v>1</v>
          </cell>
          <cell r="I370">
            <v>130</v>
          </cell>
          <cell r="J370">
            <v>252</v>
          </cell>
          <cell r="K370">
            <v>1.5</v>
          </cell>
          <cell r="L370">
            <v>6.3</v>
          </cell>
          <cell r="M370">
            <v>3</v>
          </cell>
          <cell r="N370">
            <v>0.38574900000000001</v>
          </cell>
          <cell r="O370">
            <v>0.24299999999999999</v>
          </cell>
          <cell r="P370">
            <v>0.14274899999999999</v>
          </cell>
        </row>
        <row r="371">
          <cell r="F371" t="str">
            <v>材料合计：</v>
          </cell>
        </row>
        <row r="372">
          <cell r="D372" t="str">
            <v>SHT0010120</v>
          </cell>
          <cell r="E372" t="str">
            <v>座框左侧外边板</v>
          </cell>
          <cell r="F372" t="str">
            <v>座框左侧外边板</v>
          </cell>
          <cell r="G372" t="str">
            <v>SPFH590 t=2.0</v>
          </cell>
          <cell r="H372">
            <v>1</v>
          </cell>
          <cell r="I372">
            <v>550</v>
          </cell>
          <cell r="J372">
            <v>140</v>
          </cell>
          <cell r="K372">
            <v>2</v>
          </cell>
          <cell r="L372">
            <v>6.3</v>
          </cell>
          <cell r="M372">
            <v>3</v>
          </cell>
          <cell r="N372">
            <v>1.2089000000000001</v>
          </cell>
          <cell r="O372">
            <v>0.77800000000000002</v>
          </cell>
          <cell r="P372">
            <v>0.43090000000000001</v>
          </cell>
        </row>
        <row r="374">
          <cell r="F374" t="str">
            <v>材料合计：</v>
          </cell>
        </row>
        <row r="375">
          <cell r="D375" t="str">
            <v>SHT0010125</v>
          </cell>
          <cell r="E375" t="str">
            <v>座框右侧内边板</v>
          </cell>
          <cell r="F375" t="str">
            <v>座框右侧内边板</v>
          </cell>
          <cell r="G375" t="str">
            <v>SPFH590 t=1.5</v>
          </cell>
          <cell r="H375">
            <v>1</v>
          </cell>
          <cell r="I375">
            <v>130</v>
          </cell>
          <cell r="J375">
            <v>252</v>
          </cell>
          <cell r="K375">
            <v>1.5</v>
          </cell>
          <cell r="L375">
            <v>6.3</v>
          </cell>
          <cell r="M375">
            <v>3</v>
          </cell>
          <cell r="N375">
            <v>0.38574900000000001</v>
          </cell>
          <cell r="O375">
            <v>0.252</v>
          </cell>
          <cell r="P375">
            <v>0.13374900000000001</v>
          </cell>
        </row>
        <row r="377">
          <cell r="F377" t="str">
            <v>材料合计：</v>
          </cell>
        </row>
        <row r="378">
          <cell r="D378" t="str">
            <v>SHT0010124</v>
          </cell>
          <cell r="E378" t="str">
            <v>座框右侧外边板</v>
          </cell>
          <cell r="F378" t="str">
            <v>座框右侧外边板</v>
          </cell>
          <cell r="G378" t="str">
            <v>SPFH590 t=2.0</v>
          </cell>
          <cell r="H378">
            <v>1</v>
          </cell>
          <cell r="I378">
            <v>550</v>
          </cell>
          <cell r="J378">
            <v>140</v>
          </cell>
          <cell r="K378">
            <v>2</v>
          </cell>
          <cell r="L378">
            <v>6.3</v>
          </cell>
          <cell r="M378">
            <v>3</v>
          </cell>
          <cell r="N378">
            <v>1.2089000000000001</v>
          </cell>
          <cell r="O378">
            <v>0.77600000000000002</v>
          </cell>
          <cell r="P378">
            <v>0.43290000000000001</v>
          </cell>
        </row>
        <row r="379">
          <cell r="F379" t="str">
            <v>材料合计：</v>
          </cell>
        </row>
        <row r="380">
          <cell r="D380" t="str">
            <v>SHT0010120</v>
          </cell>
          <cell r="E380" t="str">
            <v>座框左侧外边板</v>
          </cell>
          <cell r="F380" t="str">
            <v>座框左侧外边板</v>
          </cell>
          <cell r="G380" t="str">
            <v>SPFH590 t=2.0</v>
          </cell>
          <cell r="H380">
            <v>1</v>
          </cell>
          <cell r="I380">
            <v>550</v>
          </cell>
          <cell r="J380">
            <v>140</v>
          </cell>
          <cell r="K380">
            <v>2</v>
          </cell>
          <cell r="L380">
            <v>6.3</v>
          </cell>
          <cell r="M380">
            <v>3</v>
          </cell>
          <cell r="N380">
            <v>1.2089000000000001</v>
          </cell>
          <cell r="O380">
            <v>0.77800000000000002</v>
          </cell>
          <cell r="P380">
            <v>0.43090000000000001</v>
          </cell>
        </row>
        <row r="383">
          <cell r="F383" t="str">
            <v>材料合计：</v>
          </cell>
        </row>
        <row r="384">
          <cell r="D384" t="str">
            <v>SHT0011394</v>
          </cell>
          <cell r="E384" t="str">
            <v>左侧滑轨解锁手柄支撑板</v>
          </cell>
          <cell r="F384" t="str">
            <v>左侧滑轨解锁手柄支撑板</v>
          </cell>
          <cell r="G384" t="str">
            <v>SPFH590 /T=2.5</v>
          </cell>
          <cell r="H384">
            <v>1</v>
          </cell>
          <cell r="I384">
            <v>75</v>
          </cell>
          <cell r="J384">
            <v>467</v>
          </cell>
          <cell r="K384">
            <v>2.5</v>
          </cell>
          <cell r="L384">
            <v>6.3</v>
          </cell>
          <cell r="M384">
            <v>3</v>
          </cell>
          <cell r="N384">
            <v>0.68736562499999998</v>
          </cell>
          <cell r="O384">
            <v>0.29899999999999999</v>
          </cell>
          <cell r="P384">
            <v>0.38836562499999999</v>
          </cell>
        </row>
        <row r="385">
          <cell r="F385" t="str">
            <v>材料合计：</v>
          </cell>
        </row>
        <row r="386">
          <cell r="D386" t="str">
            <v>SHT0010124</v>
          </cell>
          <cell r="E386" t="str">
            <v>座框右侧外边板</v>
          </cell>
          <cell r="F386" t="str">
            <v>座框右侧外边板</v>
          </cell>
          <cell r="G386" t="str">
            <v>SPFH590 t=2.0</v>
          </cell>
          <cell r="H386">
            <v>1</v>
          </cell>
          <cell r="I386">
            <v>550</v>
          </cell>
          <cell r="J386">
            <v>140</v>
          </cell>
          <cell r="K386">
            <v>2</v>
          </cell>
          <cell r="L386">
            <v>6.3</v>
          </cell>
          <cell r="M386">
            <v>3</v>
          </cell>
          <cell r="N386">
            <v>1.2089000000000001</v>
          </cell>
          <cell r="O386">
            <v>0.77600000000000002</v>
          </cell>
          <cell r="P386">
            <v>0.43290000000000001</v>
          </cell>
        </row>
        <row r="391">
          <cell r="F391" t="str">
            <v>材料合计：</v>
          </cell>
        </row>
        <row r="392">
          <cell r="D392" t="str">
            <v>SHT0011394</v>
          </cell>
          <cell r="E392" t="str">
            <v>左侧滑轨解锁手柄支撑板</v>
          </cell>
          <cell r="F392" t="str">
            <v>材料合计：</v>
          </cell>
          <cell r="G392" t="str">
            <v>SPFH590 /T=2.5</v>
          </cell>
          <cell r="H392">
            <v>1</v>
          </cell>
          <cell r="I392">
            <v>75</v>
          </cell>
          <cell r="J392">
            <v>467</v>
          </cell>
          <cell r="K392">
            <v>2.5</v>
          </cell>
          <cell r="L392">
            <v>6.3</v>
          </cell>
          <cell r="M392">
            <v>3</v>
          </cell>
          <cell r="N392">
            <v>0.68736562499999998</v>
          </cell>
          <cell r="O392">
            <v>0.29899999999999999</v>
          </cell>
          <cell r="P392">
            <v>0.38836562499999999</v>
          </cell>
        </row>
        <row r="393">
          <cell r="D393" t="str">
            <v>SHT0011593</v>
          </cell>
          <cell r="E393" t="str">
            <v>右侧滑轨解锁手柄支撑板</v>
          </cell>
          <cell r="F393" t="str">
            <v>右侧滑轨解锁手柄支撑板</v>
          </cell>
          <cell r="G393" t="str">
            <v>SPFH590 /T=2.5</v>
          </cell>
          <cell r="H393">
            <v>1</v>
          </cell>
          <cell r="I393">
            <v>75</v>
          </cell>
          <cell r="J393">
            <v>467</v>
          </cell>
          <cell r="K393">
            <v>2.5</v>
          </cell>
          <cell r="L393">
            <v>6.3</v>
          </cell>
          <cell r="M393">
            <v>3</v>
          </cell>
          <cell r="N393">
            <v>0.68736562499999998</v>
          </cell>
          <cell r="O393">
            <v>0.29899999999999999</v>
          </cell>
          <cell r="P393">
            <v>0.38836562499999999</v>
          </cell>
        </row>
        <row r="400">
          <cell r="F400" t="str">
            <v>材料合计：</v>
          </cell>
        </row>
        <row r="401">
          <cell r="D401" t="str">
            <v>SHT0011593</v>
          </cell>
          <cell r="E401" t="str">
            <v>右侧滑轨解锁手柄支撑板</v>
          </cell>
          <cell r="F401" t="str">
            <v>材料合计：</v>
          </cell>
          <cell r="G401" t="str">
            <v>SPFH590 /T=2.5</v>
          </cell>
          <cell r="H401">
            <v>1</v>
          </cell>
          <cell r="I401">
            <v>75</v>
          </cell>
          <cell r="J401">
            <v>467</v>
          </cell>
          <cell r="K401">
            <v>2.5</v>
          </cell>
          <cell r="L401">
            <v>6.3</v>
          </cell>
          <cell r="M401">
            <v>3</v>
          </cell>
          <cell r="N401">
            <v>0.68736562499999998</v>
          </cell>
          <cell r="O401">
            <v>0.29899999999999999</v>
          </cell>
          <cell r="P401">
            <v>0.38836562499999999</v>
          </cell>
        </row>
        <row r="402">
          <cell r="D402" t="str">
            <v>SHT0010064</v>
          </cell>
          <cell r="E402" t="str">
            <v>靠背骨架侧边板</v>
          </cell>
          <cell r="F402" t="str">
            <v>靠背骨架侧边板</v>
          </cell>
          <cell r="G402" t="str">
            <v>SPFH590 t=2.0</v>
          </cell>
          <cell r="H402">
            <v>1</v>
          </cell>
          <cell r="I402">
            <v>550</v>
          </cell>
          <cell r="J402">
            <v>150</v>
          </cell>
          <cell r="K402">
            <v>2</v>
          </cell>
          <cell r="L402">
            <v>6.3</v>
          </cell>
          <cell r="M402">
            <v>3</v>
          </cell>
          <cell r="N402">
            <v>1.29525</v>
          </cell>
          <cell r="O402">
            <v>0.78100000000000003</v>
          </cell>
          <cell r="P402">
            <v>0.51424999999999998</v>
          </cell>
        </row>
        <row r="406">
          <cell r="F406" t="str">
            <v>材料合计：</v>
          </cell>
        </row>
        <row r="407">
          <cell r="D407" t="str">
            <v>SHT0010067</v>
          </cell>
          <cell r="E407" t="str">
            <v>减震器上框左右支架</v>
          </cell>
          <cell r="F407" t="str">
            <v>减震器上框左右支架</v>
          </cell>
          <cell r="G407" t="str">
            <v>SPFH590 t=2.5</v>
          </cell>
          <cell r="H407">
            <v>1</v>
          </cell>
          <cell r="I407">
            <v>491</v>
          </cell>
          <cell r="J407">
            <v>80</v>
          </cell>
          <cell r="K407">
            <v>2.5</v>
          </cell>
          <cell r="L407">
            <v>6.3</v>
          </cell>
          <cell r="M407">
            <v>3</v>
          </cell>
          <cell r="N407">
            <v>0.77087000000000006</v>
          </cell>
          <cell r="O407">
            <v>0.64500000000000002</v>
          </cell>
          <cell r="P407">
            <v>0.12587000000000001</v>
          </cell>
        </row>
        <row r="409">
          <cell r="F409" t="str">
            <v>材料合计：</v>
          </cell>
        </row>
        <row r="410">
          <cell r="D410" t="str">
            <v>SHT0010064</v>
          </cell>
          <cell r="E410" t="str">
            <v>靠背骨架侧边板</v>
          </cell>
          <cell r="F410" t="str">
            <v>材料合计：</v>
          </cell>
          <cell r="G410" t="str">
            <v>SPFH590 t=2.0</v>
          </cell>
          <cell r="H410">
            <v>1</v>
          </cell>
          <cell r="I410">
            <v>550</v>
          </cell>
          <cell r="J410">
            <v>150</v>
          </cell>
          <cell r="K410">
            <v>2</v>
          </cell>
          <cell r="L410">
            <v>6.3</v>
          </cell>
          <cell r="M410">
            <v>3</v>
          </cell>
          <cell r="N410">
            <v>1.29525</v>
          </cell>
          <cell r="O410">
            <v>0.78100000000000003</v>
          </cell>
          <cell r="P410">
            <v>0.51424999999999998</v>
          </cell>
        </row>
        <row r="411">
          <cell r="D411" t="str">
            <v>SHT0010079</v>
          </cell>
          <cell r="E411" t="str">
            <v>减震器下框左右支架钣金</v>
          </cell>
          <cell r="F411" t="str">
            <v>减震器下框左右支架钣金</v>
          </cell>
          <cell r="G411" t="str">
            <v>SPFH590 t=2.5</v>
          </cell>
          <cell r="H411">
            <v>1</v>
          </cell>
          <cell r="I411">
            <v>464</v>
          </cell>
          <cell r="J411">
            <v>77</v>
          </cell>
          <cell r="K411">
            <v>2.5</v>
          </cell>
          <cell r="L411">
            <v>6.3</v>
          </cell>
          <cell r="M411">
            <v>3</v>
          </cell>
          <cell r="N411">
            <v>0.70116199999999995</v>
          </cell>
          <cell r="O411">
            <v>0.57399999999999995</v>
          </cell>
          <cell r="P411">
            <v>0.127162</v>
          </cell>
        </row>
        <row r="414">
          <cell r="F414" t="str">
            <v>材料合计：</v>
          </cell>
        </row>
        <row r="415">
          <cell r="D415" t="str">
            <v>SHT0010850</v>
          </cell>
          <cell r="E415" t="str">
            <v>支架前板</v>
          </cell>
          <cell r="F415" t="str">
            <v>支架前板</v>
          </cell>
          <cell r="G415" t="str">
            <v>S420MC  t=1.5</v>
          </cell>
          <cell r="H415">
            <v>1</v>
          </cell>
          <cell r="I415">
            <v>260</v>
          </cell>
          <cell r="J415">
            <v>320</v>
          </cell>
          <cell r="K415">
            <v>1.5</v>
          </cell>
          <cell r="L415">
            <v>6</v>
          </cell>
          <cell r="M415">
            <v>3</v>
          </cell>
          <cell r="N415">
            <v>0.97968</v>
          </cell>
          <cell r="O415">
            <v>0.67300000000000004</v>
          </cell>
          <cell r="P415">
            <v>0.30668000000000001</v>
          </cell>
        </row>
        <row r="418">
          <cell r="F418" t="str">
            <v>材料合计：</v>
          </cell>
        </row>
        <row r="419">
          <cell r="D419" t="str">
            <v>SHT0010079</v>
          </cell>
          <cell r="E419" t="str">
            <v>减震器下框左右支架钣金</v>
          </cell>
          <cell r="F419" t="str">
            <v>减震器下框左右支架钣金</v>
          </cell>
          <cell r="G419" t="str">
            <v>SPFH590 t=2.5</v>
          </cell>
          <cell r="H419">
            <v>1</v>
          </cell>
          <cell r="I419">
            <v>464</v>
          </cell>
          <cell r="J419">
            <v>77</v>
          </cell>
          <cell r="K419">
            <v>2.5</v>
          </cell>
          <cell r="L419">
            <v>6.3</v>
          </cell>
          <cell r="M419">
            <v>3</v>
          </cell>
          <cell r="N419">
            <v>0.70116199999999995</v>
          </cell>
          <cell r="O419">
            <v>0.57399999999999995</v>
          </cell>
          <cell r="P419">
            <v>0.127162</v>
          </cell>
        </row>
        <row r="422">
          <cell r="F422" t="str">
            <v>材料合计：</v>
          </cell>
        </row>
        <row r="423">
          <cell r="D423" t="str">
            <v>SHT0010850</v>
          </cell>
          <cell r="E423" t="str">
            <v>支架前板</v>
          </cell>
          <cell r="F423" t="str">
            <v>材料合计：</v>
          </cell>
          <cell r="G423" t="str">
            <v>S420MC  t=1.5</v>
          </cell>
          <cell r="H423">
            <v>1</v>
          </cell>
          <cell r="I423">
            <v>260</v>
          </cell>
          <cell r="J423">
            <v>320</v>
          </cell>
          <cell r="K423">
            <v>1.5</v>
          </cell>
          <cell r="L423">
            <v>6</v>
          </cell>
          <cell r="M423">
            <v>3</v>
          </cell>
          <cell r="N423">
            <v>0.97968</v>
          </cell>
          <cell r="O423">
            <v>0.67300000000000004</v>
          </cell>
          <cell r="P423">
            <v>0.30668000000000001</v>
          </cell>
        </row>
        <row r="424">
          <cell r="D424" t="str">
            <v>SHT0010852</v>
          </cell>
          <cell r="E424" t="str">
            <v>左地脚支架</v>
          </cell>
          <cell r="F424" t="str">
            <v>左地脚支架</v>
          </cell>
          <cell r="G424" t="str">
            <v>S420MC  t=2.0</v>
          </cell>
          <cell r="H424">
            <v>1</v>
          </cell>
          <cell r="I424">
            <v>130</v>
          </cell>
          <cell r="J424">
            <v>225</v>
          </cell>
          <cell r="K424">
            <v>1.5</v>
          </cell>
          <cell r="L424">
            <v>6</v>
          </cell>
          <cell r="M424">
            <v>3</v>
          </cell>
          <cell r="N424">
            <v>0.34441875</v>
          </cell>
          <cell r="O424">
            <v>9.9000000000000005E-2</v>
          </cell>
          <cell r="P424">
            <v>0.24541874999999999</v>
          </cell>
        </row>
        <row r="426">
          <cell r="F426" t="str">
            <v>材料合计：</v>
          </cell>
        </row>
        <row r="427">
          <cell r="D427" t="str">
            <v>SHT0010853</v>
          </cell>
          <cell r="E427" t="str">
            <v>右地脚支架</v>
          </cell>
          <cell r="F427" t="str">
            <v>右地脚支架</v>
          </cell>
          <cell r="G427" t="str">
            <v>S420MC  t=2.0</v>
          </cell>
          <cell r="H427">
            <v>1</v>
          </cell>
          <cell r="I427">
            <v>130</v>
          </cell>
          <cell r="J427">
            <v>225</v>
          </cell>
          <cell r="K427">
            <v>1.5</v>
          </cell>
          <cell r="L427">
            <v>6</v>
          </cell>
          <cell r="M427">
            <v>3</v>
          </cell>
          <cell r="N427">
            <v>0.34441875</v>
          </cell>
          <cell r="O427">
            <v>0.10100000000000001</v>
          </cell>
          <cell r="P427">
            <v>0.24341874999999999</v>
          </cell>
        </row>
        <row r="429">
          <cell r="F429" t="str">
            <v>材料合计：</v>
          </cell>
        </row>
        <row r="430">
          <cell r="D430" t="str">
            <v>SHT0010854</v>
          </cell>
          <cell r="E430" t="str">
            <v>支撑钣金件</v>
          </cell>
          <cell r="F430" t="str">
            <v>支撑钣金件</v>
          </cell>
          <cell r="G430" t="str">
            <v>S420MC  t=1.5</v>
          </cell>
          <cell r="H430">
            <v>1</v>
          </cell>
          <cell r="I430">
            <v>298</v>
          </cell>
          <cell r="J430">
            <v>43</v>
          </cell>
          <cell r="K430">
            <v>1.5</v>
          </cell>
          <cell r="L430">
            <v>6</v>
          </cell>
          <cell r="M430">
            <v>3</v>
          </cell>
          <cell r="N430">
            <v>0.15088484999999999</v>
          </cell>
          <cell r="O430">
            <v>0.114</v>
          </cell>
          <cell r="P430">
            <v>3.6884849999999997E-2</v>
          </cell>
        </row>
        <row r="431">
          <cell r="F431" t="str">
            <v>材料合计：</v>
          </cell>
        </row>
        <row r="432">
          <cell r="D432" t="str">
            <v>SHT0010391</v>
          </cell>
          <cell r="E432" t="str">
            <v>H6右侧立板</v>
          </cell>
          <cell r="F432" t="str">
            <v>H6右侧立板</v>
          </cell>
          <cell r="G432" t="str">
            <v>SAPH440 t=2.0</v>
          </cell>
          <cell r="H432">
            <v>1</v>
          </cell>
          <cell r="I432">
            <v>340</v>
          </cell>
          <cell r="J432">
            <v>394</v>
          </cell>
          <cell r="K432">
            <v>2</v>
          </cell>
          <cell r="L432">
            <v>6.1</v>
          </cell>
          <cell r="M432">
            <v>3</v>
          </cell>
          <cell r="N432">
            <v>2.1031719999999998</v>
          </cell>
          <cell r="O432">
            <v>0.66800000000000004</v>
          </cell>
          <cell r="P432">
            <v>1.4351719999999999</v>
          </cell>
        </row>
        <row r="434">
          <cell r="F434" t="str">
            <v>材料合计：</v>
          </cell>
        </row>
        <row r="435">
          <cell r="D435" t="str">
            <v>SHT0010853</v>
          </cell>
          <cell r="E435" t="str">
            <v>右地脚支架</v>
          </cell>
          <cell r="F435" t="str">
            <v>右地脚支架</v>
          </cell>
          <cell r="G435" t="str">
            <v>S420MC  t=2.0</v>
          </cell>
          <cell r="H435">
            <v>1</v>
          </cell>
          <cell r="I435">
            <v>130</v>
          </cell>
          <cell r="J435">
            <v>225</v>
          </cell>
          <cell r="K435">
            <v>1.5</v>
          </cell>
          <cell r="L435">
            <v>6</v>
          </cell>
          <cell r="M435">
            <v>3</v>
          </cell>
          <cell r="N435">
            <v>0.34441875</v>
          </cell>
          <cell r="O435">
            <v>0.10100000000000001</v>
          </cell>
          <cell r="P435">
            <v>0.24341874999999999</v>
          </cell>
        </row>
        <row r="436">
          <cell r="F436" t="str">
            <v>材料合计：</v>
          </cell>
        </row>
        <row r="437">
          <cell r="D437" t="str">
            <v>SHT0010392</v>
          </cell>
          <cell r="E437" t="str">
            <v>H6左侧立板</v>
          </cell>
          <cell r="F437" t="str">
            <v>H6左侧立板</v>
          </cell>
          <cell r="G437" t="str">
            <v>SAPH440 t=2.0</v>
          </cell>
          <cell r="H437">
            <v>1</v>
          </cell>
          <cell r="I437">
            <v>340</v>
          </cell>
          <cell r="J437">
            <v>394</v>
          </cell>
          <cell r="K437">
            <v>2</v>
          </cell>
          <cell r="L437">
            <v>6.1</v>
          </cell>
          <cell r="M437">
            <v>3</v>
          </cell>
          <cell r="N437">
            <v>2.1031719999999998</v>
          </cell>
          <cell r="O437">
            <v>0.66800000000000004</v>
          </cell>
          <cell r="P437">
            <v>1.4351719999999999</v>
          </cell>
        </row>
        <row r="438">
          <cell r="D438" t="str">
            <v>SHT0010854</v>
          </cell>
          <cell r="E438" t="str">
            <v>支撑钣金件</v>
          </cell>
          <cell r="F438" t="str">
            <v>支撑钣金件</v>
          </cell>
          <cell r="G438" t="str">
            <v>S420MC  t=1.5</v>
          </cell>
          <cell r="H438">
            <v>1</v>
          </cell>
          <cell r="I438">
            <v>298</v>
          </cell>
          <cell r="J438">
            <v>43</v>
          </cell>
          <cell r="K438">
            <v>1.5</v>
          </cell>
          <cell r="L438">
            <v>6</v>
          </cell>
          <cell r="M438">
            <v>3</v>
          </cell>
          <cell r="N438">
            <v>0.15088484999999999</v>
          </cell>
          <cell r="O438">
            <v>0.114</v>
          </cell>
          <cell r="P438">
            <v>3.6884849999999997E-2</v>
          </cell>
        </row>
        <row r="439">
          <cell r="F439" t="str">
            <v>材料合计：</v>
          </cell>
        </row>
        <row r="440">
          <cell r="D440" t="str">
            <v>SHT0010391</v>
          </cell>
          <cell r="E440" t="str">
            <v>H6右侧立板</v>
          </cell>
          <cell r="F440" t="str">
            <v>H6右侧立板</v>
          </cell>
          <cell r="G440" t="str">
            <v>SAPH440 t=2.0</v>
          </cell>
          <cell r="H440">
            <v>1</v>
          </cell>
          <cell r="I440">
            <v>340</v>
          </cell>
          <cell r="J440">
            <v>394</v>
          </cell>
          <cell r="K440">
            <v>2</v>
          </cell>
          <cell r="L440">
            <v>6.1</v>
          </cell>
          <cell r="M440">
            <v>3</v>
          </cell>
          <cell r="N440">
            <v>2.1031719999999998</v>
          </cell>
          <cell r="O440">
            <v>0.66800000000000004</v>
          </cell>
          <cell r="P440">
            <v>1.4351719999999999</v>
          </cell>
        </row>
        <row r="441">
          <cell r="F441" t="str">
            <v>材料合计：</v>
          </cell>
        </row>
        <row r="442">
          <cell r="D442" t="str">
            <v>SHT0010393</v>
          </cell>
          <cell r="E442" t="str">
            <v>H6前下支撑板</v>
          </cell>
          <cell r="F442" t="str">
            <v>H6前下支撑板</v>
          </cell>
          <cell r="G442" t="str">
            <v>SAPH440 t=2.5</v>
          </cell>
          <cell r="H442">
            <v>1</v>
          </cell>
          <cell r="I442">
            <v>302</v>
          </cell>
          <cell r="J442">
            <v>144</v>
          </cell>
          <cell r="K442">
            <v>2.5</v>
          </cell>
          <cell r="L442">
            <v>6.1</v>
          </cell>
          <cell r="M442">
            <v>3</v>
          </cell>
          <cell r="N442">
            <v>0.85345199999999999</v>
          </cell>
          <cell r="O442">
            <v>0.66800000000000004</v>
          </cell>
          <cell r="P442">
            <v>0.18545200000000001</v>
          </cell>
        </row>
        <row r="444">
          <cell r="F444" t="str">
            <v>材料合计：</v>
          </cell>
        </row>
        <row r="445">
          <cell r="D445" t="str">
            <v>SHT0010394</v>
          </cell>
          <cell r="E445" t="str">
            <v>H6后下支撑板</v>
          </cell>
          <cell r="F445" t="str">
            <v>H6后下支撑板</v>
          </cell>
          <cell r="G445" t="str">
            <v>SAPH440 t=2.5</v>
          </cell>
          <cell r="H445">
            <v>1</v>
          </cell>
          <cell r="I445">
            <v>302</v>
          </cell>
          <cell r="J445">
            <v>154</v>
          </cell>
          <cell r="K445">
            <v>2.5</v>
          </cell>
          <cell r="L445">
            <v>6.1</v>
          </cell>
          <cell r="M445">
            <v>3</v>
          </cell>
          <cell r="N445">
            <v>0.91271950000000002</v>
          </cell>
          <cell r="O445">
            <v>0.754</v>
          </cell>
          <cell r="P445">
            <v>0.15871950000000001</v>
          </cell>
        </row>
        <row r="448">
          <cell r="F448" t="str">
            <v>材料合计：</v>
          </cell>
        </row>
        <row r="449">
          <cell r="D449" t="str">
            <v>SHT0010038</v>
          </cell>
          <cell r="E449" t="str">
            <v>坐盆钣金</v>
          </cell>
          <cell r="F449" t="str">
            <v>坐盆钣金</v>
          </cell>
          <cell r="G449" t="str">
            <v>ST14 t=1.0</v>
          </cell>
          <cell r="H449">
            <v>1</v>
          </cell>
          <cell r="I449">
            <v>535</v>
          </cell>
          <cell r="J449">
            <v>540</v>
          </cell>
          <cell r="K449">
            <v>1</v>
          </cell>
          <cell r="L449">
            <v>6</v>
          </cell>
          <cell r="M449">
            <v>3</v>
          </cell>
          <cell r="N449">
            <v>2.267865</v>
          </cell>
          <cell r="O449">
            <v>0.754</v>
          </cell>
          <cell r="P449">
            <v>1.513865</v>
          </cell>
        </row>
        <row r="450">
          <cell r="D450" t="str">
            <v>SHT0010393</v>
          </cell>
          <cell r="E450" t="str">
            <v>H6前下支撑板</v>
          </cell>
          <cell r="F450" t="str">
            <v>H6前下支撑板</v>
          </cell>
          <cell r="G450" t="str">
            <v>SAPH440 t=2.5</v>
          </cell>
          <cell r="H450">
            <v>1</v>
          </cell>
          <cell r="I450">
            <v>302</v>
          </cell>
          <cell r="J450">
            <v>144</v>
          </cell>
          <cell r="K450">
            <v>2.5</v>
          </cell>
          <cell r="L450">
            <v>6.1</v>
          </cell>
          <cell r="M450">
            <v>3</v>
          </cell>
          <cell r="N450">
            <v>0.85345199999999999</v>
          </cell>
          <cell r="O450">
            <v>0.66800000000000004</v>
          </cell>
          <cell r="P450">
            <v>0.18545200000000001</v>
          </cell>
        </row>
        <row r="452">
          <cell r="F452" t="str">
            <v>材料合计：</v>
          </cell>
        </row>
        <row r="453">
          <cell r="D453" t="str">
            <v>SHT0010394</v>
          </cell>
          <cell r="E453" t="str">
            <v>H6后下支撑板</v>
          </cell>
          <cell r="F453" t="str">
            <v>H6后下支撑板</v>
          </cell>
          <cell r="G453" t="str">
            <v>SAPH440 t=2.5</v>
          </cell>
          <cell r="H453">
            <v>1</v>
          </cell>
          <cell r="I453">
            <v>302</v>
          </cell>
          <cell r="J453">
            <v>154</v>
          </cell>
          <cell r="K453">
            <v>2.5</v>
          </cell>
          <cell r="L453">
            <v>6.1</v>
          </cell>
          <cell r="M453">
            <v>3</v>
          </cell>
          <cell r="N453">
            <v>0.91271950000000002</v>
          </cell>
          <cell r="O453">
            <v>0.754</v>
          </cell>
          <cell r="P453">
            <v>0.15871950000000001</v>
          </cell>
        </row>
        <row r="456">
          <cell r="F456" t="str">
            <v>材料合计：</v>
          </cell>
        </row>
        <row r="457">
          <cell r="D457" t="str">
            <v>SHT0010038</v>
          </cell>
          <cell r="E457" t="str">
            <v>坐盆钣金</v>
          </cell>
          <cell r="F457" t="str">
            <v>坐盆钣金</v>
          </cell>
          <cell r="G457" t="str">
            <v>ST14 t=1.0</v>
          </cell>
          <cell r="H457">
            <v>1</v>
          </cell>
          <cell r="I457">
            <v>535</v>
          </cell>
          <cell r="J457">
            <v>540</v>
          </cell>
          <cell r="K457">
            <v>1</v>
          </cell>
          <cell r="L457">
            <v>6</v>
          </cell>
          <cell r="M457">
            <v>3</v>
          </cell>
          <cell r="N457">
            <v>2.267865</v>
          </cell>
          <cell r="O457">
            <v>0.754</v>
          </cell>
          <cell r="P457">
            <v>1.513865</v>
          </cell>
        </row>
        <row r="458">
          <cell r="F458" t="str">
            <v>材料合计：</v>
          </cell>
        </row>
        <row r="466">
          <cell r="F466" t="str">
            <v>材料合计：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序费"/>
      <sheetName val="冲压件核价"/>
      <sheetName val="Sheet1"/>
    </sheetNames>
    <sheetDataSet>
      <sheetData sheetId="0" refreshError="1"/>
      <sheetData sheetId="1">
        <row r="5">
          <cell r="D5" t="str">
            <v>SHT0010073</v>
          </cell>
          <cell r="E5" t="str">
            <v>安全带上固定钣金</v>
          </cell>
          <cell r="F5" t="str">
            <v>安全带上固定钣金</v>
          </cell>
          <cell r="G5" t="str">
            <v>SPFH590 t=2.0</v>
          </cell>
          <cell r="H5">
            <v>1</v>
          </cell>
          <cell r="I5">
            <v>395</v>
          </cell>
          <cell r="J5">
            <v>200</v>
          </cell>
          <cell r="K5">
            <v>2</v>
          </cell>
          <cell r="L5">
            <v>6.85</v>
          </cell>
          <cell r="M5">
            <v>3.2</v>
          </cell>
          <cell r="N5">
            <v>1.2403</v>
          </cell>
          <cell r="O5">
            <v>0.65900000000000003</v>
          </cell>
          <cell r="P5">
            <v>0.58129999999999993</v>
          </cell>
          <cell r="Q5">
            <v>1.8601599999999998</v>
          </cell>
        </row>
        <row r="6"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</row>
        <row r="7"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D10"/>
          <cell r="E10"/>
          <cell r="F10" t="str">
            <v>材料合计：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D11" t="str">
            <v>SHT0010368</v>
          </cell>
          <cell r="E11" t="str">
            <v>副司机安全带上固定钣金（H6）</v>
          </cell>
          <cell r="F11" t="str">
            <v>副司机安全带上固定钣金（H6）</v>
          </cell>
          <cell r="G11" t="str">
            <v>SPFH590 t=2.0</v>
          </cell>
          <cell r="H11">
            <v>1</v>
          </cell>
          <cell r="I11">
            <v>395</v>
          </cell>
          <cell r="J11">
            <v>200</v>
          </cell>
          <cell r="K11">
            <v>2</v>
          </cell>
          <cell r="L11">
            <v>6.85</v>
          </cell>
          <cell r="M11">
            <v>3.2</v>
          </cell>
          <cell r="N11">
            <v>1.2403</v>
          </cell>
          <cell r="O11">
            <v>0.70199999999999996</v>
          </cell>
          <cell r="P11">
            <v>0.5383</v>
          </cell>
          <cell r="Q11">
            <v>1.7225600000000001</v>
          </cell>
        </row>
        <row r="12"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D16"/>
          <cell r="E16"/>
          <cell r="F16" t="str">
            <v>材料合计：</v>
          </cell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D17" t="str">
            <v>SHT0010249</v>
          </cell>
          <cell r="E17" t="str">
            <v>安全带上固定加强钣金）</v>
          </cell>
          <cell r="F17" t="str">
            <v>安全带上固定加强钣金</v>
          </cell>
          <cell r="G17" t="str">
            <v>SPFH590 t=2.0</v>
          </cell>
          <cell r="H17">
            <v>1</v>
          </cell>
          <cell r="I17">
            <v>130</v>
          </cell>
          <cell r="J17">
            <v>50</v>
          </cell>
          <cell r="K17">
            <v>2</v>
          </cell>
          <cell r="L17">
            <v>6.85</v>
          </cell>
          <cell r="M17">
            <v>3.2</v>
          </cell>
          <cell r="N17">
            <v>0.10205</v>
          </cell>
          <cell r="O17">
            <v>7.3999999999999996E-2</v>
          </cell>
          <cell r="P17">
            <v>2.8050000000000005E-2</v>
          </cell>
          <cell r="Q17">
            <v>8.976000000000002E-2</v>
          </cell>
        </row>
        <row r="18"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D20"/>
          <cell r="E20"/>
          <cell r="F20" t="str">
            <v>材料合计：</v>
          </cell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D21" t="str">
            <v>SHT0010369</v>
          </cell>
          <cell r="E21" t="str">
            <v>副司机安全带上固定加强钣金（H6）</v>
          </cell>
          <cell r="F21" t="str">
            <v>副司机安全带上固定加强钣金（H6）</v>
          </cell>
          <cell r="G21" t="str">
            <v>SPFH590 t=2.0</v>
          </cell>
          <cell r="H21">
            <v>1</v>
          </cell>
          <cell r="I21">
            <v>130</v>
          </cell>
          <cell r="J21">
            <v>50</v>
          </cell>
          <cell r="K21">
            <v>2</v>
          </cell>
          <cell r="L21">
            <v>6.85</v>
          </cell>
          <cell r="M21">
            <v>3.2</v>
          </cell>
          <cell r="N21">
            <v>0.10205</v>
          </cell>
          <cell r="O21">
            <v>7.0999999999999994E-2</v>
          </cell>
          <cell r="P21">
            <v>3.1050000000000008E-2</v>
          </cell>
          <cell r="Q21">
            <v>9.9360000000000032E-2</v>
          </cell>
        </row>
        <row r="22"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D24"/>
          <cell r="E24"/>
          <cell r="F24" t="str">
            <v>材料合计：</v>
          </cell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D25" t="str">
            <v>SHT0010057</v>
          </cell>
          <cell r="E25" t="str">
            <v>外绞架支撑钣金</v>
          </cell>
          <cell r="F25" t="str">
            <v>外绞架支撑钣金</v>
          </cell>
          <cell r="G25" t="str">
            <v>SPFH590 t=4.0</v>
          </cell>
          <cell r="H25">
            <v>1</v>
          </cell>
          <cell r="I25">
            <v>420</v>
          </cell>
          <cell r="J25">
            <v>100</v>
          </cell>
          <cell r="K25">
            <v>4</v>
          </cell>
          <cell r="L25">
            <v>6.7</v>
          </cell>
          <cell r="M25">
            <v>3.2</v>
          </cell>
          <cell r="N25">
            <v>1.3188</v>
          </cell>
          <cell r="O25">
            <v>0.72399999999999998</v>
          </cell>
          <cell r="P25">
            <v>0.5948</v>
          </cell>
          <cell r="Q25">
            <v>1.9033600000000002</v>
          </cell>
        </row>
        <row r="26"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D31"/>
          <cell r="E31"/>
          <cell r="F31" t="str">
            <v>材料合计：</v>
          </cell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D32" t="str">
            <v>SHT0010775</v>
          </cell>
          <cell r="E32" t="str">
            <v>安全带高调机构固定板1</v>
          </cell>
          <cell r="F32" t="str">
            <v>安全带高调机构固定板1</v>
          </cell>
          <cell r="G32" t="str">
            <v>SPFH590 t=1.6</v>
          </cell>
          <cell r="H32">
            <v>1</v>
          </cell>
          <cell r="I32">
            <v>370</v>
          </cell>
          <cell r="J32">
            <v>225</v>
          </cell>
          <cell r="K32">
            <v>1.6</v>
          </cell>
          <cell r="L32">
            <v>6.85</v>
          </cell>
          <cell r="M32">
            <v>3.2</v>
          </cell>
          <cell r="N32">
            <v>1.04562</v>
          </cell>
          <cell r="O32">
            <v>0.39900000000000002</v>
          </cell>
          <cell r="P32">
            <v>0.64661999999999997</v>
          </cell>
          <cell r="Q32">
            <v>2.0691839999999999</v>
          </cell>
        </row>
        <row r="33"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</row>
        <row r="34"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  <row r="36"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</row>
        <row r="37"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</row>
        <row r="38">
          <cell r="D38"/>
          <cell r="E38"/>
          <cell r="F38" t="str">
            <v>材料合计：</v>
          </cell>
          <cell r="G38"/>
          <cell r="H38"/>
          <cell r="I38"/>
          <cell r="J38"/>
          <cell r="K38"/>
          <cell r="L38"/>
          <cell r="M38"/>
          <cell r="N38"/>
          <cell r="O38"/>
          <cell r="P38"/>
        </row>
        <row r="39">
          <cell r="D39" t="str">
            <v>SHT0010776</v>
          </cell>
          <cell r="E39" t="str">
            <v>安全带高调机构固定板2</v>
          </cell>
          <cell r="F39" t="str">
            <v>安全带高调机构固定板2</v>
          </cell>
          <cell r="G39" t="str">
            <v>SPFH590 t=1.6</v>
          </cell>
          <cell r="H39">
            <v>1</v>
          </cell>
          <cell r="I39">
            <v>405</v>
          </cell>
          <cell r="J39">
            <v>200</v>
          </cell>
          <cell r="K39">
            <v>1.6</v>
          </cell>
          <cell r="L39">
            <v>6.85</v>
          </cell>
          <cell r="M39">
            <v>3.2</v>
          </cell>
          <cell r="N39">
            <v>1.01736</v>
          </cell>
          <cell r="O39">
            <v>0.52</v>
          </cell>
          <cell r="P39">
            <v>0.49736000000000002</v>
          </cell>
          <cell r="Q39">
            <v>1.5915520000000001</v>
          </cell>
        </row>
        <row r="40"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</row>
        <row r="41"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</row>
        <row r="42"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</row>
        <row r="43"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</row>
        <row r="44"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</row>
        <row r="45">
          <cell r="D45"/>
          <cell r="E45"/>
          <cell r="F45" t="str">
            <v>材料合计：</v>
          </cell>
          <cell r="G45"/>
          <cell r="H45"/>
          <cell r="I45"/>
          <cell r="J45"/>
          <cell r="K45"/>
          <cell r="L45"/>
          <cell r="M45"/>
          <cell r="N45"/>
          <cell r="O45"/>
          <cell r="P45"/>
        </row>
        <row r="46">
          <cell r="D46" t="str">
            <v>SHT0010722</v>
          </cell>
          <cell r="E46" t="str">
            <v>司机主边调角器下连接板A</v>
          </cell>
          <cell r="F46" t="str">
            <v>司机主边调角器下连接板A</v>
          </cell>
          <cell r="G46" t="str">
            <v>SPFH590 t=1.6</v>
          </cell>
          <cell r="H46">
            <v>1</v>
          </cell>
          <cell r="I46">
            <v>250</v>
          </cell>
          <cell r="J46">
            <v>270</v>
          </cell>
          <cell r="K46">
            <v>1.6</v>
          </cell>
          <cell r="L46">
            <v>6.85</v>
          </cell>
          <cell r="M46">
            <v>3.2</v>
          </cell>
          <cell r="N46">
            <v>0.8478</v>
          </cell>
          <cell r="O46">
            <v>0.38400000000000001</v>
          </cell>
          <cell r="P46">
            <v>0.46379999999999999</v>
          </cell>
          <cell r="Q46">
            <v>1.4841600000000001</v>
          </cell>
        </row>
        <row r="47"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</row>
        <row r="48"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</row>
        <row r="49"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</row>
        <row r="50"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</row>
        <row r="51"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</row>
        <row r="52"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</row>
        <row r="53"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</row>
        <row r="55">
          <cell r="D55"/>
          <cell r="E55"/>
          <cell r="F55" t="str">
            <v>材料合计：</v>
          </cell>
          <cell r="G55"/>
          <cell r="H55"/>
          <cell r="I55"/>
          <cell r="J55"/>
          <cell r="K55"/>
          <cell r="L55"/>
          <cell r="M55"/>
          <cell r="N55"/>
          <cell r="O55"/>
          <cell r="P55"/>
        </row>
        <row r="56">
          <cell r="D56" t="str">
            <v>SHT0010724</v>
          </cell>
          <cell r="E56" t="str">
            <v>司机副边调角器下连接钣A</v>
          </cell>
          <cell r="F56" t="str">
            <v>司机副边调角器下连接钣A</v>
          </cell>
          <cell r="G56" t="str">
            <v>SPFH590 t=1.6</v>
          </cell>
          <cell r="H56">
            <v>1</v>
          </cell>
          <cell r="I56">
            <v>250</v>
          </cell>
          <cell r="J56">
            <v>270</v>
          </cell>
          <cell r="K56">
            <v>1.6</v>
          </cell>
          <cell r="L56">
            <v>6.85</v>
          </cell>
          <cell r="M56">
            <v>3.2</v>
          </cell>
          <cell r="N56">
            <v>0.8478</v>
          </cell>
          <cell r="O56">
            <v>0.58699999999999997</v>
          </cell>
          <cell r="P56">
            <v>0.26080000000000003</v>
          </cell>
          <cell r="Q56">
            <v>0.83456000000000019</v>
          </cell>
        </row>
        <row r="57"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</row>
        <row r="58"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</row>
        <row r="59"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</row>
        <row r="60"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</row>
        <row r="61"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</row>
        <row r="62"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</row>
        <row r="63">
          <cell r="D63"/>
          <cell r="E63"/>
          <cell r="F63" t="str">
            <v>材料合计：</v>
          </cell>
          <cell r="G63"/>
          <cell r="H63"/>
          <cell r="I63"/>
          <cell r="J63"/>
          <cell r="K63"/>
          <cell r="L63"/>
          <cell r="M63"/>
          <cell r="N63"/>
          <cell r="O63"/>
          <cell r="P63"/>
        </row>
        <row r="64">
          <cell r="D64" t="str">
            <v>SHT0010723</v>
          </cell>
          <cell r="E64" t="str">
            <v>司机主边调角器下连接板B</v>
          </cell>
          <cell r="F64" t="str">
            <v>司机主边调角器下连接板B</v>
          </cell>
          <cell r="G64" t="str">
            <v>SPFH590 t=1.6</v>
          </cell>
          <cell r="H64">
            <v>1</v>
          </cell>
          <cell r="I64">
            <v>225</v>
          </cell>
          <cell r="J64">
            <v>240</v>
          </cell>
          <cell r="K64">
            <v>1.6</v>
          </cell>
          <cell r="L64">
            <v>6.85</v>
          </cell>
          <cell r="M64">
            <v>3.2</v>
          </cell>
          <cell r="N64">
            <v>0.67823999999999995</v>
          </cell>
          <cell r="O64">
            <v>0.39100000000000001</v>
          </cell>
          <cell r="P64">
            <v>0.28723999999999994</v>
          </cell>
          <cell r="Q64">
            <v>0.91916799999999987</v>
          </cell>
        </row>
        <row r="65"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</row>
        <row r="66"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</row>
        <row r="67"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</row>
        <row r="68"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</row>
        <row r="69"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</row>
        <row r="70">
          <cell r="D70"/>
          <cell r="E70"/>
          <cell r="F70" t="str">
            <v>材料合计：</v>
          </cell>
          <cell r="G70"/>
          <cell r="H70"/>
          <cell r="I70"/>
          <cell r="J70"/>
          <cell r="K70"/>
          <cell r="L70"/>
          <cell r="M70"/>
          <cell r="N70"/>
          <cell r="O70"/>
          <cell r="P70"/>
        </row>
        <row r="71">
          <cell r="D71" t="str">
            <v>SHT0010725</v>
          </cell>
          <cell r="E71" t="str">
            <v>司机主边调角器下连接板B</v>
          </cell>
          <cell r="F71" t="str">
            <v>司机主边调角器下连接板B</v>
          </cell>
          <cell r="G71" t="str">
            <v>SPFH590 t=1.6</v>
          </cell>
          <cell r="H71">
            <v>1</v>
          </cell>
          <cell r="I71">
            <v>225</v>
          </cell>
          <cell r="J71">
            <v>240</v>
          </cell>
          <cell r="K71">
            <v>1.6</v>
          </cell>
          <cell r="L71">
            <v>6.85</v>
          </cell>
          <cell r="M71">
            <v>3.2</v>
          </cell>
          <cell r="N71">
            <v>0.67823999999999995</v>
          </cell>
          <cell r="O71">
            <v>0.378</v>
          </cell>
          <cell r="P71">
            <v>0.30023999999999995</v>
          </cell>
          <cell r="Q71">
            <v>0.96076799999999984</v>
          </cell>
        </row>
        <row r="72"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</row>
        <row r="73"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</row>
        <row r="74"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</row>
        <row r="75"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</row>
        <row r="76"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</row>
        <row r="77">
          <cell r="D77"/>
          <cell r="E77"/>
          <cell r="F77" t="str">
            <v>材料合计：</v>
          </cell>
          <cell r="G77"/>
          <cell r="H77"/>
          <cell r="I77"/>
          <cell r="J77"/>
          <cell r="K77"/>
          <cell r="L77"/>
          <cell r="M77"/>
          <cell r="N77"/>
          <cell r="O77"/>
          <cell r="P77"/>
        </row>
        <row r="78">
          <cell r="D78" t="str">
            <v>SHT0010070</v>
          </cell>
          <cell r="E78" t="str">
            <v>扶手固定加强板1</v>
          </cell>
          <cell r="F78" t="str">
            <v>扶手固定加强板1</v>
          </cell>
          <cell r="G78" t="str">
            <v>SPFH590 t=1.6</v>
          </cell>
          <cell r="H78">
            <v>1</v>
          </cell>
          <cell r="I78">
            <v>270</v>
          </cell>
          <cell r="J78">
            <v>145</v>
          </cell>
          <cell r="K78">
            <v>1.6</v>
          </cell>
          <cell r="L78">
            <v>6.85</v>
          </cell>
          <cell r="M78">
            <v>3.2</v>
          </cell>
          <cell r="N78">
            <v>0.49172399999999999</v>
          </cell>
          <cell r="O78">
            <v>0.25600000000000001</v>
          </cell>
          <cell r="P78">
            <v>0.23572399999999999</v>
          </cell>
          <cell r="Q78">
            <v>0.75431680000000001</v>
          </cell>
        </row>
        <row r="79"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</row>
        <row r="80"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</row>
        <row r="81"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</row>
        <row r="82"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</row>
        <row r="83">
          <cell r="D83"/>
          <cell r="E83"/>
          <cell r="F83" t="str">
            <v>材料合计：</v>
          </cell>
          <cell r="G83"/>
          <cell r="H83"/>
          <cell r="I83"/>
          <cell r="J83"/>
          <cell r="K83"/>
          <cell r="L83"/>
          <cell r="M83"/>
          <cell r="N83"/>
          <cell r="O83"/>
          <cell r="P83"/>
        </row>
        <row r="84">
          <cell r="D84" t="str">
            <v>SHT0010245</v>
          </cell>
          <cell r="E84" t="str">
            <v>扶手固定加强板2</v>
          </cell>
          <cell r="F84" t="str">
            <v>扶手固定加强板2</v>
          </cell>
          <cell r="G84" t="str">
            <v>SPFH590 t=1.6</v>
          </cell>
          <cell r="H84">
            <v>1</v>
          </cell>
          <cell r="I84">
            <v>270</v>
          </cell>
          <cell r="J84">
            <v>145</v>
          </cell>
          <cell r="K84">
            <v>1.6</v>
          </cell>
          <cell r="L84">
            <v>6.85</v>
          </cell>
          <cell r="M84">
            <v>3.2</v>
          </cell>
          <cell r="N84">
            <v>0.49172399999999999</v>
          </cell>
          <cell r="O84">
            <v>0.255</v>
          </cell>
          <cell r="P84">
            <v>0.23672399999999999</v>
          </cell>
          <cell r="Q84">
            <v>0.75751679999999999</v>
          </cell>
        </row>
        <row r="85"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</row>
        <row r="86"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</row>
        <row r="87"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</row>
        <row r="88"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</row>
        <row r="89">
          <cell r="D89"/>
          <cell r="E89"/>
          <cell r="F89" t="str">
            <v>材料合计：</v>
          </cell>
          <cell r="G89"/>
          <cell r="H89"/>
          <cell r="I89"/>
          <cell r="J89"/>
          <cell r="K89"/>
          <cell r="L89"/>
          <cell r="M89"/>
          <cell r="N89"/>
          <cell r="O89"/>
          <cell r="P89"/>
        </row>
        <row r="90">
          <cell r="D90" t="str">
            <v>SHT0010050</v>
          </cell>
          <cell r="E90" t="str">
            <v>内绞架支撑钣金</v>
          </cell>
          <cell r="F90" t="str">
            <v>内绞架支撑钣金</v>
          </cell>
          <cell r="G90" t="str">
            <v>SPFH590 t=3.5</v>
          </cell>
          <cell r="H90">
            <v>1</v>
          </cell>
          <cell r="I90">
            <v>420</v>
          </cell>
          <cell r="J90">
            <v>100</v>
          </cell>
          <cell r="K90">
            <v>3.5</v>
          </cell>
          <cell r="L90">
            <v>6.7</v>
          </cell>
          <cell r="M90">
            <v>3.2</v>
          </cell>
          <cell r="N90">
            <v>1.15395</v>
          </cell>
          <cell r="O90">
            <v>0.72399999999999998</v>
          </cell>
          <cell r="P90">
            <v>0.42995000000000005</v>
          </cell>
          <cell r="Q90">
            <v>1.3758400000000002</v>
          </cell>
        </row>
        <row r="91"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</row>
        <row r="92"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</row>
        <row r="93"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</row>
        <row r="94"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</row>
        <row r="95">
          <cell r="D95"/>
          <cell r="E95"/>
          <cell r="F95" t="str">
            <v>材料合计：</v>
          </cell>
          <cell r="G95"/>
          <cell r="H95"/>
          <cell r="I95"/>
          <cell r="J95"/>
          <cell r="K95"/>
          <cell r="L95"/>
          <cell r="M95"/>
          <cell r="N95"/>
          <cell r="O95"/>
          <cell r="P95"/>
        </row>
        <row r="96">
          <cell r="D96" t="str">
            <v>SHT0011031</v>
          </cell>
          <cell r="E96" t="str">
            <v>H6副司机座椅底支架上板</v>
          </cell>
          <cell r="F96" t="str">
            <v>H6副司机座椅底支架上板</v>
          </cell>
          <cell r="G96" t="str">
            <v>QSTE420TM  t=2.5</v>
          </cell>
          <cell r="H96">
            <v>1</v>
          </cell>
          <cell r="I96">
            <v>600</v>
          </cell>
          <cell r="J96">
            <v>450</v>
          </cell>
          <cell r="K96">
            <v>2.5</v>
          </cell>
          <cell r="L96">
            <v>6.11</v>
          </cell>
          <cell r="M96">
            <v>3.2</v>
          </cell>
          <cell r="N96">
            <v>5.2987500000000001</v>
          </cell>
          <cell r="O96">
            <v>3.3620000000000001</v>
          </cell>
          <cell r="P96">
            <v>1.93675</v>
          </cell>
          <cell r="Q96">
            <v>6.1976000000000004</v>
          </cell>
        </row>
        <row r="97"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</row>
        <row r="98"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</row>
        <row r="99"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</row>
        <row r="100"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</row>
        <row r="101"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</row>
        <row r="102"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</row>
        <row r="103">
          <cell r="D103"/>
          <cell r="E103"/>
          <cell r="F103" t="str">
            <v>材料合计：</v>
          </cell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</row>
        <row r="104">
          <cell r="D104" t="str">
            <v>SHT0011032</v>
          </cell>
          <cell r="E104" t="str">
            <v>H6副司机座椅底支架左下板</v>
          </cell>
          <cell r="F104" t="str">
            <v>H6副司机座椅底支架左下板</v>
          </cell>
          <cell r="G104" t="str">
            <v>QSTE420TM  t=2.0</v>
          </cell>
          <cell r="H104">
            <v>1</v>
          </cell>
          <cell r="I104">
            <v>260</v>
          </cell>
          <cell r="J104">
            <v>220</v>
          </cell>
          <cell r="K104">
            <v>2</v>
          </cell>
          <cell r="L104">
            <v>6.16</v>
          </cell>
          <cell r="M104">
            <v>3.2</v>
          </cell>
          <cell r="N104">
            <v>0.89803999999999995</v>
          </cell>
          <cell r="O104">
            <v>0.33200000000000002</v>
          </cell>
          <cell r="P104">
            <v>0.56603999999999988</v>
          </cell>
          <cell r="Q104">
            <v>1.8113279999999996</v>
          </cell>
        </row>
        <row r="105"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</row>
        <row r="106"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</row>
        <row r="107">
          <cell r="D107"/>
          <cell r="E107"/>
          <cell r="F107" t="str">
            <v>材料合计：</v>
          </cell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</row>
        <row r="108">
          <cell r="D108" t="str">
            <v>SHT0011033</v>
          </cell>
          <cell r="E108" t="str">
            <v>H6副司机座椅底支架右下板</v>
          </cell>
          <cell r="F108" t="str">
            <v>H6副司机座椅底支架右下板</v>
          </cell>
          <cell r="G108" t="str">
            <v>QSTE420TM  t=2.0</v>
          </cell>
          <cell r="H108">
            <v>1</v>
          </cell>
          <cell r="I108">
            <v>260</v>
          </cell>
          <cell r="J108">
            <v>220</v>
          </cell>
          <cell r="K108">
            <v>2</v>
          </cell>
          <cell r="L108">
            <v>6.16</v>
          </cell>
          <cell r="M108">
            <v>3.2</v>
          </cell>
          <cell r="N108">
            <v>0.89803999999999995</v>
          </cell>
          <cell r="O108">
            <v>0.33500000000000002</v>
          </cell>
          <cell r="P108">
            <v>0.56303999999999998</v>
          </cell>
          <cell r="Q108">
            <v>1.801728</v>
          </cell>
        </row>
        <row r="109"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</row>
        <row r="110"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</row>
        <row r="111">
          <cell r="D111"/>
          <cell r="E111"/>
          <cell r="F111" t="str">
            <v>材料合计：</v>
          </cell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</row>
        <row r="112">
          <cell r="D112" t="str">
            <v>SHT0010260</v>
          </cell>
          <cell r="E112" t="str">
            <v>仰角调节钣金</v>
          </cell>
          <cell r="F112" t="str">
            <v>仰角调节钣金</v>
          </cell>
          <cell r="G112" t="str">
            <v>SAPH440 t=2.0</v>
          </cell>
          <cell r="H112">
            <v>1</v>
          </cell>
          <cell r="I112">
            <v>100</v>
          </cell>
          <cell r="J112">
            <v>35</v>
          </cell>
          <cell r="K112">
            <v>2</v>
          </cell>
          <cell r="L112">
            <v>6.0049999999999999</v>
          </cell>
          <cell r="M112">
            <v>3.2</v>
          </cell>
          <cell r="N112">
            <v>5.4949999999999999E-2</v>
          </cell>
          <cell r="O112">
            <v>2.5000000000000001E-2</v>
          </cell>
          <cell r="P112">
            <v>2.9949999999999997E-2</v>
          </cell>
          <cell r="Q112">
            <v>9.5839999999999995E-2</v>
          </cell>
        </row>
        <row r="113"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</row>
        <row r="114"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</row>
        <row r="115">
          <cell r="D115"/>
          <cell r="E115"/>
          <cell r="F115" t="str">
            <v>材料合计：</v>
          </cell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</row>
        <row r="116">
          <cell r="D116" t="str">
            <v>SHT0010840</v>
          </cell>
          <cell r="E116" t="str">
            <v>仰角小齿板防护板</v>
          </cell>
          <cell r="F116" t="str">
            <v>仰角小齿板防护板</v>
          </cell>
          <cell r="G116" t="str">
            <v>SPFH590 t=1.6</v>
          </cell>
          <cell r="H116">
            <v>1</v>
          </cell>
          <cell r="I116">
            <v>130</v>
          </cell>
          <cell r="J116">
            <v>80</v>
          </cell>
          <cell r="K116">
            <v>1.6</v>
          </cell>
          <cell r="L116">
            <v>6.85</v>
          </cell>
          <cell r="M116">
            <v>3.2</v>
          </cell>
          <cell r="N116">
            <v>0.13062399999999999</v>
          </cell>
          <cell r="O116">
            <v>7.1999999999999995E-2</v>
          </cell>
          <cell r="P116">
            <v>5.8623999999999996E-2</v>
          </cell>
          <cell r="Q116">
            <v>0.18759680000000001</v>
          </cell>
        </row>
        <row r="117"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</row>
        <row r="118"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</row>
        <row r="119">
          <cell r="D119"/>
          <cell r="E119"/>
          <cell r="F119" t="str">
            <v>材料合计：</v>
          </cell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</row>
        <row r="120">
          <cell r="D120" t="str">
            <v>SHT0011421</v>
          </cell>
          <cell r="E120" t="str">
            <v>副司机仰角小齿板防护板</v>
          </cell>
          <cell r="F120" t="str">
            <v>副司机仰角小齿板防护板</v>
          </cell>
          <cell r="G120" t="str">
            <v>SPFH590 t=1.6</v>
          </cell>
          <cell r="H120">
            <v>1</v>
          </cell>
          <cell r="I120">
            <v>130</v>
          </cell>
          <cell r="J120">
            <v>80</v>
          </cell>
          <cell r="K120">
            <v>1.6</v>
          </cell>
          <cell r="L120">
            <v>6.85</v>
          </cell>
          <cell r="M120">
            <v>3.2</v>
          </cell>
          <cell r="N120">
            <v>0.13062399999999999</v>
          </cell>
          <cell r="O120">
            <v>7.0000000000000007E-2</v>
          </cell>
          <cell r="P120">
            <v>6.0623999999999983E-2</v>
          </cell>
          <cell r="Q120">
            <v>0.19399679999999997</v>
          </cell>
        </row>
        <row r="121"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</row>
        <row r="122"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</row>
        <row r="123">
          <cell r="D123"/>
          <cell r="E123"/>
          <cell r="F123" t="str">
            <v>材料合计：</v>
          </cell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</row>
        <row r="124">
          <cell r="D124" t="str">
            <v>SHT0010395</v>
          </cell>
          <cell r="E124" t="str">
            <v>H6副驾安全带固定钣金</v>
          </cell>
          <cell r="F124" t="str">
            <v>H6副驾安全带固定钣金</v>
          </cell>
          <cell r="G124" t="str">
            <v>SAPH440 t=3.0</v>
          </cell>
          <cell r="H124">
            <v>1</v>
          </cell>
          <cell r="I124">
            <v>370</v>
          </cell>
          <cell r="J124">
            <v>90</v>
          </cell>
          <cell r="K124">
            <v>3</v>
          </cell>
          <cell r="L124">
            <v>5.9550000000000001</v>
          </cell>
          <cell r="M124">
            <v>3.2</v>
          </cell>
          <cell r="N124">
            <v>0.784215</v>
          </cell>
          <cell r="O124">
            <v>0.67200000000000004</v>
          </cell>
          <cell r="P124">
            <v>0.11221499999999995</v>
          </cell>
          <cell r="Q124">
            <v>0.35908799999999985</v>
          </cell>
        </row>
        <row r="125"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</row>
        <row r="126"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</row>
        <row r="127">
          <cell r="D127"/>
          <cell r="E127"/>
          <cell r="F127" t="str">
            <v>材料合计：</v>
          </cell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</row>
        <row r="128">
          <cell r="D128" t="str">
            <v>SHT0010696</v>
          </cell>
          <cell r="E128" t="str">
            <v>左旁侧板</v>
          </cell>
          <cell r="F128" t="str">
            <v>左旁侧板</v>
          </cell>
          <cell r="G128" t="str">
            <v>SAPH440 t=3.0</v>
          </cell>
          <cell r="H128">
            <v>1</v>
          </cell>
          <cell r="I128">
            <v>170</v>
          </cell>
          <cell r="J128">
            <v>100</v>
          </cell>
          <cell r="K128">
            <v>3</v>
          </cell>
          <cell r="L128">
            <v>5.9550000000000001</v>
          </cell>
          <cell r="M128">
            <v>3.2</v>
          </cell>
          <cell r="N128">
            <v>0.40034999999999998</v>
          </cell>
          <cell r="O128">
            <v>0.217</v>
          </cell>
          <cell r="P128">
            <v>0.18334999999999999</v>
          </cell>
          <cell r="Q128">
            <v>0.58672000000000002</v>
          </cell>
        </row>
        <row r="129"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</row>
        <row r="130"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</row>
        <row r="131"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</row>
        <row r="132">
          <cell r="D132"/>
          <cell r="E132"/>
          <cell r="F132" t="str">
            <v>材料合计：</v>
          </cell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</row>
        <row r="133">
          <cell r="D133" t="str">
            <v>SHT0010698</v>
          </cell>
          <cell r="E133" t="str">
            <v>右旁侧板</v>
          </cell>
          <cell r="F133" t="str">
            <v>右旁侧板</v>
          </cell>
          <cell r="G133" t="str">
            <v>SAPH440 t=3.0</v>
          </cell>
          <cell r="H133">
            <v>1</v>
          </cell>
          <cell r="I133">
            <v>170</v>
          </cell>
          <cell r="J133">
            <v>100</v>
          </cell>
          <cell r="K133">
            <v>3</v>
          </cell>
          <cell r="L133">
            <v>5.9550000000000001</v>
          </cell>
          <cell r="M133">
            <v>3.2</v>
          </cell>
          <cell r="N133">
            <v>0.40034999999999998</v>
          </cell>
          <cell r="O133">
            <v>0.217</v>
          </cell>
          <cell r="P133">
            <v>0.18334999999999999</v>
          </cell>
          <cell r="Q133">
            <v>0.58672000000000002</v>
          </cell>
        </row>
        <row r="134"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</row>
        <row r="135"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</row>
        <row r="136"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</row>
        <row r="137">
          <cell r="D137"/>
          <cell r="E137"/>
          <cell r="F137" t="str">
            <v>材料合计：</v>
          </cell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</row>
        <row r="138">
          <cell r="D138" t="str">
            <v>SHT0010385</v>
          </cell>
          <cell r="E138" t="str">
            <v>坐垫翻折连接钣金左</v>
          </cell>
          <cell r="F138" t="str">
            <v>坐垫翻折连接钣金左</v>
          </cell>
          <cell r="G138" t="str">
            <v>SAPH440 t=5.0</v>
          </cell>
          <cell r="H138">
            <v>1</v>
          </cell>
          <cell r="I138">
            <v>125</v>
          </cell>
          <cell r="J138">
            <v>60</v>
          </cell>
          <cell r="K138">
            <v>5</v>
          </cell>
          <cell r="L138">
            <v>5.9550000000000001</v>
          </cell>
          <cell r="M138">
            <v>3.2</v>
          </cell>
          <cell r="N138">
            <v>0.294375</v>
          </cell>
          <cell r="O138">
            <v>0.182</v>
          </cell>
          <cell r="P138">
            <v>0.112375</v>
          </cell>
          <cell r="Q138">
            <v>0.35960000000000003</v>
          </cell>
        </row>
        <row r="139"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</row>
        <row r="140"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</row>
        <row r="141">
          <cell r="D141"/>
          <cell r="E141"/>
          <cell r="F141" t="str">
            <v>材料合计：</v>
          </cell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</row>
        <row r="142">
          <cell r="D142" t="str">
            <v>SHT0010386</v>
          </cell>
          <cell r="E142" t="str">
            <v>坐垫翻折连接钣金右</v>
          </cell>
          <cell r="F142" t="str">
            <v>坐垫翻折连接钣金右</v>
          </cell>
          <cell r="G142" t="str">
            <v>SAPH440 t=5.0</v>
          </cell>
          <cell r="H142">
            <v>1</v>
          </cell>
          <cell r="I142">
            <v>130</v>
          </cell>
          <cell r="J142">
            <v>100</v>
          </cell>
          <cell r="K142">
            <v>5</v>
          </cell>
          <cell r="L142">
            <v>5.9550000000000001</v>
          </cell>
          <cell r="M142">
            <v>3.2</v>
          </cell>
          <cell r="N142">
            <v>0.51024999999999998</v>
          </cell>
          <cell r="O142">
            <v>0.224</v>
          </cell>
          <cell r="P142">
            <v>0.28625</v>
          </cell>
          <cell r="Q142">
            <v>0.91600000000000004</v>
          </cell>
        </row>
        <row r="143"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</row>
        <row r="144"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</row>
        <row r="145">
          <cell r="D145"/>
          <cell r="E145"/>
          <cell r="F145" t="str">
            <v>材料合计：</v>
          </cell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</row>
        <row r="146">
          <cell r="D146" t="str">
            <v>SHT0010132</v>
          </cell>
          <cell r="E146" t="str">
            <v>座框前连接板</v>
          </cell>
          <cell r="F146" t="str">
            <v>座框前连接板</v>
          </cell>
          <cell r="G146" t="str">
            <v>SPFH590 t=2.0</v>
          </cell>
          <cell r="H146">
            <v>1</v>
          </cell>
          <cell r="I146">
            <v>400</v>
          </cell>
          <cell r="J146">
            <v>195</v>
          </cell>
          <cell r="K146">
            <v>2</v>
          </cell>
          <cell r="L146">
            <v>6.85</v>
          </cell>
          <cell r="M146">
            <v>3.2</v>
          </cell>
          <cell r="N146">
            <v>1.2245999999999999</v>
          </cell>
          <cell r="O146">
            <v>0.60599999999999998</v>
          </cell>
          <cell r="P146">
            <v>0.61859999999999993</v>
          </cell>
          <cell r="Q146">
            <v>1.9795199999999999</v>
          </cell>
        </row>
        <row r="147"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</row>
        <row r="148"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</row>
        <row r="149"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</row>
        <row r="150">
          <cell r="D150"/>
          <cell r="E150"/>
          <cell r="F150" t="str">
            <v>材料合计：</v>
          </cell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</row>
        <row r="151">
          <cell r="D151" t="str">
            <v>SHT0010215</v>
          </cell>
          <cell r="E151" t="str">
            <v>减震器上框后横梁</v>
          </cell>
          <cell r="F151" t="str">
            <v>减震器上框后横梁</v>
          </cell>
          <cell r="G151" t="str">
            <v>SPFH590 t=2.0</v>
          </cell>
          <cell r="H151">
            <v>1</v>
          </cell>
          <cell r="I151">
            <v>280</v>
          </cell>
          <cell r="J151">
            <v>300</v>
          </cell>
          <cell r="K151">
            <v>2</v>
          </cell>
          <cell r="L151">
            <v>6.85</v>
          </cell>
          <cell r="M151">
            <v>3.2</v>
          </cell>
          <cell r="N151">
            <v>1.3188</v>
          </cell>
          <cell r="O151">
            <v>0.51600000000000001</v>
          </cell>
          <cell r="P151">
            <v>0.80279999999999996</v>
          </cell>
          <cell r="Q151">
            <v>2.5689600000000001</v>
          </cell>
        </row>
        <row r="152"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</row>
        <row r="153"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</row>
        <row r="154"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</row>
        <row r="155"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</row>
        <row r="156">
          <cell r="D156"/>
          <cell r="E156"/>
          <cell r="F156" t="str">
            <v>材料合计：</v>
          </cell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</row>
        <row r="157">
          <cell r="D157" t="str">
            <v>SHT0010080</v>
          </cell>
          <cell r="E157" t="str">
            <v>气囊下支撑板金</v>
          </cell>
          <cell r="F157" t="str">
            <v>气囊下支撑板金</v>
          </cell>
          <cell r="G157" t="str">
            <v>SPFH590 t=2.0</v>
          </cell>
          <cell r="H157">
            <v>1</v>
          </cell>
          <cell r="I157">
            <v>360</v>
          </cell>
          <cell r="J157">
            <v>285</v>
          </cell>
          <cell r="K157">
            <v>2</v>
          </cell>
          <cell r="L157">
            <v>6.85</v>
          </cell>
          <cell r="M157">
            <v>3.2</v>
          </cell>
          <cell r="N157">
            <v>1.6108199999999999</v>
          </cell>
          <cell r="O157">
            <v>1.0009999999999999</v>
          </cell>
          <cell r="P157">
            <v>0.60982000000000003</v>
          </cell>
          <cell r="Q157">
            <v>1.9514240000000003</v>
          </cell>
        </row>
        <row r="158"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</row>
        <row r="159"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</row>
        <row r="160"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</row>
        <row r="161"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</row>
        <row r="162"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</row>
        <row r="163">
          <cell r="D163"/>
          <cell r="E163"/>
          <cell r="F163" t="str">
            <v>材料合计：</v>
          </cell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</row>
        <row r="164">
          <cell r="D164" t="str">
            <v>SHT0010051</v>
          </cell>
          <cell r="E164" t="str">
            <v>气囊支撑钣金</v>
          </cell>
          <cell r="F164" t="str">
            <v>气囊支撑钣金</v>
          </cell>
          <cell r="G164" t="str">
            <v>SPFH590 t=3.0</v>
          </cell>
          <cell r="H164">
            <v>1</v>
          </cell>
          <cell r="I164">
            <v>260</v>
          </cell>
          <cell r="J164">
            <v>145</v>
          </cell>
          <cell r="K164">
            <v>3</v>
          </cell>
          <cell r="L164">
            <v>6.7</v>
          </cell>
          <cell r="M164">
            <v>3.2</v>
          </cell>
          <cell r="N164">
            <v>0.88783500000000004</v>
          </cell>
          <cell r="O164">
            <v>0.59599999999999997</v>
          </cell>
          <cell r="P164">
            <v>0.29183500000000007</v>
          </cell>
          <cell r="Q164">
            <v>0.93387200000000026</v>
          </cell>
        </row>
        <row r="165"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</row>
        <row r="166"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</row>
        <row r="167"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</row>
        <row r="168">
          <cell r="D168"/>
          <cell r="E168"/>
          <cell r="F168" t="str">
            <v>材料合计：</v>
          </cell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</row>
        <row r="169">
          <cell r="D169" t="str">
            <v>SHT0010371</v>
          </cell>
          <cell r="E169" t="str">
            <v>坐垫翻折支撑钣金右</v>
          </cell>
          <cell r="F169" t="str">
            <v>坐垫翻折支撑钣金右</v>
          </cell>
          <cell r="G169" t="str">
            <v>SPFH590 t=3.0</v>
          </cell>
          <cell r="H169">
            <v>1</v>
          </cell>
          <cell r="I169">
            <v>100</v>
          </cell>
          <cell r="J169">
            <v>75</v>
          </cell>
          <cell r="K169">
            <v>3</v>
          </cell>
          <cell r="L169">
            <v>6.7</v>
          </cell>
          <cell r="M169">
            <v>3.2</v>
          </cell>
          <cell r="N169">
            <v>0.176625</v>
          </cell>
          <cell r="O169">
            <v>7.0999999999999994E-2</v>
          </cell>
          <cell r="P169">
            <v>0.10562500000000001</v>
          </cell>
          <cell r="Q169">
            <v>0.33800000000000008</v>
          </cell>
        </row>
        <row r="170"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</row>
        <row r="171"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</row>
        <row r="172"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</row>
        <row r="173">
          <cell r="D173"/>
          <cell r="E173"/>
          <cell r="F173" t="str">
            <v>材料合计：</v>
          </cell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</row>
        <row r="174">
          <cell r="D174" t="str">
            <v>SHT0010370</v>
          </cell>
          <cell r="E174" t="str">
            <v>坐垫翻折支撑钣金左</v>
          </cell>
          <cell r="F174" t="str">
            <v>坐垫翻折支撑钣金左</v>
          </cell>
          <cell r="G174" t="str">
            <v>SPFH590 t=3.0</v>
          </cell>
          <cell r="H174">
            <v>1</v>
          </cell>
          <cell r="I174">
            <v>100</v>
          </cell>
          <cell r="J174">
            <v>75</v>
          </cell>
          <cell r="K174">
            <v>3</v>
          </cell>
          <cell r="L174">
            <v>6.7</v>
          </cell>
          <cell r="M174">
            <v>3.2</v>
          </cell>
          <cell r="N174">
            <v>0.176625</v>
          </cell>
          <cell r="O174">
            <v>7.3999999999999996E-2</v>
          </cell>
          <cell r="P174">
            <v>0.10262500000000001</v>
          </cell>
          <cell r="Q174">
            <v>0.32840000000000003</v>
          </cell>
        </row>
        <row r="175"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</row>
        <row r="176"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</row>
        <row r="177"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</row>
        <row r="178">
          <cell r="D178"/>
          <cell r="E178"/>
          <cell r="F178" t="str">
            <v>材料合计：</v>
          </cell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</row>
        <row r="179">
          <cell r="D179" t="str">
            <v>SHT0010384</v>
          </cell>
          <cell r="E179" t="str">
            <v>副驾蜗簧固定钣金片1</v>
          </cell>
          <cell r="F179" t="str">
            <v>副驾蜗簧固定钣金片1</v>
          </cell>
          <cell r="G179" t="str">
            <v>SPFH590 t=3.0</v>
          </cell>
          <cell r="H179">
            <v>1</v>
          </cell>
          <cell r="I179">
            <v>105</v>
          </cell>
          <cell r="J179">
            <v>130</v>
          </cell>
          <cell r="K179">
            <v>3</v>
          </cell>
          <cell r="L179">
            <v>6.7</v>
          </cell>
          <cell r="M179">
            <v>3.2</v>
          </cell>
          <cell r="N179">
            <v>0.32145750000000001</v>
          </cell>
          <cell r="O179">
            <v>0.188</v>
          </cell>
          <cell r="P179">
            <v>0.13345750000000001</v>
          </cell>
          <cell r="Q179">
            <v>0.42706400000000005</v>
          </cell>
        </row>
        <row r="180"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</row>
        <row r="181"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</row>
        <row r="182"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</row>
        <row r="183">
          <cell r="D183"/>
          <cell r="E183"/>
          <cell r="F183" t="str">
            <v>材料合计：</v>
          </cell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</row>
        <row r="184">
          <cell r="D184" t="str">
            <v>SHT0010191</v>
          </cell>
          <cell r="E184" t="str">
            <v>蜗簧固定钣金片1</v>
          </cell>
          <cell r="F184" t="str">
            <v>蜗簧固定钣金片1</v>
          </cell>
          <cell r="G184" t="str">
            <v>SPFH590 t=3.0</v>
          </cell>
          <cell r="H184">
            <v>1</v>
          </cell>
          <cell r="I184">
            <v>105</v>
          </cell>
          <cell r="J184">
            <v>130</v>
          </cell>
          <cell r="K184">
            <v>3</v>
          </cell>
          <cell r="L184">
            <v>6.7</v>
          </cell>
          <cell r="M184">
            <v>3.2</v>
          </cell>
          <cell r="N184">
            <v>0.32145750000000001</v>
          </cell>
          <cell r="O184">
            <v>0.16900000000000001</v>
          </cell>
          <cell r="P184">
            <v>0.1524575</v>
          </cell>
          <cell r="Q184">
            <v>0.48786400000000002</v>
          </cell>
        </row>
        <row r="185"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</row>
        <row r="186"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</row>
        <row r="187"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</row>
        <row r="188">
          <cell r="D188"/>
          <cell r="E188"/>
          <cell r="F188" t="str">
            <v>材料合计：</v>
          </cell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</row>
        <row r="189">
          <cell r="D189" t="str">
            <v>SHT0010846</v>
          </cell>
          <cell r="E189" t="str">
            <v>支架左边板</v>
          </cell>
          <cell r="F189" t="str">
            <v>支架左边板</v>
          </cell>
          <cell r="G189" t="str">
            <v>QSTE420TM  t=1.5</v>
          </cell>
          <cell r="H189">
            <v>1</v>
          </cell>
          <cell r="I189">
            <v>550</v>
          </cell>
          <cell r="J189">
            <v>280</v>
          </cell>
          <cell r="K189">
            <v>1.5</v>
          </cell>
          <cell r="L189">
            <v>6.16</v>
          </cell>
          <cell r="M189">
            <v>3.2</v>
          </cell>
          <cell r="N189">
            <v>1.81335</v>
          </cell>
          <cell r="O189">
            <v>1.0169999999999999</v>
          </cell>
          <cell r="P189">
            <v>0.79635000000000011</v>
          </cell>
          <cell r="Q189">
            <v>2.5483200000000004</v>
          </cell>
        </row>
        <row r="190"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</row>
        <row r="191"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</row>
        <row r="192"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</row>
        <row r="193"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</row>
        <row r="194"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</row>
        <row r="195"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</row>
        <row r="196">
          <cell r="D196"/>
          <cell r="E196"/>
          <cell r="F196" t="str">
            <v>材料合计：</v>
          </cell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</row>
        <row r="197">
          <cell r="D197" t="str">
            <v>SHT0010848</v>
          </cell>
          <cell r="E197" t="str">
            <v>支架右边板</v>
          </cell>
          <cell r="F197" t="str">
            <v>支架右边板</v>
          </cell>
          <cell r="G197" t="str">
            <v>QSTE420TM  t=1.5</v>
          </cell>
          <cell r="H197">
            <v>1</v>
          </cell>
          <cell r="I197">
            <v>550</v>
          </cell>
          <cell r="J197">
            <v>280</v>
          </cell>
          <cell r="K197">
            <v>1.5</v>
          </cell>
          <cell r="L197">
            <v>6.16</v>
          </cell>
          <cell r="M197">
            <v>3.2</v>
          </cell>
          <cell r="N197">
            <v>1.81335</v>
          </cell>
          <cell r="O197">
            <v>1.0069999999999999</v>
          </cell>
          <cell r="P197">
            <v>0.80635000000000012</v>
          </cell>
          <cell r="Q197">
            <v>2.5803200000000004</v>
          </cell>
        </row>
        <row r="198"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</row>
        <row r="199"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</row>
        <row r="200"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</row>
        <row r="201"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</row>
        <row r="202"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</row>
        <row r="203"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</row>
        <row r="204">
          <cell r="D204"/>
          <cell r="E204"/>
          <cell r="F204" t="str">
            <v>材料合计：</v>
          </cell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</row>
        <row r="205">
          <cell r="D205" t="str">
            <v>SHT0010851</v>
          </cell>
          <cell r="E205" t="str">
            <v>支架后板</v>
          </cell>
          <cell r="F205" t="str">
            <v>支架后板</v>
          </cell>
          <cell r="G205" t="str">
            <v>QSTE420TM  t=1.5</v>
          </cell>
          <cell r="H205">
            <v>1</v>
          </cell>
          <cell r="I205">
            <v>550</v>
          </cell>
          <cell r="J205">
            <v>280</v>
          </cell>
          <cell r="K205">
            <v>1.5</v>
          </cell>
          <cell r="L205">
            <v>6.16</v>
          </cell>
          <cell r="M205">
            <v>3.2</v>
          </cell>
          <cell r="N205">
            <v>1.81335</v>
          </cell>
          <cell r="O205">
            <v>0.76400000000000001</v>
          </cell>
          <cell r="P205">
            <v>1.04935</v>
          </cell>
          <cell r="Q205">
            <v>3.35792</v>
          </cell>
        </row>
        <row r="206"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</row>
        <row r="207"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</row>
        <row r="208"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</row>
        <row r="209"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</row>
        <row r="210"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</row>
        <row r="211"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</row>
        <row r="212">
          <cell r="D212"/>
          <cell r="E212"/>
          <cell r="F212" t="str">
            <v>材料合计：</v>
          </cell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</row>
        <row r="213">
          <cell r="D213" t="str">
            <v>SHT0010372</v>
          </cell>
          <cell r="E213" t="str">
            <v>坐垫翻折限位钣金</v>
          </cell>
          <cell r="F213" t="str">
            <v>坐垫翻折限位钣金</v>
          </cell>
          <cell r="G213" t="str">
            <v>SAPH440 t=6.0</v>
          </cell>
          <cell r="H213">
            <v>1</v>
          </cell>
          <cell r="I213">
            <v>50</v>
          </cell>
          <cell r="J213">
            <v>34.817999999999998</v>
          </cell>
          <cell r="K213">
            <v>6</v>
          </cell>
          <cell r="L213">
            <v>5.9550000000000001</v>
          </cell>
          <cell r="M213">
            <v>3.2</v>
          </cell>
          <cell r="N213">
            <v>8.1996390000000002E-2</v>
          </cell>
          <cell r="O213">
            <v>2.7799999999999998E-2</v>
          </cell>
          <cell r="P213">
            <v>5.4196390000000004E-2</v>
          </cell>
          <cell r="Q213">
            <v>0.17342844800000001</v>
          </cell>
        </row>
        <row r="214"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</row>
        <row r="215"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</row>
        <row r="216"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</row>
        <row r="217"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</row>
        <row r="218"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</row>
        <row r="219"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</row>
        <row r="220">
          <cell r="D220"/>
          <cell r="E220"/>
          <cell r="F220" t="str">
            <v>材料合计：</v>
          </cell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打样费用"/>
      <sheetName val="3D激光切割"/>
      <sheetName val="2D激光切割"/>
    </sheetNames>
    <sheetDataSet>
      <sheetData sheetId="0" refreshError="1"/>
      <sheetData sheetId="1" refreshError="1"/>
      <sheetData sheetId="2">
        <row r="6">
          <cell r="A6" t="str">
            <v>SHT0010249/369</v>
          </cell>
          <cell r="B6" t="str">
            <v>安全带上固定加强钣金</v>
          </cell>
          <cell r="C6" t="str">
            <v>落料</v>
          </cell>
          <cell r="D6">
            <v>0.45800000000000002</v>
          </cell>
          <cell r="E6" t="str">
            <v>1</v>
          </cell>
          <cell r="F6" t="str">
            <v>4</v>
          </cell>
          <cell r="G6" t="str">
            <v>3</v>
          </cell>
          <cell r="H6">
            <v>4.8319999999999999</v>
          </cell>
          <cell r="I6" t="str">
            <v>100</v>
          </cell>
          <cell r="J6">
            <v>483.2</v>
          </cell>
          <cell r="K6" t="str">
            <v>2D激光切割费用
含13%的增值说</v>
          </cell>
          <cell r="L6">
            <v>20</v>
          </cell>
          <cell r="M6">
            <v>386.56</v>
          </cell>
        </row>
        <row r="7">
          <cell r="A7" t="str">
            <v>SHT0010722</v>
          </cell>
          <cell r="B7" t="str">
            <v>司机主边调角器下连接板A</v>
          </cell>
          <cell r="C7" t="str">
            <v>落料</v>
          </cell>
          <cell r="D7">
            <v>0.86199999999999999</v>
          </cell>
          <cell r="E7" t="str">
            <v>/</v>
          </cell>
          <cell r="F7" t="str">
            <v>4</v>
          </cell>
          <cell r="G7" t="str">
            <v>3</v>
          </cell>
          <cell r="H7">
            <v>3.448</v>
          </cell>
          <cell r="I7" t="str">
            <v>100</v>
          </cell>
          <cell r="J7">
            <v>344.8</v>
          </cell>
          <cell r="L7">
            <v>20</v>
          </cell>
          <cell r="M7">
            <v>275.83999999999997</v>
          </cell>
        </row>
        <row r="8">
          <cell r="A8" t="str">
            <v>SHT0010724</v>
          </cell>
          <cell r="B8" t="str">
            <v>司机副边调角器下连接钣A</v>
          </cell>
          <cell r="C8" t="str">
            <v>落料</v>
          </cell>
          <cell r="D8">
            <v>0.73299999999999998</v>
          </cell>
          <cell r="E8" t="str">
            <v>2</v>
          </cell>
          <cell r="F8" t="str">
            <v>4</v>
          </cell>
          <cell r="G8" t="str">
            <v>3</v>
          </cell>
          <cell r="H8">
            <v>8.9320000000000004</v>
          </cell>
          <cell r="I8" t="str">
            <v>100</v>
          </cell>
          <cell r="J8">
            <v>893.2</v>
          </cell>
          <cell r="L8">
            <v>20</v>
          </cell>
          <cell r="M8">
            <v>714.56000000000006</v>
          </cell>
        </row>
        <row r="9">
          <cell r="A9" t="str">
            <v>SHT0011032/033</v>
          </cell>
          <cell r="B9" t="str">
            <v>H6副司机座椅底支架左下板</v>
          </cell>
          <cell r="C9" t="str">
            <v>落料冲孔</v>
          </cell>
          <cell r="D9">
            <v>1.02</v>
          </cell>
          <cell r="E9" t="str">
            <v>6</v>
          </cell>
          <cell r="F9" t="str">
            <v>4</v>
          </cell>
          <cell r="G9" t="str">
            <v>3</v>
          </cell>
          <cell r="H9">
            <v>22.08</v>
          </cell>
          <cell r="I9" t="str">
            <v>100</v>
          </cell>
          <cell r="J9">
            <v>2208</v>
          </cell>
          <cell r="L9">
            <v>20</v>
          </cell>
          <cell r="M9">
            <v>1766.3999999999999</v>
          </cell>
        </row>
        <row r="10">
          <cell r="A10" t="str">
            <v>SHT0010372</v>
          </cell>
          <cell r="B10" t="str">
            <v>坐垫翻折限位钣金</v>
          </cell>
          <cell r="C10" t="str">
            <v>落料</v>
          </cell>
          <cell r="D10">
            <v>0.104</v>
          </cell>
          <cell r="E10" t="str">
            <v>2</v>
          </cell>
          <cell r="F10" t="str">
            <v>4</v>
          </cell>
          <cell r="G10" t="str">
            <v>3</v>
          </cell>
          <cell r="H10">
            <v>6.4160000000000004</v>
          </cell>
          <cell r="I10" t="str">
            <v>100</v>
          </cell>
          <cell r="J10">
            <v>641.6</v>
          </cell>
          <cell r="L10">
            <v>20</v>
          </cell>
          <cell r="M10">
            <v>513.28</v>
          </cell>
        </row>
        <row r="11">
          <cell r="A11" t="str">
            <v>SHT0010260</v>
          </cell>
          <cell r="B11" t="str">
            <v>仰角调节钣金</v>
          </cell>
          <cell r="C11" t="str">
            <v>落料</v>
          </cell>
          <cell r="D11">
            <v>0.21299999999999999</v>
          </cell>
          <cell r="E11" t="str">
            <v>/</v>
          </cell>
          <cell r="F11" t="str">
            <v>4</v>
          </cell>
          <cell r="G11" t="str">
            <v>3</v>
          </cell>
          <cell r="H11">
            <v>0.85199999999999998</v>
          </cell>
          <cell r="I11" t="str">
            <v>100</v>
          </cell>
          <cell r="J11">
            <v>85.2</v>
          </cell>
          <cell r="L11">
            <v>20</v>
          </cell>
          <cell r="M11">
            <v>68.16</v>
          </cell>
        </row>
        <row r="12">
          <cell r="A12" t="str">
            <v>SHT0010840</v>
          </cell>
          <cell r="B12" t="str">
            <v>仰角小齿板防护板</v>
          </cell>
          <cell r="C12" t="str">
            <v>落料</v>
          </cell>
          <cell r="D12">
            <v>0.41299999999999998</v>
          </cell>
          <cell r="E12" t="str">
            <v>2</v>
          </cell>
          <cell r="F12" t="str">
            <v>4</v>
          </cell>
          <cell r="G12" t="str">
            <v>3</v>
          </cell>
          <cell r="H12">
            <v>7.6520000000000001</v>
          </cell>
          <cell r="I12" t="str">
            <v>100</v>
          </cell>
          <cell r="J12">
            <v>765.2</v>
          </cell>
          <cell r="L12">
            <v>20</v>
          </cell>
          <cell r="M12">
            <v>612.16</v>
          </cell>
        </row>
        <row r="13">
          <cell r="A13" t="str">
            <v>SHT0010395</v>
          </cell>
          <cell r="B13" t="str">
            <v>H6副驾安全带固定钣金</v>
          </cell>
          <cell r="C13" t="str">
            <v>落料</v>
          </cell>
          <cell r="D13">
            <v>0.83399999999999996</v>
          </cell>
          <cell r="E13" t="str">
            <v>/</v>
          </cell>
          <cell r="F13" t="str">
            <v>4</v>
          </cell>
          <cell r="G13" t="str">
            <v>3</v>
          </cell>
          <cell r="H13">
            <v>3.3359999999999999</v>
          </cell>
          <cell r="I13" t="str">
            <v>100</v>
          </cell>
          <cell r="J13">
            <v>333.59999999999997</v>
          </cell>
          <cell r="L13">
            <v>20</v>
          </cell>
          <cell r="M13">
            <v>266.88</v>
          </cell>
        </row>
        <row r="14">
          <cell r="A14" t="str">
            <v>SHT0010696</v>
          </cell>
          <cell r="B14" t="str">
            <v>左旁侧板</v>
          </cell>
          <cell r="C14" t="str">
            <v>落料</v>
          </cell>
          <cell r="D14">
            <v>0.45300000000000001</v>
          </cell>
          <cell r="E14" t="str">
            <v>1</v>
          </cell>
          <cell r="F14" t="str">
            <v>4</v>
          </cell>
          <cell r="G14" t="str">
            <v>3</v>
          </cell>
          <cell r="H14">
            <v>4.8120000000000003</v>
          </cell>
          <cell r="I14" t="str">
            <v>100</v>
          </cell>
          <cell r="J14">
            <v>481.20000000000005</v>
          </cell>
          <cell r="L14">
            <v>20</v>
          </cell>
          <cell r="M14">
            <v>384.96000000000004</v>
          </cell>
        </row>
        <row r="15">
          <cell r="A15" t="str">
            <v>SHT0010698</v>
          </cell>
          <cell r="B15" t="str">
            <v>右旁侧板</v>
          </cell>
          <cell r="C15" t="str">
            <v>落料</v>
          </cell>
          <cell r="D15">
            <v>0.45300000000000001</v>
          </cell>
          <cell r="E15" t="str">
            <v>1</v>
          </cell>
          <cell r="F15" t="str">
            <v>4</v>
          </cell>
          <cell r="G15" t="str">
            <v>3</v>
          </cell>
          <cell r="H15">
            <v>4.8120000000000003</v>
          </cell>
          <cell r="I15" t="str">
            <v>100</v>
          </cell>
          <cell r="J15">
            <v>481.20000000000005</v>
          </cell>
          <cell r="L15">
            <v>20</v>
          </cell>
          <cell r="M15">
            <v>384.96000000000004</v>
          </cell>
        </row>
        <row r="16">
          <cell r="A16" t="str">
            <v>SHT0010385</v>
          </cell>
          <cell r="B16" t="str">
            <v>坐垫翻折连接钣金左</v>
          </cell>
          <cell r="C16" t="str">
            <v>落料</v>
          </cell>
          <cell r="D16">
            <v>0.30199999999999999</v>
          </cell>
          <cell r="E16" t="str">
            <v>/</v>
          </cell>
          <cell r="F16" t="str">
            <v>4</v>
          </cell>
          <cell r="G16" t="str">
            <v>3</v>
          </cell>
          <cell r="H16">
            <v>1.208</v>
          </cell>
          <cell r="I16" t="str">
            <v>100</v>
          </cell>
          <cell r="J16">
            <v>120.8</v>
          </cell>
          <cell r="L16">
            <v>20</v>
          </cell>
          <cell r="M16">
            <v>96.64</v>
          </cell>
        </row>
        <row r="17">
          <cell r="A17" t="str">
            <v>SHT0010386</v>
          </cell>
          <cell r="B17" t="str">
            <v>坐垫翻折连接钣金右</v>
          </cell>
          <cell r="C17" t="str">
            <v>落料</v>
          </cell>
          <cell r="D17">
            <v>0.375</v>
          </cell>
          <cell r="E17" t="str">
            <v>/</v>
          </cell>
          <cell r="F17" t="str">
            <v>4</v>
          </cell>
          <cell r="G17" t="str">
            <v>3</v>
          </cell>
          <cell r="H17">
            <v>1.5</v>
          </cell>
          <cell r="I17" t="str">
            <v>100</v>
          </cell>
          <cell r="J17">
            <v>150</v>
          </cell>
          <cell r="L17">
            <v>20</v>
          </cell>
          <cell r="M17">
            <v>120</v>
          </cell>
        </row>
        <row r="18">
          <cell r="A18" t="str">
            <v>SHT0010215</v>
          </cell>
          <cell r="B18" t="str">
            <v>减震器上框后横梁</v>
          </cell>
          <cell r="C18" t="str">
            <v>落料冲孔</v>
          </cell>
          <cell r="D18">
            <v>1.4</v>
          </cell>
          <cell r="E18" t="str">
            <v>2</v>
          </cell>
          <cell r="F18" t="str">
            <v>4</v>
          </cell>
          <cell r="G18" t="str">
            <v>3</v>
          </cell>
          <cell r="H18">
            <v>11.6</v>
          </cell>
          <cell r="I18" t="str">
            <v>100</v>
          </cell>
          <cell r="J18">
            <v>1160</v>
          </cell>
          <cell r="L18">
            <v>20</v>
          </cell>
          <cell r="M18">
            <v>928</v>
          </cell>
        </row>
        <row r="19">
          <cell r="A19" t="str">
            <v>SHT0010051</v>
          </cell>
          <cell r="B19" t="str">
            <v>气囊支撑钣金</v>
          </cell>
          <cell r="C19" t="str">
            <v>落料</v>
          </cell>
          <cell r="D19">
            <v>0.69</v>
          </cell>
          <cell r="E19" t="str">
            <v>1</v>
          </cell>
          <cell r="F19" t="str">
            <v>4</v>
          </cell>
          <cell r="G19" t="str">
            <v>3</v>
          </cell>
          <cell r="H19">
            <v>5.76</v>
          </cell>
          <cell r="I19" t="str">
            <v>100</v>
          </cell>
          <cell r="J19">
            <v>576</v>
          </cell>
          <cell r="L19">
            <v>20</v>
          </cell>
          <cell r="M19">
            <v>460.79999999999995</v>
          </cell>
        </row>
        <row r="20">
          <cell r="A20" t="str">
            <v>SHT0010371</v>
          </cell>
          <cell r="B20" t="str">
            <v>坐垫翻折支撑钣金右</v>
          </cell>
          <cell r="C20" t="str">
            <v>落料</v>
          </cell>
          <cell r="D20">
            <v>0.69</v>
          </cell>
          <cell r="E20" t="str">
            <v>1</v>
          </cell>
          <cell r="F20" t="str">
            <v>4</v>
          </cell>
          <cell r="G20" t="str">
            <v>3</v>
          </cell>
          <cell r="H20">
            <v>5.76</v>
          </cell>
          <cell r="I20" t="str">
            <v>100</v>
          </cell>
          <cell r="J20">
            <v>576</v>
          </cell>
          <cell r="L20">
            <v>20</v>
          </cell>
          <cell r="M20">
            <v>460.79999999999995</v>
          </cell>
        </row>
        <row r="21">
          <cell r="A21" t="str">
            <v>SHT0010370</v>
          </cell>
          <cell r="B21" t="str">
            <v>坐垫翻折支撑钣金左</v>
          </cell>
          <cell r="C21" t="str">
            <v>落料</v>
          </cell>
          <cell r="D21">
            <v>0.27100000000000002</v>
          </cell>
          <cell r="E21" t="str">
            <v>3</v>
          </cell>
          <cell r="F21" t="str">
            <v>4</v>
          </cell>
          <cell r="G21" t="str">
            <v>3</v>
          </cell>
          <cell r="H21">
            <v>10.084</v>
          </cell>
          <cell r="I21" t="str">
            <v>100</v>
          </cell>
          <cell r="J21">
            <v>1008.4</v>
          </cell>
          <cell r="L21">
            <v>20</v>
          </cell>
          <cell r="M21">
            <v>806.72</v>
          </cell>
        </row>
        <row r="22">
          <cell r="A22" t="str">
            <v>SHT0010384</v>
          </cell>
          <cell r="B22" t="str">
            <v>副驾蜗簧固定钣金片1</v>
          </cell>
          <cell r="C22" t="str">
            <v>落料</v>
          </cell>
          <cell r="D22">
            <v>0.42299999999999999</v>
          </cell>
          <cell r="E22" t="str">
            <v>/</v>
          </cell>
          <cell r="F22" t="str">
            <v>4</v>
          </cell>
          <cell r="G22" t="str">
            <v>3</v>
          </cell>
          <cell r="H22">
            <v>1.6919999999999999</v>
          </cell>
          <cell r="I22" t="str">
            <v>100</v>
          </cell>
          <cell r="J22">
            <v>169.2</v>
          </cell>
          <cell r="L22">
            <v>20</v>
          </cell>
          <cell r="M22">
            <v>135.35999999999999</v>
          </cell>
        </row>
        <row r="23">
          <cell r="A23" t="str">
            <v>SHT0010191</v>
          </cell>
          <cell r="B23" t="str">
            <v>蜗簧固定钣金片1</v>
          </cell>
          <cell r="C23" t="str">
            <v>落料</v>
          </cell>
          <cell r="D23">
            <v>0.42299999999999999</v>
          </cell>
          <cell r="E23" t="str">
            <v>/</v>
          </cell>
          <cell r="F23" t="str">
            <v>4</v>
          </cell>
          <cell r="G23" t="str">
            <v>3</v>
          </cell>
          <cell r="H23">
            <v>1.6919999999999999</v>
          </cell>
          <cell r="I23" t="str">
            <v>100</v>
          </cell>
          <cell r="J23">
            <v>169.2</v>
          </cell>
          <cell r="L23">
            <v>20</v>
          </cell>
          <cell r="M23">
            <v>135.35999999999999</v>
          </cell>
        </row>
        <row r="24">
          <cell r="I24" t="str">
            <v>总计</v>
          </cell>
          <cell r="J24">
            <v>10646.800000000001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年发货数量"/>
      <sheetName val="2021年发货数量"/>
      <sheetName val="全部裁板清单汇总 (3)"/>
      <sheetName val="Sheet1"/>
    </sheetNames>
    <sheetDataSet>
      <sheetData sheetId="0">
        <row r="6">
          <cell r="AH6" t="str">
            <v>SHT0010073</v>
          </cell>
          <cell r="AJ6">
            <v>176</v>
          </cell>
        </row>
        <row r="7">
          <cell r="AH7" t="str">
            <v>SHT0010368</v>
          </cell>
          <cell r="AJ7">
            <v>220</v>
          </cell>
        </row>
        <row r="8">
          <cell r="AH8" t="str">
            <v>SHT0010249</v>
          </cell>
          <cell r="AJ8">
            <v>155</v>
          </cell>
        </row>
        <row r="9">
          <cell r="AH9" t="str">
            <v>SHT0010369</v>
          </cell>
          <cell r="AJ9">
            <v>220</v>
          </cell>
        </row>
        <row r="10">
          <cell r="AH10" t="str">
            <v>SHT0010057</v>
          </cell>
          <cell r="AJ10">
            <v>592</v>
          </cell>
        </row>
        <row r="11">
          <cell r="AH11" t="str">
            <v>SHT0011032</v>
          </cell>
          <cell r="AJ11">
            <v>165</v>
          </cell>
        </row>
        <row r="12">
          <cell r="AH12" t="str">
            <v>SHT0011033</v>
          </cell>
          <cell r="AJ12">
            <v>165</v>
          </cell>
        </row>
        <row r="13">
          <cell r="AH13" t="str">
            <v>SHT0010385</v>
          </cell>
          <cell r="AJ13">
            <v>160</v>
          </cell>
        </row>
        <row r="14">
          <cell r="AH14" t="str">
            <v>SHT0010386</v>
          </cell>
          <cell r="AJ14">
            <v>152</v>
          </cell>
        </row>
        <row r="15">
          <cell r="AH15" t="str">
            <v>SHT0010132</v>
          </cell>
          <cell r="AJ15">
            <v>264</v>
          </cell>
        </row>
        <row r="16">
          <cell r="AH16" t="str">
            <v>SHT0010215</v>
          </cell>
          <cell r="AJ16">
            <v>312</v>
          </cell>
        </row>
        <row r="17">
          <cell r="AH17" t="str">
            <v>SHT0010080</v>
          </cell>
          <cell r="AJ17">
            <v>322</v>
          </cell>
        </row>
        <row r="18">
          <cell r="AH18" t="str">
            <v>SHT0010051</v>
          </cell>
          <cell r="AJ18">
            <v>283</v>
          </cell>
        </row>
        <row r="19">
          <cell r="AH19" t="str">
            <v>SHT0010371</v>
          </cell>
          <cell r="AJ19">
            <v>215</v>
          </cell>
        </row>
        <row r="20">
          <cell r="AH20" t="str">
            <v>SHT0010370</v>
          </cell>
          <cell r="AJ20">
            <v>215</v>
          </cell>
        </row>
        <row r="21">
          <cell r="AH21" t="str">
            <v>SHT0010384</v>
          </cell>
          <cell r="AJ21">
            <v>257</v>
          </cell>
        </row>
        <row r="22">
          <cell r="AH22" t="str">
            <v>SHT0010191</v>
          </cell>
          <cell r="AJ22">
            <v>230</v>
          </cell>
        </row>
        <row r="23">
          <cell r="AH23" t="str">
            <v>SHT0010775</v>
          </cell>
          <cell r="AJ23">
            <v>215</v>
          </cell>
        </row>
        <row r="24">
          <cell r="AH24" t="str">
            <v>SHT0010776</v>
          </cell>
          <cell r="AJ24">
            <v>158</v>
          </cell>
        </row>
        <row r="25">
          <cell r="AH25" t="str">
            <v>SHT0010722</v>
          </cell>
          <cell r="AJ25">
            <v>426</v>
          </cell>
        </row>
        <row r="26">
          <cell r="AH26" t="str">
            <v>SHT0010724</v>
          </cell>
          <cell r="AJ26">
            <v>426</v>
          </cell>
        </row>
        <row r="27">
          <cell r="AH27" t="str">
            <v>SHT0010723</v>
          </cell>
          <cell r="AJ27">
            <v>425</v>
          </cell>
        </row>
        <row r="28">
          <cell r="AH28" t="str">
            <v>SHT0010725</v>
          </cell>
          <cell r="AJ28">
            <v>425</v>
          </cell>
        </row>
        <row r="29">
          <cell r="AH29" t="str">
            <v>SHT0010070</v>
          </cell>
          <cell r="AJ29">
            <v>436</v>
          </cell>
        </row>
        <row r="30">
          <cell r="AH30" t="str">
            <v>SHT0010245</v>
          </cell>
          <cell r="AJ30">
            <v>436</v>
          </cell>
        </row>
        <row r="31">
          <cell r="AH31" t="str">
            <v>SHT0010050</v>
          </cell>
          <cell r="AJ31">
            <v>592</v>
          </cell>
        </row>
        <row r="32">
          <cell r="AH32" t="str">
            <v>SHT0011031</v>
          </cell>
          <cell r="AJ32">
            <v>169</v>
          </cell>
        </row>
        <row r="33">
          <cell r="AH33" t="str">
            <v>SHT0010260</v>
          </cell>
          <cell r="AJ33">
            <v>260</v>
          </cell>
        </row>
        <row r="34">
          <cell r="AH34" t="str">
            <v>SHT0010840</v>
          </cell>
          <cell r="AJ34">
            <v>265</v>
          </cell>
        </row>
        <row r="35">
          <cell r="AH35" t="str">
            <v>SHT0011421</v>
          </cell>
          <cell r="AJ35">
            <v>155</v>
          </cell>
        </row>
        <row r="36">
          <cell r="AH36" t="str">
            <v>SHT0010395</v>
          </cell>
          <cell r="AJ36">
            <v>168</v>
          </cell>
        </row>
        <row r="37">
          <cell r="AH37" t="str">
            <v>SHT0010696</v>
          </cell>
          <cell r="AJ37">
            <v>162</v>
          </cell>
        </row>
        <row r="38">
          <cell r="AH38" t="str">
            <v>SHT0010698</v>
          </cell>
          <cell r="AJ38">
            <v>162</v>
          </cell>
        </row>
        <row r="39">
          <cell r="AH39" t="str">
            <v>SHT0010846</v>
          </cell>
          <cell r="AJ39">
            <v>440</v>
          </cell>
        </row>
        <row r="40">
          <cell r="AH40" t="str">
            <v>SHT0010848</v>
          </cell>
          <cell r="AJ40">
            <v>440</v>
          </cell>
        </row>
        <row r="41">
          <cell r="AH41" t="str">
            <v>SHT0010851</v>
          </cell>
          <cell r="AJ41">
            <v>391</v>
          </cell>
        </row>
        <row r="42">
          <cell r="AH42" t="str">
            <v>SHT0010372</v>
          </cell>
          <cell r="AJ42">
            <v>158</v>
          </cell>
        </row>
      </sheetData>
      <sheetData sheetId="1">
        <row r="6">
          <cell r="AH6" t="str">
            <v>SHT0010073</v>
          </cell>
          <cell r="AJ6">
            <v>350</v>
          </cell>
        </row>
        <row r="7">
          <cell r="AH7" t="str">
            <v>SHT0010368</v>
          </cell>
          <cell r="AJ7">
            <v>300</v>
          </cell>
        </row>
        <row r="8">
          <cell r="AH8" t="str">
            <v>SHT0010249</v>
          </cell>
          <cell r="AJ8">
            <v>250</v>
          </cell>
        </row>
        <row r="9">
          <cell r="AH9" t="str">
            <v>SHT0010369</v>
          </cell>
          <cell r="AJ9">
            <v>200</v>
          </cell>
        </row>
        <row r="10">
          <cell r="AH10" t="str">
            <v>SHT0010057</v>
          </cell>
          <cell r="AJ10">
            <v>872</v>
          </cell>
        </row>
        <row r="11">
          <cell r="AH11" t="str">
            <v>SHT0011032</v>
          </cell>
          <cell r="AJ11">
            <v>100</v>
          </cell>
        </row>
        <row r="12">
          <cell r="AH12" t="str">
            <v>SHT0011033</v>
          </cell>
          <cell r="AJ12">
            <v>100</v>
          </cell>
        </row>
        <row r="13">
          <cell r="AH13" t="str">
            <v>SHT0010385</v>
          </cell>
          <cell r="AJ13">
            <v>150</v>
          </cell>
        </row>
        <row r="14">
          <cell r="AH14" t="str">
            <v>SHT0010386</v>
          </cell>
          <cell r="AJ14">
            <v>150</v>
          </cell>
        </row>
        <row r="15">
          <cell r="AH15" t="str">
            <v>SHT0010132</v>
          </cell>
          <cell r="AJ15">
            <v>550</v>
          </cell>
        </row>
        <row r="16">
          <cell r="AH16" t="str">
            <v>SHT0010215</v>
          </cell>
          <cell r="AJ16">
            <v>550</v>
          </cell>
        </row>
        <row r="17">
          <cell r="AH17" t="str">
            <v>SHT0010080</v>
          </cell>
          <cell r="AJ17">
            <v>550</v>
          </cell>
        </row>
        <row r="18">
          <cell r="AH18" t="str">
            <v>SHT0010051</v>
          </cell>
          <cell r="AJ18">
            <v>550</v>
          </cell>
        </row>
        <row r="19">
          <cell r="AH19" t="str">
            <v>SHT0010371</v>
          </cell>
          <cell r="AJ19">
            <v>350</v>
          </cell>
        </row>
        <row r="20">
          <cell r="AH20" t="str">
            <v>SHT0010370</v>
          </cell>
          <cell r="AJ20">
            <v>150</v>
          </cell>
        </row>
        <row r="21">
          <cell r="AH21" t="str">
            <v>SHT0010384</v>
          </cell>
          <cell r="AJ21">
            <v>300</v>
          </cell>
        </row>
        <row r="22">
          <cell r="AH22" t="str">
            <v>SHT0010191</v>
          </cell>
          <cell r="AJ22">
            <v>400</v>
          </cell>
        </row>
        <row r="23">
          <cell r="AH23" t="str">
            <v>SHT0010775</v>
          </cell>
          <cell r="AJ23">
            <v>200</v>
          </cell>
        </row>
        <row r="24">
          <cell r="AH24" t="str">
            <v>SHT0010776</v>
          </cell>
          <cell r="AJ24">
            <v>150</v>
          </cell>
        </row>
        <row r="25">
          <cell r="AH25" t="str">
            <v>SHT0010722</v>
          </cell>
          <cell r="AJ25">
            <v>350</v>
          </cell>
        </row>
        <row r="26">
          <cell r="AH26" t="str">
            <v>SHT0010724</v>
          </cell>
          <cell r="AJ26">
            <v>350</v>
          </cell>
        </row>
        <row r="27">
          <cell r="AH27" t="str">
            <v>SHT0010723</v>
          </cell>
          <cell r="AJ27">
            <v>536</v>
          </cell>
        </row>
        <row r="28">
          <cell r="AH28" t="str">
            <v>SHT0010725</v>
          </cell>
          <cell r="AJ28">
            <v>536</v>
          </cell>
        </row>
        <row r="29">
          <cell r="AH29" t="str">
            <v>SHT0010070</v>
          </cell>
          <cell r="AJ29">
            <v>550</v>
          </cell>
        </row>
        <row r="30">
          <cell r="AH30" t="str">
            <v>SHT0010245</v>
          </cell>
          <cell r="AJ30">
            <v>535</v>
          </cell>
        </row>
        <row r="31">
          <cell r="AH31" t="str">
            <v>SHT0010050</v>
          </cell>
          <cell r="AJ31">
            <v>900</v>
          </cell>
        </row>
        <row r="32">
          <cell r="AH32" t="str">
            <v>SHT0011031</v>
          </cell>
          <cell r="AJ32">
            <v>150</v>
          </cell>
        </row>
        <row r="33">
          <cell r="AH33" t="str">
            <v>SHT0010260</v>
          </cell>
          <cell r="AJ33">
            <v>150</v>
          </cell>
        </row>
        <row r="34">
          <cell r="AH34" t="str">
            <v>SHT0010840</v>
          </cell>
          <cell r="AJ34">
            <v>150</v>
          </cell>
        </row>
        <row r="35">
          <cell r="AH35" t="str">
            <v>SHT0011421</v>
          </cell>
          <cell r="AJ35">
            <v>150</v>
          </cell>
        </row>
        <row r="36">
          <cell r="AH36" t="str">
            <v>SHT0010395</v>
          </cell>
          <cell r="AJ36">
            <v>100</v>
          </cell>
        </row>
        <row r="37">
          <cell r="AH37" t="str">
            <v>SHT0010696</v>
          </cell>
          <cell r="AJ37">
            <v>150</v>
          </cell>
        </row>
        <row r="38">
          <cell r="AH38" t="str">
            <v>SHT0010698</v>
          </cell>
          <cell r="AJ38">
            <v>150</v>
          </cell>
        </row>
        <row r="39">
          <cell r="AH39" t="str">
            <v>SHT0010846</v>
          </cell>
          <cell r="AJ39">
            <v>100</v>
          </cell>
        </row>
        <row r="40">
          <cell r="AH40" t="str">
            <v>SHT0010848</v>
          </cell>
          <cell r="AJ40">
            <v>100</v>
          </cell>
        </row>
        <row r="41">
          <cell r="AH41" t="str">
            <v>SHT0010851</v>
          </cell>
          <cell r="AJ41">
            <v>100</v>
          </cell>
        </row>
        <row r="42">
          <cell r="AH42" t="str">
            <v>SHT0010372</v>
          </cell>
          <cell r="AJ42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21B1-2F47-49C4-9F95-CBB83E07C31C}">
  <dimension ref="A1:I11"/>
  <sheetViews>
    <sheetView tabSelected="1" zoomScale="140" zoomScaleNormal="140" workbookViewId="0">
      <selection activeCell="A11" sqref="A11:XFD11"/>
    </sheetView>
  </sheetViews>
  <sheetFormatPr defaultRowHeight="13.8" x14ac:dyDescent="0.25"/>
  <cols>
    <col min="1" max="1" width="15.109375" customWidth="1"/>
    <col min="2" max="2" width="17.6640625" customWidth="1"/>
    <col min="3" max="3" width="27.33203125" customWidth="1"/>
    <col min="4" max="4" width="12.33203125" hidden="1" customWidth="1"/>
    <col min="5" max="5" width="18.21875" hidden="1" customWidth="1"/>
    <col min="6" max="6" width="17.88671875" customWidth="1"/>
    <col min="7" max="7" width="38.33203125" customWidth="1"/>
  </cols>
  <sheetData>
    <row r="1" spans="1:9" ht="27.6" customHeight="1" x14ac:dyDescent="0.25">
      <c r="A1" s="143" t="s">
        <v>154</v>
      </c>
      <c r="B1" s="143"/>
      <c r="C1" s="143"/>
      <c r="D1" s="143"/>
      <c r="E1" s="143"/>
      <c r="F1" s="143"/>
      <c r="G1" s="143"/>
    </row>
    <row r="2" spans="1:9" ht="18.600000000000001" customHeight="1" x14ac:dyDescent="0.25">
      <c r="A2" s="140" t="s">
        <v>117</v>
      </c>
      <c r="B2" s="139">
        <v>44470</v>
      </c>
      <c r="C2" s="139"/>
      <c r="D2" s="139"/>
      <c r="E2" s="139"/>
      <c r="F2" s="139"/>
      <c r="G2" s="139"/>
    </row>
    <row r="3" spans="1:9" ht="42.6" customHeight="1" x14ac:dyDescent="0.25">
      <c r="A3" s="141"/>
      <c r="B3" s="134" t="s">
        <v>142</v>
      </c>
      <c r="C3" s="135" t="s">
        <v>143</v>
      </c>
      <c r="D3" s="134" t="s">
        <v>150</v>
      </c>
      <c r="E3" s="135" t="s">
        <v>155</v>
      </c>
      <c r="F3" s="134" t="s">
        <v>301</v>
      </c>
      <c r="G3" s="135" t="s">
        <v>302</v>
      </c>
    </row>
    <row r="4" spans="1:9" ht="42.6" customHeight="1" x14ac:dyDescent="0.25">
      <c r="A4" s="142"/>
      <c r="B4" s="136">
        <f>'打样费用-20年打件数量'!X43+'打样费用-21年打件数量'!X43</f>
        <v>13841.780196992</v>
      </c>
      <c r="C4" s="137">
        <v>1271792.3999999999</v>
      </c>
      <c r="D4" s="134" t="s">
        <v>286</v>
      </c>
      <c r="E4" s="136" t="s">
        <v>286</v>
      </c>
      <c r="F4" s="136">
        <v>10010</v>
      </c>
      <c r="G4" s="138">
        <f>SUM(B4:F4)</f>
        <v>1295644.1801969919</v>
      </c>
      <c r="I4" s="36">
        <v>13841.780196992</v>
      </c>
    </row>
    <row r="5" spans="1:9" ht="32.4" hidden="1" customHeight="1" x14ac:dyDescent="0.25">
      <c r="A5" s="145" t="s">
        <v>224</v>
      </c>
      <c r="B5" s="146" t="s">
        <v>226</v>
      </c>
      <c r="C5" s="146"/>
      <c r="D5" s="146"/>
      <c r="E5" s="146"/>
      <c r="F5" s="146"/>
      <c r="G5" s="146"/>
    </row>
    <row r="6" spans="1:9" ht="60" hidden="1" customHeight="1" x14ac:dyDescent="0.25">
      <c r="A6" s="145"/>
      <c r="B6" s="147" t="s">
        <v>225</v>
      </c>
      <c r="C6" s="147"/>
      <c r="D6" s="147"/>
      <c r="E6" s="147"/>
      <c r="F6" s="147"/>
      <c r="G6" s="147"/>
    </row>
    <row r="7" spans="1:9" ht="60.6" hidden="1" customHeight="1" x14ac:dyDescent="0.25">
      <c r="A7" s="145"/>
      <c r="B7" s="147" t="s">
        <v>240</v>
      </c>
      <c r="C7" s="147"/>
      <c r="D7" s="147"/>
      <c r="E7" s="147"/>
      <c r="F7" s="147"/>
      <c r="G7" s="147"/>
    </row>
    <row r="8" spans="1:9" ht="39.6" hidden="1" customHeight="1" x14ac:dyDescent="0.25">
      <c r="A8" s="145"/>
      <c r="B8" s="148" t="s">
        <v>228</v>
      </c>
      <c r="C8" s="148"/>
      <c r="D8" s="148"/>
      <c r="E8" s="148"/>
      <c r="F8" s="148"/>
      <c r="G8" s="148"/>
    </row>
    <row r="9" spans="1:9" ht="42" hidden="1" customHeight="1" x14ac:dyDescent="0.25">
      <c r="A9" s="145"/>
      <c r="B9" s="148" t="s">
        <v>227</v>
      </c>
      <c r="C9" s="148"/>
      <c r="D9" s="148"/>
      <c r="E9" s="148"/>
      <c r="F9" s="148"/>
      <c r="G9" s="148"/>
    </row>
    <row r="10" spans="1:9" x14ac:dyDescent="0.25">
      <c r="A10" s="144"/>
      <c r="B10" s="144"/>
      <c r="C10" s="144"/>
      <c r="D10" s="144"/>
      <c r="E10" s="144"/>
      <c r="F10" s="144"/>
      <c r="G10" s="144"/>
    </row>
    <row r="11" spans="1:9" ht="55.8" hidden="1" customHeight="1" x14ac:dyDescent="0.25">
      <c r="A11" s="133" t="s">
        <v>300</v>
      </c>
    </row>
  </sheetData>
  <mergeCells count="10">
    <mergeCell ref="B2:G2"/>
    <mergeCell ref="A2:A4"/>
    <mergeCell ref="A1:G1"/>
    <mergeCell ref="A10:G10"/>
    <mergeCell ref="A5:A9"/>
    <mergeCell ref="B5:G5"/>
    <mergeCell ref="B6:G6"/>
    <mergeCell ref="B7:G7"/>
    <mergeCell ref="B9:G9"/>
    <mergeCell ref="B8:G8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D2B34-9C0E-4A4A-BA26-6DF6E0BFE152}">
  <dimension ref="A1:L168"/>
  <sheetViews>
    <sheetView view="pageBreakPreview" zoomScale="80" zoomScaleNormal="85" zoomScaleSheetLayoutView="80" workbookViewId="0">
      <pane xSplit="4" ySplit="2" topLeftCell="E3" activePane="bottomRight" state="frozen"/>
      <selection pane="topRight" activeCell="E1" sqref="E1"/>
      <selection pane="bottomLeft" activeCell="A5" sqref="A5"/>
      <selection pane="bottomRight" activeCell="H23" sqref="H23"/>
    </sheetView>
  </sheetViews>
  <sheetFormatPr defaultColWidth="9" defaultRowHeight="13.8" x14ac:dyDescent="0.25"/>
  <cols>
    <col min="1" max="1" width="8.77734375" style="2" customWidth="1"/>
    <col min="2" max="2" width="18.6640625" style="2" customWidth="1"/>
    <col min="3" max="3" width="34.88671875" style="35" customWidth="1"/>
    <col min="4" max="4" width="19.44140625" style="2" customWidth="1"/>
    <col min="5" max="5" width="11" style="2" customWidth="1"/>
    <col min="6" max="6" width="11" style="47" customWidth="1"/>
    <col min="7" max="7" width="12.33203125" style="8" customWidth="1"/>
    <col min="8" max="8" width="16" style="2" customWidth="1"/>
    <col min="9" max="9" width="7.21875" style="2" customWidth="1"/>
    <col min="10" max="10" width="11.88671875" style="2" customWidth="1"/>
    <col min="11" max="11" width="46.88671875" style="35" customWidth="1"/>
    <col min="12" max="16384" width="9" style="2"/>
  </cols>
  <sheetData>
    <row r="1" spans="1:11" ht="29.1" customHeight="1" x14ac:dyDescent="0.25">
      <c r="A1" s="164" t="s">
        <v>244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32.4" customHeight="1" x14ac:dyDescent="0.25">
      <c r="A2" s="81" t="s">
        <v>78</v>
      </c>
      <c r="B2" s="81" t="s">
        <v>2</v>
      </c>
      <c r="C2" s="81" t="s">
        <v>1</v>
      </c>
      <c r="D2" s="82" t="s">
        <v>156</v>
      </c>
      <c r="E2" s="43" t="s">
        <v>157</v>
      </c>
      <c r="F2" s="44" t="s">
        <v>162</v>
      </c>
      <c r="G2" s="14" t="s">
        <v>161</v>
      </c>
      <c r="H2" s="3" t="s">
        <v>183</v>
      </c>
      <c r="I2" s="66" t="s">
        <v>184</v>
      </c>
      <c r="J2" s="66" t="s">
        <v>185</v>
      </c>
      <c r="K2" s="3" t="s">
        <v>151</v>
      </c>
    </row>
    <row r="3" spans="1:11" s="57" customFormat="1" ht="21" customHeight="1" x14ac:dyDescent="0.25">
      <c r="A3" s="194" t="s">
        <v>79</v>
      </c>
      <c r="B3" s="194" t="s">
        <v>122</v>
      </c>
      <c r="C3" s="194" t="s">
        <v>3</v>
      </c>
      <c r="D3" s="194" t="s">
        <v>229</v>
      </c>
      <c r="E3" s="53" t="s">
        <v>164</v>
      </c>
      <c r="F3" s="54">
        <v>250</v>
      </c>
      <c r="G3" s="53">
        <v>2.83</v>
      </c>
      <c r="H3" s="53">
        <f>G3*1.13</f>
        <v>3.1978999999999997</v>
      </c>
      <c r="I3" s="55"/>
      <c r="J3" s="53">
        <f t="shared" ref="J3:J10" si="0">I3*1.13</f>
        <v>0</v>
      </c>
      <c r="K3" s="56" t="s">
        <v>196</v>
      </c>
    </row>
    <row r="4" spans="1:11" s="57" customFormat="1" ht="21" customHeight="1" x14ac:dyDescent="0.25">
      <c r="A4" s="195"/>
      <c r="B4" s="195"/>
      <c r="C4" s="195"/>
      <c r="D4" s="195"/>
      <c r="E4" s="53" t="s">
        <v>168</v>
      </c>
      <c r="F4" s="54">
        <v>250</v>
      </c>
      <c r="G4" s="53">
        <v>2.66</v>
      </c>
      <c r="H4" s="53">
        <f t="shared" ref="H4:H69" si="1">G4*1.13</f>
        <v>3.0057999999999998</v>
      </c>
      <c r="I4" s="55"/>
      <c r="J4" s="53">
        <f t="shared" si="0"/>
        <v>0</v>
      </c>
      <c r="K4" s="56" t="s">
        <v>196</v>
      </c>
    </row>
    <row r="5" spans="1:11" s="57" customFormat="1" ht="21" customHeight="1" x14ac:dyDescent="0.25">
      <c r="A5" s="195"/>
      <c r="B5" s="195"/>
      <c r="C5" s="195"/>
      <c r="D5" s="195"/>
      <c r="E5" s="53" t="s">
        <v>166</v>
      </c>
      <c r="F5" s="54">
        <v>250</v>
      </c>
      <c r="G5" s="53">
        <v>2.66</v>
      </c>
      <c r="H5" s="53">
        <f t="shared" si="1"/>
        <v>3.0057999999999998</v>
      </c>
      <c r="I5" s="55"/>
      <c r="J5" s="53">
        <f t="shared" si="0"/>
        <v>0</v>
      </c>
      <c r="K5" s="56" t="s">
        <v>196</v>
      </c>
    </row>
    <row r="6" spans="1:11" s="57" customFormat="1" ht="21" customHeight="1" x14ac:dyDescent="0.25">
      <c r="A6" s="196"/>
      <c r="B6" s="196"/>
      <c r="C6" s="196"/>
      <c r="D6" s="196"/>
      <c r="E6" s="53" t="s">
        <v>172</v>
      </c>
      <c r="F6" s="54">
        <v>250</v>
      </c>
      <c r="G6" s="53">
        <v>2.79</v>
      </c>
      <c r="H6" s="53">
        <f t="shared" si="1"/>
        <v>3.1526999999999998</v>
      </c>
      <c r="I6" s="55"/>
      <c r="J6" s="53">
        <f t="shared" si="0"/>
        <v>0</v>
      </c>
      <c r="K6" s="56" t="s">
        <v>196</v>
      </c>
    </row>
    <row r="7" spans="1:11" s="57" customFormat="1" ht="21" customHeight="1" x14ac:dyDescent="0.25">
      <c r="A7" s="194" t="s">
        <v>80</v>
      </c>
      <c r="B7" s="194" t="s">
        <v>5</v>
      </c>
      <c r="C7" s="194" t="s">
        <v>4</v>
      </c>
      <c r="D7" s="194" t="s">
        <v>229</v>
      </c>
      <c r="E7" s="53" t="s">
        <v>164</v>
      </c>
      <c r="F7" s="54">
        <v>250</v>
      </c>
      <c r="G7" s="53">
        <v>2.83</v>
      </c>
      <c r="H7" s="53">
        <f t="shared" si="1"/>
        <v>3.1978999999999997</v>
      </c>
      <c r="I7" s="55"/>
      <c r="J7" s="53">
        <f t="shared" si="0"/>
        <v>0</v>
      </c>
      <c r="K7" s="56" t="s">
        <v>196</v>
      </c>
    </row>
    <row r="8" spans="1:11" s="57" customFormat="1" ht="21" customHeight="1" x14ac:dyDescent="0.25">
      <c r="A8" s="195"/>
      <c r="B8" s="195"/>
      <c r="C8" s="195"/>
      <c r="D8" s="195"/>
      <c r="E8" s="53" t="s">
        <v>168</v>
      </c>
      <c r="F8" s="54">
        <v>250</v>
      </c>
      <c r="G8" s="53">
        <v>2.66</v>
      </c>
      <c r="H8" s="53">
        <f t="shared" si="1"/>
        <v>3.0057999999999998</v>
      </c>
      <c r="I8" s="55"/>
      <c r="J8" s="53">
        <f t="shared" si="0"/>
        <v>0</v>
      </c>
      <c r="K8" s="56" t="s">
        <v>196</v>
      </c>
    </row>
    <row r="9" spans="1:11" s="57" customFormat="1" ht="21" customHeight="1" x14ac:dyDescent="0.25">
      <c r="A9" s="195"/>
      <c r="B9" s="195"/>
      <c r="C9" s="195"/>
      <c r="D9" s="195"/>
      <c r="E9" s="53" t="s">
        <v>166</v>
      </c>
      <c r="F9" s="54">
        <v>250</v>
      </c>
      <c r="G9" s="53">
        <v>2.66</v>
      </c>
      <c r="H9" s="53">
        <f t="shared" si="1"/>
        <v>3.0057999999999998</v>
      </c>
      <c r="I9" s="55"/>
      <c r="J9" s="53">
        <f t="shared" si="0"/>
        <v>0</v>
      </c>
      <c r="K9" s="56" t="s">
        <v>196</v>
      </c>
    </row>
    <row r="10" spans="1:11" s="57" customFormat="1" ht="21" customHeight="1" x14ac:dyDescent="0.25">
      <c r="A10" s="196"/>
      <c r="B10" s="196"/>
      <c r="C10" s="196"/>
      <c r="D10" s="196"/>
      <c r="E10" s="53" t="s">
        <v>172</v>
      </c>
      <c r="F10" s="54">
        <v>250</v>
      </c>
      <c r="G10" s="53">
        <v>2.79</v>
      </c>
      <c r="H10" s="53">
        <f t="shared" si="1"/>
        <v>3.1526999999999998</v>
      </c>
      <c r="I10" s="55"/>
      <c r="J10" s="53">
        <f t="shared" si="0"/>
        <v>0</v>
      </c>
      <c r="K10" s="56" t="s">
        <v>196</v>
      </c>
    </row>
    <row r="11" spans="1:11" ht="21" customHeight="1" x14ac:dyDescent="0.25">
      <c r="A11" s="184" t="s">
        <v>81</v>
      </c>
      <c r="B11" s="184" t="s">
        <v>7</v>
      </c>
      <c r="C11" s="184" t="s">
        <v>6</v>
      </c>
      <c r="D11" s="184" t="s">
        <v>229</v>
      </c>
      <c r="E11" s="13" t="s">
        <v>163</v>
      </c>
      <c r="F11" s="45">
        <v>80</v>
      </c>
      <c r="G11" s="13">
        <v>1.93</v>
      </c>
      <c r="H11" s="13">
        <f t="shared" si="1"/>
        <v>2.1808999999999998</v>
      </c>
      <c r="I11" s="5"/>
      <c r="J11" s="13">
        <v>0.5</v>
      </c>
      <c r="K11" s="33" t="s">
        <v>197</v>
      </c>
    </row>
    <row r="12" spans="1:11" ht="21" customHeight="1" x14ac:dyDescent="0.25">
      <c r="A12" s="185"/>
      <c r="B12" s="185"/>
      <c r="C12" s="185"/>
      <c r="D12" s="185"/>
      <c r="E12" s="13" t="s">
        <v>164</v>
      </c>
      <c r="F12" s="45">
        <v>80</v>
      </c>
      <c r="G12" s="13">
        <v>1.98</v>
      </c>
      <c r="H12" s="13">
        <f t="shared" si="1"/>
        <v>2.2373999999999996</v>
      </c>
      <c r="I12" s="5"/>
      <c r="J12" s="13">
        <v>0.3</v>
      </c>
      <c r="K12" s="33" t="s">
        <v>198</v>
      </c>
    </row>
    <row r="13" spans="1:11" ht="21" customHeight="1" x14ac:dyDescent="0.25">
      <c r="A13" s="185"/>
      <c r="B13" s="185"/>
      <c r="C13" s="185"/>
      <c r="D13" s="185"/>
      <c r="E13" s="13" t="s">
        <v>164</v>
      </c>
      <c r="F13" s="45">
        <v>80</v>
      </c>
      <c r="G13" s="13">
        <v>1.85</v>
      </c>
      <c r="H13" s="13">
        <f t="shared" si="1"/>
        <v>2.0905</v>
      </c>
      <c r="I13" s="5"/>
      <c r="J13" s="13">
        <v>0.3</v>
      </c>
      <c r="K13" s="33" t="s">
        <v>198</v>
      </c>
    </row>
    <row r="14" spans="1:11" ht="21" customHeight="1" x14ac:dyDescent="0.25">
      <c r="A14" s="186"/>
      <c r="B14" s="186"/>
      <c r="C14" s="186"/>
      <c r="D14" s="186"/>
      <c r="E14" s="13" t="s">
        <v>173</v>
      </c>
      <c r="F14" s="45">
        <v>80</v>
      </c>
      <c r="G14" s="13">
        <v>1.45</v>
      </c>
      <c r="H14" s="13">
        <f t="shared" si="1"/>
        <v>1.6384999999999998</v>
      </c>
      <c r="I14" s="5"/>
      <c r="J14" s="13">
        <f t="shared" ref="J14:J20" si="2">I14*1.13</f>
        <v>0</v>
      </c>
      <c r="K14" s="76" t="s">
        <v>199</v>
      </c>
    </row>
    <row r="15" spans="1:11" ht="21" customHeight="1" x14ac:dyDescent="0.25">
      <c r="A15" s="184" t="s">
        <v>82</v>
      </c>
      <c r="B15" s="184" t="s">
        <v>9</v>
      </c>
      <c r="C15" s="184" t="s">
        <v>8</v>
      </c>
      <c r="D15" s="184" t="s">
        <v>229</v>
      </c>
      <c r="E15" s="13" t="s">
        <v>163</v>
      </c>
      <c r="F15" s="45">
        <v>80</v>
      </c>
      <c r="G15" s="13">
        <v>0</v>
      </c>
      <c r="H15" s="13">
        <f t="shared" si="1"/>
        <v>0</v>
      </c>
      <c r="I15" s="5"/>
      <c r="J15" s="13">
        <f t="shared" si="2"/>
        <v>0</v>
      </c>
      <c r="K15" s="33"/>
    </row>
    <row r="16" spans="1:11" ht="21" customHeight="1" x14ac:dyDescent="0.25">
      <c r="A16" s="185"/>
      <c r="B16" s="185"/>
      <c r="C16" s="185"/>
      <c r="D16" s="185"/>
      <c r="E16" s="13" t="s">
        <v>164</v>
      </c>
      <c r="F16" s="45">
        <v>80</v>
      </c>
      <c r="G16" s="13">
        <v>0</v>
      </c>
      <c r="H16" s="13">
        <f t="shared" si="1"/>
        <v>0</v>
      </c>
      <c r="I16" s="5"/>
      <c r="J16" s="13">
        <f t="shared" si="2"/>
        <v>0</v>
      </c>
      <c r="K16" s="33"/>
    </row>
    <row r="17" spans="1:12" ht="21" customHeight="1" x14ac:dyDescent="0.25">
      <c r="A17" s="185"/>
      <c r="B17" s="185"/>
      <c r="C17" s="185"/>
      <c r="D17" s="185"/>
      <c r="E17" s="13" t="s">
        <v>164</v>
      </c>
      <c r="F17" s="45">
        <v>80</v>
      </c>
      <c r="G17" s="13">
        <v>0</v>
      </c>
      <c r="H17" s="13">
        <f t="shared" si="1"/>
        <v>0</v>
      </c>
      <c r="I17" s="5"/>
      <c r="J17" s="13">
        <f t="shared" si="2"/>
        <v>0</v>
      </c>
      <c r="K17" s="33"/>
    </row>
    <row r="18" spans="1:12" ht="21" customHeight="1" x14ac:dyDescent="0.25">
      <c r="A18" s="186"/>
      <c r="B18" s="186"/>
      <c r="C18" s="186"/>
      <c r="D18" s="186"/>
      <c r="E18" s="13" t="s">
        <v>173</v>
      </c>
      <c r="F18" s="45">
        <v>80</v>
      </c>
      <c r="G18" s="13">
        <v>0</v>
      </c>
      <c r="H18" s="13">
        <f t="shared" si="1"/>
        <v>0</v>
      </c>
      <c r="I18" s="5"/>
      <c r="J18" s="13">
        <f t="shared" si="2"/>
        <v>0</v>
      </c>
      <c r="K18" s="76" t="s">
        <v>199</v>
      </c>
    </row>
    <row r="19" spans="1:12" ht="21" customHeight="1" x14ac:dyDescent="0.25">
      <c r="A19" s="184" t="s">
        <v>83</v>
      </c>
      <c r="B19" s="184" t="s">
        <v>11</v>
      </c>
      <c r="C19" s="184" t="s">
        <v>10</v>
      </c>
      <c r="D19" s="191" t="s">
        <v>230</v>
      </c>
      <c r="E19" s="13" t="s">
        <v>164</v>
      </c>
      <c r="F19" s="45">
        <v>250</v>
      </c>
      <c r="G19" s="13">
        <v>2.04</v>
      </c>
      <c r="H19" s="13">
        <f t="shared" si="1"/>
        <v>2.3051999999999997</v>
      </c>
      <c r="I19" s="5"/>
      <c r="J19" s="13">
        <f t="shared" si="2"/>
        <v>0</v>
      </c>
      <c r="K19" s="33"/>
    </row>
    <row r="20" spans="1:12" ht="21" customHeight="1" x14ac:dyDescent="0.25">
      <c r="A20" s="185"/>
      <c r="B20" s="185"/>
      <c r="C20" s="185"/>
      <c r="D20" s="192"/>
      <c r="E20" s="13" t="s">
        <v>174</v>
      </c>
      <c r="F20" s="45">
        <v>250</v>
      </c>
      <c r="G20" s="13">
        <v>2.04</v>
      </c>
      <c r="H20" s="13">
        <f t="shared" si="1"/>
        <v>2.3051999999999997</v>
      </c>
      <c r="I20" s="5"/>
      <c r="J20" s="13">
        <f t="shared" si="2"/>
        <v>0</v>
      </c>
      <c r="K20" s="33"/>
    </row>
    <row r="21" spans="1:12" ht="21" customHeight="1" x14ac:dyDescent="0.25">
      <c r="A21" s="185"/>
      <c r="B21" s="185"/>
      <c r="C21" s="185"/>
      <c r="D21" s="192"/>
      <c r="E21" s="13" t="s">
        <v>167</v>
      </c>
      <c r="F21" s="45">
        <v>250</v>
      </c>
      <c r="G21" s="13">
        <v>1.93</v>
      </c>
      <c r="H21" s="13">
        <f t="shared" si="1"/>
        <v>2.1808999999999998</v>
      </c>
      <c r="I21" s="5"/>
      <c r="J21" s="13">
        <v>0.6</v>
      </c>
      <c r="K21" s="33" t="s">
        <v>200</v>
      </c>
    </row>
    <row r="22" spans="1:12" ht="21" customHeight="1" x14ac:dyDescent="0.25">
      <c r="A22" s="185"/>
      <c r="B22" s="185"/>
      <c r="C22" s="185"/>
      <c r="D22" s="192"/>
      <c r="E22" s="13" t="s">
        <v>165</v>
      </c>
      <c r="F22" s="45">
        <v>200</v>
      </c>
      <c r="G22" s="13">
        <v>1.93</v>
      </c>
      <c r="H22" s="13">
        <f t="shared" si="1"/>
        <v>2.1808999999999998</v>
      </c>
      <c r="I22" s="5"/>
      <c r="J22" s="13">
        <v>1</v>
      </c>
      <c r="K22" s="33" t="s">
        <v>201</v>
      </c>
    </row>
    <row r="23" spans="1:12" ht="21" customHeight="1" x14ac:dyDescent="0.25">
      <c r="A23" s="185"/>
      <c r="B23" s="185"/>
      <c r="C23" s="185"/>
      <c r="D23" s="192"/>
      <c r="E23" s="13" t="s">
        <v>175</v>
      </c>
      <c r="F23" s="45">
        <v>200</v>
      </c>
      <c r="G23" s="13">
        <v>1.93</v>
      </c>
      <c r="H23" s="13">
        <f t="shared" si="1"/>
        <v>2.1808999999999998</v>
      </c>
      <c r="I23" s="5"/>
      <c r="J23" s="13">
        <f>I23*1.13</f>
        <v>0</v>
      </c>
      <c r="K23" s="33"/>
    </row>
    <row r="24" spans="1:12" ht="21" customHeight="1" x14ac:dyDescent="0.25">
      <c r="A24" s="186"/>
      <c r="B24" s="186"/>
      <c r="C24" s="186"/>
      <c r="D24" s="193"/>
      <c r="E24" s="13" t="s">
        <v>176</v>
      </c>
      <c r="F24" s="45">
        <v>200</v>
      </c>
      <c r="G24" s="13">
        <v>2.5</v>
      </c>
      <c r="H24" s="13">
        <f t="shared" si="1"/>
        <v>2.8249999999999997</v>
      </c>
      <c r="I24" s="5"/>
      <c r="J24" s="13">
        <f>I24*1.13</f>
        <v>0</v>
      </c>
      <c r="K24" s="33"/>
    </row>
    <row r="25" spans="1:12" ht="21" customHeight="1" x14ac:dyDescent="0.25">
      <c r="A25" s="184" t="s">
        <v>84</v>
      </c>
      <c r="B25" s="184" t="s">
        <v>13</v>
      </c>
      <c r="C25" s="184" t="s">
        <v>12</v>
      </c>
      <c r="D25" s="191" t="s">
        <v>230</v>
      </c>
      <c r="E25" s="13" t="s">
        <v>164</v>
      </c>
      <c r="F25" s="45">
        <v>250</v>
      </c>
      <c r="G25" s="13">
        <v>2.14</v>
      </c>
      <c r="H25" s="13">
        <f t="shared" si="1"/>
        <v>2.4182000000000001</v>
      </c>
      <c r="I25" s="5"/>
      <c r="J25" s="13">
        <f>I25*1.13</f>
        <v>0</v>
      </c>
      <c r="K25" s="33"/>
    </row>
    <row r="26" spans="1:12" ht="21" customHeight="1" x14ac:dyDescent="0.25">
      <c r="A26" s="185"/>
      <c r="B26" s="185"/>
      <c r="C26" s="185"/>
      <c r="D26" s="192"/>
      <c r="E26" s="13" t="s">
        <v>174</v>
      </c>
      <c r="F26" s="45">
        <v>250</v>
      </c>
      <c r="G26" s="13">
        <v>2.14</v>
      </c>
      <c r="H26" s="13">
        <f t="shared" si="1"/>
        <v>2.4182000000000001</v>
      </c>
      <c r="I26" s="5"/>
      <c r="J26" s="13">
        <v>1</v>
      </c>
      <c r="K26" s="33" t="s">
        <v>202</v>
      </c>
    </row>
    <row r="27" spans="1:12" ht="21" customHeight="1" x14ac:dyDescent="0.25">
      <c r="A27" s="185"/>
      <c r="B27" s="185"/>
      <c r="C27" s="185"/>
      <c r="D27" s="192"/>
      <c r="E27" s="13" t="s">
        <v>167</v>
      </c>
      <c r="F27" s="45">
        <v>250</v>
      </c>
      <c r="G27" s="13">
        <v>2.0299999999999998</v>
      </c>
      <c r="H27" s="13">
        <f t="shared" si="1"/>
        <v>2.2938999999999994</v>
      </c>
      <c r="I27" s="5"/>
      <c r="J27" s="13">
        <f>I27*1.13</f>
        <v>0</v>
      </c>
      <c r="K27" s="33"/>
    </row>
    <row r="28" spans="1:12" ht="21" customHeight="1" x14ac:dyDescent="0.25">
      <c r="A28" s="185"/>
      <c r="B28" s="185"/>
      <c r="C28" s="185"/>
      <c r="D28" s="192"/>
      <c r="E28" s="13" t="s">
        <v>177</v>
      </c>
      <c r="F28" s="45">
        <v>200</v>
      </c>
      <c r="G28" s="13">
        <v>1.85</v>
      </c>
      <c r="H28" s="13">
        <f t="shared" si="1"/>
        <v>2.0905</v>
      </c>
      <c r="I28" s="5"/>
      <c r="J28" s="13">
        <f>I28*1.13</f>
        <v>0</v>
      </c>
      <c r="K28" s="33"/>
    </row>
    <row r="29" spans="1:12" ht="21" customHeight="1" x14ac:dyDescent="0.25">
      <c r="A29" s="185"/>
      <c r="B29" s="185"/>
      <c r="C29" s="185"/>
      <c r="D29" s="192"/>
      <c r="E29" s="13" t="s">
        <v>165</v>
      </c>
      <c r="F29" s="45">
        <v>200</v>
      </c>
      <c r="G29" s="13">
        <v>1.85</v>
      </c>
      <c r="H29" s="13">
        <f t="shared" si="1"/>
        <v>2.0905</v>
      </c>
      <c r="I29" s="5"/>
      <c r="J29" s="13">
        <v>0.6</v>
      </c>
      <c r="K29" s="33" t="s">
        <v>203</v>
      </c>
    </row>
    <row r="30" spans="1:12" ht="21" customHeight="1" x14ac:dyDescent="0.25">
      <c r="A30" s="186"/>
      <c r="B30" s="186"/>
      <c r="C30" s="186"/>
      <c r="D30" s="193"/>
      <c r="E30" s="13" t="s">
        <v>167</v>
      </c>
      <c r="F30" s="45">
        <v>200</v>
      </c>
      <c r="G30" s="13">
        <v>1.85</v>
      </c>
      <c r="H30" s="13">
        <f t="shared" si="1"/>
        <v>2.0905</v>
      </c>
      <c r="I30" s="5"/>
      <c r="J30" s="13">
        <f>I30*1.13</f>
        <v>0</v>
      </c>
      <c r="K30" s="33"/>
    </row>
    <row r="31" spans="1:12" ht="21" customHeight="1" x14ac:dyDescent="0.25">
      <c r="A31" s="184" t="s">
        <v>85</v>
      </c>
      <c r="B31" s="184" t="s">
        <v>238</v>
      </c>
      <c r="C31" s="184" t="s">
        <v>14</v>
      </c>
      <c r="D31" s="191" t="s">
        <v>230</v>
      </c>
      <c r="E31" s="13" t="s">
        <v>163</v>
      </c>
      <c r="F31" s="45">
        <v>250</v>
      </c>
      <c r="G31" s="13">
        <v>3.08</v>
      </c>
      <c r="H31" s="13">
        <f t="shared" si="1"/>
        <v>3.4803999999999999</v>
      </c>
      <c r="I31" s="5"/>
      <c r="J31" s="13">
        <f>I31*1.13</f>
        <v>0</v>
      </c>
      <c r="K31" s="33"/>
    </row>
    <row r="32" spans="1:12" ht="21" customHeight="1" x14ac:dyDescent="0.25">
      <c r="A32" s="185"/>
      <c r="B32" s="185"/>
      <c r="C32" s="185"/>
      <c r="D32" s="192"/>
      <c r="E32" s="52" t="s">
        <v>159</v>
      </c>
      <c r="F32" s="50">
        <v>250</v>
      </c>
      <c r="G32" s="52"/>
      <c r="H32" s="52"/>
      <c r="I32" s="73"/>
      <c r="J32" s="52">
        <v>0.5</v>
      </c>
      <c r="K32" s="49" t="s">
        <v>204</v>
      </c>
      <c r="L32" s="2" t="s">
        <v>239</v>
      </c>
    </row>
    <row r="33" spans="1:11" ht="21" customHeight="1" x14ac:dyDescent="0.25">
      <c r="A33" s="185"/>
      <c r="B33" s="185"/>
      <c r="C33" s="185"/>
      <c r="D33" s="192"/>
      <c r="E33" s="13" t="s">
        <v>178</v>
      </c>
      <c r="F33" s="45">
        <v>250</v>
      </c>
      <c r="G33" s="13">
        <v>3.66</v>
      </c>
      <c r="H33" s="13">
        <f t="shared" si="1"/>
        <v>4.1357999999999997</v>
      </c>
      <c r="I33" s="5"/>
      <c r="J33" s="13">
        <f t="shared" ref="J33:J96" si="3">I33*1.13</f>
        <v>0</v>
      </c>
      <c r="K33" s="33"/>
    </row>
    <row r="34" spans="1:11" ht="21" customHeight="1" x14ac:dyDescent="0.25">
      <c r="A34" s="185"/>
      <c r="B34" s="185"/>
      <c r="C34" s="185"/>
      <c r="D34" s="192"/>
      <c r="E34" s="13" t="s">
        <v>168</v>
      </c>
      <c r="F34" s="45">
        <v>250</v>
      </c>
      <c r="G34" s="13">
        <v>3.37</v>
      </c>
      <c r="H34" s="13">
        <f t="shared" si="1"/>
        <v>3.8080999999999996</v>
      </c>
      <c r="I34" s="5"/>
      <c r="J34" s="13">
        <f t="shared" si="3"/>
        <v>0</v>
      </c>
      <c r="K34" s="33"/>
    </row>
    <row r="35" spans="1:11" ht="21" customHeight="1" x14ac:dyDescent="0.25">
      <c r="A35" s="185"/>
      <c r="B35" s="185"/>
      <c r="C35" s="185"/>
      <c r="D35" s="192"/>
      <c r="E35" s="13" t="s">
        <v>167</v>
      </c>
      <c r="F35" s="45">
        <v>250</v>
      </c>
      <c r="G35" s="13">
        <v>3.18</v>
      </c>
      <c r="H35" s="13">
        <f t="shared" si="1"/>
        <v>3.5933999999999999</v>
      </c>
      <c r="I35" s="5"/>
      <c r="J35" s="13">
        <f t="shared" si="3"/>
        <v>0</v>
      </c>
      <c r="K35" s="33"/>
    </row>
    <row r="36" spans="1:11" ht="21" customHeight="1" x14ac:dyDescent="0.25">
      <c r="A36" s="185"/>
      <c r="B36" s="185"/>
      <c r="C36" s="185"/>
      <c r="D36" s="192"/>
      <c r="E36" s="13" t="s">
        <v>179</v>
      </c>
      <c r="F36" s="45">
        <v>250</v>
      </c>
      <c r="G36" s="13">
        <v>3.18</v>
      </c>
      <c r="H36" s="13">
        <f t="shared" si="1"/>
        <v>3.5933999999999999</v>
      </c>
      <c r="I36" s="5"/>
      <c r="J36" s="13">
        <v>1</v>
      </c>
      <c r="K36" s="33" t="s">
        <v>205</v>
      </c>
    </row>
    <row r="37" spans="1:11" ht="21" customHeight="1" x14ac:dyDescent="0.25">
      <c r="A37" s="185"/>
      <c r="B37" s="185"/>
      <c r="C37" s="185"/>
      <c r="D37" s="192"/>
      <c r="E37" s="13" t="s">
        <v>165</v>
      </c>
      <c r="F37" s="45">
        <v>200</v>
      </c>
      <c r="G37" s="13">
        <v>2.89</v>
      </c>
      <c r="H37" s="13">
        <f t="shared" si="1"/>
        <v>3.2656999999999998</v>
      </c>
      <c r="I37" s="5"/>
      <c r="J37" s="13">
        <f t="shared" si="3"/>
        <v>0</v>
      </c>
      <c r="K37" s="33"/>
    </row>
    <row r="38" spans="1:11" ht="21" customHeight="1" x14ac:dyDescent="0.25">
      <c r="A38" s="186"/>
      <c r="B38" s="186"/>
      <c r="C38" s="186"/>
      <c r="D38" s="193"/>
      <c r="E38" s="13" t="s">
        <v>165</v>
      </c>
      <c r="F38" s="45">
        <v>200</v>
      </c>
      <c r="G38" s="13">
        <v>2.89</v>
      </c>
      <c r="H38" s="13">
        <f t="shared" si="1"/>
        <v>3.2656999999999998</v>
      </c>
      <c r="I38" s="5"/>
      <c r="J38" s="13">
        <v>0.5</v>
      </c>
      <c r="K38" s="33" t="s">
        <v>203</v>
      </c>
    </row>
    <row r="39" spans="1:11" ht="21" customHeight="1" x14ac:dyDescent="0.25">
      <c r="A39" s="184" t="s">
        <v>86</v>
      </c>
      <c r="B39" s="184" t="s">
        <v>17</v>
      </c>
      <c r="C39" s="184" t="s">
        <v>16</v>
      </c>
      <c r="D39" s="191" t="s">
        <v>230</v>
      </c>
      <c r="E39" s="13" t="s">
        <v>163</v>
      </c>
      <c r="F39" s="45">
        <v>250</v>
      </c>
      <c r="G39" s="13">
        <v>0</v>
      </c>
      <c r="H39" s="13">
        <f t="shared" si="1"/>
        <v>0</v>
      </c>
      <c r="I39" s="5"/>
      <c r="J39" s="13">
        <f t="shared" si="3"/>
        <v>0</v>
      </c>
      <c r="K39" s="33"/>
    </row>
    <row r="40" spans="1:11" ht="21" customHeight="1" x14ac:dyDescent="0.25">
      <c r="A40" s="185"/>
      <c r="B40" s="185"/>
      <c r="C40" s="185"/>
      <c r="D40" s="192"/>
      <c r="E40" s="52" t="s">
        <v>159</v>
      </c>
      <c r="F40" s="50">
        <v>250</v>
      </c>
      <c r="G40" s="52">
        <v>0</v>
      </c>
      <c r="H40" s="52">
        <f t="shared" si="1"/>
        <v>0</v>
      </c>
      <c r="I40" s="73"/>
      <c r="J40" s="52">
        <v>0</v>
      </c>
      <c r="K40" s="49" t="s">
        <v>242</v>
      </c>
    </row>
    <row r="41" spans="1:11" ht="21" customHeight="1" x14ac:dyDescent="0.25">
      <c r="A41" s="185"/>
      <c r="B41" s="185"/>
      <c r="C41" s="185"/>
      <c r="D41" s="192"/>
      <c r="E41" s="13" t="s">
        <v>178</v>
      </c>
      <c r="F41" s="45">
        <v>250</v>
      </c>
      <c r="G41" s="13">
        <v>3.66</v>
      </c>
      <c r="H41" s="13">
        <f t="shared" si="1"/>
        <v>4.1357999999999997</v>
      </c>
      <c r="I41" s="5"/>
      <c r="J41" s="13">
        <f t="shared" si="3"/>
        <v>0</v>
      </c>
      <c r="K41" s="33"/>
    </row>
    <row r="42" spans="1:11" ht="21" customHeight="1" x14ac:dyDescent="0.25">
      <c r="A42" s="185"/>
      <c r="B42" s="185"/>
      <c r="C42" s="185"/>
      <c r="D42" s="192"/>
      <c r="E42" s="13" t="s">
        <v>168</v>
      </c>
      <c r="F42" s="45">
        <v>250</v>
      </c>
      <c r="G42" s="13">
        <v>3.37</v>
      </c>
      <c r="H42" s="13">
        <f t="shared" si="1"/>
        <v>3.8080999999999996</v>
      </c>
      <c r="I42" s="5"/>
      <c r="J42" s="13">
        <f t="shared" si="3"/>
        <v>0</v>
      </c>
      <c r="K42" s="33"/>
    </row>
    <row r="43" spans="1:11" ht="21" customHeight="1" x14ac:dyDescent="0.25">
      <c r="A43" s="185"/>
      <c r="B43" s="185"/>
      <c r="C43" s="185"/>
      <c r="D43" s="192"/>
      <c r="E43" s="13" t="s">
        <v>167</v>
      </c>
      <c r="F43" s="45">
        <v>250</v>
      </c>
      <c r="G43" s="13">
        <v>3.18</v>
      </c>
      <c r="H43" s="13">
        <f t="shared" si="1"/>
        <v>3.5933999999999999</v>
      </c>
      <c r="I43" s="5"/>
      <c r="J43" s="13">
        <f t="shared" si="3"/>
        <v>0</v>
      </c>
      <c r="K43" s="33"/>
    </row>
    <row r="44" spans="1:11" ht="21" customHeight="1" x14ac:dyDescent="0.25">
      <c r="A44" s="185"/>
      <c r="B44" s="185"/>
      <c r="C44" s="185"/>
      <c r="D44" s="192"/>
      <c r="E44" s="13" t="s">
        <v>179</v>
      </c>
      <c r="F44" s="45">
        <v>250</v>
      </c>
      <c r="G44" s="13">
        <v>3.18</v>
      </c>
      <c r="H44" s="13">
        <f t="shared" si="1"/>
        <v>3.5933999999999999</v>
      </c>
      <c r="I44" s="5"/>
      <c r="J44" s="13">
        <v>1</v>
      </c>
      <c r="K44" s="33" t="s">
        <v>205</v>
      </c>
    </row>
    <row r="45" spans="1:11" ht="21" customHeight="1" x14ac:dyDescent="0.25">
      <c r="A45" s="185"/>
      <c r="B45" s="185"/>
      <c r="C45" s="185"/>
      <c r="D45" s="192"/>
      <c r="E45" s="13" t="s">
        <v>165</v>
      </c>
      <c r="F45" s="45">
        <v>200</v>
      </c>
      <c r="G45" s="13">
        <v>2.89</v>
      </c>
      <c r="H45" s="13">
        <f t="shared" si="1"/>
        <v>3.2656999999999998</v>
      </c>
      <c r="I45" s="5"/>
      <c r="J45" s="13">
        <f t="shared" si="3"/>
        <v>0</v>
      </c>
      <c r="K45" s="33"/>
    </row>
    <row r="46" spans="1:11" ht="21" customHeight="1" x14ac:dyDescent="0.25">
      <c r="A46" s="186"/>
      <c r="B46" s="186"/>
      <c r="C46" s="186"/>
      <c r="D46" s="193"/>
      <c r="E46" s="13" t="s">
        <v>165</v>
      </c>
      <c r="F46" s="45">
        <v>200</v>
      </c>
      <c r="G46" s="13">
        <v>2.89</v>
      </c>
      <c r="H46" s="13">
        <f t="shared" si="1"/>
        <v>3.2656999999999998</v>
      </c>
      <c r="I46" s="5"/>
      <c r="J46" s="13">
        <f t="shared" si="3"/>
        <v>0</v>
      </c>
      <c r="K46" s="33"/>
    </row>
    <row r="47" spans="1:11" ht="21" customHeight="1" x14ac:dyDescent="0.25">
      <c r="A47" s="184" t="s">
        <v>87</v>
      </c>
      <c r="B47" s="184" t="s">
        <v>19</v>
      </c>
      <c r="C47" s="184" t="s">
        <v>18</v>
      </c>
      <c r="D47" s="191" t="s">
        <v>230</v>
      </c>
      <c r="E47" s="3" t="s">
        <v>164</v>
      </c>
      <c r="F47" s="3">
        <v>250</v>
      </c>
      <c r="G47" s="13">
        <v>4.62</v>
      </c>
      <c r="H47" s="13">
        <f t="shared" si="1"/>
        <v>5.2205999999999992</v>
      </c>
      <c r="I47" s="5"/>
      <c r="J47" s="13">
        <f t="shared" si="3"/>
        <v>0</v>
      </c>
      <c r="K47" s="33"/>
    </row>
    <row r="48" spans="1:11" ht="21" customHeight="1" x14ac:dyDescent="0.25">
      <c r="A48" s="185"/>
      <c r="B48" s="185"/>
      <c r="C48" s="185"/>
      <c r="D48" s="192"/>
      <c r="E48" s="13" t="s">
        <v>168</v>
      </c>
      <c r="F48" s="45">
        <v>250</v>
      </c>
      <c r="G48" s="13">
        <v>4.33</v>
      </c>
      <c r="H48" s="13">
        <f t="shared" si="1"/>
        <v>4.8929</v>
      </c>
      <c r="I48" s="5"/>
      <c r="J48" s="13">
        <v>1</v>
      </c>
      <c r="K48" s="33" t="s">
        <v>206</v>
      </c>
    </row>
    <row r="49" spans="1:11" ht="21" customHeight="1" x14ac:dyDescent="0.25">
      <c r="A49" s="185"/>
      <c r="B49" s="185"/>
      <c r="C49" s="185"/>
      <c r="D49" s="192"/>
      <c r="E49" s="13" t="s">
        <v>167</v>
      </c>
      <c r="F49" s="45">
        <v>250</v>
      </c>
      <c r="G49" s="13">
        <v>4.33</v>
      </c>
      <c r="H49" s="13">
        <f t="shared" si="1"/>
        <v>4.8929</v>
      </c>
      <c r="I49" s="5"/>
      <c r="J49" s="13">
        <f t="shared" si="3"/>
        <v>0</v>
      </c>
      <c r="K49" s="33"/>
    </row>
    <row r="50" spans="1:11" ht="21" customHeight="1" x14ac:dyDescent="0.25">
      <c r="A50" s="185"/>
      <c r="B50" s="185"/>
      <c r="C50" s="185"/>
      <c r="D50" s="192"/>
      <c r="E50" s="13" t="s">
        <v>179</v>
      </c>
      <c r="F50" s="45">
        <v>250</v>
      </c>
      <c r="G50" s="13">
        <v>4.33</v>
      </c>
      <c r="H50" s="13">
        <f t="shared" si="1"/>
        <v>4.8929</v>
      </c>
      <c r="I50" s="5"/>
      <c r="J50" s="13">
        <f t="shared" si="3"/>
        <v>0</v>
      </c>
      <c r="K50" s="33"/>
    </row>
    <row r="51" spans="1:11" ht="21" customHeight="1" x14ac:dyDescent="0.25">
      <c r="A51" s="185"/>
      <c r="B51" s="185"/>
      <c r="C51" s="185"/>
      <c r="D51" s="192"/>
      <c r="E51" s="13" t="s">
        <v>165</v>
      </c>
      <c r="F51" s="45">
        <v>200</v>
      </c>
      <c r="G51" s="13">
        <v>4.05</v>
      </c>
      <c r="H51" s="13">
        <f t="shared" si="1"/>
        <v>4.5764999999999993</v>
      </c>
      <c r="I51" s="5"/>
      <c r="J51" s="13">
        <f t="shared" si="3"/>
        <v>0</v>
      </c>
      <c r="K51" s="33"/>
    </row>
    <row r="52" spans="1:11" ht="21" customHeight="1" x14ac:dyDescent="0.25">
      <c r="A52" s="186"/>
      <c r="B52" s="186"/>
      <c r="C52" s="186"/>
      <c r="D52" s="193"/>
      <c r="E52" s="13" t="s">
        <v>173</v>
      </c>
      <c r="F52" s="45">
        <v>200</v>
      </c>
      <c r="G52" s="13">
        <v>4.05</v>
      </c>
      <c r="H52" s="13">
        <f t="shared" si="1"/>
        <v>4.5764999999999993</v>
      </c>
      <c r="I52" s="5"/>
      <c r="J52" s="13">
        <f t="shared" si="3"/>
        <v>0</v>
      </c>
      <c r="K52" s="33"/>
    </row>
    <row r="53" spans="1:11" ht="21" customHeight="1" x14ac:dyDescent="0.25">
      <c r="A53" s="184" t="s">
        <v>88</v>
      </c>
      <c r="B53" s="184" t="s">
        <v>21</v>
      </c>
      <c r="C53" s="184" t="s">
        <v>20</v>
      </c>
      <c r="D53" s="191" t="s">
        <v>230</v>
      </c>
      <c r="E53" s="3" t="s">
        <v>164</v>
      </c>
      <c r="F53" s="3">
        <v>250</v>
      </c>
      <c r="G53" s="13">
        <v>0</v>
      </c>
      <c r="H53" s="13">
        <f t="shared" si="1"/>
        <v>0</v>
      </c>
      <c r="I53" s="5"/>
      <c r="J53" s="13">
        <f t="shared" si="3"/>
        <v>0</v>
      </c>
      <c r="K53" s="33"/>
    </row>
    <row r="54" spans="1:11" ht="21" customHeight="1" x14ac:dyDescent="0.25">
      <c r="A54" s="185"/>
      <c r="B54" s="185"/>
      <c r="C54" s="185"/>
      <c r="D54" s="192"/>
      <c r="E54" s="13" t="s">
        <v>168</v>
      </c>
      <c r="F54" s="45">
        <v>250</v>
      </c>
      <c r="G54" s="13">
        <v>0</v>
      </c>
      <c r="H54" s="13">
        <f t="shared" si="1"/>
        <v>0</v>
      </c>
      <c r="I54" s="5"/>
      <c r="J54" s="13">
        <f t="shared" si="3"/>
        <v>0</v>
      </c>
      <c r="K54" s="33"/>
    </row>
    <row r="55" spans="1:11" ht="21" customHeight="1" x14ac:dyDescent="0.25">
      <c r="A55" s="185"/>
      <c r="B55" s="185"/>
      <c r="C55" s="185"/>
      <c r="D55" s="192"/>
      <c r="E55" s="13" t="s">
        <v>167</v>
      </c>
      <c r="F55" s="45">
        <v>250</v>
      </c>
      <c r="G55" s="13">
        <v>0</v>
      </c>
      <c r="H55" s="13">
        <f t="shared" si="1"/>
        <v>0</v>
      </c>
      <c r="I55" s="5"/>
      <c r="J55" s="13">
        <f t="shared" si="3"/>
        <v>0</v>
      </c>
      <c r="K55" s="33"/>
    </row>
    <row r="56" spans="1:11" ht="21" customHeight="1" x14ac:dyDescent="0.25">
      <c r="A56" s="185"/>
      <c r="B56" s="185"/>
      <c r="C56" s="185"/>
      <c r="D56" s="192"/>
      <c r="E56" s="13" t="s">
        <v>179</v>
      </c>
      <c r="F56" s="45">
        <v>250</v>
      </c>
      <c r="G56" s="13">
        <v>0</v>
      </c>
      <c r="H56" s="13">
        <f t="shared" si="1"/>
        <v>0</v>
      </c>
      <c r="I56" s="5"/>
      <c r="J56" s="13">
        <f t="shared" si="3"/>
        <v>0</v>
      </c>
      <c r="K56" s="33"/>
    </row>
    <row r="57" spans="1:11" ht="21" customHeight="1" x14ac:dyDescent="0.25">
      <c r="A57" s="185"/>
      <c r="B57" s="185"/>
      <c r="C57" s="185"/>
      <c r="D57" s="192"/>
      <c r="E57" s="13" t="s">
        <v>165</v>
      </c>
      <c r="F57" s="45">
        <v>200</v>
      </c>
      <c r="G57" s="13">
        <v>0</v>
      </c>
      <c r="H57" s="13">
        <f t="shared" si="1"/>
        <v>0</v>
      </c>
      <c r="I57" s="5"/>
      <c r="J57" s="13">
        <f t="shared" si="3"/>
        <v>0</v>
      </c>
      <c r="K57" s="33"/>
    </row>
    <row r="58" spans="1:11" ht="21" customHeight="1" x14ac:dyDescent="0.25">
      <c r="A58" s="186"/>
      <c r="B58" s="186"/>
      <c r="C58" s="186"/>
      <c r="D58" s="193"/>
      <c r="E58" s="13" t="s">
        <v>173</v>
      </c>
      <c r="F58" s="45">
        <v>200</v>
      </c>
      <c r="G58" s="13">
        <v>0</v>
      </c>
      <c r="H58" s="13">
        <f t="shared" si="1"/>
        <v>0</v>
      </c>
      <c r="I58" s="5"/>
      <c r="J58" s="13">
        <f t="shared" si="3"/>
        <v>0</v>
      </c>
      <c r="K58" s="33"/>
    </row>
    <row r="59" spans="1:11" ht="21" customHeight="1" x14ac:dyDescent="0.25">
      <c r="A59" s="184" t="s">
        <v>89</v>
      </c>
      <c r="B59" s="184" t="s">
        <v>23</v>
      </c>
      <c r="C59" s="184" t="s">
        <v>22</v>
      </c>
      <c r="D59" s="191" t="s">
        <v>230</v>
      </c>
      <c r="E59" s="3" t="s">
        <v>164</v>
      </c>
      <c r="F59" s="45">
        <v>250</v>
      </c>
      <c r="G59" s="13">
        <v>2.2999999999999998</v>
      </c>
      <c r="H59" s="13">
        <f t="shared" si="1"/>
        <v>2.5989999999999998</v>
      </c>
      <c r="I59" s="5"/>
      <c r="J59" s="13">
        <f t="shared" si="3"/>
        <v>0</v>
      </c>
      <c r="K59" s="33"/>
    </row>
    <row r="60" spans="1:11" ht="21" customHeight="1" x14ac:dyDescent="0.25">
      <c r="A60" s="185"/>
      <c r="B60" s="185"/>
      <c r="C60" s="185"/>
      <c r="D60" s="192"/>
      <c r="E60" s="13" t="s">
        <v>168</v>
      </c>
      <c r="F60" s="45">
        <v>200</v>
      </c>
      <c r="G60" s="13">
        <v>1.79</v>
      </c>
      <c r="H60" s="13">
        <f t="shared" si="1"/>
        <v>2.0226999999999999</v>
      </c>
      <c r="I60" s="5"/>
      <c r="J60" s="13">
        <f t="shared" si="3"/>
        <v>0</v>
      </c>
      <c r="K60" s="33"/>
    </row>
    <row r="61" spans="1:11" ht="21" customHeight="1" x14ac:dyDescent="0.25">
      <c r="A61" s="185"/>
      <c r="B61" s="185"/>
      <c r="C61" s="185"/>
      <c r="D61" s="192"/>
      <c r="E61" s="13" t="s">
        <v>167</v>
      </c>
      <c r="F61" s="45">
        <v>200</v>
      </c>
      <c r="G61" s="13">
        <v>1.79</v>
      </c>
      <c r="H61" s="13">
        <f t="shared" si="1"/>
        <v>2.0226999999999999</v>
      </c>
      <c r="I61" s="5"/>
      <c r="J61" s="13">
        <v>0.5</v>
      </c>
      <c r="K61" s="33" t="s">
        <v>198</v>
      </c>
    </row>
    <row r="62" spans="1:11" ht="21" customHeight="1" x14ac:dyDescent="0.25">
      <c r="A62" s="185"/>
      <c r="B62" s="185"/>
      <c r="C62" s="185"/>
      <c r="D62" s="192"/>
      <c r="E62" s="2" t="s">
        <v>168</v>
      </c>
      <c r="F62" s="45">
        <v>160</v>
      </c>
      <c r="G62" s="13">
        <v>1.42</v>
      </c>
      <c r="H62" s="13">
        <f t="shared" si="1"/>
        <v>1.6045999999999998</v>
      </c>
      <c r="I62" s="5"/>
      <c r="J62" s="13">
        <f t="shared" si="3"/>
        <v>0</v>
      </c>
      <c r="K62" s="33"/>
    </row>
    <row r="63" spans="1:11" ht="21" customHeight="1" x14ac:dyDescent="0.25">
      <c r="A63" s="186"/>
      <c r="B63" s="186"/>
      <c r="C63" s="186"/>
      <c r="D63" s="193"/>
      <c r="E63" s="13" t="s">
        <v>179</v>
      </c>
      <c r="F63" s="45">
        <v>160</v>
      </c>
      <c r="G63" s="13">
        <v>1.42</v>
      </c>
      <c r="H63" s="13">
        <f t="shared" si="1"/>
        <v>1.6045999999999998</v>
      </c>
      <c r="I63" s="5"/>
      <c r="J63" s="13">
        <f t="shared" si="3"/>
        <v>0</v>
      </c>
      <c r="K63" s="33"/>
    </row>
    <row r="64" spans="1:11" ht="21" customHeight="1" x14ac:dyDescent="0.25">
      <c r="A64" s="184" t="s">
        <v>90</v>
      </c>
      <c r="B64" s="184" t="s">
        <v>25</v>
      </c>
      <c r="C64" s="184" t="s">
        <v>24</v>
      </c>
      <c r="D64" s="191" t="s">
        <v>230</v>
      </c>
      <c r="E64" s="3" t="s">
        <v>164</v>
      </c>
      <c r="F64" s="45">
        <v>250</v>
      </c>
      <c r="G64" s="13">
        <v>2.2999999999999998</v>
      </c>
      <c r="H64" s="13">
        <f t="shared" si="1"/>
        <v>2.5989999999999998</v>
      </c>
      <c r="I64" s="5"/>
      <c r="J64" s="13">
        <f t="shared" si="3"/>
        <v>0</v>
      </c>
      <c r="K64" s="33"/>
    </row>
    <row r="65" spans="1:11" ht="21" customHeight="1" x14ac:dyDescent="0.25">
      <c r="A65" s="185"/>
      <c r="B65" s="185"/>
      <c r="C65" s="185"/>
      <c r="D65" s="192"/>
      <c r="E65" s="13" t="s">
        <v>168</v>
      </c>
      <c r="F65" s="45">
        <v>200</v>
      </c>
      <c r="G65" s="13">
        <v>1.79</v>
      </c>
      <c r="H65" s="13">
        <f t="shared" si="1"/>
        <v>2.0226999999999999</v>
      </c>
      <c r="I65" s="5"/>
      <c r="J65" s="13">
        <f t="shared" si="3"/>
        <v>0</v>
      </c>
      <c r="K65" s="33"/>
    </row>
    <row r="66" spans="1:11" ht="21" customHeight="1" x14ac:dyDescent="0.25">
      <c r="A66" s="185"/>
      <c r="B66" s="185"/>
      <c r="C66" s="185"/>
      <c r="D66" s="192"/>
      <c r="E66" s="13" t="s">
        <v>167</v>
      </c>
      <c r="F66" s="45">
        <v>200</v>
      </c>
      <c r="G66" s="13">
        <v>1.79</v>
      </c>
      <c r="H66" s="13">
        <f t="shared" si="1"/>
        <v>2.0226999999999999</v>
      </c>
      <c r="I66" s="5"/>
      <c r="J66" s="13">
        <v>0.5</v>
      </c>
      <c r="K66" s="33" t="s">
        <v>198</v>
      </c>
    </row>
    <row r="67" spans="1:11" ht="21" customHeight="1" x14ac:dyDescent="0.25">
      <c r="A67" s="185"/>
      <c r="B67" s="185"/>
      <c r="C67" s="185"/>
      <c r="D67" s="192"/>
      <c r="E67" s="2" t="s">
        <v>168</v>
      </c>
      <c r="F67" s="45">
        <v>160</v>
      </c>
      <c r="G67" s="13">
        <v>1.42</v>
      </c>
      <c r="H67" s="13">
        <f t="shared" si="1"/>
        <v>1.6045999999999998</v>
      </c>
      <c r="I67" s="5"/>
      <c r="J67" s="13">
        <f t="shared" si="3"/>
        <v>0</v>
      </c>
      <c r="K67" s="33"/>
    </row>
    <row r="68" spans="1:11" ht="21" customHeight="1" x14ac:dyDescent="0.25">
      <c r="A68" s="186"/>
      <c r="B68" s="186"/>
      <c r="C68" s="186"/>
      <c r="D68" s="193"/>
      <c r="E68" s="13" t="s">
        <v>179</v>
      </c>
      <c r="F68" s="45">
        <v>160</v>
      </c>
      <c r="G68" s="13">
        <v>1.42</v>
      </c>
      <c r="H68" s="13">
        <f t="shared" si="1"/>
        <v>1.6045999999999998</v>
      </c>
      <c r="I68" s="5"/>
      <c r="J68" s="13">
        <v>0.5</v>
      </c>
      <c r="K68" s="33" t="s">
        <v>207</v>
      </c>
    </row>
    <row r="69" spans="1:11" s="57" customFormat="1" ht="21" customHeight="1" x14ac:dyDescent="0.25">
      <c r="A69" s="194" t="s">
        <v>91</v>
      </c>
      <c r="B69" s="194" t="s">
        <v>27</v>
      </c>
      <c r="C69" s="194" t="s">
        <v>26</v>
      </c>
      <c r="D69" s="194" t="s">
        <v>231</v>
      </c>
      <c r="E69" s="53" t="s">
        <v>164</v>
      </c>
      <c r="F69" s="54">
        <v>250</v>
      </c>
      <c r="G69" s="53">
        <v>2.7050000000000001</v>
      </c>
      <c r="H69" s="53">
        <f t="shared" si="1"/>
        <v>3.0566499999999999</v>
      </c>
      <c r="I69" s="55"/>
      <c r="J69" s="53">
        <f t="shared" si="3"/>
        <v>0</v>
      </c>
      <c r="K69" s="56" t="s">
        <v>196</v>
      </c>
    </row>
    <row r="70" spans="1:11" s="57" customFormat="1" ht="21" customHeight="1" x14ac:dyDescent="0.25">
      <c r="A70" s="195"/>
      <c r="B70" s="195"/>
      <c r="C70" s="195"/>
      <c r="D70" s="195"/>
      <c r="E70" s="53" t="s">
        <v>174</v>
      </c>
      <c r="F70" s="54">
        <v>250</v>
      </c>
      <c r="G70" s="53">
        <v>2.5099999999999998</v>
      </c>
      <c r="H70" s="53">
        <f t="shared" ref="H70:H133" si="4">G70*1.13</f>
        <v>2.8362999999999996</v>
      </c>
      <c r="I70" s="55"/>
      <c r="J70" s="53">
        <f t="shared" si="3"/>
        <v>0</v>
      </c>
      <c r="K70" s="56" t="s">
        <v>196</v>
      </c>
    </row>
    <row r="71" spans="1:11" s="57" customFormat="1" ht="21" customHeight="1" x14ac:dyDescent="0.25">
      <c r="A71" s="195"/>
      <c r="B71" s="195"/>
      <c r="C71" s="195"/>
      <c r="D71" s="195"/>
      <c r="E71" s="53" t="s">
        <v>179</v>
      </c>
      <c r="F71" s="54">
        <v>250</v>
      </c>
      <c r="G71" s="53">
        <v>2.5099999999999998</v>
      </c>
      <c r="H71" s="53">
        <f t="shared" si="4"/>
        <v>2.8362999999999996</v>
      </c>
      <c r="I71" s="55"/>
      <c r="J71" s="53">
        <f t="shared" si="3"/>
        <v>0</v>
      </c>
      <c r="K71" s="56" t="s">
        <v>196</v>
      </c>
    </row>
    <row r="72" spans="1:11" s="57" customFormat="1" ht="21" customHeight="1" x14ac:dyDescent="0.25">
      <c r="A72" s="196"/>
      <c r="B72" s="196"/>
      <c r="C72" s="196"/>
      <c r="D72" s="196"/>
      <c r="E72" s="53" t="s">
        <v>165</v>
      </c>
      <c r="F72" s="54">
        <v>200</v>
      </c>
      <c r="G72" s="53">
        <v>2.15</v>
      </c>
      <c r="H72" s="53">
        <f t="shared" si="4"/>
        <v>2.4294999999999995</v>
      </c>
      <c r="I72" s="55"/>
      <c r="J72" s="53">
        <f t="shared" si="3"/>
        <v>0</v>
      </c>
      <c r="K72" s="56" t="s">
        <v>196</v>
      </c>
    </row>
    <row r="73" spans="1:11" s="57" customFormat="1" ht="21" customHeight="1" x14ac:dyDescent="0.25">
      <c r="A73" s="194" t="s">
        <v>92</v>
      </c>
      <c r="B73" s="194" t="s">
        <v>29</v>
      </c>
      <c r="C73" s="194" t="s">
        <v>28</v>
      </c>
      <c r="D73" s="194" t="s">
        <v>232</v>
      </c>
      <c r="E73" s="53" t="s">
        <v>164</v>
      </c>
      <c r="F73" s="54">
        <v>250</v>
      </c>
      <c r="G73" s="53">
        <v>2.7050000000000001</v>
      </c>
      <c r="H73" s="53">
        <f t="shared" si="4"/>
        <v>3.0566499999999999</v>
      </c>
      <c r="I73" s="55"/>
      <c r="J73" s="53">
        <f t="shared" si="3"/>
        <v>0</v>
      </c>
      <c r="K73" s="56" t="s">
        <v>196</v>
      </c>
    </row>
    <row r="74" spans="1:11" s="57" customFormat="1" ht="21" customHeight="1" x14ac:dyDescent="0.25">
      <c r="A74" s="195"/>
      <c r="B74" s="195"/>
      <c r="C74" s="195"/>
      <c r="D74" s="195"/>
      <c r="E74" s="53" t="s">
        <v>174</v>
      </c>
      <c r="F74" s="54">
        <v>250</v>
      </c>
      <c r="G74" s="53">
        <v>2.5099999999999998</v>
      </c>
      <c r="H74" s="53">
        <f t="shared" si="4"/>
        <v>2.8362999999999996</v>
      </c>
      <c r="I74" s="55"/>
      <c r="J74" s="53">
        <f t="shared" si="3"/>
        <v>0</v>
      </c>
      <c r="K74" s="56" t="s">
        <v>196</v>
      </c>
    </row>
    <row r="75" spans="1:11" s="57" customFormat="1" ht="21" customHeight="1" x14ac:dyDescent="0.25">
      <c r="A75" s="195"/>
      <c r="B75" s="195"/>
      <c r="C75" s="195"/>
      <c r="D75" s="195"/>
      <c r="E75" s="53" t="s">
        <v>179</v>
      </c>
      <c r="F75" s="54">
        <v>250</v>
      </c>
      <c r="G75" s="53">
        <v>2.5099999999999998</v>
      </c>
      <c r="H75" s="53">
        <f t="shared" si="4"/>
        <v>2.8362999999999996</v>
      </c>
      <c r="I75" s="55"/>
      <c r="J75" s="53">
        <f t="shared" si="3"/>
        <v>0</v>
      </c>
      <c r="K75" s="56" t="s">
        <v>196</v>
      </c>
    </row>
    <row r="76" spans="1:11" s="57" customFormat="1" ht="21" customHeight="1" x14ac:dyDescent="0.25">
      <c r="A76" s="196"/>
      <c r="B76" s="196"/>
      <c r="C76" s="196"/>
      <c r="D76" s="196"/>
      <c r="E76" s="53" t="s">
        <v>165</v>
      </c>
      <c r="F76" s="54">
        <v>200</v>
      </c>
      <c r="G76" s="53">
        <v>2.15</v>
      </c>
      <c r="H76" s="53">
        <f t="shared" si="4"/>
        <v>2.4294999999999995</v>
      </c>
      <c r="I76" s="55"/>
      <c r="J76" s="53">
        <f t="shared" si="3"/>
        <v>0</v>
      </c>
      <c r="K76" s="56" t="s">
        <v>196</v>
      </c>
    </row>
    <row r="77" spans="1:11" s="57" customFormat="1" ht="21" customHeight="1" x14ac:dyDescent="0.25">
      <c r="A77" s="194" t="s">
        <v>93</v>
      </c>
      <c r="B77" s="194" t="s">
        <v>31</v>
      </c>
      <c r="C77" s="194" t="s">
        <v>30</v>
      </c>
      <c r="D77" s="194" t="s">
        <v>233</v>
      </c>
      <c r="E77" s="59" t="s">
        <v>164</v>
      </c>
      <c r="F77" s="60">
        <v>250</v>
      </c>
      <c r="G77" s="53">
        <v>4.55</v>
      </c>
      <c r="H77" s="53">
        <f t="shared" si="4"/>
        <v>5.1414999999999997</v>
      </c>
      <c r="I77" s="55"/>
      <c r="J77" s="53">
        <f t="shared" si="3"/>
        <v>0</v>
      </c>
      <c r="K77" s="56" t="s">
        <v>196</v>
      </c>
    </row>
    <row r="78" spans="1:11" s="57" customFormat="1" ht="21" customHeight="1" x14ac:dyDescent="0.25">
      <c r="A78" s="195"/>
      <c r="B78" s="195"/>
      <c r="C78" s="195"/>
      <c r="D78" s="195"/>
      <c r="E78" s="59" t="s">
        <v>168</v>
      </c>
      <c r="F78" s="60">
        <v>250</v>
      </c>
      <c r="G78" s="53">
        <v>4.55</v>
      </c>
      <c r="H78" s="53">
        <f t="shared" si="4"/>
        <v>5.1414999999999997</v>
      </c>
      <c r="I78" s="55"/>
      <c r="J78" s="53">
        <f t="shared" si="3"/>
        <v>0</v>
      </c>
      <c r="K78" s="56" t="s">
        <v>196</v>
      </c>
    </row>
    <row r="79" spans="1:11" s="57" customFormat="1" ht="21" customHeight="1" x14ac:dyDescent="0.25">
      <c r="A79" s="195"/>
      <c r="B79" s="195"/>
      <c r="C79" s="195"/>
      <c r="D79" s="195"/>
      <c r="E79" s="59" t="s">
        <v>167</v>
      </c>
      <c r="F79" s="60">
        <v>250</v>
      </c>
      <c r="G79" s="53">
        <v>4.55</v>
      </c>
      <c r="H79" s="53">
        <f t="shared" si="4"/>
        <v>5.1414999999999997</v>
      </c>
      <c r="I79" s="55"/>
      <c r="J79" s="53">
        <f t="shared" si="3"/>
        <v>0</v>
      </c>
      <c r="K79" s="56" t="s">
        <v>196</v>
      </c>
    </row>
    <row r="80" spans="1:11" s="57" customFormat="1" ht="21" customHeight="1" x14ac:dyDescent="0.25">
      <c r="A80" s="195"/>
      <c r="B80" s="195"/>
      <c r="C80" s="195"/>
      <c r="D80" s="195"/>
      <c r="E80" s="59" t="s">
        <v>167</v>
      </c>
      <c r="F80" s="60">
        <v>250</v>
      </c>
      <c r="G80" s="53">
        <v>3.89</v>
      </c>
      <c r="H80" s="53">
        <f t="shared" si="4"/>
        <v>4.3956999999999997</v>
      </c>
      <c r="I80" s="55"/>
      <c r="J80" s="53">
        <f t="shared" si="3"/>
        <v>0</v>
      </c>
      <c r="K80" s="56" t="s">
        <v>196</v>
      </c>
    </row>
    <row r="81" spans="1:11" s="57" customFormat="1" ht="21" customHeight="1" x14ac:dyDescent="0.25">
      <c r="A81" s="196"/>
      <c r="B81" s="196"/>
      <c r="C81" s="196"/>
      <c r="D81" s="196"/>
      <c r="E81" s="59" t="s">
        <v>169</v>
      </c>
      <c r="F81" s="60">
        <v>250</v>
      </c>
      <c r="G81" s="53">
        <v>5.45</v>
      </c>
      <c r="H81" s="53">
        <f t="shared" si="4"/>
        <v>6.1584999999999992</v>
      </c>
      <c r="I81" s="55"/>
      <c r="J81" s="53">
        <f t="shared" si="3"/>
        <v>0</v>
      </c>
      <c r="K81" s="56" t="s">
        <v>196</v>
      </c>
    </row>
    <row r="82" spans="1:11" s="57" customFormat="1" ht="21" customHeight="1" x14ac:dyDescent="0.25">
      <c r="A82" s="194" t="s">
        <v>94</v>
      </c>
      <c r="B82" s="194" t="s">
        <v>33</v>
      </c>
      <c r="C82" s="194" t="s">
        <v>32</v>
      </c>
      <c r="D82" s="194" t="s">
        <v>233</v>
      </c>
      <c r="E82" s="59" t="s">
        <v>164</v>
      </c>
      <c r="F82" s="60">
        <v>250</v>
      </c>
      <c r="G82" s="53">
        <v>4.55</v>
      </c>
      <c r="H82" s="53">
        <f t="shared" si="4"/>
        <v>5.1414999999999997</v>
      </c>
      <c r="I82" s="55"/>
      <c r="J82" s="53">
        <f t="shared" si="3"/>
        <v>0</v>
      </c>
      <c r="K82" s="56" t="s">
        <v>196</v>
      </c>
    </row>
    <row r="83" spans="1:11" s="57" customFormat="1" ht="21" customHeight="1" x14ac:dyDescent="0.25">
      <c r="A83" s="195"/>
      <c r="B83" s="195"/>
      <c r="C83" s="195"/>
      <c r="D83" s="195"/>
      <c r="E83" s="59" t="s">
        <v>168</v>
      </c>
      <c r="F83" s="60">
        <v>250</v>
      </c>
      <c r="G83" s="53">
        <v>4.55</v>
      </c>
      <c r="H83" s="53">
        <f t="shared" si="4"/>
        <v>5.1414999999999997</v>
      </c>
      <c r="I83" s="55"/>
      <c r="J83" s="53">
        <f t="shared" si="3"/>
        <v>0</v>
      </c>
      <c r="K83" s="56" t="s">
        <v>196</v>
      </c>
    </row>
    <row r="84" spans="1:11" s="57" customFormat="1" ht="21" customHeight="1" x14ac:dyDescent="0.25">
      <c r="A84" s="195"/>
      <c r="B84" s="195"/>
      <c r="C84" s="195"/>
      <c r="D84" s="195"/>
      <c r="E84" s="59" t="s">
        <v>167</v>
      </c>
      <c r="F84" s="60">
        <v>250</v>
      </c>
      <c r="G84" s="53">
        <v>4.55</v>
      </c>
      <c r="H84" s="53">
        <f t="shared" si="4"/>
        <v>5.1414999999999997</v>
      </c>
      <c r="I84" s="55"/>
      <c r="J84" s="53">
        <f t="shared" si="3"/>
        <v>0</v>
      </c>
      <c r="K84" s="56" t="s">
        <v>196</v>
      </c>
    </row>
    <row r="85" spans="1:11" s="57" customFormat="1" ht="21" customHeight="1" x14ac:dyDescent="0.25">
      <c r="A85" s="195"/>
      <c r="B85" s="195"/>
      <c r="C85" s="195"/>
      <c r="D85" s="195"/>
      <c r="E85" s="59" t="s">
        <v>167</v>
      </c>
      <c r="F85" s="60">
        <v>250</v>
      </c>
      <c r="G85" s="53">
        <v>3.89</v>
      </c>
      <c r="H85" s="53">
        <f t="shared" si="4"/>
        <v>4.3956999999999997</v>
      </c>
      <c r="I85" s="55"/>
      <c r="J85" s="53">
        <f t="shared" si="3"/>
        <v>0</v>
      </c>
      <c r="K85" s="56" t="s">
        <v>196</v>
      </c>
    </row>
    <row r="86" spans="1:11" s="57" customFormat="1" ht="21" customHeight="1" x14ac:dyDescent="0.25">
      <c r="A86" s="196"/>
      <c r="B86" s="196"/>
      <c r="C86" s="196"/>
      <c r="D86" s="196"/>
      <c r="E86" s="59" t="s">
        <v>169</v>
      </c>
      <c r="F86" s="60">
        <v>250</v>
      </c>
      <c r="G86" s="53">
        <v>5.45</v>
      </c>
      <c r="H86" s="53">
        <f t="shared" si="4"/>
        <v>6.1584999999999992</v>
      </c>
      <c r="I86" s="55"/>
      <c r="J86" s="53">
        <f t="shared" si="3"/>
        <v>0</v>
      </c>
      <c r="K86" s="56" t="s">
        <v>196</v>
      </c>
    </row>
    <row r="87" spans="1:11" ht="21" customHeight="1" x14ac:dyDescent="0.25">
      <c r="A87" s="184" t="s">
        <v>95</v>
      </c>
      <c r="B87" s="184" t="s">
        <v>35</v>
      </c>
      <c r="C87" s="184" t="s">
        <v>34</v>
      </c>
      <c r="D87" s="184" t="s">
        <v>233</v>
      </c>
      <c r="E87" s="32" t="s">
        <v>164</v>
      </c>
      <c r="F87" s="46">
        <v>200</v>
      </c>
      <c r="G87" s="13">
        <v>3.46</v>
      </c>
      <c r="H87" s="13">
        <f t="shared" si="4"/>
        <v>3.9097999999999997</v>
      </c>
      <c r="I87" s="5"/>
      <c r="J87" s="13">
        <v>0.5</v>
      </c>
      <c r="K87" s="33" t="s">
        <v>208</v>
      </c>
    </row>
    <row r="88" spans="1:11" ht="21" customHeight="1" x14ac:dyDescent="0.25">
      <c r="A88" s="185"/>
      <c r="B88" s="185"/>
      <c r="C88" s="185"/>
      <c r="D88" s="185"/>
      <c r="E88" s="32" t="s">
        <v>168</v>
      </c>
      <c r="F88" s="46">
        <v>200</v>
      </c>
      <c r="G88" s="13">
        <v>3.46</v>
      </c>
      <c r="H88" s="13">
        <f t="shared" si="4"/>
        <v>3.9097999999999997</v>
      </c>
      <c r="I88" s="5"/>
      <c r="J88" s="13">
        <v>1</v>
      </c>
      <c r="K88" s="33" t="s">
        <v>209</v>
      </c>
    </row>
    <row r="89" spans="1:11" ht="21" customHeight="1" x14ac:dyDescent="0.25">
      <c r="A89" s="185"/>
      <c r="B89" s="185"/>
      <c r="C89" s="185"/>
      <c r="D89" s="185"/>
      <c r="E89" s="32" t="s">
        <v>167</v>
      </c>
      <c r="F89" s="46">
        <v>200</v>
      </c>
      <c r="G89" s="13">
        <v>3.46</v>
      </c>
      <c r="H89" s="13">
        <f t="shared" si="4"/>
        <v>3.9097999999999997</v>
      </c>
      <c r="I89" s="5"/>
      <c r="J89" s="13">
        <v>0.5</v>
      </c>
      <c r="K89" s="33" t="s">
        <v>209</v>
      </c>
    </row>
    <row r="90" spans="1:11" ht="21" customHeight="1" x14ac:dyDescent="0.25">
      <c r="A90" s="186"/>
      <c r="B90" s="186"/>
      <c r="C90" s="186"/>
      <c r="D90" s="186"/>
      <c r="E90" s="32" t="s">
        <v>167</v>
      </c>
      <c r="F90" s="46">
        <v>200</v>
      </c>
      <c r="G90" s="13">
        <v>2.5499999999999998</v>
      </c>
      <c r="H90" s="13">
        <f t="shared" si="4"/>
        <v>2.8814999999999995</v>
      </c>
      <c r="I90" s="5"/>
      <c r="J90" s="13">
        <f t="shared" si="3"/>
        <v>0</v>
      </c>
      <c r="K90" s="33"/>
    </row>
    <row r="91" spans="1:11" ht="21" customHeight="1" x14ac:dyDescent="0.25">
      <c r="A91" s="184" t="s">
        <v>96</v>
      </c>
      <c r="B91" s="184" t="s">
        <v>37</v>
      </c>
      <c r="C91" s="184" t="s">
        <v>36</v>
      </c>
      <c r="D91" s="191" t="s">
        <v>194</v>
      </c>
      <c r="E91" s="32" t="s">
        <v>180</v>
      </c>
      <c r="F91" s="46">
        <v>400</v>
      </c>
      <c r="G91" s="13">
        <v>8.89</v>
      </c>
      <c r="H91" s="13">
        <f t="shared" si="4"/>
        <v>10.0457</v>
      </c>
      <c r="I91" s="74"/>
      <c r="J91" s="75">
        <f t="shared" si="3"/>
        <v>0</v>
      </c>
      <c r="K91" s="76" t="s">
        <v>210</v>
      </c>
    </row>
    <row r="92" spans="1:11" ht="21" customHeight="1" x14ac:dyDescent="0.25">
      <c r="A92" s="185"/>
      <c r="B92" s="185"/>
      <c r="C92" s="185"/>
      <c r="D92" s="192"/>
      <c r="E92" s="32" t="s">
        <v>168</v>
      </c>
      <c r="F92" s="46">
        <v>400</v>
      </c>
      <c r="G92" s="13">
        <v>7.37</v>
      </c>
      <c r="H92" s="13">
        <f t="shared" si="4"/>
        <v>8.3280999999999992</v>
      </c>
      <c r="I92" s="74"/>
      <c r="J92" s="75">
        <f t="shared" si="3"/>
        <v>0</v>
      </c>
      <c r="K92" s="76" t="s">
        <v>210</v>
      </c>
    </row>
    <row r="93" spans="1:11" ht="21" customHeight="1" x14ac:dyDescent="0.25">
      <c r="A93" s="185"/>
      <c r="B93" s="185"/>
      <c r="C93" s="185"/>
      <c r="D93" s="192"/>
      <c r="E93" s="32" t="s">
        <v>181</v>
      </c>
      <c r="F93" s="46">
        <v>400</v>
      </c>
      <c r="G93" s="13">
        <v>9.84</v>
      </c>
      <c r="H93" s="13">
        <f t="shared" si="4"/>
        <v>11.119199999999999</v>
      </c>
      <c r="I93" s="74"/>
      <c r="J93" s="75">
        <f t="shared" si="3"/>
        <v>0</v>
      </c>
      <c r="K93" s="76" t="s">
        <v>210</v>
      </c>
    </row>
    <row r="94" spans="1:11" ht="21" customHeight="1" x14ac:dyDescent="0.25">
      <c r="A94" s="185"/>
      <c r="B94" s="185"/>
      <c r="C94" s="185"/>
      <c r="D94" s="192"/>
      <c r="E94" s="32" t="s">
        <v>181</v>
      </c>
      <c r="F94" s="46">
        <v>400</v>
      </c>
      <c r="G94" s="13">
        <v>7.08</v>
      </c>
      <c r="H94" s="13">
        <f t="shared" si="4"/>
        <v>8.0003999999999991</v>
      </c>
      <c r="I94" s="74"/>
      <c r="J94" s="75">
        <f t="shared" si="3"/>
        <v>0</v>
      </c>
      <c r="K94" s="76" t="s">
        <v>210</v>
      </c>
    </row>
    <row r="95" spans="1:11" ht="21" customHeight="1" x14ac:dyDescent="0.25">
      <c r="A95" s="185"/>
      <c r="B95" s="185"/>
      <c r="C95" s="185"/>
      <c r="D95" s="192"/>
      <c r="E95" s="32" t="s">
        <v>179</v>
      </c>
      <c r="F95" s="46">
        <v>250</v>
      </c>
      <c r="G95" s="13">
        <v>4.25</v>
      </c>
      <c r="H95" s="13">
        <f t="shared" si="4"/>
        <v>4.8024999999999993</v>
      </c>
      <c r="I95" s="74"/>
      <c r="J95" s="75">
        <f t="shared" si="3"/>
        <v>0</v>
      </c>
      <c r="K95" s="76" t="s">
        <v>210</v>
      </c>
    </row>
    <row r="96" spans="1:11" ht="21" customHeight="1" x14ac:dyDescent="0.25">
      <c r="A96" s="186"/>
      <c r="B96" s="186"/>
      <c r="C96" s="186"/>
      <c r="D96" s="193"/>
      <c r="E96" s="32" t="s">
        <v>167</v>
      </c>
      <c r="F96" s="46">
        <v>250</v>
      </c>
      <c r="G96" s="13">
        <v>4.25</v>
      </c>
      <c r="H96" s="13">
        <f t="shared" si="4"/>
        <v>4.8024999999999993</v>
      </c>
      <c r="I96" s="74"/>
      <c r="J96" s="75">
        <f t="shared" si="3"/>
        <v>0</v>
      </c>
      <c r="K96" s="76" t="s">
        <v>210</v>
      </c>
    </row>
    <row r="97" spans="1:11" ht="21" customHeight="1" x14ac:dyDescent="0.25">
      <c r="A97" s="184" t="s">
        <v>97</v>
      </c>
      <c r="B97" s="184" t="s">
        <v>39</v>
      </c>
      <c r="C97" s="184" t="s">
        <v>38</v>
      </c>
      <c r="D97" s="191" t="s">
        <v>189</v>
      </c>
      <c r="E97" s="32" t="s">
        <v>170</v>
      </c>
      <c r="F97" s="46">
        <v>200</v>
      </c>
      <c r="G97" s="13">
        <v>2.5499999999999998</v>
      </c>
      <c r="H97" s="13">
        <f t="shared" si="4"/>
        <v>2.8814999999999995</v>
      </c>
      <c r="I97" s="5"/>
      <c r="J97" s="13">
        <v>0.5</v>
      </c>
      <c r="K97" s="33" t="s">
        <v>211</v>
      </c>
    </row>
    <row r="98" spans="1:11" ht="21" customHeight="1" x14ac:dyDescent="0.25">
      <c r="A98" s="185"/>
      <c r="B98" s="185"/>
      <c r="C98" s="185"/>
      <c r="D98" s="192"/>
      <c r="E98" s="32" t="s">
        <v>182</v>
      </c>
      <c r="F98" s="46">
        <v>200</v>
      </c>
      <c r="G98" s="13">
        <v>2.5499999999999998</v>
      </c>
      <c r="H98" s="13">
        <f t="shared" si="4"/>
        <v>2.8814999999999995</v>
      </c>
      <c r="I98" s="5"/>
      <c r="J98" s="13">
        <f t="shared" ref="J98:J161" si="5">I98*1.13</f>
        <v>0</v>
      </c>
      <c r="K98" s="33"/>
    </row>
    <row r="99" spans="1:11" ht="21" customHeight="1" x14ac:dyDescent="0.25">
      <c r="A99" s="186"/>
      <c r="B99" s="186"/>
      <c r="C99" s="186"/>
      <c r="D99" s="193"/>
      <c r="E99" s="32" t="s">
        <v>173</v>
      </c>
      <c r="F99" s="46">
        <v>160</v>
      </c>
      <c r="G99" s="13">
        <v>1.65</v>
      </c>
      <c r="H99" s="13">
        <f t="shared" si="4"/>
        <v>1.8644999999999998</v>
      </c>
      <c r="I99" s="5"/>
      <c r="J99" s="13">
        <f t="shared" si="5"/>
        <v>0</v>
      </c>
      <c r="K99" s="33"/>
    </row>
    <row r="100" spans="1:11" ht="21" customHeight="1" x14ac:dyDescent="0.25">
      <c r="A100" s="184" t="s">
        <v>98</v>
      </c>
      <c r="B100" s="184" t="s">
        <v>41</v>
      </c>
      <c r="C100" s="184" t="s">
        <v>40</v>
      </c>
      <c r="D100" s="191" t="s">
        <v>189</v>
      </c>
      <c r="E100" s="32" t="s">
        <v>170</v>
      </c>
      <c r="F100" s="46">
        <v>200</v>
      </c>
      <c r="G100" s="13">
        <v>0</v>
      </c>
      <c r="H100" s="13">
        <f t="shared" si="4"/>
        <v>0</v>
      </c>
      <c r="I100" s="5"/>
      <c r="J100" s="13">
        <f t="shared" si="5"/>
        <v>0</v>
      </c>
      <c r="K100" s="33"/>
    </row>
    <row r="101" spans="1:11" ht="21" customHeight="1" x14ac:dyDescent="0.25">
      <c r="A101" s="185"/>
      <c r="B101" s="185"/>
      <c r="C101" s="185"/>
      <c r="D101" s="192"/>
      <c r="E101" s="32" t="s">
        <v>182</v>
      </c>
      <c r="F101" s="46">
        <v>200</v>
      </c>
      <c r="G101" s="13">
        <v>0</v>
      </c>
      <c r="H101" s="13">
        <f t="shared" si="4"/>
        <v>0</v>
      </c>
      <c r="I101" s="5"/>
      <c r="J101" s="13">
        <f t="shared" si="5"/>
        <v>0</v>
      </c>
      <c r="K101" s="33"/>
    </row>
    <row r="102" spans="1:11" ht="21" customHeight="1" x14ac:dyDescent="0.25">
      <c r="A102" s="186"/>
      <c r="B102" s="186"/>
      <c r="C102" s="186"/>
      <c r="D102" s="193"/>
      <c r="E102" s="32" t="s">
        <v>173</v>
      </c>
      <c r="F102" s="46">
        <v>160</v>
      </c>
      <c r="G102" s="13">
        <v>0</v>
      </c>
      <c r="H102" s="13">
        <f t="shared" si="4"/>
        <v>0</v>
      </c>
      <c r="I102" s="5"/>
      <c r="J102" s="13">
        <f t="shared" si="5"/>
        <v>0</v>
      </c>
      <c r="K102" s="33"/>
    </row>
    <row r="103" spans="1:11" ht="21" customHeight="1" x14ac:dyDescent="0.25">
      <c r="A103" s="184" t="s">
        <v>99</v>
      </c>
      <c r="B103" s="184" t="s">
        <v>43</v>
      </c>
      <c r="C103" s="184" t="s">
        <v>42</v>
      </c>
      <c r="D103" s="184" t="s">
        <v>234</v>
      </c>
      <c r="E103" s="13" t="s">
        <v>163</v>
      </c>
      <c r="F103" s="45">
        <v>250</v>
      </c>
      <c r="G103" s="13">
        <v>2.2999999999999998</v>
      </c>
      <c r="H103" s="13">
        <f t="shared" si="4"/>
        <v>2.5989999999999998</v>
      </c>
      <c r="I103" s="5"/>
      <c r="J103" s="13">
        <f t="shared" si="5"/>
        <v>0</v>
      </c>
      <c r="K103" s="33"/>
    </row>
    <row r="104" spans="1:11" ht="21" customHeight="1" x14ac:dyDescent="0.25">
      <c r="A104" s="185"/>
      <c r="B104" s="185"/>
      <c r="C104" s="185"/>
      <c r="D104" s="185"/>
      <c r="E104" s="13" t="s">
        <v>164</v>
      </c>
      <c r="F104" s="45">
        <v>250</v>
      </c>
      <c r="G104" s="13">
        <v>2.2999999999999998</v>
      </c>
      <c r="H104" s="13">
        <f t="shared" si="4"/>
        <v>2.5989999999999998</v>
      </c>
      <c r="I104" s="5"/>
      <c r="J104" s="13">
        <v>0.8</v>
      </c>
      <c r="K104" s="33" t="s">
        <v>212</v>
      </c>
    </row>
    <row r="105" spans="1:11" ht="21" customHeight="1" x14ac:dyDescent="0.25">
      <c r="A105" s="185"/>
      <c r="B105" s="185"/>
      <c r="C105" s="185"/>
      <c r="D105" s="185"/>
      <c r="E105" s="13" t="s">
        <v>166</v>
      </c>
      <c r="F105" s="45">
        <v>200</v>
      </c>
      <c r="G105" s="13">
        <v>2.19</v>
      </c>
      <c r="H105" s="13">
        <f t="shared" si="4"/>
        <v>2.4746999999999999</v>
      </c>
      <c r="I105" s="5"/>
      <c r="J105" s="13">
        <f t="shared" si="5"/>
        <v>0</v>
      </c>
      <c r="K105" s="33"/>
    </row>
    <row r="106" spans="1:11" ht="21" customHeight="1" x14ac:dyDescent="0.25">
      <c r="A106" s="186"/>
      <c r="B106" s="186"/>
      <c r="C106" s="186"/>
      <c r="D106" s="186"/>
      <c r="E106" s="13" t="s">
        <v>165</v>
      </c>
      <c r="F106" s="45">
        <v>160</v>
      </c>
      <c r="G106" s="13">
        <v>2.4500000000000002</v>
      </c>
      <c r="H106" s="13">
        <f t="shared" si="4"/>
        <v>2.7685</v>
      </c>
      <c r="I106" s="5"/>
      <c r="J106" s="13">
        <v>0.5</v>
      </c>
      <c r="K106" s="33" t="s">
        <v>213</v>
      </c>
    </row>
    <row r="107" spans="1:11" ht="21" customHeight="1" x14ac:dyDescent="0.25">
      <c r="A107" s="184" t="s">
        <v>100</v>
      </c>
      <c r="B107" s="184" t="s">
        <v>45</v>
      </c>
      <c r="C107" s="184" t="s">
        <v>44</v>
      </c>
      <c r="D107" s="191" t="s">
        <v>230</v>
      </c>
      <c r="E107" s="13" t="s">
        <v>163</v>
      </c>
      <c r="F107" s="45">
        <v>160</v>
      </c>
      <c r="G107" s="13">
        <v>1.39</v>
      </c>
      <c r="H107" s="13">
        <f t="shared" si="4"/>
        <v>1.5706999999999998</v>
      </c>
      <c r="I107" s="5"/>
      <c r="J107" s="13">
        <v>0.4</v>
      </c>
      <c r="K107" s="33" t="s">
        <v>214</v>
      </c>
    </row>
    <row r="108" spans="1:11" ht="21" customHeight="1" x14ac:dyDescent="0.25">
      <c r="A108" s="185"/>
      <c r="B108" s="185"/>
      <c r="C108" s="185"/>
      <c r="D108" s="192"/>
      <c r="E108" s="13" t="s">
        <v>164</v>
      </c>
      <c r="F108" s="45">
        <v>160</v>
      </c>
      <c r="G108" s="13">
        <v>1.39</v>
      </c>
      <c r="H108" s="13">
        <f t="shared" si="4"/>
        <v>1.5706999999999998</v>
      </c>
      <c r="I108" s="5"/>
      <c r="J108" s="13">
        <f t="shared" si="5"/>
        <v>0</v>
      </c>
      <c r="K108" s="33"/>
    </row>
    <row r="109" spans="1:11" ht="21" customHeight="1" x14ac:dyDescent="0.25">
      <c r="A109" s="186"/>
      <c r="B109" s="186"/>
      <c r="C109" s="186"/>
      <c r="D109" s="193"/>
      <c r="E109" s="13" t="s">
        <v>165</v>
      </c>
      <c r="F109" s="45">
        <v>80</v>
      </c>
      <c r="G109" s="13">
        <v>1.06</v>
      </c>
      <c r="H109" s="13">
        <f t="shared" si="4"/>
        <v>1.1978</v>
      </c>
      <c r="I109" s="5"/>
      <c r="J109" s="13">
        <f t="shared" si="5"/>
        <v>0</v>
      </c>
      <c r="K109" s="33"/>
    </row>
    <row r="110" spans="1:11" ht="21" customHeight="1" x14ac:dyDescent="0.25">
      <c r="A110" s="184" t="s">
        <v>101</v>
      </c>
      <c r="B110" s="184" t="s">
        <v>47</v>
      </c>
      <c r="C110" s="184" t="s">
        <v>46</v>
      </c>
      <c r="D110" s="191" t="s">
        <v>230</v>
      </c>
      <c r="E110" s="13" t="s">
        <v>163</v>
      </c>
      <c r="F110" s="45">
        <v>160</v>
      </c>
      <c r="G110" s="13">
        <v>0</v>
      </c>
      <c r="H110" s="13">
        <f t="shared" si="4"/>
        <v>0</v>
      </c>
      <c r="I110" s="5"/>
      <c r="J110" s="13">
        <f t="shared" si="5"/>
        <v>0</v>
      </c>
      <c r="K110" s="33"/>
    </row>
    <row r="111" spans="1:11" ht="21" customHeight="1" x14ac:dyDescent="0.25">
      <c r="A111" s="185"/>
      <c r="B111" s="185"/>
      <c r="C111" s="185"/>
      <c r="D111" s="192"/>
      <c r="E111" s="13" t="s">
        <v>164</v>
      </c>
      <c r="F111" s="45">
        <v>160</v>
      </c>
      <c r="G111" s="13">
        <v>1.39</v>
      </c>
      <c r="H111" s="13">
        <f t="shared" si="4"/>
        <v>1.5706999999999998</v>
      </c>
      <c r="I111" s="5"/>
      <c r="J111" s="13">
        <f t="shared" si="5"/>
        <v>0</v>
      </c>
      <c r="K111" s="33"/>
    </row>
    <row r="112" spans="1:11" ht="21" customHeight="1" x14ac:dyDescent="0.25">
      <c r="A112" s="186"/>
      <c r="B112" s="186"/>
      <c r="C112" s="186"/>
      <c r="D112" s="193"/>
      <c r="E112" s="13" t="s">
        <v>165</v>
      </c>
      <c r="F112" s="45">
        <v>80</v>
      </c>
      <c r="G112" s="13">
        <v>1.06</v>
      </c>
      <c r="H112" s="13">
        <f t="shared" si="4"/>
        <v>1.1978</v>
      </c>
      <c r="I112" s="5"/>
      <c r="J112" s="13">
        <f t="shared" si="5"/>
        <v>0</v>
      </c>
      <c r="K112" s="33"/>
    </row>
    <row r="113" spans="1:11" ht="21" customHeight="1" x14ac:dyDescent="0.25">
      <c r="A113" s="184" t="s">
        <v>102</v>
      </c>
      <c r="B113" s="184" t="s">
        <v>49</v>
      </c>
      <c r="C113" s="184" t="s">
        <v>48</v>
      </c>
      <c r="D113" s="184" t="s">
        <v>235</v>
      </c>
      <c r="E113" s="13" t="s">
        <v>163</v>
      </c>
      <c r="F113" s="45">
        <v>160</v>
      </c>
      <c r="G113" s="13">
        <v>1.92</v>
      </c>
      <c r="H113" s="13">
        <f t="shared" si="4"/>
        <v>2.1695999999999995</v>
      </c>
      <c r="I113" s="5"/>
      <c r="J113" s="13">
        <f t="shared" si="5"/>
        <v>0</v>
      </c>
      <c r="K113" s="33"/>
    </row>
    <row r="114" spans="1:11" ht="21" customHeight="1" x14ac:dyDescent="0.25">
      <c r="A114" s="185"/>
      <c r="B114" s="185"/>
      <c r="C114" s="185"/>
      <c r="D114" s="185"/>
      <c r="E114" s="13" t="s">
        <v>164</v>
      </c>
      <c r="F114" s="45">
        <v>160</v>
      </c>
      <c r="G114" s="13">
        <v>1.62</v>
      </c>
      <c r="H114" s="13">
        <f t="shared" si="4"/>
        <v>1.8306</v>
      </c>
      <c r="I114" s="5"/>
      <c r="J114" s="13">
        <f t="shared" si="5"/>
        <v>0</v>
      </c>
      <c r="K114" s="33"/>
    </row>
    <row r="115" spans="1:11" ht="21" customHeight="1" x14ac:dyDescent="0.25">
      <c r="A115" s="186"/>
      <c r="B115" s="186"/>
      <c r="C115" s="186"/>
      <c r="D115" s="186"/>
      <c r="E115" s="13" t="s">
        <v>165</v>
      </c>
      <c r="F115" s="45">
        <v>160</v>
      </c>
      <c r="G115" s="13">
        <v>1.51</v>
      </c>
      <c r="H115" s="13">
        <f t="shared" si="4"/>
        <v>1.7062999999999999</v>
      </c>
      <c r="I115" s="5"/>
      <c r="J115" s="13">
        <f t="shared" si="5"/>
        <v>0</v>
      </c>
      <c r="K115" s="33"/>
    </row>
    <row r="116" spans="1:11" ht="21" customHeight="1" x14ac:dyDescent="0.25">
      <c r="A116" s="184" t="s">
        <v>103</v>
      </c>
      <c r="B116" s="184" t="s">
        <v>51</v>
      </c>
      <c r="C116" s="184" t="s">
        <v>50</v>
      </c>
      <c r="D116" s="184" t="s">
        <v>235</v>
      </c>
      <c r="E116" s="13" t="s">
        <v>163</v>
      </c>
      <c r="F116" s="45">
        <v>160</v>
      </c>
      <c r="G116" s="13">
        <v>2.2400000000000002</v>
      </c>
      <c r="H116" s="13">
        <f t="shared" si="4"/>
        <v>2.5312000000000001</v>
      </c>
      <c r="I116" s="5"/>
      <c r="J116" s="13">
        <f t="shared" si="5"/>
        <v>0</v>
      </c>
      <c r="K116" s="33"/>
    </row>
    <row r="117" spans="1:11" ht="21" customHeight="1" x14ac:dyDescent="0.25">
      <c r="A117" s="185"/>
      <c r="B117" s="185"/>
      <c r="C117" s="185"/>
      <c r="D117" s="185"/>
      <c r="E117" s="13" t="s">
        <v>164</v>
      </c>
      <c r="F117" s="45">
        <v>160</v>
      </c>
      <c r="G117" s="13">
        <v>1.89</v>
      </c>
      <c r="H117" s="13">
        <f t="shared" si="4"/>
        <v>2.1356999999999995</v>
      </c>
      <c r="I117" s="5"/>
      <c r="J117" s="13">
        <f t="shared" si="5"/>
        <v>0</v>
      </c>
      <c r="K117" s="33"/>
    </row>
    <row r="118" spans="1:11" ht="21" customHeight="1" x14ac:dyDescent="0.25">
      <c r="A118" s="186"/>
      <c r="B118" s="186"/>
      <c r="C118" s="186"/>
      <c r="D118" s="186"/>
      <c r="E118" s="13" t="s">
        <v>165</v>
      </c>
      <c r="F118" s="45">
        <v>160</v>
      </c>
      <c r="G118" s="13">
        <v>1.73</v>
      </c>
      <c r="H118" s="13">
        <f t="shared" si="4"/>
        <v>1.9548999999999999</v>
      </c>
      <c r="I118" s="5"/>
      <c r="J118" s="13">
        <f t="shared" si="5"/>
        <v>0</v>
      </c>
      <c r="K118" s="33"/>
    </row>
    <row r="119" spans="1:11" ht="21" customHeight="1" x14ac:dyDescent="0.25">
      <c r="A119" s="184" t="s">
        <v>104</v>
      </c>
      <c r="B119" s="184" t="s">
        <v>53</v>
      </c>
      <c r="C119" s="184" t="s">
        <v>52</v>
      </c>
      <c r="D119" s="184" t="s">
        <v>234</v>
      </c>
      <c r="E119" s="13" t="s">
        <v>163</v>
      </c>
      <c r="F119" s="45">
        <v>200</v>
      </c>
      <c r="G119" s="13">
        <v>0</v>
      </c>
      <c r="H119" s="13">
        <f t="shared" si="4"/>
        <v>0</v>
      </c>
      <c r="I119" s="5"/>
      <c r="J119" s="13">
        <f t="shared" si="5"/>
        <v>0</v>
      </c>
      <c r="K119" s="33"/>
    </row>
    <row r="120" spans="1:11" ht="21" customHeight="1" x14ac:dyDescent="0.25">
      <c r="A120" s="185"/>
      <c r="B120" s="185"/>
      <c r="C120" s="185"/>
      <c r="D120" s="185"/>
      <c r="E120" s="13" t="s">
        <v>164</v>
      </c>
      <c r="F120" s="45">
        <v>200</v>
      </c>
      <c r="G120" s="13">
        <v>1.79</v>
      </c>
      <c r="H120" s="13">
        <f t="shared" si="4"/>
        <v>2.0226999999999999</v>
      </c>
      <c r="I120" s="5"/>
      <c r="J120" s="13">
        <f t="shared" si="5"/>
        <v>0</v>
      </c>
      <c r="K120" s="33"/>
    </row>
    <row r="121" spans="1:11" ht="21" customHeight="1" x14ac:dyDescent="0.25">
      <c r="A121" s="185"/>
      <c r="B121" s="185"/>
      <c r="C121" s="185"/>
      <c r="D121" s="185"/>
      <c r="E121" s="13" t="s">
        <v>166</v>
      </c>
      <c r="F121" s="45">
        <v>160</v>
      </c>
      <c r="G121" s="13">
        <v>1.5</v>
      </c>
      <c r="H121" s="13">
        <f t="shared" si="4"/>
        <v>1.6949999999999998</v>
      </c>
      <c r="I121" s="5"/>
      <c r="J121" s="13">
        <f t="shared" si="5"/>
        <v>0</v>
      </c>
      <c r="K121" s="33"/>
    </row>
    <row r="122" spans="1:11" ht="21" customHeight="1" x14ac:dyDescent="0.25">
      <c r="A122" s="186"/>
      <c r="B122" s="186"/>
      <c r="C122" s="186"/>
      <c r="D122" s="186"/>
      <c r="E122" s="13" t="s">
        <v>165</v>
      </c>
      <c r="F122" s="45">
        <v>110</v>
      </c>
      <c r="G122" s="13">
        <v>1.39</v>
      </c>
      <c r="H122" s="13">
        <f t="shared" si="4"/>
        <v>1.5706999999999998</v>
      </c>
      <c r="I122" s="5"/>
      <c r="J122" s="13">
        <f t="shared" si="5"/>
        <v>0</v>
      </c>
      <c r="K122" s="33"/>
    </row>
    <row r="123" spans="1:11" ht="21" customHeight="1" x14ac:dyDescent="0.25">
      <c r="A123" s="184" t="s">
        <v>105</v>
      </c>
      <c r="B123" s="184" t="s">
        <v>55</v>
      </c>
      <c r="C123" s="184" t="s">
        <v>54</v>
      </c>
      <c r="D123" s="184" t="s">
        <v>234</v>
      </c>
      <c r="E123" s="13" t="s">
        <v>163</v>
      </c>
      <c r="F123" s="45">
        <v>200</v>
      </c>
      <c r="G123" s="13">
        <v>1.79</v>
      </c>
      <c r="H123" s="13">
        <f t="shared" si="4"/>
        <v>2.0226999999999999</v>
      </c>
      <c r="I123" s="5"/>
      <c r="J123" s="13">
        <f t="shared" si="5"/>
        <v>0</v>
      </c>
      <c r="K123" s="33"/>
    </row>
    <row r="124" spans="1:11" ht="21" customHeight="1" x14ac:dyDescent="0.25">
      <c r="A124" s="185"/>
      <c r="B124" s="185"/>
      <c r="C124" s="185"/>
      <c r="D124" s="185"/>
      <c r="E124" s="13" t="s">
        <v>164</v>
      </c>
      <c r="F124" s="45">
        <v>200</v>
      </c>
      <c r="G124" s="13">
        <v>1.79</v>
      </c>
      <c r="H124" s="13">
        <f t="shared" si="4"/>
        <v>2.0226999999999999</v>
      </c>
      <c r="I124" s="5"/>
      <c r="J124" s="13">
        <f t="shared" si="5"/>
        <v>0</v>
      </c>
      <c r="K124" s="33"/>
    </row>
    <row r="125" spans="1:11" ht="21" customHeight="1" x14ac:dyDescent="0.25">
      <c r="A125" s="185"/>
      <c r="B125" s="185"/>
      <c r="C125" s="185"/>
      <c r="D125" s="185"/>
      <c r="E125" s="13" t="s">
        <v>166</v>
      </c>
      <c r="F125" s="45">
        <v>160</v>
      </c>
      <c r="G125" s="13">
        <v>1.5</v>
      </c>
      <c r="H125" s="13">
        <f t="shared" si="4"/>
        <v>1.6949999999999998</v>
      </c>
      <c r="I125" s="5"/>
      <c r="J125" s="13">
        <f t="shared" si="5"/>
        <v>0</v>
      </c>
      <c r="K125" s="33"/>
    </row>
    <row r="126" spans="1:11" ht="21" customHeight="1" x14ac:dyDescent="0.25">
      <c r="A126" s="186"/>
      <c r="B126" s="186"/>
      <c r="C126" s="186"/>
      <c r="D126" s="186"/>
      <c r="E126" s="13" t="s">
        <v>165</v>
      </c>
      <c r="F126" s="45">
        <v>110</v>
      </c>
      <c r="G126" s="13">
        <v>1.39</v>
      </c>
      <c r="H126" s="13">
        <f t="shared" si="4"/>
        <v>1.5706999999999998</v>
      </c>
      <c r="I126" s="5"/>
      <c r="J126" s="13">
        <f t="shared" si="5"/>
        <v>0</v>
      </c>
      <c r="K126" s="33"/>
    </row>
    <row r="127" spans="1:11" ht="21" customHeight="1" x14ac:dyDescent="0.25">
      <c r="A127" s="184" t="s">
        <v>106</v>
      </c>
      <c r="B127" s="184" t="s">
        <v>57</v>
      </c>
      <c r="C127" s="184" t="s">
        <v>56</v>
      </c>
      <c r="D127" s="184" t="s">
        <v>234</v>
      </c>
      <c r="E127" s="13" t="s">
        <v>163</v>
      </c>
      <c r="F127" s="45">
        <v>160</v>
      </c>
      <c r="G127" s="13">
        <v>1.32</v>
      </c>
      <c r="H127" s="13">
        <f t="shared" si="4"/>
        <v>1.4916</v>
      </c>
      <c r="I127" s="5"/>
      <c r="J127" s="13">
        <f t="shared" si="5"/>
        <v>0</v>
      </c>
      <c r="K127" s="33"/>
    </row>
    <row r="128" spans="1:11" ht="21" customHeight="1" x14ac:dyDescent="0.25">
      <c r="A128" s="185"/>
      <c r="B128" s="185"/>
      <c r="C128" s="185"/>
      <c r="D128" s="185"/>
      <c r="E128" s="13" t="s">
        <v>164</v>
      </c>
      <c r="F128" s="45">
        <v>160</v>
      </c>
      <c r="G128" s="13">
        <v>1.32</v>
      </c>
      <c r="H128" s="13">
        <f t="shared" si="4"/>
        <v>1.4916</v>
      </c>
      <c r="I128" s="5"/>
      <c r="J128" s="13">
        <f t="shared" si="5"/>
        <v>0</v>
      </c>
      <c r="K128" s="33"/>
    </row>
    <row r="129" spans="1:11" ht="21" customHeight="1" x14ac:dyDescent="0.25">
      <c r="A129" s="185"/>
      <c r="B129" s="185"/>
      <c r="C129" s="185"/>
      <c r="D129" s="185"/>
      <c r="E129" s="13" t="s">
        <v>168</v>
      </c>
      <c r="F129" s="45">
        <v>160</v>
      </c>
      <c r="G129" s="13">
        <v>1.25</v>
      </c>
      <c r="H129" s="13">
        <f t="shared" si="4"/>
        <v>1.4124999999999999</v>
      </c>
      <c r="I129" s="5"/>
      <c r="J129" s="13">
        <f t="shared" si="5"/>
        <v>0</v>
      </c>
      <c r="K129" s="33"/>
    </row>
    <row r="130" spans="1:11" ht="21" customHeight="1" x14ac:dyDescent="0.25">
      <c r="A130" s="186"/>
      <c r="B130" s="186"/>
      <c r="C130" s="186"/>
      <c r="D130" s="186"/>
      <c r="E130" s="13" t="s">
        <v>167</v>
      </c>
      <c r="F130" s="45">
        <v>110</v>
      </c>
      <c r="G130" s="13">
        <v>1.1200000000000001</v>
      </c>
      <c r="H130" s="13">
        <f t="shared" si="4"/>
        <v>1.2656000000000001</v>
      </c>
      <c r="I130" s="5"/>
      <c r="J130" s="13">
        <v>0.5</v>
      </c>
      <c r="K130" s="33" t="s">
        <v>215</v>
      </c>
    </row>
    <row r="131" spans="1:11" ht="21" customHeight="1" x14ac:dyDescent="0.25">
      <c r="A131" s="184" t="s">
        <v>107</v>
      </c>
      <c r="B131" s="184" t="s">
        <v>59</v>
      </c>
      <c r="C131" s="184" t="s">
        <v>58</v>
      </c>
      <c r="D131" s="184" t="s">
        <v>234</v>
      </c>
      <c r="E131" s="13" t="s">
        <v>163</v>
      </c>
      <c r="F131" s="45">
        <v>160</v>
      </c>
      <c r="G131" s="13">
        <v>0</v>
      </c>
      <c r="H131" s="13">
        <f t="shared" si="4"/>
        <v>0</v>
      </c>
      <c r="I131" s="5"/>
      <c r="J131" s="13">
        <f t="shared" si="5"/>
        <v>0</v>
      </c>
      <c r="K131" s="33"/>
    </row>
    <row r="132" spans="1:11" ht="21" customHeight="1" x14ac:dyDescent="0.25">
      <c r="A132" s="185"/>
      <c r="B132" s="185"/>
      <c r="C132" s="185"/>
      <c r="D132" s="185"/>
      <c r="E132" s="13" t="s">
        <v>164</v>
      </c>
      <c r="F132" s="45">
        <v>160</v>
      </c>
      <c r="G132" s="13">
        <v>1.32</v>
      </c>
      <c r="H132" s="13">
        <f t="shared" si="4"/>
        <v>1.4916</v>
      </c>
      <c r="I132" s="5"/>
      <c r="J132" s="13">
        <f t="shared" si="5"/>
        <v>0</v>
      </c>
      <c r="K132" s="33"/>
    </row>
    <row r="133" spans="1:11" ht="21" customHeight="1" x14ac:dyDescent="0.25">
      <c r="A133" s="185"/>
      <c r="B133" s="185"/>
      <c r="C133" s="185"/>
      <c r="D133" s="185"/>
      <c r="E133" s="13" t="s">
        <v>168</v>
      </c>
      <c r="F133" s="45">
        <v>160</v>
      </c>
      <c r="G133" s="13">
        <v>1.25</v>
      </c>
      <c r="H133" s="13">
        <f t="shared" si="4"/>
        <v>1.4124999999999999</v>
      </c>
      <c r="I133" s="5"/>
      <c r="J133" s="13">
        <f t="shared" si="5"/>
        <v>0</v>
      </c>
      <c r="K133" s="33"/>
    </row>
    <row r="134" spans="1:11" ht="21" customHeight="1" x14ac:dyDescent="0.25">
      <c r="A134" s="186"/>
      <c r="B134" s="186"/>
      <c r="C134" s="186"/>
      <c r="D134" s="186"/>
      <c r="E134" s="13" t="s">
        <v>167</v>
      </c>
      <c r="F134" s="45">
        <v>110</v>
      </c>
      <c r="G134" s="13">
        <v>1.1200000000000001</v>
      </c>
      <c r="H134" s="13">
        <f t="shared" ref="H134:H166" si="6">G134*1.13</f>
        <v>1.2656000000000001</v>
      </c>
      <c r="I134" s="5"/>
      <c r="J134" s="13">
        <v>0.5</v>
      </c>
      <c r="K134" s="33" t="s">
        <v>215</v>
      </c>
    </row>
    <row r="135" spans="1:11" ht="21" customHeight="1" x14ac:dyDescent="0.25">
      <c r="A135" s="184" t="s">
        <v>108</v>
      </c>
      <c r="B135" s="184" t="s">
        <v>61</v>
      </c>
      <c r="C135" s="184" t="s">
        <v>60</v>
      </c>
      <c r="D135" s="184" t="s">
        <v>229</v>
      </c>
      <c r="E135" s="13" t="s">
        <v>170</v>
      </c>
      <c r="F135" s="45">
        <v>250</v>
      </c>
      <c r="G135" s="13">
        <v>3.4649999999999999</v>
      </c>
      <c r="H135" s="13">
        <f t="shared" si="6"/>
        <v>3.9154499999999994</v>
      </c>
      <c r="I135" s="5"/>
      <c r="J135" s="13">
        <f t="shared" si="5"/>
        <v>0</v>
      </c>
      <c r="K135" s="33"/>
    </row>
    <row r="136" spans="1:11" ht="21" customHeight="1" x14ac:dyDescent="0.25">
      <c r="A136" s="185"/>
      <c r="B136" s="185"/>
      <c r="C136" s="185"/>
      <c r="D136" s="185"/>
      <c r="E136" s="13" t="s">
        <v>164</v>
      </c>
      <c r="F136" s="45">
        <v>250</v>
      </c>
      <c r="G136" s="13">
        <v>3.4649999999999999</v>
      </c>
      <c r="H136" s="13">
        <f t="shared" si="6"/>
        <v>3.9154499999999994</v>
      </c>
      <c r="I136" s="5"/>
      <c r="J136" s="13">
        <f t="shared" si="5"/>
        <v>0</v>
      </c>
      <c r="K136" s="33"/>
    </row>
    <row r="137" spans="1:11" ht="21" customHeight="1" x14ac:dyDescent="0.25">
      <c r="A137" s="185"/>
      <c r="B137" s="185"/>
      <c r="C137" s="185"/>
      <c r="D137" s="185"/>
      <c r="E137" s="13" t="s">
        <v>165</v>
      </c>
      <c r="F137" s="45">
        <v>200</v>
      </c>
      <c r="G137" s="13">
        <v>3.14</v>
      </c>
      <c r="H137" s="13">
        <f t="shared" si="6"/>
        <v>3.5482</v>
      </c>
      <c r="I137" s="5"/>
      <c r="J137" s="13">
        <f t="shared" si="5"/>
        <v>0</v>
      </c>
      <c r="K137" s="33"/>
    </row>
    <row r="138" spans="1:11" ht="21" customHeight="1" x14ac:dyDescent="0.25">
      <c r="A138" s="185"/>
      <c r="B138" s="185"/>
      <c r="C138" s="185"/>
      <c r="D138" s="185"/>
      <c r="E138" s="13" t="s">
        <v>167</v>
      </c>
      <c r="F138" s="45">
        <v>200</v>
      </c>
      <c r="G138" s="13">
        <v>3.14</v>
      </c>
      <c r="H138" s="13">
        <f t="shared" si="6"/>
        <v>3.5482</v>
      </c>
      <c r="I138" s="5"/>
      <c r="J138" s="13">
        <f t="shared" si="5"/>
        <v>0</v>
      </c>
      <c r="K138" s="33"/>
    </row>
    <row r="139" spans="1:11" ht="21" customHeight="1" x14ac:dyDescent="0.25">
      <c r="A139" s="186"/>
      <c r="B139" s="186"/>
      <c r="C139" s="186"/>
      <c r="D139" s="186"/>
      <c r="E139" s="13" t="s">
        <v>165</v>
      </c>
      <c r="F139" s="45">
        <v>200</v>
      </c>
      <c r="G139" s="13">
        <v>1.83</v>
      </c>
      <c r="H139" s="13">
        <f t="shared" si="6"/>
        <v>2.0678999999999998</v>
      </c>
      <c r="I139" s="5"/>
      <c r="J139" s="13">
        <v>0.5</v>
      </c>
      <c r="K139" s="33" t="s">
        <v>216</v>
      </c>
    </row>
    <row r="140" spans="1:11" ht="21" customHeight="1" x14ac:dyDescent="0.25">
      <c r="A140" s="184" t="s">
        <v>109</v>
      </c>
      <c r="B140" s="184" t="s">
        <v>63</v>
      </c>
      <c r="C140" s="184" t="s">
        <v>62</v>
      </c>
      <c r="D140" s="184" t="s">
        <v>229</v>
      </c>
      <c r="E140" s="13" t="s">
        <v>164</v>
      </c>
      <c r="F140" s="45">
        <v>250</v>
      </c>
      <c r="G140" s="13">
        <v>3.9</v>
      </c>
      <c r="H140" s="13">
        <f t="shared" si="6"/>
        <v>4.4069999999999991</v>
      </c>
      <c r="I140" s="5"/>
      <c r="J140" s="13">
        <v>0.8</v>
      </c>
      <c r="K140" s="33" t="s">
        <v>217</v>
      </c>
    </row>
    <row r="141" spans="1:11" ht="21" customHeight="1" x14ac:dyDescent="0.25">
      <c r="A141" s="185"/>
      <c r="B141" s="185"/>
      <c r="C141" s="185"/>
      <c r="D141" s="185"/>
      <c r="E141" s="13" t="s">
        <v>168</v>
      </c>
      <c r="F141" s="45">
        <v>250</v>
      </c>
      <c r="G141" s="13">
        <v>3.9</v>
      </c>
      <c r="H141" s="13">
        <f t="shared" si="6"/>
        <v>4.4069999999999991</v>
      </c>
      <c r="I141" s="5"/>
      <c r="J141" s="13">
        <v>0.8</v>
      </c>
      <c r="K141" s="33" t="s">
        <v>218</v>
      </c>
    </row>
    <row r="142" spans="1:11" ht="21" customHeight="1" x14ac:dyDescent="0.25">
      <c r="A142" s="185"/>
      <c r="B142" s="185"/>
      <c r="C142" s="185"/>
      <c r="D142" s="185"/>
      <c r="E142" s="13" t="s">
        <v>171</v>
      </c>
      <c r="F142" s="45">
        <v>200</v>
      </c>
      <c r="G142" s="13">
        <v>3.31</v>
      </c>
      <c r="H142" s="13">
        <f t="shared" si="6"/>
        <v>3.7402999999999995</v>
      </c>
      <c r="I142" s="5"/>
      <c r="J142" s="13">
        <f t="shared" si="5"/>
        <v>0</v>
      </c>
      <c r="K142" s="33"/>
    </row>
    <row r="143" spans="1:11" ht="21" customHeight="1" x14ac:dyDescent="0.25">
      <c r="A143" s="185"/>
      <c r="B143" s="185"/>
      <c r="C143" s="185"/>
      <c r="D143" s="185"/>
      <c r="E143" s="13" t="s">
        <v>167</v>
      </c>
      <c r="F143" s="45">
        <v>200</v>
      </c>
      <c r="G143" s="13">
        <v>3.31</v>
      </c>
      <c r="H143" s="13">
        <f t="shared" si="6"/>
        <v>3.7402999999999995</v>
      </c>
      <c r="I143" s="5"/>
      <c r="J143" s="13">
        <v>0.8</v>
      </c>
      <c r="K143" s="33" t="s">
        <v>219</v>
      </c>
    </row>
    <row r="144" spans="1:11" ht="21" customHeight="1" x14ac:dyDescent="0.25">
      <c r="A144" s="185"/>
      <c r="B144" s="185"/>
      <c r="C144" s="185"/>
      <c r="D144" s="185"/>
      <c r="E144" s="13" t="s">
        <v>169</v>
      </c>
      <c r="F144" s="45">
        <v>200</v>
      </c>
      <c r="G144" s="13">
        <v>4.54</v>
      </c>
      <c r="H144" s="13">
        <f t="shared" si="6"/>
        <v>5.1301999999999994</v>
      </c>
      <c r="I144" s="5"/>
      <c r="J144" s="13">
        <v>0.8</v>
      </c>
      <c r="K144" s="33" t="s">
        <v>220</v>
      </c>
    </row>
    <row r="145" spans="1:11" ht="21" customHeight="1" x14ac:dyDescent="0.25">
      <c r="A145" s="186"/>
      <c r="B145" s="186"/>
      <c r="C145" s="186"/>
      <c r="D145" s="186"/>
      <c r="E145" s="13" t="s">
        <v>167</v>
      </c>
      <c r="F145" s="45">
        <v>200</v>
      </c>
      <c r="G145" s="13">
        <v>2.95</v>
      </c>
      <c r="H145" s="13">
        <f t="shared" si="6"/>
        <v>3.3334999999999999</v>
      </c>
      <c r="I145" s="5"/>
      <c r="J145" s="13">
        <v>0.8</v>
      </c>
      <c r="K145" s="33" t="s">
        <v>221</v>
      </c>
    </row>
    <row r="146" spans="1:11" ht="21" customHeight="1" x14ac:dyDescent="0.25">
      <c r="A146" s="184" t="s">
        <v>110</v>
      </c>
      <c r="B146" s="184" t="s">
        <v>65</v>
      </c>
      <c r="C146" s="184" t="s">
        <v>64</v>
      </c>
      <c r="D146" s="184" t="s">
        <v>229</v>
      </c>
      <c r="E146" s="13" t="s">
        <v>164</v>
      </c>
      <c r="F146" s="45">
        <v>250</v>
      </c>
      <c r="G146" s="13">
        <v>3.12</v>
      </c>
      <c r="H146" s="13">
        <f t="shared" si="6"/>
        <v>3.5255999999999998</v>
      </c>
      <c r="I146" s="5"/>
      <c r="J146" s="13">
        <f t="shared" si="5"/>
        <v>0</v>
      </c>
      <c r="K146" s="33"/>
    </row>
    <row r="147" spans="1:11" ht="21" customHeight="1" x14ac:dyDescent="0.25">
      <c r="A147" s="185"/>
      <c r="B147" s="185"/>
      <c r="C147" s="185"/>
      <c r="D147" s="185"/>
      <c r="E147" s="13" t="s">
        <v>168</v>
      </c>
      <c r="F147" s="45">
        <v>250</v>
      </c>
      <c r="G147" s="13">
        <v>3.12</v>
      </c>
      <c r="H147" s="13">
        <f t="shared" si="6"/>
        <v>3.5255999999999998</v>
      </c>
      <c r="I147" s="5"/>
      <c r="J147" s="13">
        <v>0.5</v>
      </c>
      <c r="K147" s="33" t="s">
        <v>222</v>
      </c>
    </row>
    <row r="148" spans="1:11" ht="21" customHeight="1" x14ac:dyDescent="0.25">
      <c r="A148" s="185"/>
      <c r="B148" s="185"/>
      <c r="C148" s="185"/>
      <c r="D148" s="185"/>
      <c r="E148" s="2" t="s">
        <v>166</v>
      </c>
      <c r="F148" s="45">
        <v>250</v>
      </c>
      <c r="G148" s="13">
        <v>3.01</v>
      </c>
      <c r="H148" s="13">
        <f t="shared" si="6"/>
        <v>3.4012999999999995</v>
      </c>
      <c r="I148" s="5"/>
      <c r="J148" s="13">
        <v>0.5</v>
      </c>
      <c r="K148" s="33" t="s">
        <v>213</v>
      </c>
    </row>
    <row r="149" spans="1:11" ht="21" customHeight="1" x14ac:dyDescent="0.25">
      <c r="A149" s="186"/>
      <c r="B149" s="186"/>
      <c r="C149" s="186"/>
      <c r="D149" s="186"/>
      <c r="E149" s="13" t="s">
        <v>169</v>
      </c>
      <c r="F149" s="45">
        <v>250</v>
      </c>
      <c r="G149" s="13">
        <v>3.67</v>
      </c>
      <c r="H149" s="13">
        <f t="shared" si="6"/>
        <v>4.1470999999999991</v>
      </c>
      <c r="I149" s="5"/>
      <c r="J149" s="13">
        <v>0.5</v>
      </c>
      <c r="K149" s="33" t="s">
        <v>213</v>
      </c>
    </row>
    <row r="150" spans="1:11" ht="21" customHeight="1" x14ac:dyDescent="0.25">
      <c r="A150" s="184" t="s">
        <v>111</v>
      </c>
      <c r="B150" s="184" t="s">
        <v>67</v>
      </c>
      <c r="C150" s="184" t="s">
        <v>66</v>
      </c>
      <c r="D150" s="184" t="s">
        <v>236</v>
      </c>
      <c r="E150" s="13" t="s">
        <v>163</v>
      </c>
      <c r="F150" s="45">
        <v>160</v>
      </c>
      <c r="G150" s="13">
        <v>1.41</v>
      </c>
      <c r="H150" s="13">
        <f t="shared" si="6"/>
        <v>1.5932999999999997</v>
      </c>
      <c r="I150" s="5"/>
      <c r="J150" s="13">
        <f t="shared" si="5"/>
        <v>0</v>
      </c>
      <c r="K150" s="33"/>
    </row>
    <row r="151" spans="1:11" ht="21" customHeight="1" x14ac:dyDescent="0.25">
      <c r="A151" s="185"/>
      <c r="B151" s="185"/>
      <c r="C151" s="185"/>
      <c r="D151" s="185"/>
      <c r="E151" s="13" t="s">
        <v>164</v>
      </c>
      <c r="F151" s="45">
        <v>160</v>
      </c>
      <c r="G151" s="13">
        <v>1.41</v>
      </c>
      <c r="H151" s="13">
        <f t="shared" si="6"/>
        <v>1.5932999999999997</v>
      </c>
      <c r="I151" s="5"/>
      <c r="J151" s="13">
        <f t="shared" si="5"/>
        <v>0</v>
      </c>
      <c r="K151" s="33"/>
    </row>
    <row r="152" spans="1:11" ht="21" customHeight="1" x14ac:dyDescent="0.25">
      <c r="A152" s="185"/>
      <c r="B152" s="185"/>
      <c r="C152" s="185"/>
      <c r="D152" s="185"/>
      <c r="E152" s="13" t="s">
        <v>167</v>
      </c>
      <c r="F152" s="45">
        <v>160</v>
      </c>
      <c r="G152" s="13">
        <v>1.39</v>
      </c>
      <c r="H152" s="13">
        <f t="shared" si="6"/>
        <v>1.5706999999999998</v>
      </c>
      <c r="I152" s="5"/>
      <c r="J152" s="13">
        <f t="shared" si="5"/>
        <v>0</v>
      </c>
      <c r="K152" s="33"/>
    </row>
    <row r="153" spans="1:11" ht="21" customHeight="1" x14ac:dyDescent="0.25">
      <c r="A153" s="186"/>
      <c r="B153" s="186"/>
      <c r="C153" s="186"/>
      <c r="D153" s="186"/>
      <c r="E153" s="13" t="s">
        <v>165</v>
      </c>
      <c r="F153" s="45">
        <v>110</v>
      </c>
      <c r="G153" s="13">
        <v>1.3</v>
      </c>
      <c r="H153" s="13">
        <f t="shared" si="6"/>
        <v>1.4689999999999999</v>
      </c>
      <c r="I153" s="5"/>
      <c r="J153" s="13">
        <f t="shared" si="5"/>
        <v>0</v>
      </c>
      <c r="K153" s="33"/>
    </row>
    <row r="154" spans="1:11" ht="21" customHeight="1" x14ac:dyDescent="0.25">
      <c r="A154" s="184" t="s">
        <v>112</v>
      </c>
      <c r="B154" s="184" t="s">
        <v>69</v>
      </c>
      <c r="C154" s="184" t="s">
        <v>68</v>
      </c>
      <c r="D154" s="184" t="s">
        <v>236</v>
      </c>
      <c r="E154" s="13" t="s">
        <v>163</v>
      </c>
      <c r="F154" s="45">
        <v>160</v>
      </c>
      <c r="G154" s="13">
        <v>0</v>
      </c>
      <c r="H154" s="13">
        <f t="shared" si="6"/>
        <v>0</v>
      </c>
      <c r="I154" s="5"/>
      <c r="J154" s="13">
        <f t="shared" si="5"/>
        <v>0</v>
      </c>
      <c r="K154" s="33"/>
    </row>
    <row r="155" spans="1:11" ht="21" customHeight="1" x14ac:dyDescent="0.25">
      <c r="A155" s="185"/>
      <c r="B155" s="185"/>
      <c r="C155" s="185"/>
      <c r="D155" s="185"/>
      <c r="E155" s="13" t="s">
        <v>164</v>
      </c>
      <c r="F155" s="45">
        <v>160</v>
      </c>
      <c r="G155" s="13">
        <v>1.41</v>
      </c>
      <c r="H155" s="13">
        <f t="shared" si="6"/>
        <v>1.5932999999999997</v>
      </c>
      <c r="I155" s="5"/>
      <c r="J155" s="13">
        <f t="shared" si="5"/>
        <v>0</v>
      </c>
      <c r="K155" s="33"/>
    </row>
    <row r="156" spans="1:11" ht="21" customHeight="1" x14ac:dyDescent="0.25">
      <c r="A156" s="185"/>
      <c r="B156" s="185"/>
      <c r="C156" s="185"/>
      <c r="D156" s="185"/>
      <c r="E156" s="13" t="s">
        <v>167</v>
      </c>
      <c r="F156" s="45">
        <v>160</v>
      </c>
      <c r="G156" s="13">
        <v>1.39</v>
      </c>
      <c r="H156" s="13">
        <f t="shared" si="6"/>
        <v>1.5706999999999998</v>
      </c>
      <c r="I156" s="5"/>
      <c r="J156" s="13">
        <f t="shared" si="5"/>
        <v>0</v>
      </c>
      <c r="K156" s="33"/>
    </row>
    <row r="157" spans="1:11" ht="21" customHeight="1" x14ac:dyDescent="0.25">
      <c r="A157" s="186"/>
      <c r="B157" s="186"/>
      <c r="C157" s="186"/>
      <c r="D157" s="186"/>
      <c r="E157" s="13" t="s">
        <v>165</v>
      </c>
      <c r="F157" s="45">
        <v>110</v>
      </c>
      <c r="G157" s="13">
        <v>1.3</v>
      </c>
      <c r="H157" s="13">
        <f t="shared" si="6"/>
        <v>1.4689999999999999</v>
      </c>
      <c r="I157" s="5"/>
      <c r="J157" s="13">
        <f t="shared" si="5"/>
        <v>0</v>
      </c>
      <c r="K157" s="33"/>
    </row>
    <row r="158" spans="1:11" ht="21" customHeight="1" x14ac:dyDescent="0.25">
      <c r="A158" s="184" t="s">
        <v>113</v>
      </c>
      <c r="B158" s="184" t="s">
        <v>71</v>
      </c>
      <c r="C158" s="184" t="s">
        <v>70</v>
      </c>
      <c r="D158" s="184" t="s">
        <v>236</v>
      </c>
      <c r="E158" s="13" t="s">
        <v>163</v>
      </c>
      <c r="F158" s="45">
        <v>250</v>
      </c>
      <c r="G158" s="13">
        <v>2.355</v>
      </c>
      <c r="H158" s="13">
        <f t="shared" si="6"/>
        <v>2.6611499999999997</v>
      </c>
      <c r="I158" s="5"/>
      <c r="J158" s="13">
        <v>0.3</v>
      </c>
      <c r="K158" s="33" t="s">
        <v>222</v>
      </c>
    </row>
    <row r="159" spans="1:11" ht="21" customHeight="1" x14ac:dyDescent="0.25">
      <c r="A159" s="185"/>
      <c r="B159" s="185"/>
      <c r="C159" s="185"/>
      <c r="D159" s="185"/>
      <c r="E159" s="13" t="s">
        <v>166</v>
      </c>
      <c r="F159" s="45">
        <v>250</v>
      </c>
      <c r="G159" s="13">
        <v>2.355</v>
      </c>
      <c r="H159" s="13">
        <f t="shared" si="6"/>
        <v>2.6611499999999997</v>
      </c>
      <c r="I159" s="5"/>
      <c r="J159" s="13">
        <f t="shared" si="5"/>
        <v>0</v>
      </c>
      <c r="K159" s="33"/>
    </row>
    <row r="160" spans="1:11" ht="21" customHeight="1" x14ac:dyDescent="0.25">
      <c r="A160" s="186"/>
      <c r="B160" s="186"/>
      <c r="C160" s="186"/>
      <c r="D160" s="186"/>
      <c r="E160" s="13" t="s">
        <v>165</v>
      </c>
      <c r="F160" s="45">
        <v>110</v>
      </c>
      <c r="G160" s="13">
        <v>1.5</v>
      </c>
      <c r="H160" s="13">
        <f t="shared" si="6"/>
        <v>1.6949999999999998</v>
      </c>
      <c r="I160" s="5"/>
      <c r="J160" s="13">
        <f t="shared" si="5"/>
        <v>0</v>
      </c>
      <c r="K160" s="33"/>
    </row>
    <row r="161" spans="1:11" ht="21" customHeight="1" x14ac:dyDescent="0.25">
      <c r="A161" s="184" t="s">
        <v>114</v>
      </c>
      <c r="B161" s="184" t="s">
        <v>73</v>
      </c>
      <c r="C161" s="184" t="s">
        <v>72</v>
      </c>
      <c r="D161" s="184" t="s">
        <v>237</v>
      </c>
      <c r="E161" s="13" t="s">
        <v>158</v>
      </c>
      <c r="F161" s="45">
        <v>160</v>
      </c>
      <c r="G161" s="13">
        <v>1.1000000000000001</v>
      </c>
      <c r="H161" s="13">
        <f t="shared" si="6"/>
        <v>1.2429999999999999</v>
      </c>
      <c r="I161" s="5"/>
      <c r="J161" s="13">
        <f t="shared" si="5"/>
        <v>0</v>
      </c>
      <c r="K161" s="33"/>
    </row>
    <row r="162" spans="1:11" ht="21" customHeight="1" x14ac:dyDescent="0.25">
      <c r="A162" s="185"/>
      <c r="B162" s="185"/>
      <c r="C162" s="185"/>
      <c r="D162" s="185"/>
      <c r="E162" s="13" t="s">
        <v>159</v>
      </c>
      <c r="F162" s="45">
        <v>160</v>
      </c>
      <c r="G162" s="13">
        <v>1.1000000000000001</v>
      </c>
      <c r="H162" s="13">
        <f t="shared" si="6"/>
        <v>1.2429999999999999</v>
      </c>
      <c r="I162" s="5"/>
      <c r="J162" s="13">
        <f t="shared" ref="J162:J163" si="7">I162*1.13</f>
        <v>0</v>
      </c>
      <c r="K162" s="33"/>
    </row>
    <row r="163" spans="1:11" ht="21" customHeight="1" x14ac:dyDescent="0.25">
      <c r="A163" s="186"/>
      <c r="B163" s="186"/>
      <c r="C163" s="186"/>
      <c r="D163" s="186"/>
      <c r="E163" s="13" t="s">
        <v>160</v>
      </c>
      <c r="F163" s="45">
        <v>80</v>
      </c>
      <c r="G163" s="13">
        <v>0.93</v>
      </c>
      <c r="H163" s="13">
        <f t="shared" si="6"/>
        <v>1.0508999999999999</v>
      </c>
      <c r="I163" s="5"/>
      <c r="J163" s="13">
        <f t="shared" si="7"/>
        <v>0</v>
      </c>
      <c r="K163" s="33"/>
    </row>
    <row r="164" spans="1:11" s="57" customFormat="1" ht="18" customHeight="1" x14ac:dyDescent="0.25">
      <c r="A164" s="194" t="s">
        <v>115</v>
      </c>
      <c r="B164" s="197" t="s">
        <v>75</v>
      </c>
      <c r="C164" s="197" t="s">
        <v>74</v>
      </c>
      <c r="D164" s="197" t="s">
        <v>124</v>
      </c>
      <c r="E164" s="53" t="s">
        <v>158</v>
      </c>
      <c r="F164" s="54">
        <v>200</v>
      </c>
      <c r="G164" s="53">
        <v>1.8</v>
      </c>
      <c r="H164" s="53">
        <f t="shared" si="6"/>
        <v>2.0339999999999998</v>
      </c>
      <c r="I164" s="58"/>
      <c r="J164" s="53">
        <v>0</v>
      </c>
      <c r="K164" s="56" t="s">
        <v>223</v>
      </c>
    </row>
    <row r="165" spans="1:11" s="57" customFormat="1" ht="18" customHeight="1" x14ac:dyDescent="0.25">
      <c r="A165" s="195"/>
      <c r="B165" s="198"/>
      <c r="C165" s="198"/>
      <c r="D165" s="198"/>
      <c r="E165" s="53" t="s">
        <v>159</v>
      </c>
      <c r="F165" s="54">
        <v>160</v>
      </c>
      <c r="G165" s="53">
        <v>1.5549999999999999</v>
      </c>
      <c r="H165" s="53">
        <f t="shared" si="6"/>
        <v>1.7571499999999998</v>
      </c>
      <c r="I165" s="58"/>
      <c r="J165" s="53">
        <v>0</v>
      </c>
      <c r="K165" s="56" t="s">
        <v>223</v>
      </c>
    </row>
    <row r="166" spans="1:11" s="57" customFormat="1" ht="18" customHeight="1" x14ac:dyDescent="0.25">
      <c r="A166" s="196"/>
      <c r="B166" s="199"/>
      <c r="C166" s="199"/>
      <c r="D166" s="199"/>
      <c r="E166" s="53" t="s">
        <v>160</v>
      </c>
      <c r="F166" s="54">
        <v>160</v>
      </c>
      <c r="G166" s="53">
        <v>1.5549999999999999</v>
      </c>
      <c r="H166" s="53">
        <f t="shared" si="6"/>
        <v>1.7571499999999998</v>
      </c>
      <c r="I166" s="58"/>
      <c r="J166" s="53">
        <v>0</v>
      </c>
      <c r="K166" s="56" t="s">
        <v>223</v>
      </c>
    </row>
    <row r="167" spans="1:11" s="51" customFormat="1" ht="17.100000000000001" customHeight="1" x14ac:dyDescent="0.25">
      <c r="A167" s="187" t="s">
        <v>186</v>
      </c>
      <c r="B167" s="188"/>
      <c r="C167" s="188"/>
      <c r="D167" s="189"/>
      <c r="E167" s="48"/>
      <c r="F167" s="50"/>
      <c r="G167" s="48">
        <f>SUM(G3:G166)</f>
        <v>385.00000000000017</v>
      </c>
      <c r="H167" s="48">
        <f>SUM(H3:H166)</f>
        <v>435.04999999999995</v>
      </c>
      <c r="I167" s="48">
        <f t="shared" ref="I167:J167" si="8">SUM(I3:I166)</f>
        <v>0</v>
      </c>
      <c r="J167" s="52">
        <f t="shared" si="8"/>
        <v>21.300000000000004</v>
      </c>
      <c r="K167" s="49"/>
    </row>
    <row r="168" spans="1:11" x14ac:dyDescent="0.25">
      <c r="A168" s="190" t="s">
        <v>187</v>
      </c>
      <c r="B168" s="190"/>
      <c r="C168" s="190"/>
      <c r="D168" s="190"/>
      <c r="E168" s="67"/>
      <c r="F168" s="68"/>
      <c r="G168" s="69">
        <f>G167*10000</f>
        <v>3850000.0000000019</v>
      </c>
      <c r="H168" s="69">
        <f t="shared" ref="H168:J168" si="9">H167*10000</f>
        <v>4350500</v>
      </c>
      <c r="I168" s="69">
        <f t="shared" si="9"/>
        <v>0</v>
      </c>
      <c r="J168" s="69">
        <f t="shared" si="9"/>
        <v>213000.00000000003</v>
      </c>
      <c r="K168" s="70"/>
    </row>
  </sheetData>
  <mergeCells count="151">
    <mergeCell ref="A1:K1"/>
    <mergeCell ref="A3:A6"/>
    <mergeCell ref="B3:B6"/>
    <mergeCell ref="C3:C6"/>
    <mergeCell ref="D3:D6"/>
    <mergeCell ref="A7:A10"/>
    <mergeCell ref="B7:B10"/>
    <mergeCell ref="C7:C10"/>
    <mergeCell ref="D7:D10"/>
    <mergeCell ref="A19:A24"/>
    <mergeCell ref="B19:B24"/>
    <mergeCell ref="C19:C24"/>
    <mergeCell ref="D19:D24"/>
    <mergeCell ref="A25:A30"/>
    <mergeCell ref="B25:B30"/>
    <mergeCell ref="C25:C30"/>
    <mergeCell ref="D25:D30"/>
    <mergeCell ref="A11:A14"/>
    <mergeCell ref="B11:B14"/>
    <mergeCell ref="C11:C14"/>
    <mergeCell ref="D11:D14"/>
    <mergeCell ref="A15:A18"/>
    <mergeCell ref="B15:B18"/>
    <mergeCell ref="C15:C18"/>
    <mergeCell ref="D15:D18"/>
    <mergeCell ref="A47:A52"/>
    <mergeCell ref="B47:B52"/>
    <mergeCell ref="C47:C52"/>
    <mergeCell ref="D47:D52"/>
    <mergeCell ref="A53:A58"/>
    <mergeCell ref="B53:B58"/>
    <mergeCell ref="C53:C58"/>
    <mergeCell ref="D53:D58"/>
    <mergeCell ref="A31:A38"/>
    <mergeCell ref="B31:B38"/>
    <mergeCell ref="C31:C38"/>
    <mergeCell ref="D31:D38"/>
    <mergeCell ref="A39:A46"/>
    <mergeCell ref="B39:B46"/>
    <mergeCell ref="C39:C46"/>
    <mergeCell ref="D39:D46"/>
    <mergeCell ref="A69:A72"/>
    <mergeCell ref="B69:B72"/>
    <mergeCell ref="C69:C72"/>
    <mergeCell ref="D69:D72"/>
    <mergeCell ref="A73:A76"/>
    <mergeCell ref="B73:B76"/>
    <mergeCell ref="C73:C76"/>
    <mergeCell ref="D73:D76"/>
    <mergeCell ref="A59:A63"/>
    <mergeCell ref="B59:B63"/>
    <mergeCell ref="C59:C63"/>
    <mergeCell ref="D59:D63"/>
    <mergeCell ref="A64:A68"/>
    <mergeCell ref="B64:B68"/>
    <mergeCell ref="C64:C68"/>
    <mergeCell ref="D64:D68"/>
    <mergeCell ref="A87:A90"/>
    <mergeCell ref="B87:B90"/>
    <mergeCell ref="C87:C90"/>
    <mergeCell ref="D87:D90"/>
    <mergeCell ref="A91:A96"/>
    <mergeCell ref="B91:B96"/>
    <mergeCell ref="C91:C96"/>
    <mergeCell ref="D91:D96"/>
    <mergeCell ref="A77:A81"/>
    <mergeCell ref="B77:B81"/>
    <mergeCell ref="C77:C81"/>
    <mergeCell ref="D77:D81"/>
    <mergeCell ref="A82:A86"/>
    <mergeCell ref="B82:B86"/>
    <mergeCell ref="C82:C86"/>
    <mergeCell ref="D82:D86"/>
    <mergeCell ref="A103:A106"/>
    <mergeCell ref="B103:B106"/>
    <mergeCell ref="C103:C106"/>
    <mergeCell ref="D103:D106"/>
    <mergeCell ref="A107:A109"/>
    <mergeCell ref="B107:B109"/>
    <mergeCell ref="C107:C109"/>
    <mergeCell ref="D107:D109"/>
    <mergeCell ref="A97:A99"/>
    <mergeCell ref="B97:B99"/>
    <mergeCell ref="C97:C99"/>
    <mergeCell ref="D97:D99"/>
    <mergeCell ref="A100:A102"/>
    <mergeCell ref="B100:B102"/>
    <mergeCell ref="C100:C102"/>
    <mergeCell ref="D100:D102"/>
    <mergeCell ref="A116:A118"/>
    <mergeCell ref="B116:B118"/>
    <mergeCell ref="C116:C118"/>
    <mergeCell ref="D116:D118"/>
    <mergeCell ref="A119:A122"/>
    <mergeCell ref="B119:B122"/>
    <mergeCell ref="C119:C122"/>
    <mergeCell ref="D119:D122"/>
    <mergeCell ref="A110:A112"/>
    <mergeCell ref="B110:B112"/>
    <mergeCell ref="C110:C112"/>
    <mergeCell ref="D110:D112"/>
    <mergeCell ref="A113:A115"/>
    <mergeCell ref="B113:B115"/>
    <mergeCell ref="C113:C115"/>
    <mergeCell ref="D113:D115"/>
    <mergeCell ref="A131:A134"/>
    <mergeCell ref="B131:B134"/>
    <mergeCell ref="C131:C134"/>
    <mergeCell ref="D131:D134"/>
    <mergeCell ref="A135:A139"/>
    <mergeCell ref="B135:B139"/>
    <mergeCell ref="C135:C139"/>
    <mergeCell ref="D135:D139"/>
    <mergeCell ref="A123:A126"/>
    <mergeCell ref="B123:B126"/>
    <mergeCell ref="C123:C126"/>
    <mergeCell ref="D123:D126"/>
    <mergeCell ref="A127:A130"/>
    <mergeCell ref="B127:B130"/>
    <mergeCell ref="C127:C130"/>
    <mergeCell ref="D127:D130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40:A145"/>
    <mergeCell ref="B140:B145"/>
    <mergeCell ref="C140:C145"/>
    <mergeCell ref="D140:D145"/>
    <mergeCell ref="A146:A149"/>
    <mergeCell ref="B146:B149"/>
    <mergeCell ref="C146:C149"/>
    <mergeCell ref="D146:D149"/>
    <mergeCell ref="A164:A166"/>
    <mergeCell ref="B164:B166"/>
    <mergeCell ref="C164:C166"/>
    <mergeCell ref="D164:D166"/>
    <mergeCell ref="A167:D167"/>
    <mergeCell ref="A168:D168"/>
    <mergeCell ref="A158:A160"/>
    <mergeCell ref="B158:B160"/>
    <mergeCell ref="C158:C160"/>
    <mergeCell ref="D158:D160"/>
    <mergeCell ref="A161:A163"/>
    <mergeCell ref="B161:B163"/>
    <mergeCell ref="C161:C163"/>
    <mergeCell ref="D161:D163"/>
  </mergeCells>
  <phoneticPr fontId="2" type="noConversion"/>
  <conditionalFormatting sqref="B164">
    <cfRule type="duplicateValues" dxfId="0" priority="1"/>
  </conditionalFormatting>
  <printOptions horizontalCentered="1"/>
  <pageMargins left="0.11811023622047245" right="0.11811023622047245" top="0.55118110236220474" bottom="0.15748031496062992" header="0.31496062992125984" footer="0.31496062992125984"/>
  <pageSetup paperSize="9" scale="73" orientation="landscape" r:id="rId1"/>
  <rowBreaks count="4" manualBreakCount="4">
    <brk id="38" max="10" man="1"/>
    <brk id="76" max="10" man="1"/>
    <brk id="112" max="10" man="1"/>
    <brk id="149" max="1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1D71-9B0B-451C-B4E1-E5AE7509FCF9}">
  <dimension ref="A1:AE51"/>
  <sheetViews>
    <sheetView view="pageBreakPreview" zoomScale="90" zoomScaleNormal="85" zoomScaleSheetLayoutView="90" workbookViewId="0">
      <pane xSplit="4" ySplit="5" topLeftCell="O14" activePane="bottomRight" state="frozen"/>
      <selection pane="topRight" activeCell="E1" sqref="E1"/>
      <selection pane="bottomLeft" activeCell="A5" sqref="A5"/>
      <selection pane="bottomRight" activeCell="T6" sqref="T6:U42"/>
    </sheetView>
  </sheetViews>
  <sheetFormatPr defaultColWidth="9" defaultRowHeight="13.8" x14ac:dyDescent="0.25"/>
  <cols>
    <col min="1" max="1" width="8.77734375" style="2" customWidth="1"/>
    <col min="2" max="2" width="14.33203125" style="2" customWidth="1"/>
    <col min="3" max="3" width="35.77734375" style="35" customWidth="1"/>
    <col min="4" max="4" width="19.21875" style="2" customWidth="1"/>
    <col min="5" max="5" width="10.109375" style="80" customWidth="1"/>
    <col min="6" max="6" width="11" style="8" customWidth="1"/>
    <col min="7" max="7" width="9.6640625" style="95" customWidth="1"/>
    <col min="8" max="8" width="9.6640625" style="65" customWidth="1"/>
    <col min="9" max="9" width="9.5546875" style="101" customWidth="1"/>
    <col min="10" max="10" width="9.33203125" style="91" customWidth="1"/>
    <col min="11" max="16" width="9.88671875" style="8" customWidth="1"/>
    <col min="17" max="17" width="10.88671875" style="2" customWidth="1"/>
    <col min="18" max="18" width="13.21875" style="8" customWidth="1"/>
    <col min="19" max="19" width="14.33203125" style="2" customWidth="1"/>
    <col min="20" max="21" width="9.44140625" style="8" customWidth="1"/>
    <col min="22" max="22" width="9.21875" style="8" customWidth="1"/>
    <col min="23" max="24" width="13.44140625" style="8" customWidth="1"/>
    <col min="25" max="25" width="12.21875" style="2" customWidth="1"/>
    <col min="26" max="28" width="9" style="2"/>
    <col min="29" max="29" width="9.88671875" style="65" customWidth="1"/>
    <col min="30" max="30" width="9.6640625" style="65" customWidth="1"/>
    <col min="31" max="31" width="9.21875" style="91" customWidth="1"/>
    <col min="32" max="16384" width="9" style="2"/>
  </cols>
  <sheetData>
    <row r="1" spans="1:31" ht="29.1" customHeight="1" x14ac:dyDescent="0.25">
      <c r="A1" s="163" t="s">
        <v>152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AC1" s="2"/>
      <c r="AD1" s="2"/>
      <c r="AE1" s="2"/>
    </row>
    <row r="2" spans="1:31" ht="21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AC2" s="2"/>
      <c r="AD2" s="2"/>
      <c r="AE2" s="2"/>
    </row>
    <row r="3" spans="1:31" ht="21" customHeight="1" x14ac:dyDescent="0.25">
      <c r="A3" s="162" t="s">
        <v>78</v>
      </c>
      <c r="B3" s="162" t="s">
        <v>2</v>
      </c>
      <c r="C3" s="162" t="s">
        <v>1</v>
      </c>
      <c r="D3" s="155" t="s">
        <v>121</v>
      </c>
      <c r="E3" s="166" t="s">
        <v>123</v>
      </c>
      <c r="F3" s="162" t="s">
        <v>116</v>
      </c>
      <c r="G3" s="169" t="s">
        <v>243</v>
      </c>
      <c r="H3" s="149" t="s">
        <v>258</v>
      </c>
      <c r="I3" s="170" t="s">
        <v>256</v>
      </c>
      <c r="J3" s="152" t="s">
        <v>255</v>
      </c>
      <c r="K3" s="173" t="s">
        <v>118</v>
      </c>
      <c r="L3" s="173"/>
      <c r="M3" s="173"/>
      <c r="N3" s="173"/>
      <c r="O3" s="173"/>
      <c r="P3" s="173"/>
      <c r="Q3" s="173"/>
      <c r="R3" s="173"/>
      <c r="S3" s="162" t="s">
        <v>2</v>
      </c>
      <c r="T3" s="158"/>
      <c r="U3" s="158"/>
      <c r="V3" s="158"/>
      <c r="W3" s="158"/>
      <c r="X3" s="159"/>
      <c r="Y3" s="160" t="s">
        <v>117</v>
      </c>
      <c r="AC3" s="149" t="s">
        <v>251</v>
      </c>
      <c r="AD3" s="149" t="s">
        <v>257</v>
      </c>
      <c r="AE3" s="152" t="s">
        <v>119</v>
      </c>
    </row>
    <row r="4" spans="1:31" ht="21" customHeight="1" x14ac:dyDescent="0.25">
      <c r="A4" s="162"/>
      <c r="B4" s="162"/>
      <c r="C4" s="162"/>
      <c r="D4" s="165"/>
      <c r="E4" s="167"/>
      <c r="F4" s="162"/>
      <c r="G4" s="169"/>
      <c r="H4" s="150"/>
      <c r="I4" s="171"/>
      <c r="J4" s="153"/>
      <c r="K4" s="155" t="s">
        <v>120</v>
      </c>
      <c r="L4" s="157" t="s">
        <v>291</v>
      </c>
      <c r="M4" s="158"/>
      <c r="N4" s="158"/>
      <c r="O4" s="158"/>
      <c r="P4" s="158"/>
      <c r="Q4" s="159"/>
      <c r="R4" s="160" t="s">
        <v>125</v>
      </c>
      <c r="S4" s="162"/>
      <c r="T4" s="97"/>
      <c r="U4" s="97"/>
      <c r="V4" s="97"/>
      <c r="W4" s="97"/>
      <c r="X4" s="98"/>
      <c r="Y4" s="174"/>
      <c r="AC4" s="150"/>
      <c r="AD4" s="150"/>
      <c r="AE4" s="153"/>
    </row>
    <row r="5" spans="1:31" ht="38.4" customHeight="1" x14ac:dyDescent="0.25">
      <c r="A5" s="162"/>
      <c r="B5" s="162"/>
      <c r="C5" s="162"/>
      <c r="D5" s="156"/>
      <c r="E5" s="168"/>
      <c r="F5" s="162"/>
      <c r="G5" s="169"/>
      <c r="H5" s="151"/>
      <c r="I5" s="172"/>
      <c r="J5" s="154"/>
      <c r="K5" s="156"/>
      <c r="L5" s="96" t="s">
        <v>289</v>
      </c>
      <c r="M5" s="96" t="s">
        <v>290</v>
      </c>
      <c r="N5" s="96" t="s">
        <v>287</v>
      </c>
      <c r="O5" s="96" t="s">
        <v>288</v>
      </c>
      <c r="P5" s="14" t="s">
        <v>126</v>
      </c>
      <c r="Q5" s="3" t="s">
        <v>77</v>
      </c>
      <c r="R5" s="161"/>
      <c r="S5" s="162"/>
      <c r="T5" s="14" t="s">
        <v>294</v>
      </c>
      <c r="U5" s="14" t="s">
        <v>295</v>
      </c>
      <c r="V5" s="96" t="s">
        <v>76</v>
      </c>
      <c r="W5" s="96" t="s">
        <v>127</v>
      </c>
      <c r="X5" s="96" t="s">
        <v>283</v>
      </c>
      <c r="Y5" s="161"/>
      <c r="AC5" s="151"/>
      <c r="AD5" s="151"/>
      <c r="AE5" s="154"/>
    </row>
    <row r="6" spans="1:31" ht="21" customHeight="1" x14ac:dyDescent="0.25">
      <c r="A6" s="9" t="s">
        <v>79</v>
      </c>
      <c r="B6" s="3" t="s">
        <v>122</v>
      </c>
      <c r="C6" s="33" t="s">
        <v>3</v>
      </c>
      <c r="D6" s="3" t="str">
        <f>VLOOKUP(B6,[1]冲压件核价!$D$4:$P$466,4,0)</f>
        <v>SPFH590 t=2.0</v>
      </c>
      <c r="E6" s="102">
        <f>(5.502+6.85)/2</f>
        <v>6.1760000000000002</v>
      </c>
      <c r="F6" s="4">
        <v>526</v>
      </c>
      <c r="G6" s="93">
        <v>381</v>
      </c>
      <c r="H6" s="63">
        <v>20</v>
      </c>
      <c r="I6" s="11">
        <v>90</v>
      </c>
      <c r="J6" s="72">
        <f t="shared" ref="J6:J42" si="0">F6-G6-H6-I6</f>
        <v>35</v>
      </c>
      <c r="K6" s="19">
        <f t="shared" ref="K6:K42" si="1">J6*E6</f>
        <v>216.16</v>
      </c>
      <c r="L6" s="99">
        <f>VLOOKUP(B6,[2]冲压件核价!$D$5:$P$220,11,0)</f>
        <v>1.2403</v>
      </c>
      <c r="M6" s="19">
        <f>VLOOKUP(B6,[2]冲压件核价!$D$5:$P$220,12,0)</f>
        <v>0.65900000000000003</v>
      </c>
      <c r="N6" s="19">
        <f>L6-M6</f>
        <v>0.58129999999999993</v>
      </c>
      <c r="O6" s="99">
        <v>3.2</v>
      </c>
      <c r="P6" s="99">
        <f>N6*O6</f>
        <v>1.8601599999999998</v>
      </c>
      <c r="Q6" s="15">
        <f>P6*G6</f>
        <v>708.72095999999988</v>
      </c>
      <c r="R6" s="16">
        <f t="shared" ref="R6:R42" si="2">K6+Q6</f>
        <v>924.88095999999985</v>
      </c>
      <c r="S6" s="3" t="s">
        <v>122</v>
      </c>
      <c r="T6" s="16">
        <v>552</v>
      </c>
      <c r="U6" s="16"/>
      <c r="V6" s="19">
        <v>4</v>
      </c>
      <c r="W6" s="19">
        <f t="shared" ref="W6:W42" si="3">G6*V6</f>
        <v>1524</v>
      </c>
      <c r="X6" s="19">
        <f>T6+W6+U6</f>
        <v>2076</v>
      </c>
      <c r="Y6" s="16">
        <f t="shared" ref="Y6:Y42" si="4">X6-R6</f>
        <v>1151.11904</v>
      </c>
      <c r="AC6" s="63">
        <v>20</v>
      </c>
      <c r="AD6" s="63">
        <f>AB6-AC6</f>
        <v>-20</v>
      </c>
      <c r="AE6" s="72">
        <f t="shared" ref="AE6:AE42" si="5">AA6-AD6</f>
        <v>20</v>
      </c>
    </row>
    <row r="7" spans="1:31" ht="21" customHeight="1" x14ac:dyDescent="0.25">
      <c r="A7" s="9" t="s">
        <v>80</v>
      </c>
      <c r="B7" s="3" t="s">
        <v>5</v>
      </c>
      <c r="C7" s="33" t="s">
        <v>4</v>
      </c>
      <c r="D7" s="3" t="str">
        <f>VLOOKUP(B7,[1]冲压件核价!$D$4:$P$466,4,0)</f>
        <v>SPFH590 t=2.0</v>
      </c>
      <c r="E7" s="102">
        <f t="shared" ref="E7:E17" si="6">(5.502+6.85)/2</f>
        <v>6.1760000000000002</v>
      </c>
      <c r="F7" s="4">
        <v>520</v>
      </c>
      <c r="G7" s="93">
        <v>402</v>
      </c>
      <c r="H7" s="63">
        <v>20</v>
      </c>
      <c r="I7" s="11"/>
      <c r="J7" s="72">
        <f t="shared" si="0"/>
        <v>98</v>
      </c>
      <c r="K7" s="19">
        <f t="shared" si="1"/>
        <v>605.24800000000005</v>
      </c>
      <c r="L7" s="99">
        <f>VLOOKUP(B7,[2]冲压件核价!$D$5:$P$220,11,0)</f>
        <v>1.2403</v>
      </c>
      <c r="M7" s="19">
        <f>VLOOKUP(B7,[2]冲压件核价!$D$5:$P$220,12,0)</f>
        <v>0.70199999999999996</v>
      </c>
      <c r="N7" s="19">
        <f t="shared" ref="N7:N42" si="7">L7-M7</f>
        <v>0.5383</v>
      </c>
      <c r="O7" s="99">
        <v>3.2</v>
      </c>
      <c r="P7" s="99">
        <f t="shared" ref="P7:P42" si="8">N7*O7</f>
        <v>1.7225600000000001</v>
      </c>
      <c r="Q7" s="15">
        <f t="shared" ref="Q7:Q42" si="9">P7*G7</f>
        <v>692.46912000000009</v>
      </c>
      <c r="R7" s="16">
        <f t="shared" si="2"/>
        <v>1297.7171200000003</v>
      </c>
      <c r="S7" s="3" t="s">
        <v>5</v>
      </c>
      <c r="T7" s="16">
        <v>552</v>
      </c>
      <c r="U7" s="16"/>
      <c r="V7" s="19">
        <v>4</v>
      </c>
      <c r="W7" s="19">
        <f t="shared" si="3"/>
        <v>1608</v>
      </c>
      <c r="X7" s="19">
        <f t="shared" ref="X7:X42" si="10">T7+W7+U7</f>
        <v>2160</v>
      </c>
      <c r="Y7" s="16">
        <f t="shared" si="4"/>
        <v>862.28287999999975</v>
      </c>
      <c r="AC7" s="63">
        <v>20</v>
      </c>
      <c r="AD7" s="63">
        <f t="shared" ref="AD7:AD42" si="11">AB7-AC7</f>
        <v>-20</v>
      </c>
      <c r="AE7" s="72">
        <f t="shared" si="5"/>
        <v>20</v>
      </c>
    </row>
    <row r="8" spans="1:31" ht="21" customHeight="1" x14ac:dyDescent="0.25">
      <c r="A8" s="9" t="s">
        <v>81</v>
      </c>
      <c r="B8" s="3" t="s">
        <v>296</v>
      </c>
      <c r="C8" s="33" t="s">
        <v>6</v>
      </c>
      <c r="D8" s="3" t="str">
        <f>VLOOKUP(B8,[1]冲压件核价!$D$4:$P$466,4,0)</f>
        <v>SPFH590 t=2.0</v>
      </c>
      <c r="E8" s="102">
        <f t="shared" si="6"/>
        <v>6.1760000000000002</v>
      </c>
      <c r="F8" s="4">
        <v>405</v>
      </c>
      <c r="G8" s="93">
        <v>329</v>
      </c>
      <c r="H8" s="63">
        <v>20</v>
      </c>
      <c r="I8" s="11"/>
      <c r="J8" s="72">
        <f t="shared" si="0"/>
        <v>56</v>
      </c>
      <c r="K8" s="19">
        <f t="shared" si="1"/>
        <v>345.85599999999999</v>
      </c>
      <c r="L8" s="99">
        <f>VLOOKUP(B8,[2]冲压件核价!$D$5:$P$220,11,0)</f>
        <v>0.10205</v>
      </c>
      <c r="M8" s="19">
        <f>VLOOKUP(B8,[2]冲压件核价!$D$5:$P$220,12,0)</f>
        <v>7.3999999999999996E-2</v>
      </c>
      <c r="N8" s="19">
        <f t="shared" si="7"/>
        <v>2.8050000000000005E-2</v>
      </c>
      <c r="O8" s="99">
        <v>3.2</v>
      </c>
      <c r="P8" s="99">
        <f t="shared" si="8"/>
        <v>8.976000000000002E-2</v>
      </c>
      <c r="Q8" s="15">
        <f t="shared" si="9"/>
        <v>29.531040000000008</v>
      </c>
      <c r="R8" s="16">
        <f t="shared" si="2"/>
        <v>375.38704000000001</v>
      </c>
      <c r="S8" s="3" t="s">
        <v>7</v>
      </c>
      <c r="T8" s="16">
        <v>408</v>
      </c>
      <c r="U8" s="16">
        <v>386.56</v>
      </c>
      <c r="V8" s="19">
        <v>0.6</v>
      </c>
      <c r="W8" s="19">
        <f t="shared" si="3"/>
        <v>197.4</v>
      </c>
      <c r="X8" s="19">
        <f t="shared" si="10"/>
        <v>991.96</v>
      </c>
      <c r="Y8" s="16">
        <f t="shared" si="4"/>
        <v>616.57295999999997</v>
      </c>
      <c r="AC8" s="63">
        <v>20</v>
      </c>
      <c r="AD8" s="63">
        <f t="shared" si="11"/>
        <v>-20</v>
      </c>
      <c r="AE8" s="72">
        <f t="shared" si="5"/>
        <v>20</v>
      </c>
    </row>
    <row r="9" spans="1:31" ht="21" customHeight="1" x14ac:dyDescent="0.25">
      <c r="A9" s="9" t="s">
        <v>82</v>
      </c>
      <c r="B9" s="3" t="s">
        <v>9</v>
      </c>
      <c r="C9" s="33" t="s">
        <v>8</v>
      </c>
      <c r="D9" s="3" t="str">
        <f>VLOOKUP(B9,[1]冲压件核价!$D$4:$P$466,4,0)</f>
        <v>SPFH590 t=2.0</v>
      </c>
      <c r="E9" s="102">
        <f t="shared" si="6"/>
        <v>6.1760000000000002</v>
      </c>
      <c r="F9" s="4">
        <v>420</v>
      </c>
      <c r="G9" s="93">
        <v>249</v>
      </c>
      <c r="H9" s="63">
        <v>20</v>
      </c>
      <c r="I9" s="11"/>
      <c r="J9" s="72">
        <f t="shared" si="0"/>
        <v>151</v>
      </c>
      <c r="K9" s="19">
        <f t="shared" si="1"/>
        <v>932.57600000000002</v>
      </c>
      <c r="L9" s="99">
        <f>VLOOKUP(B9,[2]冲压件核价!$D$5:$P$220,11,0)</f>
        <v>0.10205</v>
      </c>
      <c r="M9" s="19">
        <f>VLOOKUP(B9,[2]冲压件核价!$D$5:$P$220,12,0)</f>
        <v>7.0999999999999994E-2</v>
      </c>
      <c r="N9" s="19">
        <f t="shared" si="7"/>
        <v>3.1050000000000008E-2</v>
      </c>
      <c r="O9" s="99">
        <v>3.2</v>
      </c>
      <c r="P9" s="99">
        <f t="shared" si="8"/>
        <v>9.9360000000000032E-2</v>
      </c>
      <c r="Q9" s="15">
        <f t="shared" si="9"/>
        <v>24.740640000000006</v>
      </c>
      <c r="R9" s="16">
        <f t="shared" si="2"/>
        <v>957.31664000000001</v>
      </c>
      <c r="S9" s="3" t="s">
        <v>9</v>
      </c>
      <c r="T9" s="16"/>
      <c r="U9" s="16"/>
      <c r="V9" s="19">
        <v>0.6</v>
      </c>
      <c r="W9" s="19">
        <f t="shared" si="3"/>
        <v>149.4</v>
      </c>
      <c r="X9" s="19">
        <f t="shared" si="10"/>
        <v>149.4</v>
      </c>
      <c r="Y9" s="16">
        <f t="shared" si="4"/>
        <v>-807.91664000000003</v>
      </c>
      <c r="AC9" s="63">
        <v>20</v>
      </c>
      <c r="AD9" s="63">
        <f t="shared" si="11"/>
        <v>-20</v>
      </c>
      <c r="AE9" s="72">
        <f t="shared" si="5"/>
        <v>20</v>
      </c>
    </row>
    <row r="10" spans="1:31" ht="21" customHeight="1" x14ac:dyDescent="0.25">
      <c r="A10" s="9" t="s">
        <v>83</v>
      </c>
      <c r="B10" s="3" t="s">
        <v>191</v>
      </c>
      <c r="C10" s="33" t="s">
        <v>10</v>
      </c>
      <c r="D10" s="71" t="s">
        <v>192</v>
      </c>
      <c r="E10" s="102">
        <f t="shared" si="6"/>
        <v>6.1760000000000002</v>
      </c>
      <c r="F10" s="4">
        <v>455</v>
      </c>
      <c r="G10" s="93">
        <v>236</v>
      </c>
      <c r="H10" s="63">
        <v>20</v>
      </c>
      <c r="I10" s="11">
        <v>50</v>
      </c>
      <c r="J10" s="72">
        <f t="shared" si="0"/>
        <v>149</v>
      </c>
      <c r="K10" s="19">
        <f t="shared" si="1"/>
        <v>920.22400000000005</v>
      </c>
      <c r="L10" s="99">
        <f>VLOOKUP(B10,[2]冲压件核价!$D$5:$P$220,11,0)</f>
        <v>1.04562</v>
      </c>
      <c r="M10" s="19">
        <f>VLOOKUP(B10,[2]冲压件核价!$D$5:$P$220,12,0)</f>
        <v>0.39900000000000002</v>
      </c>
      <c r="N10" s="19">
        <f t="shared" si="7"/>
        <v>0.64661999999999997</v>
      </c>
      <c r="O10" s="99">
        <v>3.2</v>
      </c>
      <c r="P10" s="99">
        <f t="shared" si="8"/>
        <v>2.0691839999999999</v>
      </c>
      <c r="Q10" s="15">
        <f t="shared" si="9"/>
        <v>488.32742399999995</v>
      </c>
      <c r="R10" s="16">
        <f t="shared" si="2"/>
        <v>1408.551424</v>
      </c>
      <c r="S10" s="3" t="s">
        <v>191</v>
      </c>
      <c r="T10" s="16"/>
      <c r="U10" s="16"/>
      <c r="V10" s="19">
        <v>4.8</v>
      </c>
      <c r="W10" s="19">
        <f t="shared" si="3"/>
        <v>1132.8</v>
      </c>
      <c r="X10" s="19">
        <f t="shared" si="10"/>
        <v>1132.8</v>
      </c>
      <c r="Y10" s="16">
        <f t="shared" si="4"/>
        <v>-275.75142400000004</v>
      </c>
      <c r="AC10" s="63">
        <v>20</v>
      </c>
      <c r="AD10" s="63">
        <f t="shared" si="11"/>
        <v>-20</v>
      </c>
      <c r="AE10" s="72">
        <f t="shared" si="5"/>
        <v>20</v>
      </c>
    </row>
    <row r="11" spans="1:31" ht="21" customHeight="1" x14ac:dyDescent="0.25">
      <c r="A11" s="9" t="s">
        <v>84</v>
      </c>
      <c r="B11" s="3" t="s">
        <v>13</v>
      </c>
      <c r="C11" s="33" t="s">
        <v>12</v>
      </c>
      <c r="D11" s="71" t="s">
        <v>188</v>
      </c>
      <c r="E11" s="102">
        <f t="shared" si="6"/>
        <v>6.1760000000000002</v>
      </c>
      <c r="F11" s="4">
        <v>348</v>
      </c>
      <c r="G11" s="93">
        <v>248</v>
      </c>
      <c r="H11" s="63">
        <v>20</v>
      </c>
      <c r="I11" s="11"/>
      <c r="J11" s="72">
        <f t="shared" si="0"/>
        <v>80</v>
      </c>
      <c r="K11" s="19">
        <f t="shared" si="1"/>
        <v>494.08000000000004</v>
      </c>
      <c r="L11" s="99">
        <f>VLOOKUP(B11,[2]冲压件核价!$D$5:$P$220,11,0)</f>
        <v>1.01736</v>
      </c>
      <c r="M11" s="19">
        <f>VLOOKUP(B11,[2]冲压件核价!$D$5:$P$220,12,0)</f>
        <v>0.52</v>
      </c>
      <c r="N11" s="19">
        <f t="shared" si="7"/>
        <v>0.49736000000000002</v>
      </c>
      <c r="O11" s="99">
        <v>3.2</v>
      </c>
      <c r="P11" s="99">
        <f t="shared" si="8"/>
        <v>1.5915520000000001</v>
      </c>
      <c r="Q11" s="15">
        <f t="shared" si="9"/>
        <v>394.70489600000002</v>
      </c>
      <c r="R11" s="16">
        <f t="shared" si="2"/>
        <v>888.78489600000012</v>
      </c>
      <c r="S11" s="3" t="s">
        <v>13</v>
      </c>
      <c r="T11" s="16"/>
      <c r="U11" s="16"/>
      <c r="V11" s="19">
        <v>4.8</v>
      </c>
      <c r="W11" s="19">
        <f t="shared" si="3"/>
        <v>1190.3999999999999</v>
      </c>
      <c r="X11" s="19">
        <f t="shared" si="10"/>
        <v>1190.3999999999999</v>
      </c>
      <c r="Y11" s="16">
        <f t="shared" si="4"/>
        <v>301.61510399999975</v>
      </c>
      <c r="AC11" s="63">
        <v>20</v>
      </c>
      <c r="AD11" s="63">
        <f t="shared" si="11"/>
        <v>-20</v>
      </c>
      <c r="AE11" s="72">
        <f t="shared" si="5"/>
        <v>20</v>
      </c>
    </row>
    <row r="12" spans="1:31" ht="21" customHeight="1" x14ac:dyDescent="0.25">
      <c r="A12" s="9" t="s">
        <v>85</v>
      </c>
      <c r="B12" s="3" t="s">
        <v>15</v>
      </c>
      <c r="C12" s="33" t="s">
        <v>14</v>
      </c>
      <c r="D12" s="71" t="s">
        <v>188</v>
      </c>
      <c r="E12" s="102">
        <f t="shared" si="6"/>
        <v>6.1760000000000002</v>
      </c>
      <c r="F12" s="4">
        <v>776</v>
      </c>
      <c r="G12" s="93">
        <v>552</v>
      </c>
      <c r="H12" s="63">
        <v>20</v>
      </c>
      <c r="I12" s="11">
        <v>120</v>
      </c>
      <c r="J12" s="72">
        <f t="shared" si="0"/>
        <v>84</v>
      </c>
      <c r="K12" s="19">
        <f t="shared" si="1"/>
        <v>518.78399999999999</v>
      </c>
      <c r="L12" s="99">
        <f>VLOOKUP(B12,[2]冲压件核价!$D$5:$P$220,11,0)</f>
        <v>0.8478</v>
      </c>
      <c r="M12" s="19">
        <f>VLOOKUP(B12,[2]冲压件核价!$D$5:$P$220,12,0)</f>
        <v>0.38400000000000001</v>
      </c>
      <c r="N12" s="19">
        <f t="shared" si="7"/>
        <v>0.46379999999999999</v>
      </c>
      <c r="O12" s="99">
        <v>3.2</v>
      </c>
      <c r="P12" s="99">
        <f t="shared" si="8"/>
        <v>1.4841600000000001</v>
      </c>
      <c r="Q12" s="15">
        <f t="shared" si="9"/>
        <v>819.25632000000007</v>
      </c>
      <c r="R12" s="16">
        <f t="shared" si="2"/>
        <v>1338.0403200000001</v>
      </c>
      <c r="S12" s="3" t="s">
        <v>15</v>
      </c>
      <c r="T12" s="16">
        <v>261</v>
      </c>
      <c r="U12" s="16">
        <f>VLOOKUP(S12,'[3]2D激光切割'!$A$6:$M$24,13,0)</f>
        <v>275.83999999999997</v>
      </c>
      <c r="V12" s="19">
        <v>5.6</v>
      </c>
      <c r="W12" s="19">
        <f t="shared" si="3"/>
        <v>3091.2</v>
      </c>
      <c r="X12" s="19">
        <f t="shared" si="10"/>
        <v>3628.04</v>
      </c>
      <c r="Y12" s="16">
        <f t="shared" si="4"/>
        <v>2289.9996799999999</v>
      </c>
      <c r="AC12" s="63">
        <v>20</v>
      </c>
      <c r="AD12" s="63">
        <f t="shared" si="11"/>
        <v>-20</v>
      </c>
      <c r="AE12" s="72">
        <f t="shared" si="5"/>
        <v>20</v>
      </c>
    </row>
    <row r="13" spans="1:31" ht="21" customHeight="1" x14ac:dyDescent="0.25">
      <c r="A13" s="9" t="s">
        <v>86</v>
      </c>
      <c r="B13" s="3" t="s">
        <v>17</v>
      </c>
      <c r="C13" s="33" t="s">
        <v>16</v>
      </c>
      <c r="D13" s="71" t="s">
        <v>188</v>
      </c>
      <c r="E13" s="102">
        <f t="shared" si="6"/>
        <v>6.1760000000000002</v>
      </c>
      <c r="F13" s="4">
        <v>776</v>
      </c>
      <c r="G13" s="93">
        <v>610</v>
      </c>
      <c r="H13" s="63">
        <v>20</v>
      </c>
      <c r="I13" s="11"/>
      <c r="J13" s="72">
        <f t="shared" si="0"/>
        <v>146</v>
      </c>
      <c r="K13" s="19">
        <f t="shared" si="1"/>
        <v>901.69600000000003</v>
      </c>
      <c r="L13" s="99">
        <f>VLOOKUP(B13,[2]冲压件核价!$D$5:$P$220,11,0)</f>
        <v>0.8478</v>
      </c>
      <c r="M13" s="19">
        <f>VLOOKUP(B13,[2]冲压件核价!$D$5:$P$220,12,0)</f>
        <v>0.58699999999999997</v>
      </c>
      <c r="N13" s="19">
        <f t="shared" si="7"/>
        <v>0.26080000000000003</v>
      </c>
      <c r="O13" s="99">
        <v>3.2</v>
      </c>
      <c r="P13" s="99">
        <f t="shared" si="8"/>
        <v>0.83456000000000019</v>
      </c>
      <c r="Q13" s="15">
        <f t="shared" si="9"/>
        <v>509.08160000000009</v>
      </c>
      <c r="R13" s="16">
        <f t="shared" si="2"/>
        <v>1410.7776000000001</v>
      </c>
      <c r="S13" s="3" t="s">
        <v>17</v>
      </c>
      <c r="T13" s="16">
        <v>261</v>
      </c>
      <c r="U13" s="16">
        <f>VLOOKUP(S13,'[3]2D激光切割'!$A$6:$M$24,13,0)</f>
        <v>714.56000000000006</v>
      </c>
      <c r="V13" s="19">
        <v>5.6</v>
      </c>
      <c r="W13" s="19">
        <f t="shared" si="3"/>
        <v>3416</v>
      </c>
      <c r="X13" s="19">
        <f t="shared" si="10"/>
        <v>4391.5600000000004</v>
      </c>
      <c r="Y13" s="16">
        <f t="shared" si="4"/>
        <v>2980.7824000000001</v>
      </c>
      <c r="AC13" s="63">
        <v>20</v>
      </c>
      <c r="AD13" s="63">
        <f t="shared" si="11"/>
        <v>-20</v>
      </c>
      <c r="AE13" s="72">
        <f t="shared" si="5"/>
        <v>20</v>
      </c>
    </row>
    <row r="14" spans="1:31" ht="21" customHeight="1" x14ac:dyDescent="0.25">
      <c r="A14" s="9" t="s">
        <v>87</v>
      </c>
      <c r="B14" s="3" t="s">
        <v>19</v>
      </c>
      <c r="C14" s="33" t="s">
        <v>18</v>
      </c>
      <c r="D14" s="71" t="s">
        <v>188</v>
      </c>
      <c r="E14" s="102">
        <f t="shared" si="6"/>
        <v>6.1760000000000002</v>
      </c>
      <c r="F14" s="4">
        <v>1011</v>
      </c>
      <c r="G14" s="93">
        <v>171</v>
      </c>
      <c r="H14" s="63">
        <v>20</v>
      </c>
      <c r="I14" s="11">
        <v>695</v>
      </c>
      <c r="J14" s="72">
        <f t="shared" si="0"/>
        <v>125</v>
      </c>
      <c r="K14" s="19">
        <f t="shared" si="1"/>
        <v>772</v>
      </c>
      <c r="L14" s="99">
        <f>VLOOKUP(B14,[2]冲压件核价!$D$5:$P$220,11,0)</f>
        <v>0.67823999999999995</v>
      </c>
      <c r="M14" s="19">
        <f>VLOOKUP(B14,[2]冲压件核价!$D$5:$P$220,12,0)</f>
        <v>0.39100000000000001</v>
      </c>
      <c r="N14" s="19">
        <f t="shared" si="7"/>
        <v>0.28723999999999994</v>
      </c>
      <c r="O14" s="99">
        <v>3.2</v>
      </c>
      <c r="P14" s="99">
        <f t="shared" si="8"/>
        <v>0.91916799999999987</v>
      </c>
      <c r="Q14" s="15">
        <f t="shared" si="9"/>
        <v>157.17772799999997</v>
      </c>
      <c r="R14" s="16">
        <f t="shared" si="2"/>
        <v>929.177728</v>
      </c>
      <c r="S14" s="3" t="s">
        <v>19</v>
      </c>
      <c r="T14" s="16">
        <v>261</v>
      </c>
      <c r="U14" s="16"/>
      <c r="V14" s="19">
        <v>2.4</v>
      </c>
      <c r="W14" s="19">
        <f t="shared" si="3"/>
        <v>410.4</v>
      </c>
      <c r="X14" s="19">
        <f t="shared" si="10"/>
        <v>671.4</v>
      </c>
      <c r="Y14" s="16">
        <f t="shared" si="4"/>
        <v>-257.77772800000002</v>
      </c>
      <c r="AC14" s="63">
        <v>20</v>
      </c>
      <c r="AD14" s="63">
        <f t="shared" si="11"/>
        <v>-20</v>
      </c>
      <c r="AE14" s="72">
        <f t="shared" si="5"/>
        <v>20</v>
      </c>
    </row>
    <row r="15" spans="1:31" ht="21" customHeight="1" x14ac:dyDescent="0.25">
      <c r="A15" s="9" t="s">
        <v>88</v>
      </c>
      <c r="B15" s="3" t="s">
        <v>21</v>
      </c>
      <c r="C15" s="33" t="s">
        <v>20</v>
      </c>
      <c r="D15" s="71" t="s">
        <v>188</v>
      </c>
      <c r="E15" s="102">
        <f t="shared" si="6"/>
        <v>6.1760000000000002</v>
      </c>
      <c r="F15" s="4">
        <v>1011</v>
      </c>
      <c r="G15" s="93">
        <v>171</v>
      </c>
      <c r="H15" s="63">
        <v>20</v>
      </c>
      <c r="I15" s="11"/>
      <c r="J15" s="72">
        <f t="shared" si="0"/>
        <v>820</v>
      </c>
      <c r="K15" s="19">
        <f t="shared" si="1"/>
        <v>5064.32</v>
      </c>
      <c r="L15" s="99">
        <f>VLOOKUP(B15,[2]冲压件核价!$D$5:$P$220,11,0)</f>
        <v>0.67823999999999995</v>
      </c>
      <c r="M15" s="19">
        <f>VLOOKUP(B15,[2]冲压件核价!$D$5:$P$220,12,0)</f>
        <v>0.378</v>
      </c>
      <c r="N15" s="19">
        <f t="shared" si="7"/>
        <v>0.30023999999999995</v>
      </c>
      <c r="O15" s="99">
        <v>3.2</v>
      </c>
      <c r="P15" s="99">
        <f t="shared" si="8"/>
        <v>0.96076799999999984</v>
      </c>
      <c r="Q15" s="15">
        <f t="shared" si="9"/>
        <v>164.29132799999996</v>
      </c>
      <c r="R15" s="16">
        <f t="shared" si="2"/>
        <v>5228.611328</v>
      </c>
      <c r="S15" s="3" t="s">
        <v>21</v>
      </c>
      <c r="T15" s="16"/>
      <c r="U15" s="16"/>
      <c r="V15" s="19">
        <v>2.4</v>
      </c>
      <c r="W15" s="19">
        <f t="shared" si="3"/>
        <v>410.4</v>
      </c>
      <c r="X15" s="19">
        <f t="shared" si="10"/>
        <v>410.4</v>
      </c>
      <c r="Y15" s="16">
        <f t="shared" si="4"/>
        <v>-4818.2113280000003</v>
      </c>
      <c r="AC15" s="63">
        <v>20</v>
      </c>
      <c r="AD15" s="63">
        <f t="shared" si="11"/>
        <v>-20</v>
      </c>
      <c r="AE15" s="72">
        <f t="shared" si="5"/>
        <v>20</v>
      </c>
    </row>
    <row r="16" spans="1:31" ht="21" customHeight="1" x14ac:dyDescent="0.25">
      <c r="A16" s="9" t="s">
        <v>89</v>
      </c>
      <c r="B16" s="3" t="s">
        <v>23</v>
      </c>
      <c r="C16" s="33" t="s">
        <v>22</v>
      </c>
      <c r="D16" s="71" t="s">
        <v>188</v>
      </c>
      <c r="E16" s="102">
        <f t="shared" si="6"/>
        <v>6.1760000000000002</v>
      </c>
      <c r="F16" s="4">
        <v>986</v>
      </c>
      <c r="G16" s="93">
        <v>198</v>
      </c>
      <c r="H16" s="63">
        <v>20</v>
      </c>
      <c r="I16" s="11"/>
      <c r="J16" s="72">
        <f t="shared" si="0"/>
        <v>768</v>
      </c>
      <c r="K16" s="19">
        <f t="shared" si="1"/>
        <v>4743.1679999999997</v>
      </c>
      <c r="L16" s="99">
        <f>VLOOKUP(B16,[2]冲压件核价!$D$5:$P$220,11,0)</f>
        <v>0.49172399999999999</v>
      </c>
      <c r="M16" s="19">
        <f>VLOOKUP(B16,[2]冲压件核价!$D$5:$P$220,12,0)</f>
        <v>0.25600000000000001</v>
      </c>
      <c r="N16" s="19">
        <f t="shared" si="7"/>
        <v>0.23572399999999999</v>
      </c>
      <c r="O16" s="99">
        <v>3.2</v>
      </c>
      <c r="P16" s="99">
        <f t="shared" si="8"/>
        <v>0.75431680000000001</v>
      </c>
      <c r="Q16" s="15">
        <f t="shared" si="9"/>
        <v>149.3547264</v>
      </c>
      <c r="R16" s="16">
        <f t="shared" si="2"/>
        <v>4892.5227263999996</v>
      </c>
      <c r="S16" s="3" t="s">
        <v>23</v>
      </c>
      <c r="T16" s="16">
        <v>1038</v>
      </c>
      <c r="U16" s="16"/>
      <c r="V16" s="19">
        <v>4</v>
      </c>
      <c r="W16" s="19">
        <f t="shared" si="3"/>
        <v>792</v>
      </c>
      <c r="X16" s="19">
        <f t="shared" si="10"/>
        <v>1830</v>
      </c>
      <c r="Y16" s="16">
        <f t="shared" si="4"/>
        <v>-3062.5227263999996</v>
      </c>
      <c r="AC16" s="63">
        <v>20</v>
      </c>
      <c r="AD16" s="63">
        <f t="shared" si="11"/>
        <v>-20</v>
      </c>
      <c r="AE16" s="72">
        <f t="shared" si="5"/>
        <v>20</v>
      </c>
    </row>
    <row r="17" spans="1:31" s="111" customFormat="1" ht="21" customHeight="1" x14ac:dyDescent="0.25">
      <c r="A17" s="104" t="s">
        <v>90</v>
      </c>
      <c r="B17" s="105" t="s">
        <v>25</v>
      </c>
      <c r="C17" s="106" t="s">
        <v>24</v>
      </c>
      <c r="D17" s="105" t="s">
        <v>188</v>
      </c>
      <c r="E17" s="87">
        <f t="shared" si="6"/>
        <v>6.1760000000000002</v>
      </c>
      <c r="F17" s="93">
        <v>971</v>
      </c>
      <c r="G17" s="93">
        <v>274</v>
      </c>
      <c r="H17" s="93">
        <v>20</v>
      </c>
      <c r="I17" s="93">
        <v>947</v>
      </c>
      <c r="J17" s="93">
        <f t="shared" si="0"/>
        <v>-270</v>
      </c>
      <c r="K17" s="107">
        <f t="shared" si="1"/>
        <v>-1667.52</v>
      </c>
      <c r="L17" s="108">
        <f>VLOOKUP(B17,[2]冲压件核价!$D$5:$P$220,11,0)</f>
        <v>0.49172399999999999</v>
      </c>
      <c r="M17" s="107">
        <f>VLOOKUP(B17,[2]冲压件核价!$D$5:$P$220,12,0)</f>
        <v>0.255</v>
      </c>
      <c r="N17" s="107">
        <f t="shared" si="7"/>
        <v>0.23672399999999999</v>
      </c>
      <c r="O17" s="108">
        <v>3.2</v>
      </c>
      <c r="P17" s="108">
        <f t="shared" si="8"/>
        <v>0.75751679999999999</v>
      </c>
      <c r="Q17" s="109">
        <f t="shared" si="9"/>
        <v>207.5596032</v>
      </c>
      <c r="R17" s="110">
        <f t="shared" si="2"/>
        <v>-1459.9603967999999</v>
      </c>
      <c r="S17" s="105" t="s">
        <v>25</v>
      </c>
      <c r="T17" s="110">
        <v>1038</v>
      </c>
      <c r="U17" s="16"/>
      <c r="V17" s="107">
        <v>4</v>
      </c>
      <c r="W17" s="107">
        <f t="shared" si="3"/>
        <v>1096</v>
      </c>
      <c r="X17" s="19">
        <f t="shared" si="10"/>
        <v>2134</v>
      </c>
      <c r="Y17" s="110">
        <f t="shared" si="4"/>
        <v>3593.9603968000001</v>
      </c>
      <c r="AC17" s="93">
        <v>20</v>
      </c>
      <c r="AD17" s="93">
        <f t="shared" si="11"/>
        <v>-20</v>
      </c>
      <c r="AE17" s="93">
        <f t="shared" si="5"/>
        <v>20</v>
      </c>
    </row>
    <row r="18" spans="1:31" ht="21" customHeight="1" x14ac:dyDescent="0.25">
      <c r="A18" s="9" t="s">
        <v>91</v>
      </c>
      <c r="B18" s="3" t="s">
        <v>27</v>
      </c>
      <c r="C18" s="33" t="s">
        <v>26</v>
      </c>
      <c r="D18" s="3" t="str">
        <f>VLOOKUP(B18,[1]冲压件核价!$D$4:$P$466,4,0)</f>
        <v>SPFH590 t=3.5</v>
      </c>
      <c r="E18" s="102">
        <f>(5.352+6.3)/2</f>
        <v>5.8260000000000005</v>
      </c>
      <c r="F18" s="4">
        <v>1492</v>
      </c>
      <c r="G18" s="93">
        <v>1136</v>
      </c>
      <c r="H18" s="63">
        <v>20</v>
      </c>
      <c r="I18" s="11"/>
      <c r="J18" s="72">
        <f t="shared" si="0"/>
        <v>336</v>
      </c>
      <c r="K18" s="19">
        <f t="shared" si="1"/>
        <v>1957.5360000000001</v>
      </c>
      <c r="L18" s="99">
        <f>VLOOKUP(B18,[2]冲压件核价!$D$5:$P$220,11,0)</f>
        <v>1.15395</v>
      </c>
      <c r="M18" s="19">
        <f>VLOOKUP(B18,[2]冲压件核价!$D$5:$P$220,12,0)</f>
        <v>0.72399999999999998</v>
      </c>
      <c r="N18" s="19">
        <f t="shared" si="7"/>
        <v>0.42995000000000005</v>
      </c>
      <c r="O18" s="99">
        <v>3.2</v>
      </c>
      <c r="P18" s="99">
        <f t="shared" si="8"/>
        <v>1.3758400000000002</v>
      </c>
      <c r="Q18" s="15">
        <f t="shared" si="9"/>
        <v>1562.9542400000003</v>
      </c>
      <c r="R18" s="16">
        <f t="shared" si="2"/>
        <v>3520.4902400000001</v>
      </c>
      <c r="S18" s="3" t="s">
        <v>27</v>
      </c>
      <c r="T18" s="16">
        <v>774</v>
      </c>
      <c r="U18" s="16"/>
      <c r="V18" s="19">
        <v>3.2</v>
      </c>
      <c r="W18" s="19">
        <f t="shared" si="3"/>
        <v>3635.2000000000003</v>
      </c>
      <c r="X18" s="19">
        <f t="shared" si="10"/>
        <v>4409.2000000000007</v>
      </c>
      <c r="Y18" s="16">
        <f t="shared" si="4"/>
        <v>888.70976000000064</v>
      </c>
      <c r="AC18" s="63">
        <v>20</v>
      </c>
      <c r="AD18" s="63">
        <f t="shared" si="11"/>
        <v>-20</v>
      </c>
      <c r="AE18" s="72">
        <f t="shared" si="5"/>
        <v>20</v>
      </c>
    </row>
    <row r="19" spans="1:31" ht="21" customHeight="1" x14ac:dyDescent="0.25">
      <c r="A19" s="9" t="s">
        <v>92</v>
      </c>
      <c r="B19" s="3" t="s">
        <v>267</v>
      </c>
      <c r="C19" s="33" t="s">
        <v>28</v>
      </c>
      <c r="D19" s="3" t="str">
        <f>VLOOKUP(B19,[1]冲压件核价!$D$4:$P$466,4,0)</f>
        <v>SPFH590 t=4.0</v>
      </c>
      <c r="E19" s="102">
        <f>(5.352+6.3)/2</f>
        <v>5.8260000000000005</v>
      </c>
      <c r="F19" s="4">
        <v>1464</v>
      </c>
      <c r="G19" s="93">
        <v>1068</v>
      </c>
      <c r="H19" s="63">
        <v>20</v>
      </c>
      <c r="I19" s="11">
        <v>122</v>
      </c>
      <c r="J19" s="72">
        <f t="shared" si="0"/>
        <v>254</v>
      </c>
      <c r="K19" s="19">
        <f t="shared" si="1"/>
        <v>1479.8040000000001</v>
      </c>
      <c r="L19" s="99">
        <f>VLOOKUP(B19,[2]冲压件核价!$D$5:$P$220,11,0)</f>
        <v>1.3188</v>
      </c>
      <c r="M19" s="19">
        <f>VLOOKUP(B19,[2]冲压件核价!$D$5:$P$220,12,0)</f>
        <v>0.72399999999999998</v>
      </c>
      <c r="N19" s="19">
        <f t="shared" si="7"/>
        <v>0.5948</v>
      </c>
      <c r="O19" s="99">
        <v>3.2</v>
      </c>
      <c r="P19" s="99">
        <f t="shared" si="8"/>
        <v>1.9033600000000002</v>
      </c>
      <c r="Q19" s="15">
        <f t="shared" si="9"/>
        <v>2032.7884800000002</v>
      </c>
      <c r="R19" s="16">
        <f t="shared" si="2"/>
        <v>3512.5924800000003</v>
      </c>
      <c r="S19" s="3" t="s">
        <v>267</v>
      </c>
      <c r="T19" s="16">
        <v>395</v>
      </c>
      <c r="U19" s="16"/>
      <c r="V19" s="19">
        <v>3.2</v>
      </c>
      <c r="W19" s="19">
        <f t="shared" si="3"/>
        <v>3417.6000000000004</v>
      </c>
      <c r="X19" s="19">
        <f t="shared" si="10"/>
        <v>3812.6000000000004</v>
      </c>
      <c r="Y19" s="16">
        <f t="shared" si="4"/>
        <v>300.00752000000011</v>
      </c>
      <c r="AC19" s="63">
        <v>20</v>
      </c>
      <c r="AD19" s="63">
        <f t="shared" si="11"/>
        <v>-20</v>
      </c>
      <c r="AE19" s="72">
        <f t="shared" si="5"/>
        <v>20</v>
      </c>
    </row>
    <row r="20" spans="1:31" ht="21" customHeight="1" x14ac:dyDescent="0.25">
      <c r="A20" s="9" t="s">
        <v>93</v>
      </c>
      <c r="B20" s="6" t="s">
        <v>31</v>
      </c>
      <c r="C20" s="34" t="s">
        <v>30</v>
      </c>
      <c r="D20" s="3" t="str">
        <f>VLOOKUP(B20,[1]冲压件核价!$D$4:$P$466,4,0)</f>
        <v>QSTE420TM  t=1.5</v>
      </c>
      <c r="E20" s="103">
        <v>6.18</v>
      </c>
      <c r="F20" s="4">
        <v>540</v>
      </c>
      <c r="G20" s="93">
        <v>153</v>
      </c>
      <c r="H20" s="63">
        <v>20</v>
      </c>
      <c r="I20" s="11"/>
      <c r="J20" s="72">
        <f t="shared" si="0"/>
        <v>367</v>
      </c>
      <c r="K20" s="19">
        <f t="shared" si="1"/>
        <v>2268.06</v>
      </c>
      <c r="L20" s="99">
        <f>VLOOKUP(B20,[2]冲压件核价!$D$5:$P$220,11,0)</f>
        <v>1.81335</v>
      </c>
      <c r="M20" s="19">
        <f>VLOOKUP(B20,[2]冲压件核价!$D$5:$P$220,12,0)</f>
        <v>1.0169999999999999</v>
      </c>
      <c r="N20" s="19">
        <f t="shared" si="7"/>
        <v>0.79635000000000011</v>
      </c>
      <c r="O20" s="99">
        <v>3.2</v>
      </c>
      <c r="P20" s="99">
        <f t="shared" si="8"/>
        <v>2.5483200000000004</v>
      </c>
      <c r="Q20" s="15">
        <f t="shared" si="9"/>
        <v>389.89296000000007</v>
      </c>
      <c r="R20" s="16">
        <f t="shared" si="2"/>
        <v>2657.9529600000001</v>
      </c>
      <c r="S20" s="6" t="s">
        <v>31</v>
      </c>
      <c r="T20" s="16">
        <v>1784</v>
      </c>
      <c r="U20" s="16"/>
      <c r="V20" s="19">
        <v>4.8</v>
      </c>
      <c r="W20" s="19">
        <f t="shared" si="3"/>
        <v>734.4</v>
      </c>
      <c r="X20" s="19">
        <f t="shared" si="10"/>
        <v>2518.4</v>
      </c>
      <c r="Y20" s="16">
        <f t="shared" si="4"/>
        <v>-139.55295999999998</v>
      </c>
      <c r="AC20" s="63">
        <v>20</v>
      </c>
      <c r="AD20" s="63">
        <f t="shared" si="11"/>
        <v>-20</v>
      </c>
      <c r="AE20" s="72">
        <f t="shared" si="5"/>
        <v>20</v>
      </c>
    </row>
    <row r="21" spans="1:31" ht="21" customHeight="1" x14ac:dyDescent="0.25">
      <c r="A21" s="9" t="s">
        <v>94</v>
      </c>
      <c r="B21" s="6" t="s">
        <v>33</v>
      </c>
      <c r="C21" s="34" t="s">
        <v>32</v>
      </c>
      <c r="D21" s="3" t="str">
        <f>VLOOKUP(B21,[1]冲压件核价!$D$4:$P$466,4,0)</f>
        <v>QSTE420TM  t=1.5</v>
      </c>
      <c r="E21" s="103">
        <v>6.18</v>
      </c>
      <c r="F21" s="4">
        <v>540</v>
      </c>
      <c r="G21" s="93">
        <v>153</v>
      </c>
      <c r="H21" s="63">
        <v>20</v>
      </c>
      <c r="I21" s="11"/>
      <c r="J21" s="72">
        <f t="shared" si="0"/>
        <v>367</v>
      </c>
      <c r="K21" s="19">
        <f t="shared" si="1"/>
        <v>2268.06</v>
      </c>
      <c r="L21" s="99">
        <f>VLOOKUP(B21,[2]冲压件核价!$D$5:$P$220,11,0)</f>
        <v>1.81335</v>
      </c>
      <c r="M21" s="19">
        <f>VLOOKUP(B21,[2]冲压件核价!$D$5:$P$220,12,0)</f>
        <v>1.0069999999999999</v>
      </c>
      <c r="N21" s="19">
        <f t="shared" si="7"/>
        <v>0.80635000000000012</v>
      </c>
      <c r="O21" s="99">
        <v>3.2</v>
      </c>
      <c r="P21" s="99">
        <f t="shared" si="8"/>
        <v>2.5803200000000004</v>
      </c>
      <c r="Q21" s="15">
        <f t="shared" si="9"/>
        <v>394.78896000000009</v>
      </c>
      <c r="R21" s="16">
        <f t="shared" si="2"/>
        <v>2662.8489600000003</v>
      </c>
      <c r="S21" s="6" t="s">
        <v>33</v>
      </c>
      <c r="T21" s="16">
        <v>1784</v>
      </c>
      <c r="U21" s="16"/>
      <c r="V21" s="19">
        <v>4.8</v>
      </c>
      <c r="W21" s="19">
        <f t="shared" si="3"/>
        <v>734.4</v>
      </c>
      <c r="X21" s="19">
        <f t="shared" si="10"/>
        <v>2518.4</v>
      </c>
      <c r="Y21" s="16">
        <f t="shared" si="4"/>
        <v>-144.44896000000017</v>
      </c>
      <c r="AC21" s="63">
        <v>20</v>
      </c>
      <c r="AD21" s="63">
        <f t="shared" si="11"/>
        <v>-20</v>
      </c>
      <c r="AE21" s="72">
        <f t="shared" si="5"/>
        <v>20</v>
      </c>
    </row>
    <row r="22" spans="1:31" ht="21" customHeight="1" x14ac:dyDescent="0.25">
      <c r="A22" s="9" t="s">
        <v>95</v>
      </c>
      <c r="B22" s="6" t="s">
        <v>35</v>
      </c>
      <c r="C22" s="34" t="s">
        <v>34</v>
      </c>
      <c r="D22" s="3" t="str">
        <f>VLOOKUP(B22,[1]冲压件核价!$D$4:$P$466,4,0)</f>
        <v>QSTE420TM  t=1.5</v>
      </c>
      <c r="E22" s="103">
        <v>6.18</v>
      </c>
      <c r="F22" s="4">
        <v>491</v>
      </c>
      <c r="G22" s="93">
        <v>118</v>
      </c>
      <c r="H22" s="63">
        <v>20</v>
      </c>
      <c r="I22" s="11"/>
      <c r="J22" s="72">
        <f t="shared" si="0"/>
        <v>353</v>
      </c>
      <c r="K22" s="19">
        <f t="shared" si="1"/>
        <v>2181.54</v>
      </c>
      <c r="L22" s="99">
        <f>VLOOKUP(B22,[2]冲压件核价!$D$5:$P$220,11,0)</f>
        <v>1.81335</v>
      </c>
      <c r="M22" s="19">
        <f>VLOOKUP(B22,[2]冲压件核价!$D$5:$P$220,12,0)</f>
        <v>0.76400000000000001</v>
      </c>
      <c r="N22" s="19">
        <f t="shared" si="7"/>
        <v>1.04935</v>
      </c>
      <c r="O22" s="99">
        <v>3.2</v>
      </c>
      <c r="P22" s="99">
        <f t="shared" si="8"/>
        <v>3.35792</v>
      </c>
      <c r="Q22" s="15">
        <f t="shared" si="9"/>
        <v>396.23455999999999</v>
      </c>
      <c r="R22" s="16">
        <f t="shared" si="2"/>
        <v>2577.7745599999998</v>
      </c>
      <c r="S22" s="6" t="s">
        <v>35</v>
      </c>
      <c r="T22" s="16">
        <v>1840.8</v>
      </c>
      <c r="U22" s="16"/>
      <c r="V22" s="19">
        <v>3.2</v>
      </c>
      <c r="W22" s="19">
        <f t="shared" si="3"/>
        <v>377.6</v>
      </c>
      <c r="X22" s="19">
        <f t="shared" si="10"/>
        <v>2218.4</v>
      </c>
      <c r="Y22" s="16">
        <f t="shared" si="4"/>
        <v>-359.37455999999975</v>
      </c>
      <c r="AC22" s="63">
        <v>20</v>
      </c>
      <c r="AD22" s="63">
        <f t="shared" si="11"/>
        <v>-20</v>
      </c>
      <c r="AE22" s="72">
        <f t="shared" si="5"/>
        <v>20</v>
      </c>
    </row>
    <row r="23" spans="1:31" ht="21" customHeight="1" x14ac:dyDescent="0.25">
      <c r="A23" s="9" t="s">
        <v>96</v>
      </c>
      <c r="B23" s="6" t="s">
        <v>193</v>
      </c>
      <c r="C23" s="34" t="s">
        <v>36</v>
      </c>
      <c r="D23" s="71" t="s">
        <v>190</v>
      </c>
      <c r="E23" s="103">
        <v>5.6</v>
      </c>
      <c r="F23" s="4">
        <v>319</v>
      </c>
      <c r="G23" s="93">
        <v>68</v>
      </c>
      <c r="H23" s="63">
        <v>20</v>
      </c>
      <c r="I23" s="11">
        <v>51</v>
      </c>
      <c r="J23" s="72">
        <f t="shared" si="0"/>
        <v>180</v>
      </c>
      <c r="K23" s="19">
        <f t="shared" si="1"/>
        <v>1007.9999999999999</v>
      </c>
      <c r="L23" s="99">
        <f>VLOOKUP(B23,[2]冲压件核价!$D$5:$P$220,11,0)</f>
        <v>5.2987500000000001</v>
      </c>
      <c r="M23" s="19">
        <f>VLOOKUP(B23,[2]冲压件核价!$D$5:$P$220,12,0)</f>
        <v>3.3620000000000001</v>
      </c>
      <c r="N23" s="19">
        <f t="shared" si="7"/>
        <v>1.93675</v>
      </c>
      <c r="O23" s="99">
        <v>3.2</v>
      </c>
      <c r="P23" s="99">
        <f t="shared" si="8"/>
        <v>6.1976000000000004</v>
      </c>
      <c r="Q23" s="15">
        <f t="shared" si="9"/>
        <v>421.43680000000001</v>
      </c>
      <c r="R23" s="16">
        <f t="shared" si="2"/>
        <v>1429.4367999999999</v>
      </c>
      <c r="S23" s="6" t="s">
        <v>193</v>
      </c>
      <c r="T23" s="16">
        <v>3630</v>
      </c>
      <c r="U23" s="16"/>
      <c r="V23" s="19">
        <v>7.6</v>
      </c>
      <c r="W23" s="19">
        <f t="shared" si="3"/>
        <v>516.79999999999995</v>
      </c>
      <c r="X23" s="19">
        <f t="shared" si="10"/>
        <v>4146.8</v>
      </c>
      <c r="Y23" s="16">
        <f t="shared" si="4"/>
        <v>2717.3632000000002</v>
      </c>
      <c r="AC23" s="63">
        <v>20</v>
      </c>
      <c r="AD23" s="63">
        <f t="shared" si="11"/>
        <v>-20</v>
      </c>
      <c r="AE23" s="72">
        <f t="shared" si="5"/>
        <v>20</v>
      </c>
    </row>
    <row r="24" spans="1:31" s="111" customFormat="1" ht="21" customHeight="1" x14ac:dyDescent="0.25">
      <c r="A24" s="104" t="s">
        <v>97</v>
      </c>
      <c r="B24" s="112" t="s">
        <v>268</v>
      </c>
      <c r="C24" s="113" t="s">
        <v>38</v>
      </c>
      <c r="D24" s="105" t="s">
        <v>189</v>
      </c>
      <c r="E24" s="114">
        <v>5.0999999999999996</v>
      </c>
      <c r="F24" s="93">
        <v>265</v>
      </c>
      <c r="G24" s="93">
        <v>139</v>
      </c>
      <c r="H24" s="93">
        <v>20</v>
      </c>
      <c r="I24" s="93">
        <v>307</v>
      </c>
      <c r="J24" s="93">
        <f t="shared" si="0"/>
        <v>-201</v>
      </c>
      <c r="K24" s="107">
        <f t="shared" si="1"/>
        <v>-1025.0999999999999</v>
      </c>
      <c r="L24" s="108">
        <f>VLOOKUP(B24,[2]冲压件核价!$D$5:$P$220,11,0)</f>
        <v>0.89803999999999995</v>
      </c>
      <c r="M24" s="107">
        <f>VLOOKUP(B24,[2]冲压件核价!$D$5:$P$220,12,0)</f>
        <v>0.33200000000000002</v>
      </c>
      <c r="N24" s="107">
        <f t="shared" si="7"/>
        <v>0.56603999999999988</v>
      </c>
      <c r="O24" s="108">
        <v>3.2</v>
      </c>
      <c r="P24" s="108">
        <f t="shared" si="8"/>
        <v>1.8113279999999996</v>
      </c>
      <c r="Q24" s="109">
        <f t="shared" si="9"/>
        <v>251.77459199999996</v>
      </c>
      <c r="R24" s="110">
        <f t="shared" si="2"/>
        <v>-773.32540799999992</v>
      </c>
      <c r="S24" s="112" t="s">
        <v>268</v>
      </c>
      <c r="T24" s="110">
        <v>257.39999999999998</v>
      </c>
      <c r="U24" s="16">
        <v>1766.3999999999999</v>
      </c>
      <c r="V24" s="107">
        <v>0.6</v>
      </c>
      <c r="W24" s="107">
        <f t="shared" si="3"/>
        <v>83.399999999999991</v>
      </c>
      <c r="X24" s="19">
        <f t="shared" si="10"/>
        <v>2107.1999999999998</v>
      </c>
      <c r="Y24" s="110">
        <f t="shared" si="4"/>
        <v>2880.5254079999995</v>
      </c>
      <c r="AC24" s="93">
        <v>20</v>
      </c>
      <c r="AD24" s="93">
        <f t="shared" si="11"/>
        <v>-20</v>
      </c>
      <c r="AE24" s="93">
        <f t="shared" si="5"/>
        <v>20</v>
      </c>
    </row>
    <row r="25" spans="1:31" ht="21" customHeight="1" x14ac:dyDescent="0.25">
      <c r="A25" s="9" t="s">
        <v>98</v>
      </c>
      <c r="B25" s="6" t="s">
        <v>269</v>
      </c>
      <c r="C25" s="34" t="s">
        <v>40</v>
      </c>
      <c r="D25" s="71" t="s">
        <v>189</v>
      </c>
      <c r="E25" s="103">
        <v>5.0999999999999996</v>
      </c>
      <c r="F25" s="4">
        <v>265</v>
      </c>
      <c r="G25" s="93">
        <v>139</v>
      </c>
      <c r="H25" s="63">
        <v>20</v>
      </c>
      <c r="I25" s="11"/>
      <c r="J25" s="72">
        <f t="shared" si="0"/>
        <v>106</v>
      </c>
      <c r="K25" s="19">
        <f t="shared" si="1"/>
        <v>540.59999999999991</v>
      </c>
      <c r="L25" s="99">
        <f>VLOOKUP(B25,[2]冲压件核价!$D$5:$P$220,11,0)</f>
        <v>0.89803999999999995</v>
      </c>
      <c r="M25" s="19">
        <f>VLOOKUP(B25,[2]冲压件核价!$D$5:$P$220,12,0)</f>
        <v>0.33500000000000002</v>
      </c>
      <c r="N25" s="19">
        <f t="shared" si="7"/>
        <v>0.56303999999999998</v>
      </c>
      <c r="O25" s="99">
        <v>3.2</v>
      </c>
      <c r="P25" s="99">
        <f t="shared" si="8"/>
        <v>1.801728</v>
      </c>
      <c r="Q25" s="15">
        <f t="shared" si="9"/>
        <v>250.440192</v>
      </c>
      <c r="R25" s="16">
        <f t="shared" si="2"/>
        <v>791.04019199999993</v>
      </c>
      <c r="S25" s="6" t="s">
        <v>269</v>
      </c>
      <c r="T25" s="16">
        <v>257.39999999999998</v>
      </c>
      <c r="U25" s="16"/>
      <c r="V25" s="19">
        <v>0.6</v>
      </c>
      <c r="W25" s="19">
        <f t="shared" si="3"/>
        <v>83.399999999999991</v>
      </c>
      <c r="X25" s="19">
        <f t="shared" si="10"/>
        <v>340.79999999999995</v>
      </c>
      <c r="Y25" s="16">
        <f t="shared" si="4"/>
        <v>-450.24019199999998</v>
      </c>
      <c r="AC25" s="63">
        <v>20</v>
      </c>
      <c r="AD25" s="63">
        <f t="shared" si="11"/>
        <v>-20</v>
      </c>
      <c r="AE25" s="72">
        <f t="shared" si="5"/>
        <v>20</v>
      </c>
    </row>
    <row r="26" spans="1:31" ht="21" customHeight="1" x14ac:dyDescent="0.25">
      <c r="A26" s="9" t="s">
        <v>99</v>
      </c>
      <c r="B26" s="3" t="s">
        <v>270</v>
      </c>
      <c r="C26" s="33" t="s">
        <v>42</v>
      </c>
      <c r="D26" s="3" t="str">
        <f>VLOOKUP(B26,[1]冲压件核价!$D$4:$P$466,4,0)</f>
        <v>SPFH590 t=3.0</v>
      </c>
      <c r="E26" s="102">
        <f>(5.352+6.3)/2</f>
        <v>5.8260000000000005</v>
      </c>
      <c r="F26" s="4">
        <v>833</v>
      </c>
      <c r="G26" s="93">
        <v>639</v>
      </c>
      <c r="H26" s="63">
        <v>20</v>
      </c>
      <c r="I26" s="11">
        <v>119</v>
      </c>
      <c r="J26" s="72">
        <f t="shared" si="0"/>
        <v>55</v>
      </c>
      <c r="K26" s="19">
        <f t="shared" si="1"/>
        <v>320.43</v>
      </c>
      <c r="L26" s="99">
        <f>VLOOKUP(B26,[2]冲压件核价!$D$5:$P$220,11,0)</f>
        <v>0.88783500000000004</v>
      </c>
      <c r="M26" s="19">
        <f>VLOOKUP(B26,[2]冲压件核价!$D$5:$P$220,12,0)</f>
        <v>0.59599999999999997</v>
      </c>
      <c r="N26" s="19">
        <f t="shared" si="7"/>
        <v>0.29183500000000007</v>
      </c>
      <c r="O26" s="99">
        <v>3.2</v>
      </c>
      <c r="P26" s="99">
        <f t="shared" si="8"/>
        <v>0.93387200000000026</v>
      </c>
      <c r="Q26" s="15">
        <f t="shared" si="9"/>
        <v>596.74420800000019</v>
      </c>
      <c r="R26" s="16">
        <f t="shared" si="2"/>
        <v>917.17420800000014</v>
      </c>
      <c r="S26" s="3" t="s">
        <v>270</v>
      </c>
      <c r="T26" s="16">
        <v>450</v>
      </c>
      <c r="U26" s="16">
        <f>VLOOKUP(S26,'[3]2D激光切割'!$A$6:$M$24,13,0)</f>
        <v>460.79999999999995</v>
      </c>
      <c r="V26" s="19">
        <v>3.2</v>
      </c>
      <c r="W26" s="19">
        <f t="shared" si="3"/>
        <v>2044.8000000000002</v>
      </c>
      <c r="X26" s="19">
        <f t="shared" si="10"/>
        <v>2955.6000000000004</v>
      </c>
      <c r="Y26" s="16">
        <f t="shared" si="4"/>
        <v>2038.4257920000002</v>
      </c>
      <c r="AC26" s="63">
        <v>20</v>
      </c>
      <c r="AD26" s="63">
        <f t="shared" si="11"/>
        <v>-20</v>
      </c>
      <c r="AE26" s="72">
        <f t="shared" si="5"/>
        <v>20</v>
      </c>
    </row>
    <row r="27" spans="1:31" s="111" customFormat="1" ht="21" customHeight="1" x14ac:dyDescent="0.25">
      <c r="A27" s="104" t="s">
        <v>100</v>
      </c>
      <c r="B27" s="105" t="s">
        <v>195</v>
      </c>
      <c r="C27" s="106" t="s">
        <v>44</v>
      </c>
      <c r="D27" s="105" t="s">
        <v>188</v>
      </c>
      <c r="E27" s="87">
        <f t="shared" ref="E27:E28" si="12">(5.502+6.85)/2</f>
        <v>6.1760000000000002</v>
      </c>
      <c r="F27" s="93">
        <v>415</v>
      </c>
      <c r="G27" s="93">
        <v>282</v>
      </c>
      <c r="H27" s="93">
        <v>20</v>
      </c>
      <c r="I27" s="93">
        <v>150</v>
      </c>
      <c r="J27" s="93">
        <f t="shared" si="0"/>
        <v>-37</v>
      </c>
      <c r="K27" s="107">
        <f t="shared" si="1"/>
        <v>-228.512</v>
      </c>
      <c r="L27" s="108">
        <f>VLOOKUP(B27,[2]冲压件核价!$D$5:$P$220,11,0)</f>
        <v>0.13062399999999999</v>
      </c>
      <c r="M27" s="107">
        <f>VLOOKUP(B27,[2]冲压件核价!$D$5:$P$220,12,0)</f>
        <v>7.1999999999999995E-2</v>
      </c>
      <c r="N27" s="107">
        <f t="shared" si="7"/>
        <v>5.8623999999999996E-2</v>
      </c>
      <c r="O27" s="108">
        <v>3.2</v>
      </c>
      <c r="P27" s="108">
        <f t="shared" si="8"/>
        <v>0.18759680000000001</v>
      </c>
      <c r="Q27" s="109">
        <f t="shared" si="9"/>
        <v>52.902297600000004</v>
      </c>
      <c r="R27" s="110">
        <f t="shared" si="2"/>
        <v>-175.6097024</v>
      </c>
      <c r="S27" s="105" t="s">
        <v>195</v>
      </c>
      <c r="T27" s="110">
        <v>225</v>
      </c>
      <c r="U27" s="16">
        <f>VLOOKUP(S27,'[3]2D激光切割'!$A$6:$M$24,13,0)</f>
        <v>612.16</v>
      </c>
      <c r="V27" s="107">
        <v>1.2</v>
      </c>
      <c r="W27" s="107">
        <f t="shared" si="3"/>
        <v>338.4</v>
      </c>
      <c r="X27" s="19">
        <f t="shared" si="10"/>
        <v>1175.56</v>
      </c>
      <c r="Y27" s="110">
        <f t="shared" si="4"/>
        <v>1351.1697024</v>
      </c>
      <c r="AC27" s="93">
        <v>20</v>
      </c>
      <c r="AD27" s="93">
        <f t="shared" si="11"/>
        <v>-20</v>
      </c>
      <c r="AE27" s="93">
        <f t="shared" si="5"/>
        <v>20</v>
      </c>
    </row>
    <row r="28" spans="1:31" ht="21" customHeight="1" x14ac:dyDescent="0.25">
      <c r="A28" s="9" t="s">
        <v>101</v>
      </c>
      <c r="B28" s="3" t="s">
        <v>47</v>
      </c>
      <c r="C28" s="33" t="s">
        <v>46</v>
      </c>
      <c r="D28" s="71" t="s">
        <v>188</v>
      </c>
      <c r="E28" s="102">
        <f t="shared" si="12"/>
        <v>6.1760000000000002</v>
      </c>
      <c r="F28" s="4">
        <v>305</v>
      </c>
      <c r="G28" s="93">
        <v>159</v>
      </c>
      <c r="H28" s="63">
        <v>20</v>
      </c>
      <c r="I28" s="11"/>
      <c r="J28" s="72">
        <f t="shared" si="0"/>
        <v>126</v>
      </c>
      <c r="K28" s="19">
        <f t="shared" si="1"/>
        <v>778.17600000000004</v>
      </c>
      <c r="L28" s="99">
        <f>VLOOKUP(B28,[2]冲压件核价!$D$5:$P$220,11,0)</f>
        <v>0.13062399999999999</v>
      </c>
      <c r="M28" s="19">
        <f>VLOOKUP(B28,[2]冲压件核价!$D$5:$P$220,12,0)</f>
        <v>7.0000000000000007E-2</v>
      </c>
      <c r="N28" s="19">
        <f t="shared" si="7"/>
        <v>6.0623999999999983E-2</v>
      </c>
      <c r="O28" s="99">
        <v>3.2</v>
      </c>
      <c r="P28" s="99">
        <f t="shared" si="8"/>
        <v>0.19399679999999997</v>
      </c>
      <c r="Q28" s="15">
        <f t="shared" si="9"/>
        <v>30.845491199999994</v>
      </c>
      <c r="R28" s="16">
        <f t="shared" si="2"/>
        <v>809.02149120000001</v>
      </c>
      <c r="S28" s="3" t="s">
        <v>47</v>
      </c>
      <c r="T28" s="16">
        <v>225</v>
      </c>
      <c r="U28" s="16"/>
      <c r="V28" s="19">
        <v>1.2</v>
      </c>
      <c r="W28" s="19">
        <f t="shared" si="3"/>
        <v>190.79999999999998</v>
      </c>
      <c r="X28" s="19">
        <f t="shared" si="10"/>
        <v>415.79999999999995</v>
      </c>
      <c r="Y28" s="16">
        <f t="shared" si="4"/>
        <v>-393.22149120000006</v>
      </c>
      <c r="AC28" s="63">
        <v>20</v>
      </c>
      <c r="AD28" s="63">
        <f t="shared" si="11"/>
        <v>-20</v>
      </c>
      <c r="AE28" s="72">
        <f t="shared" si="5"/>
        <v>20</v>
      </c>
    </row>
    <row r="29" spans="1:31" ht="21" customHeight="1" x14ac:dyDescent="0.25">
      <c r="A29" s="9" t="s">
        <v>102</v>
      </c>
      <c r="B29" s="3" t="s">
        <v>266</v>
      </c>
      <c r="C29" s="33" t="s">
        <v>48</v>
      </c>
      <c r="D29" s="3" t="str">
        <f>VLOOKUP(B29,[1]冲压件核价!$D$4:$P$466,4,0)</f>
        <v>SAPH440 t=5.0</v>
      </c>
      <c r="E29" s="102">
        <f>(5.09+6.06)/2</f>
        <v>5.5749999999999993</v>
      </c>
      <c r="F29" s="4">
        <v>310</v>
      </c>
      <c r="G29" s="93">
        <v>201</v>
      </c>
      <c r="H29" s="63">
        <v>20</v>
      </c>
      <c r="I29" s="11">
        <v>95</v>
      </c>
      <c r="J29" s="72">
        <f t="shared" si="0"/>
        <v>-6</v>
      </c>
      <c r="K29" s="19">
        <f t="shared" si="1"/>
        <v>-33.449999999999996</v>
      </c>
      <c r="L29" s="99">
        <f>VLOOKUP(B29,[2]冲压件核价!$D$5:$P$220,11,0)</f>
        <v>0.294375</v>
      </c>
      <c r="M29" s="19">
        <f>VLOOKUP(B29,[2]冲压件核价!$D$5:$P$220,12,0)</f>
        <v>0.182</v>
      </c>
      <c r="N29" s="19">
        <f t="shared" si="7"/>
        <v>0.112375</v>
      </c>
      <c r="O29" s="99">
        <v>3.2</v>
      </c>
      <c r="P29" s="99">
        <f t="shared" si="8"/>
        <v>0.35960000000000003</v>
      </c>
      <c r="Q29" s="15">
        <f t="shared" si="9"/>
        <v>72.279600000000002</v>
      </c>
      <c r="R29" s="16">
        <f t="shared" si="2"/>
        <v>38.829600000000006</v>
      </c>
      <c r="S29" s="3" t="s">
        <v>266</v>
      </c>
      <c r="T29" s="16"/>
      <c r="U29" s="16">
        <f>VLOOKUP(S29,'[3]2D激光切割'!$A$6:$M$24,13,0)</f>
        <v>96.64</v>
      </c>
      <c r="V29" s="19">
        <v>0.9</v>
      </c>
      <c r="W29" s="19">
        <f t="shared" si="3"/>
        <v>180.9</v>
      </c>
      <c r="X29" s="19">
        <f t="shared" si="10"/>
        <v>277.54000000000002</v>
      </c>
      <c r="Y29" s="16">
        <f t="shared" si="4"/>
        <v>238.71040000000002</v>
      </c>
      <c r="AC29" s="63">
        <v>20</v>
      </c>
      <c r="AD29" s="63">
        <f t="shared" si="11"/>
        <v>-20</v>
      </c>
      <c r="AE29" s="72">
        <f t="shared" si="5"/>
        <v>20</v>
      </c>
    </row>
    <row r="30" spans="1:31" ht="21" customHeight="1" x14ac:dyDescent="0.25">
      <c r="A30" s="9" t="s">
        <v>103</v>
      </c>
      <c r="B30" s="3" t="s">
        <v>271</v>
      </c>
      <c r="C30" s="33" t="s">
        <v>50</v>
      </c>
      <c r="D30" s="3" t="str">
        <f>VLOOKUP(B30,[1]冲压件核价!$D$4:$P$466,4,0)</f>
        <v>SAPH440 t=5.0</v>
      </c>
      <c r="E30" s="102">
        <f>(5.09+6.06)/2</f>
        <v>5.5749999999999993</v>
      </c>
      <c r="F30" s="4">
        <v>302</v>
      </c>
      <c r="G30" s="93">
        <v>241</v>
      </c>
      <c r="H30" s="63">
        <v>20</v>
      </c>
      <c r="I30" s="11"/>
      <c r="J30" s="72">
        <f t="shared" si="0"/>
        <v>41</v>
      </c>
      <c r="K30" s="19">
        <f t="shared" si="1"/>
        <v>228.57499999999996</v>
      </c>
      <c r="L30" s="99">
        <f>VLOOKUP(B30,[2]冲压件核价!$D$5:$P$220,11,0)</f>
        <v>0.51024999999999998</v>
      </c>
      <c r="M30" s="19">
        <f>VLOOKUP(B30,[2]冲压件核价!$D$5:$P$220,12,0)</f>
        <v>0.224</v>
      </c>
      <c r="N30" s="19">
        <f t="shared" si="7"/>
        <v>0.28625</v>
      </c>
      <c r="O30" s="99">
        <v>3.2</v>
      </c>
      <c r="P30" s="99">
        <f t="shared" si="8"/>
        <v>0.91600000000000004</v>
      </c>
      <c r="Q30" s="15">
        <f t="shared" si="9"/>
        <v>220.756</v>
      </c>
      <c r="R30" s="16">
        <f t="shared" si="2"/>
        <v>449.33099999999996</v>
      </c>
      <c r="S30" s="3" t="s">
        <v>271</v>
      </c>
      <c r="T30" s="16"/>
      <c r="U30" s="16">
        <f>VLOOKUP(S30,'[3]2D激光切割'!$A$6:$M$24,13,0)</f>
        <v>120</v>
      </c>
      <c r="V30" s="19">
        <v>0.9</v>
      </c>
      <c r="W30" s="19">
        <f t="shared" si="3"/>
        <v>216.9</v>
      </c>
      <c r="X30" s="19">
        <f t="shared" si="10"/>
        <v>336.9</v>
      </c>
      <c r="Y30" s="16">
        <f t="shared" si="4"/>
        <v>-112.43099999999998</v>
      </c>
      <c r="AC30" s="63">
        <v>20</v>
      </c>
      <c r="AD30" s="63">
        <f t="shared" si="11"/>
        <v>-20</v>
      </c>
      <c r="AE30" s="72">
        <f t="shared" si="5"/>
        <v>20</v>
      </c>
    </row>
    <row r="31" spans="1:31" s="111" customFormat="1" ht="21" customHeight="1" x14ac:dyDescent="0.25">
      <c r="A31" s="104" t="s">
        <v>104</v>
      </c>
      <c r="B31" s="105" t="s">
        <v>272</v>
      </c>
      <c r="C31" s="106" t="s">
        <v>52</v>
      </c>
      <c r="D31" s="105" t="str">
        <f>VLOOKUP(B31,[1]冲压件核价!$D$4:$P$466,4,0)</f>
        <v>SPFH590 t=3.0</v>
      </c>
      <c r="E31" s="87">
        <f t="shared" ref="E31:E34" si="13">(5.352+6.3)/2</f>
        <v>5.8260000000000005</v>
      </c>
      <c r="F31" s="93">
        <v>630</v>
      </c>
      <c r="G31" s="93">
        <v>308</v>
      </c>
      <c r="H31" s="93">
        <v>20</v>
      </c>
      <c r="I31" s="93">
        <v>540</v>
      </c>
      <c r="J31" s="93">
        <f t="shared" si="0"/>
        <v>-238</v>
      </c>
      <c r="K31" s="107">
        <f t="shared" si="1"/>
        <v>-1386.5880000000002</v>
      </c>
      <c r="L31" s="108">
        <f>VLOOKUP(B31,[2]冲压件核价!$D$5:$P$220,11,0)</f>
        <v>0.32145750000000001</v>
      </c>
      <c r="M31" s="107">
        <f>VLOOKUP(B31,[2]冲压件核价!$D$5:$P$220,12,0)</f>
        <v>0.16900000000000001</v>
      </c>
      <c r="N31" s="107">
        <f t="shared" si="7"/>
        <v>0.1524575</v>
      </c>
      <c r="O31" s="108">
        <v>3.2</v>
      </c>
      <c r="P31" s="108">
        <f t="shared" si="8"/>
        <v>0.48786400000000002</v>
      </c>
      <c r="Q31" s="109">
        <f t="shared" si="9"/>
        <v>150.262112</v>
      </c>
      <c r="R31" s="110">
        <f t="shared" si="2"/>
        <v>-1236.3258880000003</v>
      </c>
      <c r="S31" s="105" t="s">
        <v>272</v>
      </c>
      <c r="T31" s="110"/>
      <c r="U31" s="16">
        <f>VLOOKUP(S31,'[3]2D激光切割'!$A$6:$M$24,13,0)</f>
        <v>135.35999999999999</v>
      </c>
      <c r="V31" s="107">
        <v>1.2</v>
      </c>
      <c r="W31" s="107">
        <f t="shared" si="3"/>
        <v>369.59999999999997</v>
      </c>
      <c r="X31" s="19">
        <f t="shared" si="10"/>
        <v>504.95999999999992</v>
      </c>
      <c r="Y31" s="110">
        <f t="shared" si="4"/>
        <v>1741.2858880000003</v>
      </c>
      <c r="AC31" s="93">
        <v>20</v>
      </c>
      <c r="AD31" s="93">
        <f t="shared" si="11"/>
        <v>-20</v>
      </c>
      <c r="AE31" s="93">
        <f t="shared" si="5"/>
        <v>20</v>
      </c>
    </row>
    <row r="32" spans="1:31" ht="21" customHeight="1" x14ac:dyDescent="0.25">
      <c r="A32" s="9" t="s">
        <v>105</v>
      </c>
      <c r="B32" s="3" t="s">
        <v>273</v>
      </c>
      <c r="C32" s="33" t="s">
        <v>54</v>
      </c>
      <c r="D32" s="3" t="str">
        <f>VLOOKUP(B32,[1]冲压件核价!$D$4:$P$466,4,0)</f>
        <v>SPFH590 t=3.0</v>
      </c>
      <c r="E32" s="102">
        <f t="shared" si="13"/>
        <v>5.8260000000000005</v>
      </c>
      <c r="F32" s="4">
        <v>557</v>
      </c>
      <c r="G32" s="93">
        <v>318</v>
      </c>
      <c r="H32" s="63">
        <v>20</v>
      </c>
      <c r="I32" s="11"/>
      <c r="J32" s="72">
        <f t="shared" si="0"/>
        <v>219</v>
      </c>
      <c r="K32" s="19">
        <f t="shared" si="1"/>
        <v>1275.894</v>
      </c>
      <c r="L32" s="99">
        <f>VLOOKUP(B32,[2]冲压件核价!$D$5:$P$220,11,0)</f>
        <v>0.32145750000000001</v>
      </c>
      <c r="M32" s="19">
        <f>VLOOKUP(B32,[2]冲压件核价!$D$5:$P$220,12,0)</f>
        <v>0.188</v>
      </c>
      <c r="N32" s="19">
        <f t="shared" si="7"/>
        <v>0.13345750000000001</v>
      </c>
      <c r="O32" s="99">
        <v>3.2</v>
      </c>
      <c r="P32" s="99">
        <f t="shared" si="8"/>
        <v>0.42706400000000005</v>
      </c>
      <c r="Q32" s="15">
        <f t="shared" si="9"/>
        <v>135.806352</v>
      </c>
      <c r="R32" s="16">
        <f t="shared" si="2"/>
        <v>1411.7003520000001</v>
      </c>
      <c r="S32" s="3" t="s">
        <v>273</v>
      </c>
      <c r="T32" s="16"/>
      <c r="U32" s="16">
        <f>VLOOKUP(S32,'[3]2D激光切割'!$A$6:$M$24,13,0)</f>
        <v>135.35999999999999</v>
      </c>
      <c r="V32" s="19">
        <v>1.2</v>
      </c>
      <c r="W32" s="19">
        <f t="shared" si="3"/>
        <v>381.59999999999997</v>
      </c>
      <c r="X32" s="19">
        <f t="shared" si="10"/>
        <v>516.95999999999992</v>
      </c>
      <c r="Y32" s="16">
        <f t="shared" si="4"/>
        <v>-894.74035200000014</v>
      </c>
      <c r="AC32" s="63">
        <v>20</v>
      </c>
      <c r="AD32" s="63">
        <f t="shared" si="11"/>
        <v>-20</v>
      </c>
      <c r="AE32" s="72">
        <f t="shared" si="5"/>
        <v>20</v>
      </c>
    </row>
    <row r="33" spans="1:31" s="111" customFormat="1" ht="21" customHeight="1" x14ac:dyDescent="0.25">
      <c r="A33" s="104" t="s">
        <v>106</v>
      </c>
      <c r="B33" s="105" t="s">
        <v>274</v>
      </c>
      <c r="C33" s="106" t="s">
        <v>56</v>
      </c>
      <c r="D33" s="105" t="str">
        <f>VLOOKUP(B33,[1]冲压件核价!$D$4:$P$466,4,0)</f>
        <v>SPFH590 t=3.0</v>
      </c>
      <c r="E33" s="87">
        <f t="shared" si="13"/>
        <v>5.8260000000000005</v>
      </c>
      <c r="F33" s="93">
        <v>565</v>
      </c>
      <c r="G33" s="93">
        <v>436</v>
      </c>
      <c r="H33" s="93">
        <v>20</v>
      </c>
      <c r="I33" s="93">
        <v>439</v>
      </c>
      <c r="J33" s="93">
        <f t="shared" si="0"/>
        <v>-330</v>
      </c>
      <c r="K33" s="107">
        <f t="shared" si="1"/>
        <v>-1922.5800000000002</v>
      </c>
      <c r="L33" s="108">
        <f>VLOOKUP(B33,[2]冲压件核价!$D$5:$P$220,11,0)</f>
        <v>0.176625</v>
      </c>
      <c r="M33" s="107">
        <f>VLOOKUP(B33,[2]冲压件核价!$D$5:$P$220,12,0)</f>
        <v>7.0999999999999994E-2</v>
      </c>
      <c r="N33" s="107">
        <f t="shared" si="7"/>
        <v>0.10562500000000001</v>
      </c>
      <c r="O33" s="108">
        <v>3.2</v>
      </c>
      <c r="P33" s="108">
        <f t="shared" si="8"/>
        <v>0.33800000000000008</v>
      </c>
      <c r="Q33" s="109">
        <f t="shared" si="9"/>
        <v>147.36800000000002</v>
      </c>
      <c r="R33" s="110">
        <f t="shared" si="2"/>
        <v>-1775.2120000000002</v>
      </c>
      <c r="S33" s="105" t="s">
        <v>274</v>
      </c>
      <c r="T33" s="110"/>
      <c r="U33" s="16">
        <f>VLOOKUP(S33,'[3]2D激光切割'!$A$6:$M$24,13,0)</f>
        <v>460.79999999999995</v>
      </c>
      <c r="V33" s="107">
        <v>1.2</v>
      </c>
      <c r="W33" s="107">
        <f t="shared" si="3"/>
        <v>523.19999999999993</v>
      </c>
      <c r="X33" s="19">
        <f t="shared" si="10"/>
        <v>983.99999999999989</v>
      </c>
      <c r="Y33" s="110">
        <f t="shared" si="4"/>
        <v>2759.212</v>
      </c>
      <c r="AC33" s="93">
        <v>20</v>
      </c>
      <c r="AD33" s="93">
        <f t="shared" si="11"/>
        <v>-20</v>
      </c>
      <c r="AE33" s="93">
        <f t="shared" si="5"/>
        <v>20</v>
      </c>
    </row>
    <row r="34" spans="1:31" ht="21" customHeight="1" x14ac:dyDescent="0.25">
      <c r="A34" s="9" t="s">
        <v>107</v>
      </c>
      <c r="B34" s="3" t="s">
        <v>275</v>
      </c>
      <c r="C34" s="33" t="s">
        <v>58</v>
      </c>
      <c r="D34" s="3" t="str">
        <f>VLOOKUP(B34,[1]冲压件核价!$D$4:$P$466,4,0)</f>
        <v>SPFH590 t=3.0</v>
      </c>
      <c r="E34" s="102">
        <f t="shared" si="13"/>
        <v>5.8260000000000005</v>
      </c>
      <c r="F34" s="4">
        <v>365</v>
      </c>
      <c r="G34" s="93">
        <v>223</v>
      </c>
      <c r="H34" s="63">
        <v>20</v>
      </c>
      <c r="I34" s="11"/>
      <c r="J34" s="72">
        <f t="shared" si="0"/>
        <v>122</v>
      </c>
      <c r="K34" s="19">
        <f t="shared" si="1"/>
        <v>710.77200000000005</v>
      </c>
      <c r="L34" s="99">
        <f>VLOOKUP(B34,[2]冲压件核价!$D$5:$P$220,11,0)</f>
        <v>0.176625</v>
      </c>
      <c r="M34" s="19">
        <f>VLOOKUP(B34,[2]冲压件核价!$D$5:$P$220,12,0)</f>
        <v>7.3999999999999996E-2</v>
      </c>
      <c r="N34" s="19">
        <f t="shared" si="7"/>
        <v>0.10262500000000001</v>
      </c>
      <c r="O34" s="99">
        <v>3.2</v>
      </c>
      <c r="P34" s="99">
        <f t="shared" si="8"/>
        <v>0.32840000000000003</v>
      </c>
      <c r="Q34" s="15">
        <f t="shared" si="9"/>
        <v>73.233200000000011</v>
      </c>
      <c r="R34" s="16">
        <f t="shared" si="2"/>
        <v>784.00520000000006</v>
      </c>
      <c r="S34" s="3" t="s">
        <v>275</v>
      </c>
      <c r="T34" s="16"/>
      <c r="U34" s="16">
        <f>VLOOKUP(S34,'[3]2D激光切割'!$A$6:$M$24,13,0)</f>
        <v>806.72</v>
      </c>
      <c r="V34" s="19">
        <v>1.2</v>
      </c>
      <c r="W34" s="19">
        <f t="shared" si="3"/>
        <v>267.59999999999997</v>
      </c>
      <c r="X34" s="19">
        <f t="shared" si="10"/>
        <v>1074.32</v>
      </c>
      <c r="Y34" s="16">
        <f t="shared" si="4"/>
        <v>290.31479999999988</v>
      </c>
      <c r="AC34" s="63">
        <v>20</v>
      </c>
      <c r="AD34" s="63">
        <f t="shared" si="11"/>
        <v>-20</v>
      </c>
      <c r="AE34" s="72">
        <f t="shared" si="5"/>
        <v>20</v>
      </c>
    </row>
    <row r="35" spans="1:31" ht="21" customHeight="1" x14ac:dyDescent="0.25">
      <c r="A35" s="9" t="s">
        <v>108</v>
      </c>
      <c r="B35" s="3" t="s">
        <v>276</v>
      </c>
      <c r="C35" s="33" t="s">
        <v>60</v>
      </c>
      <c r="D35" s="3" t="str">
        <f>VLOOKUP(B35,[1]冲压件核价!$D$4:$P$466,4,0)</f>
        <v>SPFH590 t=2.0</v>
      </c>
      <c r="E35" s="102">
        <f t="shared" ref="E35:E37" si="14">(5.502+6.85)/2</f>
        <v>6.1760000000000002</v>
      </c>
      <c r="F35" s="4">
        <v>862</v>
      </c>
      <c r="G35" s="93">
        <v>678</v>
      </c>
      <c r="H35" s="63">
        <v>20</v>
      </c>
      <c r="I35" s="11">
        <v>60</v>
      </c>
      <c r="J35" s="72">
        <f t="shared" si="0"/>
        <v>104</v>
      </c>
      <c r="K35" s="19">
        <f t="shared" si="1"/>
        <v>642.30399999999997</v>
      </c>
      <c r="L35" s="99">
        <f>VLOOKUP(B35,[2]冲压件核价!$D$5:$P$220,11,0)</f>
        <v>1.3188</v>
      </c>
      <c r="M35" s="19">
        <f>VLOOKUP(B35,[2]冲压件核价!$D$5:$P$220,12,0)</f>
        <v>0.51600000000000001</v>
      </c>
      <c r="N35" s="19">
        <f t="shared" si="7"/>
        <v>0.80279999999999996</v>
      </c>
      <c r="O35" s="99">
        <v>3.2</v>
      </c>
      <c r="P35" s="99">
        <f t="shared" si="8"/>
        <v>2.5689600000000001</v>
      </c>
      <c r="Q35" s="15">
        <f t="shared" si="9"/>
        <v>1741.7548800000002</v>
      </c>
      <c r="R35" s="16">
        <f t="shared" si="2"/>
        <v>2384.05888</v>
      </c>
      <c r="S35" s="3" t="s">
        <v>276</v>
      </c>
      <c r="T35" s="16"/>
      <c r="U35" s="16">
        <f>VLOOKUP(S35,'[3]2D激光切割'!$A$6:$M$24,13,0)</f>
        <v>928</v>
      </c>
      <c r="V35" s="19">
        <v>4</v>
      </c>
      <c r="W35" s="19">
        <f t="shared" si="3"/>
        <v>2712</v>
      </c>
      <c r="X35" s="19">
        <f t="shared" si="10"/>
        <v>3640</v>
      </c>
      <c r="Y35" s="16">
        <f t="shared" si="4"/>
        <v>1255.94112</v>
      </c>
      <c r="AC35" s="63">
        <v>20</v>
      </c>
      <c r="AD35" s="63">
        <f t="shared" si="11"/>
        <v>-20</v>
      </c>
      <c r="AE35" s="72">
        <f t="shared" si="5"/>
        <v>20</v>
      </c>
    </row>
    <row r="36" spans="1:31" ht="21" customHeight="1" x14ac:dyDescent="0.25">
      <c r="A36" s="9" t="s">
        <v>109</v>
      </c>
      <c r="B36" s="3" t="s">
        <v>277</v>
      </c>
      <c r="C36" s="33" t="s">
        <v>62</v>
      </c>
      <c r="D36" s="3" t="str">
        <f>VLOOKUP(B36,[1]冲压件核价!$D$4:$P$466,4,0)</f>
        <v>SPFH590 t=2.0</v>
      </c>
      <c r="E36" s="102">
        <f t="shared" si="14"/>
        <v>6.1760000000000002</v>
      </c>
      <c r="F36" s="4">
        <v>872</v>
      </c>
      <c r="G36" s="93">
        <v>634</v>
      </c>
      <c r="H36" s="63">
        <v>20</v>
      </c>
      <c r="I36" s="11">
        <v>43</v>
      </c>
      <c r="J36" s="72">
        <f t="shared" si="0"/>
        <v>175</v>
      </c>
      <c r="K36" s="19">
        <f t="shared" si="1"/>
        <v>1080.8</v>
      </c>
      <c r="L36" s="99">
        <f>VLOOKUP(B36,[2]冲压件核价!$D$5:$P$220,11,0)</f>
        <v>1.6108199999999999</v>
      </c>
      <c r="M36" s="19">
        <f>VLOOKUP(B36,[2]冲压件核价!$D$5:$P$220,12,0)</f>
        <v>1.0009999999999999</v>
      </c>
      <c r="N36" s="19">
        <f t="shared" si="7"/>
        <v>0.60982000000000003</v>
      </c>
      <c r="O36" s="99">
        <v>3.2</v>
      </c>
      <c r="P36" s="99">
        <f t="shared" si="8"/>
        <v>1.9514240000000003</v>
      </c>
      <c r="Q36" s="15">
        <f t="shared" si="9"/>
        <v>1237.2028160000002</v>
      </c>
      <c r="R36" s="16">
        <f t="shared" si="2"/>
        <v>2318.0028160000002</v>
      </c>
      <c r="S36" s="3" t="s">
        <v>277</v>
      </c>
      <c r="T36" s="16">
        <v>1920</v>
      </c>
      <c r="U36" s="16"/>
      <c r="V36" s="19">
        <v>4.8</v>
      </c>
      <c r="W36" s="19">
        <f t="shared" si="3"/>
        <v>3043.2</v>
      </c>
      <c r="X36" s="19">
        <f t="shared" si="10"/>
        <v>4963.2</v>
      </c>
      <c r="Y36" s="16">
        <f t="shared" si="4"/>
        <v>2645.1971839999997</v>
      </c>
      <c r="AC36" s="63">
        <v>20</v>
      </c>
      <c r="AD36" s="63">
        <f t="shared" si="11"/>
        <v>-20</v>
      </c>
      <c r="AE36" s="72">
        <f t="shared" si="5"/>
        <v>20</v>
      </c>
    </row>
    <row r="37" spans="1:31" ht="21" customHeight="1" x14ac:dyDescent="0.25">
      <c r="A37" s="9" t="s">
        <v>110</v>
      </c>
      <c r="B37" s="3" t="s">
        <v>278</v>
      </c>
      <c r="C37" s="33" t="s">
        <v>64</v>
      </c>
      <c r="D37" s="3" t="str">
        <f>VLOOKUP(B37,[1]冲压件核价!$D$4:$P$466,4,0)</f>
        <v>SPFH590 t=2.0</v>
      </c>
      <c r="E37" s="102">
        <f t="shared" si="14"/>
        <v>6.1760000000000002</v>
      </c>
      <c r="F37" s="4">
        <v>814</v>
      </c>
      <c r="G37" s="93">
        <v>542</v>
      </c>
      <c r="H37" s="63">
        <v>20</v>
      </c>
      <c r="I37" s="11"/>
      <c r="J37" s="72">
        <f t="shared" si="0"/>
        <v>252</v>
      </c>
      <c r="K37" s="19">
        <f t="shared" si="1"/>
        <v>1556.3520000000001</v>
      </c>
      <c r="L37" s="99">
        <f>VLOOKUP(B37,[2]冲压件核价!$D$5:$P$220,11,0)</f>
        <v>1.2245999999999999</v>
      </c>
      <c r="M37" s="19">
        <f>VLOOKUP(B37,[2]冲压件核价!$D$5:$P$220,12,0)</f>
        <v>0.60599999999999998</v>
      </c>
      <c r="N37" s="19">
        <f t="shared" si="7"/>
        <v>0.61859999999999993</v>
      </c>
      <c r="O37" s="99">
        <v>3.2</v>
      </c>
      <c r="P37" s="99">
        <f t="shared" si="8"/>
        <v>1.9795199999999999</v>
      </c>
      <c r="Q37" s="15">
        <f t="shared" si="9"/>
        <v>1072.89984</v>
      </c>
      <c r="R37" s="16">
        <f t="shared" si="2"/>
        <v>2629.2518399999999</v>
      </c>
      <c r="S37" s="3" t="s">
        <v>278</v>
      </c>
      <c r="T37" s="16">
        <v>1182</v>
      </c>
      <c r="U37" s="16"/>
      <c r="V37" s="19">
        <v>3.2</v>
      </c>
      <c r="W37" s="19">
        <f t="shared" si="3"/>
        <v>1734.4</v>
      </c>
      <c r="X37" s="19">
        <f t="shared" si="10"/>
        <v>2916.4</v>
      </c>
      <c r="Y37" s="16">
        <f t="shared" si="4"/>
        <v>287.14816000000019</v>
      </c>
      <c r="AC37" s="63">
        <v>20</v>
      </c>
      <c r="AD37" s="63">
        <f t="shared" si="11"/>
        <v>-20</v>
      </c>
      <c r="AE37" s="72">
        <f t="shared" si="5"/>
        <v>20</v>
      </c>
    </row>
    <row r="38" spans="1:31" s="111" customFormat="1" ht="21" customHeight="1" x14ac:dyDescent="0.25">
      <c r="A38" s="104" t="s">
        <v>111</v>
      </c>
      <c r="B38" s="105" t="s">
        <v>279</v>
      </c>
      <c r="C38" s="106" t="s">
        <v>66</v>
      </c>
      <c r="D38" s="105" t="str">
        <f>VLOOKUP(B38,[1]冲压件核价!$D$4:$P$466,4,0)</f>
        <v>SAPH440 t=3.0</v>
      </c>
      <c r="E38" s="87">
        <f t="shared" ref="E38:E40" si="15">(5.09+6.06)/2</f>
        <v>5.5749999999999993</v>
      </c>
      <c r="F38" s="93">
        <v>312</v>
      </c>
      <c r="G38" s="93">
        <v>197</v>
      </c>
      <c r="H38" s="93">
        <v>20</v>
      </c>
      <c r="I38" s="93">
        <v>139</v>
      </c>
      <c r="J38" s="93">
        <f t="shared" si="0"/>
        <v>-44</v>
      </c>
      <c r="K38" s="107">
        <f t="shared" si="1"/>
        <v>-245.29999999999995</v>
      </c>
      <c r="L38" s="108">
        <f>VLOOKUP(B38,[2]冲压件核价!$D$5:$P$220,11,0)</f>
        <v>0.40034999999999998</v>
      </c>
      <c r="M38" s="107">
        <f>VLOOKUP(B38,[2]冲压件核价!$D$5:$P$220,12,0)</f>
        <v>0.217</v>
      </c>
      <c r="N38" s="107">
        <f t="shared" si="7"/>
        <v>0.18334999999999999</v>
      </c>
      <c r="O38" s="108">
        <v>3.2</v>
      </c>
      <c r="P38" s="108">
        <f t="shared" si="8"/>
        <v>0.58672000000000002</v>
      </c>
      <c r="Q38" s="109">
        <f t="shared" si="9"/>
        <v>115.58384000000001</v>
      </c>
      <c r="R38" s="110">
        <f t="shared" si="2"/>
        <v>-129.71615999999995</v>
      </c>
      <c r="S38" s="105" t="s">
        <v>279</v>
      </c>
      <c r="T38" s="110">
        <v>250</v>
      </c>
      <c r="U38" s="16">
        <f>VLOOKUP(S38,'[3]2D激光切割'!$A$6:$M$24,13,0)</f>
        <v>384.96000000000004</v>
      </c>
      <c r="V38" s="107">
        <v>1.6</v>
      </c>
      <c r="W38" s="107">
        <f t="shared" si="3"/>
        <v>315.20000000000005</v>
      </c>
      <c r="X38" s="19">
        <f t="shared" si="10"/>
        <v>950.16000000000008</v>
      </c>
      <c r="Y38" s="110">
        <f t="shared" si="4"/>
        <v>1079.87616</v>
      </c>
      <c r="AC38" s="93">
        <v>20</v>
      </c>
      <c r="AD38" s="93">
        <f t="shared" si="11"/>
        <v>-20</v>
      </c>
      <c r="AE38" s="93">
        <f t="shared" si="5"/>
        <v>20</v>
      </c>
    </row>
    <row r="39" spans="1:31" ht="21" customHeight="1" x14ac:dyDescent="0.25">
      <c r="A39" s="9" t="s">
        <v>112</v>
      </c>
      <c r="B39" s="3" t="s">
        <v>280</v>
      </c>
      <c r="C39" s="33" t="s">
        <v>68</v>
      </c>
      <c r="D39" s="3" t="str">
        <f>VLOOKUP(B39,[1]冲压件核价!$D$4:$P$466,4,0)</f>
        <v>SAPH440 t=3.0</v>
      </c>
      <c r="E39" s="102">
        <f t="shared" si="15"/>
        <v>5.5749999999999993</v>
      </c>
      <c r="F39" s="4">
        <v>312</v>
      </c>
      <c r="G39" s="93">
        <v>198</v>
      </c>
      <c r="H39" s="63">
        <v>20</v>
      </c>
      <c r="I39" s="11"/>
      <c r="J39" s="72">
        <f t="shared" si="0"/>
        <v>94</v>
      </c>
      <c r="K39" s="19">
        <f t="shared" si="1"/>
        <v>524.04999999999995</v>
      </c>
      <c r="L39" s="99">
        <f>VLOOKUP(B39,[2]冲压件核价!$D$5:$P$220,11,0)</f>
        <v>0.40034999999999998</v>
      </c>
      <c r="M39" s="19">
        <f>VLOOKUP(B39,[2]冲压件核价!$D$5:$P$220,12,0)</f>
        <v>0.217</v>
      </c>
      <c r="N39" s="19">
        <f t="shared" si="7"/>
        <v>0.18334999999999999</v>
      </c>
      <c r="O39" s="99">
        <v>3.2</v>
      </c>
      <c r="P39" s="99">
        <f t="shared" si="8"/>
        <v>0.58672000000000002</v>
      </c>
      <c r="Q39" s="15">
        <f t="shared" si="9"/>
        <v>116.17056000000001</v>
      </c>
      <c r="R39" s="16">
        <f t="shared" si="2"/>
        <v>640.22055999999998</v>
      </c>
      <c r="S39" s="3" t="s">
        <v>280</v>
      </c>
      <c r="T39" s="16">
        <v>250</v>
      </c>
      <c r="U39" s="16">
        <f>VLOOKUP(S39,'[3]2D激光切割'!$A$6:$M$24,13,0)</f>
        <v>384.96000000000004</v>
      </c>
      <c r="V39" s="19">
        <v>1.6</v>
      </c>
      <c r="W39" s="19">
        <f t="shared" si="3"/>
        <v>316.8</v>
      </c>
      <c r="X39" s="19">
        <f t="shared" si="10"/>
        <v>951.76</v>
      </c>
      <c r="Y39" s="16">
        <f t="shared" si="4"/>
        <v>311.53944000000001</v>
      </c>
      <c r="AC39" s="63">
        <v>20</v>
      </c>
      <c r="AD39" s="63">
        <f t="shared" si="11"/>
        <v>-20</v>
      </c>
      <c r="AE39" s="72">
        <f t="shared" si="5"/>
        <v>20</v>
      </c>
    </row>
    <row r="40" spans="1:31" ht="21" customHeight="1" x14ac:dyDescent="0.25">
      <c r="A40" s="9" t="s">
        <v>113</v>
      </c>
      <c r="B40" s="3" t="s">
        <v>281</v>
      </c>
      <c r="C40" s="33" t="s">
        <v>70</v>
      </c>
      <c r="D40" s="3" t="str">
        <f>VLOOKUP(B40,[1]冲压件核价!$D$4:$P$466,4,0)</f>
        <v>SAPH440 t=3.0</v>
      </c>
      <c r="E40" s="102">
        <f t="shared" si="15"/>
        <v>5.5749999999999993</v>
      </c>
      <c r="F40" s="4">
        <v>268</v>
      </c>
      <c r="G40" s="93">
        <v>171</v>
      </c>
      <c r="H40" s="63">
        <v>20</v>
      </c>
      <c r="I40" s="11">
        <v>67</v>
      </c>
      <c r="J40" s="72">
        <f t="shared" si="0"/>
        <v>10</v>
      </c>
      <c r="K40" s="19">
        <f t="shared" si="1"/>
        <v>55.749999999999993</v>
      </c>
      <c r="L40" s="99">
        <f>VLOOKUP(B40,[2]冲压件核价!$D$5:$P$220,11,0)</f>
        <v>0.784215</v>
      </c>
      <c r="M40" s="19">
        <f>VLOOKUP(B40,[2]冲压件核价!$D$5:$P$220,12,0)</f>
        <v>0.67200000000000004</v>
      </c>
      <c r="N40" s="19">
        <f t="shared" si="7"/>
        <v>0.11221499999999995</v>
      </c>
      <c r="O40" s="99">
        <v>3.2</v>
      </c>
      <c r="P40" s="99">
        <f t="shared" si="8"/>
        <v>0.35908799999999985</v>
      </c>
      <c r="Q40" s="15">
        <f t="shared" si="9"/>
        <v>61.404047999999975</v>
      </c>
      <c r="R40" s="16">
        <f t="shared" si="2"/>
        <v>117.15404799999996</v>
      </c>
      <c r="S40" s="3" t="s">
        <v>281</v>
      </c>
      <c r="T40" s="16">
        <v>200</v>
      </c>
      <c r="U40" s="16">
        <f>VLOOKUP(S40,'[3]2D激光切割'!$A$6:$M$24,13,0)</f>
        <v>266.88</v>
      </c>
      <c r="V40" s="19">
        <v>2.4</v>
      </c>
      <c r="W40" s="19">
        <f t="shared" si="3"/>
        <v>410.4</v>
      </c>
      <c r="X40" s="19">
        <f t="shared" si="10"/>
        <v>877.28</v>
      </c>
      <c r="Y40" s="16">
        <f t="shared" si="4"/>
        <v>760.12595199999998</v>
      </c>
      <c r="AC40" s="63">
        <v>20</v>
      </c>
      <c r="AD40" s="63">
        <f t="shared" si="11"/>
        <v>-20</v>
      </c>
      <c r="AE40" s="72">
        <f t="shared" si="5"/>
        <v>20</v>
      </c>
    </row>
    <row r="41" spans="1:31" ht="21" customHeight="1" x14ac:dyDescent="0.25">
      <c r="A41" s="9" t="s">
        <v>114</v>
      </c>
      <c r="B41" s="3" t="s">
        <v>282</v>
      </c>
      <c r="C41" s="33" t="s">
        <v>72</v>
      </c>
      <c r="D41" s="3" t="str">
        <f>VLOOKUP(B41,[1]冲压件核价!$D$4:$P$466,4,0)</f>
        <v>SAPH440 T=2.0</v>
      </c>
      <c r="E41" s="102">
        <f>(5.14+6.3)/2</f>
        <v>5.72</v>
      </c>
      <c r="F41" s="4">
        <v>410</v>
      </c>
      <c r="G41" s="93">
        <v>302</v>
      </c>
      <c r="H41" s="63">
        <v>20</v>
      </c>
      <c r="I41" s="11"/>
      <c r="J41" s="72">
        <f t="shared" si="0"/>
        <v>88</v>
      </c>
      <c r="K41" s="19">
        <f t="shared" si="1"/>
        <v>503.35999999999996</v>
      </c>
      <c r="L41" s="99">
        <f>VLOOKUP(B41,[2]冲压件核价!$D$5:$P$220,11,0)</f>
        <v>5.4949999999999999E-2</v>
      </c>
      <c r="M41" s="19">
        <f>VLOOKUP(B41,[2]冲压件核价!$D$5:$P$220,12,0)</f>
        <v>2.5000000000000001E-2</v>
      </c>
      <c r="N41" s="19">
        <f t="shared" si="7"/>
        <v>2.9949999999999997E-2</v>
      </c>
      <c r="O41" s="99">
        <v>3.2</v>
      </c>
      <c r="P41" s="99">
        <f t="shared" si="8"/>
        <v>9.5839999999999995E-2</v>
      </c>
      <c r="Q41" s="15">
        <f t="shared" si="9"/>
        <v>28.943679999999997</v>
      </c>
      <c r="R41" s="16">
        <f t="shared" si="2"/>
        <v>532.30367999999999</v>
      </c>
      <c r="S41" s="3" t="s">
        <v>282</v>
      </c>
      <c r="T41" s="16"/>
      <c r="U41" s="16">
        <f>VLOOKUP(S41,'[3]2D激光切割'!$A$6:$M$24,13,0)</f>
        <v>68.16</v>
      </c>
      <c r="V41" s="19">
        <v>0.9</v>
      </c>
      <c r="W41" s="19">
        <f t="shared" si="3"/>
        <v>271.8</v>
      </c>
      <c r="X41" s="19">
        <f t="shared" si="10"/>
        <v>339.96000000000004</v>
      </c>
      <c r="Y41" s="16">
        <f t="shared" si="4"/>
        <v>-192.34367999999995</v>
      </c>
      <c r="AC41" s="63">
        <v>20</v>
      </c>
      <c r="AD41" s="63">
        <f t="shared" si="11"/>
        <v>-20</v>
      </c>
      <c r="AE41" s="72">
        <f t="shared" si="5"/>
        <v>20</v>
      </c>
    </row>
    <row r="42" spans="1:31" ht="21" customHeight="1" x14ac:dyDescent="0.25">
      <c r="A42" s="9" t="s">
        <v>115</v>
      </c>
      <c r="B42" s="3" t="s">
        <v>75</v>
      </c>
      <c r="C42" s="33" t="s">
        <v>74</v>
      </c>
      <c r="D42" s="3" t="s">
        <v>124</v>
      </c>
      <c r="E42" s="102">
        <f>(5.09+6.06)/2</f>
        <v>5.5749999999999993</v>
      </c>
      <c r="F42" s="4">
        <v>158</v>
      </c>
      <c r="G42" s="94">
        <v>46</v>
      </c>
      <c r="H42" s="63">
        <v>20</v>
      </c>
      <c r="I42" s="11"/>
      <c r="J42" s="72">
        <f t="shared" si="0"/>
        <v>92</v>
      </c>
      <c r="K42" s="19">
        <f t="shared" si="1"/>
        <v>512.9</v>
      </c>
      <c r="L42" s="99">
        <f>VLOOKUP(B42,[2]冲压件核价!$D$5:$P$220,11,0)</f>
        <v>8.1996390000000002E-2</v>
      </c>
      <c r="M42" s="19">
        <f>VLOOKUP(B42,[2]冲压件核价!$D$5:$P$220,12,0)</f>
        <v>2.7799999999999998E-2</v>
      </c>
      <c r="N42" s="19">
        <f t="shared" si="7"/>
        <v>5.4196390000000004E-2</v>
      </c>
      <c r="O42" s="99">
        <v>3.2</v>
      </c>
      <c r="P42" s="99">
        <f t="shared" si="8"/>
        <v>0.17342844800000001</v>
      </c>
      <c r="Q42" s="15">
        <f t="shared" si="9"/>
        <v>7.9777086080000004</v>
      </c>
      <c r="R42" s="16">
        <f t="shared" si="2"/>
        <v>520.87770860799992</v>
      </c>
      <c r="S42" s="3" t="s">
        <v>75</v>
      </c>
      <c r="T42" s="16"/>
      <c r="U42" s="16">
        <f>VLOOKUP(S42,'[3]2D激光切割'!$A$6:$M$24,13,0)</f>
        <v>513.28</v>
      </c>
      <c r="V42" s="18">
        <v>1.2</v>
      </c>
      <c r="W42" s="19">
        <f t="shared" si="3"/>
        <v>55.199999999999996</v>
      </c>
      <c r="X42" s="19">
        <f t="shared" si="10"/>
        <v>568.48</v>
      </c>
      <c r="Y42" s="16">
        <f t="shared" si="4"/>
        <v>47.602291392000097</v>
      </c>
      <c r="AC42" s="63">
        <v>20</v>
      </c>
      <c r="AD42" s="63">
        <f t="shared" si="11"/>
        <v>-20</v>
      </c>
      <c r="AE42" s="72">
        <f t="shared" si="5"/>
        <v>20</v>
      </c>
    </row>
    <row r="43" spans="1:31" ht="17.100000000000001" customHeight="1" x14ac:dyDescent="0.25">
      <c r="A43" s="9"/>
      <c r="B43" s="3"/>
      <c r="C43" s="33"/>
      <c r="D43" s="3"/>
      <c r="E43" s="79"/>
      <c r="F43" s="92">
        <f>SUM(F6:F42)</f>
        <v>21871</v>
      </c>
      <c r="G43" s="94">
        <f>SUM(G6:G42)</f>
        <v>12370</v>
      </c>
      <c r="H43" s="64"/>
      <c r="I43" s="100"/>
      <c r="J43" s="90">
        <f>SUM(J6:J42)</f>
        <v>4727</v>
      </c>
      <c r="K43" s="19">
        <f>SUM(K6:K42)</f>
        <v>28898.025000000005</v>
      </c>
      <c r="L43" s="19"/>
      <c r="M43" s="19"/>
      <c r="N43" s="19"/>
      <c r="O43" s="19"/>
      <c r="P43" s="19"/>
      <c r="Q43" s="15">
        <f>SUM(Q6:Q42)</f>
        <v>15907.660803008001</v>
      </c>
      <c r="R43" s="15">
        <f>SUM(R6:R42)</f>
        <v>44805.685803007982</v>
      </c>
      <c r="S43" s="3"/>
      <c r="T43" s="15">
        <f>SUM(T6:T42)</f>
        <v>19795.599999999999</v>
      </c>
      <c r="U43" s="15">
        <f>SUM(U6:U42)</f>
        <v>8517.44</v>
      </c>
      <c r="V43" s="18"/>
      <c r="W43" s="18">
        <f>SUM(W6:W42)</f>
        <v>37973.600000000006</v>
      </c>
      <c r="X43" s="18">
        <f>SUM(X6:X42)</f>
        <v>66286.640000000014</v>
      </c>
      <c r="Y43" s="15">
        <f>SUM(Y6:Y42)</f>
        <v>21480.954196991999</v>
      </c>
      <c r="AC43" s="64"/>
      <c r="AD43" s="64"/>
      <c r="AE43" s="90"/>
    </row>
    <row r="51" spans="6:6" x14ac:dyDescent="0.25">
      <c r="F51" s="8">
        <f>5352+150</f>
        <v>5502</v>
      </c>
    </row>
  </sheetData>
  <autoFilter ref="A5:AE43" xr:uid="{DA2FBF86-14D8-4F5C-8364-88E1AA5E729B}"/>
  <mergeCells count="21">
    <mergeCell ref="A1:Y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3"/>
    <mergeCell ref="T3:X3"/>
    <mergeCell ref="Y3:Y5"/>
    <mergeCell ref="AC3:AC5"/>
    <mergeCell ref="AE3:AE5"/>
    <mergeCell ref="K4:K5"/>
    <mergeCell ref="L4:Q4"/>
    <mergeCell ref="R4:R5"/>
    <mergeCell ref="S3:S5"/>
    <mergeCell ref="AD3:AD5"/>
  </mergeCells>
  <phoneticPr fontId="2" type="noConversion"/>
  <conditionalFormatting sqref="B6">
    <cfRule type="duplicateValues" dxfId="113" priority="42"/>
  </conditionalFormatting>
  <conditionalFormatting sqref="B7">
    <cfRule type="duplicateValues" dxfId="112" priority="29"/>
  </conditionalFormatting>
  <conditionalFormatting sqref="B8">
    <cfRule type="duplicateValues" dxfId="111" priority="35"/>
  </conditionalFormatting>
  <conditionalFormatting sqref="B9">
    <cfRule type="duplicateValues" dxfId="110" priority="41"/>
  </conditionalFormatting>
  <conditionalFormatting sqref="B10">
    <cfRule type="duplicateValues" dxfId="109" priority="28"/>
  </conditionalFormatting>
  <conditionalFormatting sqref="B11">
    <cfRule type="duplicateValues" dxfId="108" priority="27"/>
  </conditionalFormatting>
  <conditionalFormatting sqref="B12">
    <cfRule type="duplicateValues" dxfId="107" priority="26"/>
  </conditionalFormatting>
  <conditionalFormatting sqref="B13">
    <cfRule type="duplicateValues" dxfId="106" priority="40"/>
  </conditionalFormatting>
  <conditionalFormatting sqref="B14">
    <cfRule type="duplicateValues" dxfId="105" priority="34"/>
  </conditionalFormatting>
  <conditionalFormatting sqref="B15">
    <cfRule type="duplicateValues" dxfId="104" priority="33"/>
  </conditionalFormatting>
  <conditionalFormatting sqref="B16">
    <cfRule type="duplicateValues" dxfId="103" priority="32"/>
  </conditionalFormatting>
  <conditionalFormatting sqref="B17">
    <cfRule type="duplicateValues" dxfId="102" priority="39"/>
  </conditionalFormatting>
  <conditionalFormatting sqref="B18">
    <cfRule type="duplicateValues" dxfId="101" priority="25"/>
  </conditionalFormatting>
  <conditionalFormatting sqref="B19">
    <cfRule type="duplicateValues" dxfId="100" priority="31"/>
  </conditionalFormatting>
  <conditionalFormatting sqref="B20">
    <cfRule type="duplicateValues" dxfId="99" priority="38"/>
  </conditionalFormatting>
  <conditionalFormatting sqref="B21">
    <cfRule type="duplicateValues" dxfId="98" priority="24"/>
  </conditionalFormatting>
  <conditionalFormatting sqref="B22">
    <cfRule type="duplicateValues" dxfId="97" priority="30"/>
  </conditionalFormatting>
  <conditionalFormatting sqref="B23">
    <cfRule type="duplicateValues" dxfId="96" priority="37"/>
  </conditionalFormatting>
  <conditionalFormatting sqref="B24">
    <cfRule type="duplicateValues" dxfId="95" priority="36"/>
  </conditionalFormatting>
  <conditionalFormatting sqref="B25">
    <cfRule type="duplicateValues" dxfId="94" priority="23"/>
  </conditionalFormatting>
  <conditionalFormatting sqref="B26:B41">
    <cfRule type="duplicateValues" dxfId="93" priority="43"/>
  </conditionalFormatting>
  <conditionalFormatting sqref="B42:B43">
    <cfRule type="duplicateValues" dxfId="92" priority="44"/>
  </conditionalFormatting>
  <conditionalFormatting sqref="S6">
    <cfRule type="duplicateValues" dxfId="91" priority="20"/>
  </conditionalFormatting>
  <conditionalFormatting sqref="S7">
    <cfRule type="duplicateValues" dxfId="90" priority="7"/>
  </conditionalFormatting>
  <conditionalFormatting sqref="S8">
    <cfRule type="duplicateValues" dxfId="89" priority="13"/>
  </conditionalFormatting>
  <conditionalFormatting sqref="S9">
    <cfRule type="duplicateValues" dxfId="88" priority="19"/>
  </conditionalFormatting>
  <conditionalFormatting sqref="S10">
    <cfRule type="duplicateValues" dxfId="87" priority="6"/>
  </conditionalFormatting>
  <conditionalFormatting sqref="S11">
    <cfRule type="duplicateValues" dxfId="86" priority="5"/>
  </conditionalFormatting>
  <conditionalFormatting sqref="S12">
    <cfRule type="duplicateValues" dxfId="85" priority="4"/>
  </conditionalFormatting>
  <conditionalFormatting sqref="S13">
    <cfRule type="duplicateValues" dxfId="84" priority="18"/>
  </conditionalFormatting>
  <conditionalFormatting sqref="S14">
    <cfRule type="duplicateValues" dxfId="83" priority="12"/>
  </conditionalFormatting>
  <conditionalFormatting sqref="S15">
    <cfRule type="duplicateValues" dxfId="82" priority="11"/>
  </conditionalFormatting>
  <conditionalFormatting sqref="S16">
    <cfRule type="duplicateValues" dxfId="81" priority="10"/>
  </conditionalFormatting>
  <conditionalFormatting sqref="S17">
    <cfRule type="duplicateValues" dxfId="80" priority="17"/>
  </conditionalFormatting>
  <conditionalFormatting sqref="S18">
    <cfRule type="duplicateValues" dxfId="79" priority="3"/>
  </conditionalFormatting>
  <conditionalFormatting sqref="S19">
    <cfRule type="duplicateValues" dxfId="78" priority="9"/>
  </conditionalFormatting>
  <conditionalFormatting sqref="S20">
    <cfRule type="duplicateValues" dxfId="77" priority="16"/>
  </conditionalFormatting>
  <conditionalFormatting sqref="S21">
    <cfRule type="duplicateValues" dxfId="76" priority="2"/>
  </conditionalFormatting>
  <conditionalFormatting sqref="S22">
    <cfRule type="duplicateValues" dxfId="75" priority="8"/>
  </conditionalFormatting>
  <conditionalFormatting sqref="S23">
    <cfRule type="duplicateValues" dxfId="74" priority="15"/>
  </conditionalFormatting>
  <conditionalFormatting sqref="S24">
    <cfRule type="duplicateValues" dxfId="73" priority="14"/>
  </conditionalFormatting>
  <conditionalFormatting sqref="S25">
    <cfRule type="duplicateValues" dxfId="72" priority="1"/>
  </conditionalFormatting>
  <conditionalFormatting sqref="S26:S41">
    <cfRule type="duplicateValues" dxfId="71" priority="21"/>
  </conditionalFormatting>
  <conditionalFormatting sqref="S42:S43">
    <cfRule type="duplicateValues" dxfId="70" priority="22"/>
  </conditionalFormatting>
  <printOptions horizontalCentered="1"/>
  <pageMargins left="0.11811023622047245" right="0.11811023622047245" top="0.55118110236220474" bottom="0.35433070866141736" header="0.31496062992125984" footer="0.31496062992125984"/>
  <pageSetup paperSize="9" scale="4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BF86-14D8-4F5C-8364-88E1AA5E729B}">
  <dimension ref="A1:X51"/>
  <sheetViews>
    <sheetView view="pageBreakPreview" zoomScale="90" zoomScaleNormal="85" zoomScaleSheetLayoutView="9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D3" sqref="D1:J1048576"/>
    </sheetView>
  </sheetViews>
  <sheetFormatPr defaultColWidth="9" defaultRowHeight="13.8" x14ac:dyDescent="0.25"/>
  <cols>
    <col min="1" max="1" width="8.77734375" style="2" customWidth="1"/>
    <col min="2" max="2" width="14.33203125" style="2" customWidth="1"/>
    <col min="3" max="3" width="35.77734375" style="35" customWidth="1"/>
    <col min="4" max="4" width="19.21875" style="123" customWidth="1"/>
    <col min="5" max="5" width="10.109375" style="123" customWidth="1"/>
    <col min="6" max="6" width="9.33203125" style="101" customWidth="1"/>
    <col min="7" max="8" width="9.6640625" style="101" customWidth="1"/>
    <col min="9" max="10" width="9.33203125" style="101" customWidth="1"/>
    <col min="11" max="11" width="11.33203125" style="8" customWidth="1"/>
    <col min="12" max="12" width="8.33203125" style="8" customWidth="1"/>
    <col min="13" max="13" width="8.6640625" style="8" customWidth="1"/>
    <col min="14" max="16" width="9.88671875" style="8" customWidth="1"/>
    <col min="17" max="17" width="10.88671875" style="2" customWidth="1"/>
    <col min="18" max="18" width="11" style="8" customWidth="1"/>
    <col min="19" max="20" width="9.44140625" style="8" customWidth="1"/>
    <col min="21" max="21" width="7.77734375" style="8" customWidth="1"/>
    <col min="22" max="22" width="10.77734375" style="8" customWidth="1"/>
    <col min="23" max="23" width="11.33203125" style="8" customWidth="1"/>
    <col min="24" max="24" width="12.21875" style="2" customWidth="1"/>
    <col min="25" max="16384" width="9" style="2"/>
  </cols>
  <sheetData>
    <row r="1" spans="1:24" ht="29.1" customHeight="1" x14ac:dyDescent="0.25">
      <c r="A1" s="163" t="s">
        <v>152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ht="21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ht="21" customHeight="1" x14ac:dyDescent="0.25">
      <c r="A3" s="162" t="s">
        <v>78</v>
      </c>
      <c r="B3" s="162" t="s">
        <v>2</v>
      </c>
      <c r="C3" s="162" t="s">
        <v>1</v>
      </c>
      <c r="D3" s="170" t="s">
        <v>121</v>
      </c>
      <c r="E3" s="170" t="s">
        <v>123</v>
      </c>
      <c r="F3" s="200" t="s">
        <v>116</v>
      </c>
      <c r="G3" s="200" t="s">
        <v>243</v>
      </c>
      <c r="H3" s="170" t="s">
        <v>258</v>
      </c>
      <c r="I3" s="170" t="s">
        <v>256</v>
      </c>
      <c r="J3" s="170" t="s">
        <v>255</v>
      </c>
      <c r="K3" s="173" t="s">
        <v>118</v>
      </c>
      <c r="L3" s="173"/>
      <c r="M3" s="173"/>
      <c r="N3" s="173"/>
      <c r="O3" s="173"/>
      <c r="P3" s="173"/>
      <c r="Q3" s="173"/>
      <c r="R3" s="173"/>
      <c r="S3" s="157" t="s">
        <v>128</v>
      </c>
      <c r="T3" s="158"/>
      <c r="U3" s="158"/>
      <c r="V3" s="158"/>
      <c r="W3" s="159"/>
      <c r="X3" s="160" t="s">
        <v>117</v>
      </c>
    </row>
    <row r="4" spans="1:24" ht="21" customHeight="1" x14ac:dyDescent="0.25">
      <c r="A4" s="162"/>
      <c r="B4" s="162"/>
      <c r="C4" s="162"/>
      <c r="D4" s="171"/>
      <c r="E4" s="171"/>
      <c r="F4" s="200"/>
      <c r="G4" s="200"/>
      <c r="H4" s="171"/>
      <c r="I4" s="171"/>
      <c r="J4" s="171"/>
      <c r="K4" s="155" t="s">
        <v>120</v>
      </c>
      <c r="L4" s="157" t="s">
        <v>291</v>
      </c>
      <c r="M4" s="158"/>
      <c r="N4" s="158"/>
      <c r="O4" s="158"/>
      <c r="P4" s="158"/>
      <c r="Q4" s="159"/>
      <c r="R4" s="160" t="s">
        <v>125</v>
      </c>
      <c r="S4" s="176" t="s">
        <v>297</v>
      </c>
      <c r="T4" s="176" t="s">
        <v>298</v>
      </c>
      <c r="U4" s="162" t="s">
        <v>76</v>
      </c>
      <c r="V4" s="162" t="s">
        <v>127</v>
      </c>
      <c r="W4" s="162" t="s">
        <v>283</v>
      </c>
      <c r="X4" s="174"/>
    </row>
    <row r="5" spans="1:24" ht="38.4" customHeight="1" x14ac:dyDescent="0.25">
      <c r="A5" s="162"/>
      <c r="B5" s="162"/>
      <c r="C5" s="162"/>
      <c r="D5" s="172"/>
      <c r="E5" s="172"/>
      <c r="F5" s="200"/>
      <c r="G5" s="200"/>
      <c r="H5" s="172"/>
      <c r="I5" s="172"/>
      <c r="J5" s="172"/>
      <c r="K5" s="156"/>
      <c r="L5" s="96" t="s">
        <v>289</v>
      </c>
      <c r="M5" s="96" t="s">
        <v>290</v>
      </c>
      <c r="N5" s="96" t="s">
        <v>287</v>
      </c>
      <c r="O5" s="96" t="s">
        <v>288</v>
      </c>
      <c r="P5" s="14" t="s">
        <v>126</v>
      </c>
      <c r="Q5" s="3" t="s">
        <v>77</v>
      </c>
      <c r="R5" s="161"/>
      <c r="S5" s="176"/>
      <c r="T5" s="176"/>
      <c r="U5" s="162"/>
      <c r="V5" s="162"/>
      <c r="W5" s="162"/>
      <c r="X5" s="161"/>
    </row>
    <row r="6" spans="1:24" s="123" customFormat="1" ht="21" customHeight="1" x14ac:dyDescent="0.25">
      <c r="A6" s="115" t="s">
        <v>79</v>
      </c>
      <c r="B6" s="116" t="s">
        <v>122</v>
      </c>
      <c r="C6" s="117" t="s">
        <v>3</v>
      </c>
      <c r="D6" s="116" t="str">
        <f>VLOOKUP(B6,[1]冲压件核价!$D$4:$P$466,4,0)</f>
        <v>SPFH590 t=2.0</v>
      </c>
      <c r="E6" s="118">
        <f>(5.502+6.85)/2</f>
        <v>6.1760000000000002</v>
      </c>
      <c r="F6" s="11">
        <f>VLOOKUP(B6,'[4]2020年发货数量'!$AH$6:$AJ$42,3,0)</f>
        <v>176</v>
      </c>
      <c r="G6" s="11">
        <v>146</v>
      </c>
      <c r="H6" s="11">
        <v>20</v>
      </c>
      <c r="I6" s="11"/>
      <c r="J6" s="11">
        <f t="shared" ref="J6:J42" si="0">F6-G6-H6-I6</f>
        <v>10</v>
      </c>
      <c r="K6" s="119">
        <f t="shared" ref="K6:K42" si="1">J6*E6</f>
        <v>61.760000000000005</v>
      </c>
      <c r="L6" s="120">
        <f>VLOOKUP(B6,[2]冲压件核价!$D$5:$P$220,11,0)</f>
        <v>1.2403</v>
      </c>
      <c r="M6" s="119">
        <f>VLOOKUP(B6,[2]冲压件核价!$D$5:$P$220,12,0)</f>
        <v>0.65900000000000003</v>
      </c>
      <c r="N6" s="119">
        <f>L6-M6</f>
        <v>0.58129999999999993</v>
      </c>
      <c r="O6" s="120">
        <v>3.2</v>
      </c>
      <c r="P6" s="120">
        <f>N6*O6</f>
        <v>1.8601599999999998</v>
      </c>
      <c r="Q6" s="121">
        <f>P6*G6</f>
        <v>271.58335999999997</v>
      </c>
      <c r="R6" s="122">
        <f t="shared" ref="R6:R42" si="2">K6+Q6</f>
        <v>333.34335999999996</v>
      </c>
      <c r="S6" s="122">
        <v>552</v>
      </c>
      <c r="T6" s="122"/>
      <c r="U6" s="119">
        <v>4</v>
      </c>
      <c r="V6" s="119">
        <f t="shared" ref="V6:V42" si="3">G6*U6</f>
        <v>584</v>
      </c>
      <c r="W6" s="119">
        <f>S6+V6</f>
        <v>1136</v>
      </c>
      <c r="X6" s="122">
        <f t="shared" ref="X6:X42" si="4">W6-R6</f>
        <v>802.65664000000004</v>
      </c>
    </row>
    <row r="7" spans="1:24" s="123" customFormat="1" ht="21" customHeight="1" x14ac:dyDescent="0.25">
      <c r="A7" s="115" t="s">
        <v>80</v>
      </c>
      <c r="B7" s="116" t="s">
        <v>5</v>
      </c>
      <c r="C7" s="117" t="s">
        <v>4</v>
      </c>
      <c r="D7" s="116" t="str">
        <f>VLOOKUP(B7,[1]冲压件核价!$D$4:$P$466,4,0)</f>
        <v>SPFH590 t=2.0</v>
      </c>
      <c r="E7" s="118">
        <f t="shared" ref="E7:E17" si="5">(5.502+6.85)/2</f>
        <v>6.1760000000000002</v>
      </c>
      <c r="F7" s="11">
        <f>VLOOKUP(B7,'[4]2020年发货数量'!$AH$6:$AJ$42,3,0)</f>
        <v>220</v>
      </c>
      <c r="G7" s="11">
        <v>186</v>
      </c>
      <c r="H7" s="11">
        <v>20</v>
      </c>
      <c r="I7" s="11"/>
      <c r="J7" s="11">
        <f t="shared" si="0"/>
        <v>14</v>
      </c>
      <c r="K7" s="119">
        <f t="shared" si="1"/>
        <v>86.463999999999999</v>
      </c>
      <c r="L7" s="120">
        <f>VLOOKUP(B7,[2]冲压件核价!$D$5:$P$220,11,0)</f>
        <v>1.2403</v>
      </c>
      <c r="M7" s="119">
        <f>VLOOKUP(B7,[2]冲压件核价!$D$5:$P$220,12,0)</f>
        <v>0.70199999999999996</v>
      </c>
      <c r="N7" s="119">
        <f t="shared" ref="N7:N42" si="6">L7-M7</f>
        <v>0.5383</v>
      </c>
      <c r="O7" s="120">
        <v>3.2</v>
      </c>
      <c r="P7" s="120">
        <f t="shared" ref="P7:P42" si="7">N7*O7</f>
        <v>1.7225600000000001</v>
      </c>
      <c r="Q7" s="121">
        <f t="shared" ref="Q7:Q42" si="8">P7*G7</f>
        <v>320.39616000000001</v>
      </c>
      <c r="R7" s="122">
        <f t="shared" si="2"/>
        <v>406.86016000000001</v>
      </c>
      <c r="S7" s="122">
        <v>552</v>
      </c>
      <c r="T7" s="122"/>
      <c r="U7" s="119">
        <v>4</v>
      </c>
      <c r="V7" s="119">
        <f t="shared" si="3"/>
        <v>744</v>
      </c>
      <c r="W7" s="119">
        <f t="shared" ref="W7:W42" si="9">S7+V7</f>
        <v>1296</v>
      </c>
      <c r="X7" s="122">
        <f t="shared" si="4"/>
        <v>889.13984000000005</v>
      </c>
    </row>
    <row r="8" spans="1:24" ht="21" customHeight="1" x14ac:dyDescent="0.25">
      <c r="A8" s="9" t="s">
        <v>81</v>
      </c>
      <c r="B8" s="3" t="s">
        <v>7</v>
      </c>
      <c r="C8" s="33" t="s">
        <v>6</v>
      </c>
      <c r="D8" s="116" t="str">
        <f>VLOOKUP(B8,[1]冲压件核价!$D$4:$P$466,4,0)</f>
        <v>SPFH590 t=2.0</v>
      </c>
      <c r="E8" s="118">
        <f t="shared" si="5"/>
        <v>6.1760000000000002</v>
      </c>
      <c r="F8" s="11">
        <f>VLOOKUP(B8,'[4]2020年发货数量'!$AH$6:$AJ$42,3,0)</f>
        <v>155</v>
      </c>
      <c r="G8" s="11">
        <v>103</v>
      </c>
      <c r="H8" s="11">
        <v>20</v>
      </c>
      <c r="I8" s="11"/>
      <c r="J8" s="11">
        <f t="shared" si="0"/>
        <v>32</v>
      </c>
      <c r="K8" s="19">
        <f t="shared" si="1"/>
        <v>197.63200000000001</v>
      </c>
      <c r="L8" s="99">
        <f>VLOOKUP(B8,[2]冲压件核价!$D$5:$P$220,11,0)</f>
        <v>0.10205</v>
      </c>
      <c r="M8" s="19">
        <f>VLOOKUP(B8,[2]冲压件核价!$D$5:$P$220,12,0)</f>
        <v>7.3999999999999996E-2</v>
      </c>
      <c r="N8" s="19">
        <f t="shared" si="6"/>
        <v>2.8050000000000005E-2</v>
      </c>
      <c r="O8" s="99">
        <v>3.2</v>
      </c>
      <c r="P8" s="99">
        <f t="shared" si="7"/>
        <v>8.976000000000002E-2</v>
      </c>
      <c r="Q8" s="15">
        <f t="shared" si="8"/>
        <v>9.2452800000000028</v>
      </c>
      <c r="R8" s="16">
        <f t="shared" si="2"/>
        <v>206.87728000000001</v>
      </c>
      <c r="S8" s="16">
        <v>408</v>
      </c>
      <c r="T8" s="16">
        <v>386.56</v>
      </c>
      <c r="U8" s="19">
        <v>0.6</v>
      </c>
      <c r="V8" s="19">
        <f t="shared" si="3"/>
        <v>61.8</v>
      </c>
      <c r="W8" s="19">
        <f t="shared" si="9"/>
        <v>469.8</v>
      </c>
      <c r="X8" s="16">
        <f t="shared" si="4"/>
        <v>262.92272000000003</v>
      </c>
    </row>
    <row r="9" spans="1:24" ht="21" customHeight="1" x14ac:dyDescent="0.25">
      <c r="A9" s="9" t="s">
        <v>82</v>
      </c>
      <c r="B9" s="3" t="s">
        <v>9</v>
      </c>
      <c r="C9" s="33" t="s">
        <v>8</v>
      </c>
      <c r="D9" s="116" t="str">
        <f>VLOOKUP(B9,[1]冲压件核价!$D$4:$P$466,4,0)</f>
        <v>SPFH590 t=2.0</v>
      </c>
      <c r="E9" s="118">
        <f t="shared" si="5"/>
        <v>6.1760000000000002</v>
      </c>
      <c r="F9" s="11">
        <f>VLOOKUP(B9,'[4]2020年发货数量'!$AH$6:$AJ$42,3,0)</f>
        <v>220</v>
      </c>
      <c r="G9" s="11">
        <v>120</v>
      </c>
      <c r="H9" s="11">
        <v>20</v>
      </c>
      <c r="I9" s="11"/>
      <c r="J9" s="11">
        <f t="shared" si="0"/>
        <v>80</v>
      </c>
      <c r="K9" s="19">
        <f t="shared" si="1"/>
        <v>494.08000000000004</v>
      </c>
      <c r="L9" s="99">
        <f>VLOOKUP(B9,[2]冲压件核价!$D$5:$P$220,11,0)</f>
        <v>0.10205</v>
      </c>
      <c r="M9" s="19">
        <f>VLOOKUP(B9,[2]冲压件核价!$D$5:$P$220,12,0)</f>
        <v>7.0999999999999994E-2</v>
      </c>
      <c r="N9" s="19">
        <f t="shared" si="6"/>
        <v>3.1050000000000008E-2</v>
      </c>
      <c r="O9" s="99">
        <v>3.2</v>
      </c>
      <c r="P9" s="99">
        <f t="shared" si="7"/>
        <v>9.9360000000000032E-2</v>
      </c>
      <c r="Q9" s="15">
        <f t="shared" si="8"/>
        <v>11.923200000000003</v>
      </c>
      <c r="R9" s="16">
        <f t="shared" si="2"/>
        <v>506.00320000000005</v>
      </c>
      <c r="S9" s="16"/>
      <c r="T9" s="16"/>
      <c r="U9" s="19">
        <v>0.6</v>
      </c>
      <c r="V9" s="19">
        <f t="shared" si="3"/>
        <v>72</v>
      </c>
      <c r="W9" s="19">
        <f t="shared" si="9"/>
        <v>72</v>
      </c>
      <c r="X9" s="16">
        <f t="shared" si="4"/>
        <v>-434.00320000000005</v>
      </c>
    </row>
    <row r="10" spans="1:24" ht="21" customHeight="1" x14ac:dyDescent="0.25">
      <c r="A10" s="9" t="s">
        <v>83</v>
      </c>
      <c r="B10" s="3" t="s">
        <v>191</v>
      </c>
      <c r="C10" s="33" t="s">
        <v>10</v>
      </c>
      <c r="D10" s="116" t="s">
        <v>192</v>
      </c>
      <c r="E10" s="118">
        <f t="shared" si="5"/>
        <v>6.1760000000000002</v>
      </c>
      <c r="F10" s="11">
        <f>VLOOKUP(B10,'[4]2020年发货数量'!$AH$6:$AJ$42,3,0)</f>
        <v>215</v>
      </c>
      <c r="G10" s="11">
        <v>130</v>
      </c>
      <c r="H10" s="11">
        <v>20</v>
      </c>
      <c r="I10" s="11"/>
      <c r="J10" s="11">
        <f t="shared" si="0"/>
        <v>65</v>
      </c>
      <c r="K10" s="19">
        <f t="shared" si="1"/>
        <v>401.44</v>
      </c>
      <c r="L10" s="99">
        <f>VLOOKUP(B10,[2]冲压件核价!$D$5:$P$220,11,0)</f>
        <v>1.04562</v>
      </c>
      <c r="M10" s="19">
        <f>VLOOKUP(B10,[2]冲压件核价!$D$5:$P$220,12,0)</f>
        <v>0.39900000000000002</v>
      </c>
      <c r="N10" s="19">
        <f t="shared" si="6"/>
        <v>0.64661999999999997</v>
      </c>
      <c r="O10" s="99">
        <v>3.2</v>
      </c>
      <c r="P10" s="99">
        <f t="shared" si="7"/>
        <v>2.0691839999999999</v>
      </c>
      <c r="Q10" s="15">
        <f t="shared" si="8"/>
        <v>268.99392</v>
      </c>
      <c r="R10" s="16">
        <f t="shared" si="2"/>
        <v>670.43391999999994</v>
      </c>
      <c r="S10" s="16"/>
      <c r="T10" s="16"/>
      <c r="U10" s="19">
        <v>4.8</v>
      </c>
      <c r="V10" s="19">
        <f t="shared" si="3"/>
        <v>624</v>
      </c>
      <c r="W10" s="19">
        <f t="shared" si="9"/>
        <v>624</v>
      </c>
      <c r="X10" s="16">
        <f t="shared" si="4"/>
        <v>-46.433919999999944</v>
      </c>
    </row>
    <row r="11" spans="1:24" ht="21" customHeight="1" x14ac:dyDescent="0.25">
      <c r="A11" s="9" t="s">
        <v>84</v>
      </c>
      <c r="B11" s="3" t="s">
        <v>13</v>
      </c>
      <c r="C11" s="33" t="s">
        <v>12</v>
      </c>
      <c r="D11" s="116" t="s">
        <v>188</v>
      </c>
      <c r="E11" s="118">
        <f t="shared" si="5"/>
        <v>6.1760000000000002</v>
      </c>
      <c r="F11" s="11">
        <f>VLOOKUP(B11,'[4]2020年发货数量'!$AH$6:$AJ$42,3,0)</f>
        <v>158</v>
      </c>
      <c r="G11" s="11">
        <v>139</v>
      </c>
      <c r="H11" s="11">
        <v>20</v>
      </c>
      <c r="I11" s="11"/>
      <c r="J11" s="11">
        <f t="shared" si="0"/>
        <v>-1</v>
      </c>
      <c r="K11" s="19">
        <f t="shared" si="1"/>
        <v>-6.1760000000000002</v>
      </c>
      <c r="L11" s="99">
        <f>VLOOKUP(B11,[2]冲压件核价!$D$5:$P$220,11,0)</f>
        <v>1.01736</v>
      </c>
      <c r="M11" s="19">
        <f>VLOOKUP(B11,[2]冲压件核价!$D$5:$P$220,12,0)</f>
        <v>0.52</v>
      </c>
      <c r="N11" s="19">
        <f t="shared" si="6"/>
        <v>0.49736000000000002</v>
      </c>
      <c r="O11" s="99">
        <v>3.2</v>
      </c>
      <c r="P11" s="99">
        <f t="shared" si="7"/>
        <v>1.5915520000000001</v>
      </c>
      <c r="Q11" s="15">
        <f t="shared" si="8"/>
        <v>221.225728</v>
      </c>
      <c r="R11" s="16">
        <f t="shared" si="2"/>
        <v>215.04972800000002</v>
      </c>
      <c r="S11" s="16"/>
      <c r="T11" s="16"/>
      <c r="U11" s="19">
        <v>4.8</v>
      </c>
      <c r="V11" s="19">
        <f t="shared" si="3"/>
        <v>667.19999999999993</v>
      </c>
      <c r="W11" s="19">
        <f t="shared" si="9"/>
        <v>667.19999999999993</v>
      </c>
      <c r="X11" s="16">
        <f t="shared" si="4"/>
        <v>452.15027199999992</v>
      </c>
    </row>
    <row r="12" spans="1:24" ht="21" customHeight="1" x14ac:dyDescent="0.25">
      <c r="A12" s="9" t="s">
        <v>85</v>
      </c>
      <c r="B12" s="3" t="s">
        <v>15</v>
      </c>
      <c r="C12" s="33" t="s">
        <v>14</v>
      </c>
      <c r="D12" s="116" t="s">
        <v>188</v>
      </c>
      <c r="E12" s="118">
        <f t="shared" si="5"/>
        <v>6.1760000000000002</v>
      </c>
      <c r="F12" s="11">
        <f>VLOOKUP(B12,'[4]2020年发货数量'!$AH$6:$AJ$42,3,0)</f>
        <v>426</v>
      </c>
      <c r="G12" s="11">
        <v>294</v>
      </c>
      <c r="H12" s="11">
        <v>20</v>
      </c>
      <c r="I12" s="11"/>
      <c r="J12" s="11">
        <f t="shared" si="0"/>
        <v>112</v>
      </c>
      <c r="K12" s="19">
        <f t="shared" si="1"/>
        <v>691.71199999999999</v>
      </c>
      <c r="L12" s="99">
        <f>VLOOKUP(B12,[2]冲压件核价!$D$5:$P$220,11,0)</f>
        <v>0.8478</v>
      </c>
      <c r="M12" s="19">
        <f>VLOOKUP(B12,[2]冲压件核价!$D$5:$P$220,12,0)</f>
        <v>0.38400000000000001</v>
      </c>
      <c r="N12" s="19">
        <f t="shared" si="6"/>
        <v>0.46379999999999999</v>
      </c>
      <c r="O12" s="99">
        <v>3.2</v>
      </c>
      <c r="P12" s="99">
        <f t="shared" si="7"/>
        <v>1.4841600000000001</v>
      </c>
      <c r="Q12" s="15">
        <f t="shared" si="8"/>
        <v>436.34304000000003</v>
      </c>
      <c r="R12" s="16">
        <f t="shared" si="2"/>
        <v>1128.05504</v>
      </c>
      <c r="S12" s="16">
        <v>261</v>
      </c>
      <c r="T12" s="16">
        <v>275.83999999999997</v>
      </c>
      <c r="U12" s="19">
        <v>5.6</v>
      </c>
      <c r="V12" s="19">
        <f t="shared" si="3"/>
        <v>1646.3999999999999</v>
      </c>
      <c r="W12" s="19">
        <f t="shared" si="9"/>
        <v>1907.3999999999999</v>
      </c>
      <c r="X12" s="16">
        <f t="shared" si="4"/>
        <v>779.3449599999999</v>
      </c>
    </row>
    <row r="13" spans="1:24" ht="21" customHeight="1" x14ac:dyDescent="0.25">
      <c r="A13" s="9" t="s">
        <v>86</v>
      </c>
      <c r="B13" s="3" t="s">
        <v>17</v>
      </c>
      <c r="C13" s="33" t="s">
        <v>16</v>
      </c>
      <c r="D13" s="116" t="s">
        <v>188</v>
      </c>
      <c r="E13" s="118">
        <f t="shared" si="5"/>
        <v>6.1760000000000002</v>
      </c>
      <c r="F13" s="11">
        <f>VLOOKUP(B13,'[4]2020年发货数量'!$AH$6:$AJ$42,3,0)</f>
        <v>426</v>
      </c>
      <c r="G13" s="11">
        <v>356</v>
      </c>
      <c r="H13" s="11">
        <v>20</v>
      </c>
      <c r="I13" s="11"/>
      <c r="J13" s="11">
        <f t="shared" si="0"/>
        <v>50</v>
      </c>
      <c r="K13" s="19">
        <f t="shared" si="1"/>
        <v>308.8</v>
      </c>
      <c r="L13" s="99">
        <f>VLOOKUP(B13,[2]冲压件核价!$D$5:$P$220,11,0)</f>
        <v>0.8478</v>
      </c>
      <c r="M13" s="19">
        <f>VLOOKUP(B13,[2]冲压件核价!$D$5:$P$220,12,0)</f>
        <v>0.58699999999999997</v>
      </c>
      <c r="N13" s="19">
        <f t="shared" si="6"/>
        <v>0.26080000000000003</v>
      </c>
      <c r="O13" s="99">
        <v>3.2</v>
      </c>
      <c r="P13" s="99">
        <f t="shared" si="7"/>
        <v>0.83456000000000019</v>
      </c>
      <c r="Q13" s="15">
        <f t="shared" si="8"/>
        <v>297.10336000000007</v>
      </c>
      <c r="R13" s="16">
        <f t="shared" si="2"/>
        <v>605.90336000000002</v>
      </c>
      <c r="S13" s="16">
        <v>261</v>
      </c>
      <c r="T13" s="16">
        <v>714.56000000000006</v>
      </c>
      <c r="U13" s="19">
        <v>5.6</v>
      </c>
      <c r="V13" s="19">
        <f t="shared" si="3"/>
        <v>1993.6</v>
      </c>
      <c r="W13" s="19">
        <f t="shared" si="9"/>
        <v>2254.6</v>
      </c>
      <c r="X13" s="16">
        <f t="shared" si="4"/>
        <v>1648.6966399999999</v>
      </c>
    </row>
    <row r="14" spans="1:24" ht="21" customHeight="1" x14ac:dyDescent="0.25">
      <c r="A14" s="9" t="s">
        <v>87</v>
      </c>
      <c r="B14" s="3" t="s">
        <v>19</v>
      </c>
      <c r="C14" s="33" t="s">
        <v>18</v>
      </c>
      <c r="D14" s="116" t="s">
        <v>188</v>
      </c>
      <c r="E14" s="118">
        <f t="shared" si="5"/>
        <v>6.1760000000000002</v>
      </c>
      <c r="F14" s="11">
        <f>VLOOKUP(B14,'[4]2020年发货数量'!$AH$6:$AJ$42,3,0)</f>
        <v>425</v>
      </c>
      <c r="G14" s="11">
        <v>161</v>
      </c>
      <c r="H14" s="11">
        <v>20</v>
      </c>
      <c r="I14" s="11"/>
      <c r="J14" s="11">
        <f t="shared" si="0"/>
        <v>244</v>
      </c>
      <c r="K14" s="19">
        <f t="shared" si="1"/>
        <v>1506.944</v>
      </c>
      <c r="L14" s="99">
        <f>VLOOKUP(B14,[2]冲压件核价!$D$5:$P$220,11,0)</f>
        <v>0.67823999999999995</v>
      </c>
      <c r="M14" s="19">
        <f>VLOOKUP(B14,[2]冲压件核价!$D$5:$P$220,12,0)</f>
        <v>0.39100000000000001</v>
      </c>
      <c r="N14" s="19">
        <f t="shared" si="6"/>
        <v>0.28723999999999994</v>
      </c>
      <c r="O14" s="99">
        <v>3.2</v>
      </c>
      <c r="P14" s="99">
        <f t="shared" si="7"/>
        <v>0.91916799999999987</v>
      </c>
      <c r="Q14" s="15">
        <f t="shared" si="8"/>
        <v>147.98604799999998</v>
      </c>
      <c r="R14" s="16">
        <f t="shared" si="2"/>
        <v>1654.9300479999999</v>
      </c>
      <c r="S14" s="16">
        <v>261</v>
      </c>
      <c r="T14" s="16"/>
      <c r="U14" s="19">
        <v>2.4</v>
      </c>
      <c r="V14" s="19">
        <f t="shared" si="3"/>
        <v>386.4</v>
      </c>
      <c r="W14" s="19">
        <f t="shared" si="9"/>
        <v>647.4</v>
      </c>
      <c r="X14" s="16">
        <f t="shared" si="4"/>
        <v>-1007.530048</v>
      </c>
    </row>
    <row r="15" spans="1:24" ht="21" customHeight="1" x14ac:dyDescent="0.25">
      <c r="A15" s="9" t="s">
        <v>88</v>
      </c>
      <c r="B15" s="3" t="s">
        <v>21</v>
      </c>
      <c r="C15" s="33" t="s">
        <v>20</v>
      </c>
      <c r="D15" s="116" t="s">
        <v>188</v>
      </c>
      <c r="E15" s="118">
        <f t="shared" si="5"/>
        <v>6.1760000000000002</v>
      </c>
      <c r="F15" s="11">
        <f>VLOOKUP(B15,'[4]2020年发货数量'!$AH$6:$AJ$42,3,0)</f>
        <v>425</v>
      </c>
      <c r="G15" s="11">
        <v>161</v>
      </c>
      <c r="H15" s="11">
        <v>20</v>
      </c>
      <c r="I15" s="11"/>
      <c r="J15" s="11">
        <f t="shared" si="0"/>
        <v>244</v>
      </c>
      <c r="K15" s="19">
        <f t="shared" si="1"/>
        <v>1506.944</v>
      </c>
      <c r="L15" s="99">
        <f>VLOOKUP(B15,[2]冲压件核价!$D$5:$P$220,11,0)</f>
        <v>0.67823999999999995</v>
      </c>
      <c r="M15" s="19">
        <f>VLOOKUP(B15,[2]冲压件核价!$D$5:$P$220,12,0)</f>
        <v>0.378</v>
      </c>
      <c r="N15" s="19">
        <f t="shared" si="6"/>
        <v>0.30023999999999995</v>
      </c>
      <c r="O15" s="99">
        <v>3.2</v>
      </c>
      <c r="P15" s="99">
        <f t="shared" si="7"/>
        <v>0.96076799999999984</v>
      </c>
      <c r="Q15" s="15">
        <f t="shared" si="8"/>
        <v>154.68364799999998</v>
      </c>
      <c r="R15" s="16">
        <f t="shared" si="2"/>
        <v>1661.6276479999999</v>
      </c>
      <c r="S15" s="16"/>
      <c r="T15" s="16"/>
      <c r="U15" s="19">
        <v>2.4</v>
      </c>
      <c r="V15" s="19">
        <f t="shared" si="3"/>
        <v>386.4</v>
      </c>
      <c r="W15" s="19">
        <f t="shared" si="9"/>
        <v>386.4</v>
      </c>
      <c r="X15" s="16">
        <f t="shared" si="4"/>
        <v>-1275.227648</v>
      </c>
    </row>
    <row r="16" spans="1:24" ht="21" customHeight="1" x14ac:dyDescent="0.25">
      <c r="A16" s="9" t="s">
        <v>89</v>
      </c>
      <c r="B16" s="3" t="s">
        <v>23</v>
      </c>
      <c r="C16" s="33" t="s">
        <v>22</v>
      </c>
      <c r="D16" s="116" t="s">
        <v>188</v>
      </c>
      <c r="E16" s="118">
        <f t="shared" si="5"/>
        <v>6.1760000000000002</v>
      </c>
      <c r="F16" s="11">
        <f>VLOOKUP(B16,'[4]2020年发货数量'!$AH$6:$AJ$42,3,0)</f>
        <v>436</v>
      </c>
      <c r="G16" s="11">
        <v>183</v>
      </c>
      <c r="H16" s="11">
        <v>20</v>
      </c>
      <c r="I16" s="11"/>
      <c r="J16" s="11">
        <f t="shared" si="0"/>
        <v>233</v>
      </c>
      <c r="K16" s="19">
        <f t="shared" si="1"/>
        <v>1439.008</v>
      </c>
      <c r="L16" s="99">
        <f>VLOOKUP(B16,[2]冲压件核价!$D$5:$P$220,11,0)</f>
        <v>0.49172399999999999</v>
      </c>
      <c r="M16" s="19">
        <f>VLOOKUP(B16,[2]冲压件核价!$D$5:$P$220,12,0)</f>
        <v>0.25600000000000001</v>
      </c>
      <c r="N16" s="19">
        <f t="shared" si="6"/>
        <v>0.23572399999999999</v>
      </c>
      <c r="O16" s="99">
        <v>3.2</v>
      </c>
      <c r="P16" s="99">
        <f t="shared" si="7"/>
        <v>0.75431680000000001</v>
      </c>
      <c r="Q16" s="15">
        <f t="shared" si="8"/>
        <v>138.03997440000001</v>
      </c>
      <c r="R16" s="16">
        <f t="shared" si="2"/>
        <v>1577.0479743999999</v>
      </c>
      <c r="S16" s="16">
        <v>1038</v>
      </c>
      <c r="T16" s="16"/>
      <c r="U16" s="19">
        <v>4</v>
      </c>
      <c r="V16" s="19">
        <f t="shared" si="3"/>
        <v>732</v>
      </c>
      <c r="W16" s="19">
        <f t="shared" si="9"/>
        <v>1770</v>
      </c>
      <c r="X16" s="16">
        <f t="shared" si="4"/>
        <v>192.95202560000007</v>
      </c>
    </row>
    <row r="17" spans="1:24" ht="21" customHeight="1" x14ac:dyDescent="0.25">
      <c r="A17" s="9" t="s">
        <v>90</v>
      </c>
      <c r="B17" s="3" t="s">
        <v>25</v>
      </c>
      <c r="C17" s="33" t="s">
        <v>24</v>
      </c>
      <c r="D17" s="116" t="s">
        <v>188</v>
      </c>
      <c r="E17" s="118">
        <f t="shared" si="5"/>
        <v>6.1760000000000002</v>
      </c>
      <c r="F17" s="11">
        <f>VLOOKUP(B17,'[4]2020年发货数量'!$AH$6:$AJ$42,3,0)</f>
        <v>436</v>
      </c>
      <c r="G17" s="11">
        <v>259</v>
      </c>
      <c r="H17" s="11">
        <v>20</v>
      </c>
      <c r="I17" s="11"/>
      <c r="J17" s="11">
        <f t="shared" si="0"/>
        <v>157</v>
      </c>
      <c r="K17" s="19">
        <f t="shared" si="1"/>
        <v>969.63200000000006</v>
      </c>
      <c r="L17" s="99">
        <f>VLOOKUP(B17,[2]冲压件核价!$D$5:$P$220,11,0)</f>
        <v>0.49172399999999999</v>
      </c>
      <c r="M17" s="19">
        <f>VLOOKUP(B17,[2]冲压件核价!$D$5:$P$220,12,0)</f>
        <v>0.255</v>
      </c>
      <c r="N17" s="19">
        <f t="shared" si="6"/>
        <v>0.23672399999999999</v>
      </c>
      <c r="O17" s="99">
        <v>3.2</v>
      </c>
      <c r="P17" s="99">
        <f t="shared" si="7"/>
        <v>0.75751679999999999</v>
      </c>
      <c r="Q17" s="15">
        <f t="shared" si="8"/>
        <v>196.1968512</v>
      </c>
      <c r="R17" s="16">
        <f t="shared" si="2"/>
        <v>1165.8288512000001</v>
      </c>
      <c r="S17" s="16">
        <v>1038</v>
      </c>
      <c r="T17" s="16"/>
      <c r="U17" s="19">
        <v>4</v>
      </c>
      <c r="V17" s="19">
        <f t="shared" si="3"/>
        <v>1036</v>
      </c>
      <c r="W17" s="19">
        <f t="shared" si="9"/>
        <v>2074</v>
      </c>
      <c r="X17" s="16">
        <f t="shared" si="4"/>
        <v>908.17114879999986</v>
      </c>
    </row>
    <row r="18" spans="1:24" ht="21" customHeight="1" x14ac:dyDescent="0.25">
      <c r="A18" s="9" t="s">
        <v>91</v>
      </c>
      <c r="B18" s="3" t="s">
        <v>27</v>
      </c>
      <c r="C18" s="33" t="s">
        <v>26</v>
      </c>
      <c r="D18" s="116" t="str">
        <f>VLOOKUP(B18,[1]冲压件核价!$D$4:$P$466,4,0)</f>
        <v>SPFH590 t=3.5</v>
      </c>
      <c r="E18" s="118">
        <f>(5.352+6.3)/2</f>
        <v>5.8260000000000005</v>
      </c>
      <c r="F18" s="11">
        <f>VLOOKUP(B18,'[4]2020年发货数量'!$AH$6:$AJ$42,3,0)</f>
        <v>592</v>
      </c>
      <c r="G18" s="11">
        <v>394</v>
      </c>
      <c r="H18" s="11">
        <v>20</v>
      </c>
      <c r="I18" s="11"/>
      <c r="J18" s="11">
        <f t="shared" si="0"/>
        <v>178</v>
      </c>
      <c r="K18" s="19">
        <f t="shared" si="1"/>
        <v>1037.028</v>
      </c>
      <c r="L18" s="99">
        <f>VLOOKUP(B18,[2]冲压件核价!$D$5:$P$220,11,0)</f>
        <v>1.15395</v>
      </c>
      <c r="M18" s="19">
        <f>VLOOKUP(B18,[2]冲压件核价!$D$5:$P$220,12,0)</f>
        <v>0.72399999999999998</v>
      </c>
      <c r="N18" s="19">
        <f t="shared" si="6"/>
        <v>0.42995000000000005</v>
      </c>
      <c r="O18" s="99">
        <v>3.2</v>
      </c>
      <c r="P18" s="99">
        <f t="shared" si="7"/>
        <v>1.3758400000000002</v>
      </c>
      <c r="Q18" s="15">
        <f t="shared" si="8"/>
        <v>542.08096000000012</v>
      </c>
      <c r="R18" s="16">
        <f t="shared" si="2"/>
        <v>1579.10896</v>
      </c>
      <c r="S18" s="16">
        <v>774</v>
      </c>
      <c r="T18" s="16"/>
      <c r="U18" s="19">
        <v>3.2</v>
      </c>
      <c r="V18" s="19">
        <f t="shared" si="3"/>
        <v>1260.8000000000002</v>
      </c>
      <c r="W18" s="19">
        <f t="shared" si="9"/>
        <v>2034.8000000000002</v>
      </c>
      <c r="X18" s="16">
        <f t="shared" si="4"/>
        <v>455.69104000000016</v>
      </c>
    </row>
    <row r="19" spans="1:24" ht="21" customHeight="1" x14ac:dyDescent="0.25">
      <c r="A19" s="9" t="s">
        <v>92</v>
      </c>
      <c r="B19" s="3" t="s">
        <v>267</v>
      </c>
      <c r="C19" s="33" t="s">
        <v>28</v>
      </c>
      <c r="D19" s="116" t="str">
        <f>VLOOKUP(B19,[1]冲压件核价!$D$4:$P$466,4,0)</f>
        <v>SPFH590 t=4.0</v>
      </c>
      <c r="E19" s="118">
        <f>(5.352+6.3)/2</f>
        <v>5.8260000000000005</v>
      </c>
      <c r="F19" s="11">
        <f>VLOOKUP(B19,'[4]2020年发货数量'!$AH$6:$AJ$42,3,0)</f>
        <v>592</v>
      </c>
      <c r="G19" s="11">
        <v>326</v>
      </c>
      <c r="H19" s="11">
        <v>20</v>
      </c>
      <c r="I19" s="11"/>
      <c r="J19" s="11">
        <f t="shared" si="0"/>
        <v>246</v>
      </c>
      <c r="K19" s="19">
        <f t="shared" si="1"/>
        <v>1433.1960000000001</v>
      </c>
      <c r="L19" s="99">
        <f>VLOOKUP(B19,[2]冲压件核价!$D$5:$P$220,11,0)</f>
        <v>1.3188</v>
      </c>
      <c r="M19" s="19">
        <f>VLOOKUP(B19,[2]冲压件核价!$D$5:$P$220,12,0)</f>
        <v>0.72399999999999998</v>
      </c>
      <c r="N19" s="19">
        <f t="shared" si="6"/>
        <v>0.5948</v>
      </c>
      <c r="O19" s="99">
        <v>3.2</v>
      </c>
      <c r="P19" s="99">
        <f t="shared" si="7"/>
        <v>1.9033600000000002</v>
      </c>
      <c r="Q19" s="15">
        <f t="shared" si="8"/>
        <v>620.49536000000001</v>
      </c>
      <c r="R19" s="16">
        <f t="shared" si="2"/>
        <v>2053.6913600000003</v>
      </c>
      <c r="S19" s="16">
        <v>395</v>
      </c>
      <c r="T19" s="16"/>
      <c r="U19" s="19">
        <v>3.2</v>
      </c>
      <c r="V19" s="19">
        <f t="shared" si="3"/>
        <v>1043.2</v>
      </c>
      <c r="W19" s="19">
        <f t="shared" si="9"/>
        <v>1438.2</v>
      </c>
      <c r="X19" s="16">
        <f t="shared" si="4"/>
        <v>-615.49136000000021</v>
      </c>
    </row>
    <row r="20" spans="1:24" ht="21" customHeight="1" x14ac:dyDescent="0.25">
      <c r="A20" s="9" t="s">
        <v>93</v>
      </c>
      <c r="B20" s="6" t="s">
        <v>31</v>
      </c>
      <c r="C20" s="34" t="s">
        <v>30</v>
      </c>
      <c r="D20" s="116" t="str">
        <f>VLOOKUP(B20,[1]冲压件核价!$D$4:$P$466,4,0)</f>
        <v>QSTE420TM  t=1.5</v>
      </c>
      <c r="E20" s="126">
        <v>6.18</v>
      </c>
      <c r="F20" s="11">
        <f>VLOOKUP(B20,'[4]2020年发货数量'!$AH$6:$AJ$42,3,0)</f>
        <v>440</v>
      </c>
      <c r="G20" s="11">
        <v>153</v>
      </c>
      <c r="H20" s="11">
        <v>20</v>
      </c>
      <c r="I20" s="11"/>
      <c r="J20" s="11">
        <f t="shared" si="0"/>
        <v>267</v>
      </c>
      <c r="K20" s="19">
        <f t="shared" si="1"/>
        <v>1650.06</v>
      </c>
      <c r="L20" s="99">
        <f>VLOOKUP(B20,[2]冲压件核价!$D$5:$P$220,11,0)</f>
        <v>1.81335</v>
      </c>
      <c r="M20" s="19">
        <f>VLOOKUP(B20,[2]冲压件核价!$D$5:$P$220,12,0)</f>
        <v>1.0169999999999999</v>
      </c>
      <c r="N20" s="19">
        <f t="shared" si="6"/>
        <v>0.79635000000000011</v>
      </c>
      <c r="O20" s="99">
        <v>3.2</v>
      </c>
      <c r="P20" s="99">
        <f t="shared" si="7"/>
        <v>2.5483200000000004</v>
      </c>
      <c r="Q20" s="15">
        <f t="shared" si="8"/>
        <v>389.89296000000007</v>
      </c>
      <c r="R20" s="16">
        <f t="shared" si="2"/>
        <v>2039.9529600000001</v>
      </c>
      <c r="S20" s="16">
        <v>1784</v>
      </c>
      <c r="T20" s="16"/>
      <c r="U20" s="19">
        <v>4.8</v>
      </c>
      <c r="V20" s="19">
        <f t="shared" si="3"/>
        <v>734.4</v>
      </c>
      <c r="W20" s="19">
        <f t="shared" si="9"/>
        <v>2518.4</v>
      </c>
      <c r="X20" s="16">
        <f t="shared" si="4"/>
        <v>478.44704000000002</v>
      </c>
    </row>
    <row r="21" spans="1:24" ht="21" customHeight="1" x14ac:dyDescent="0.25">
      <c r="A21" s="9" t="s">
        <v>94</v>
      </c>
      <c r="B21" s="6" t="s">
        <v>33</v>
      </c>
      <c r="C21" s="34" t="s">
        <v>32</v>
      </c>
      <c r="D21" s="116" t="str">
        <f>VLOOKUP(B21,[1]冲压件核价!$D$4:$P$466,4,0)</f>
        <v>QSTE420TM  t=1.5</v>
      </c>
      <c r="E21" s="126">
        <v>6.18</v>
      </c>
      <c r="F21" s="11">
        <f>VLOOKUP(B21,'[4]2020年发货数量'!$AH$6:$AJ$42,3,0)</f>
        <v>440</v>
      </c>
      <c r="G21" s="11">
        <v>153</v>
      </c>
      <c r="H21" s="11">
        <v>20</v>
      </c>
      <c r="I21" s="11"/>
      <c r="J21" s="11">
        <f t="shared" si="0"/>
        <v>267</v>
      </c>
      <c r="K21" s="19">
        <f t="shared" si="1"/>
        <v>1650.06</v>
      </c>
      <c r="L21" s="99">
        <f>VLOOKUP(B21,[2]冲压件核价!$D$5:$P$220,11,0)</f>
        <v>1.81335</v>
      </c>
      <c r="M21" s="19">
        <f>VLOOKUP(B21,[2]冲压件核价!$D$5:$P$220,12,0)</f>
        <v>1.0069999999999999</v>
      </c>
      <c r="N21" s="19">
        <f t="shared" si="6"/>
        <v>0.80635000000000012</v>
      </c>
      <c r="O21" s="99">
        <v>3.2</v>
      </c>
      <c r="P21" s="99">
        <f t="shared" si="7"/>
        <v>2.5803200000000004</v>
      </c>
      <c r="Q21" s="15">
        <f t="shared" si="8"/>
        <v>394.78896000000009</v>
      </c>
      <c r="R21" s="16">
        <f t="shared" si="2"/>
        <v>2044.84896</v>
      </c>
      <c r="S21" s="16">
        <v>1784</v>
      </c>
      <c r="T21" s="16"/>
      <c r="U21" s="19">
        <v>4.8</v>
      </c>
      <c r="V21" s="19">
        <f t="shared" si="3"/>
        <v>734.4</v>
      </c>
      <c r="W21" s="19">
        <f t="shared" si="9"/>
        <v>2518.4</v>
      </c>
      <c r="X21" s="16">
        <f t="shared" si="4"/>
        <v>473.55104000000006</v>
      </c>
    </row>
    <row r="22" spans="1:24" ht="21" customHeight="1" x14ac:dyDescent="0.25">
      <c r="A22" s="9" t="s">
        <v>95</v>
      </c>
      <c r="B22" s="6" t="s">
        <v>35</v>
      </c>
      <c r="C22" s="34" t="s">
        <v>34</v>
      </c>
      <c r="D22" s="116" t="str">
        <f>VLOOKUP(B22,[1]冲压件核价!$D$4:$P$466,4,0)</f>
        <v>QSTE420TM  t=1.5</v>
      </c>
      <c r="E22" s="126">
        <v>6.18</v>
      </c>
      <c r="F22" s="11">
        <f>VLOOKUP(B22,'[4]2020年发货数量'!$AH$6:$AJ$42,3,0)</f>
        <v>391</v>
      </c>
      <c r="G22" s="11">
        <v>118</v>
      </c>
      <c r="H22" s="11">
        <v>20</v>
      </c>
      <c r="I22" s="11"/>
      <c r="J22" s="11">
        <f t="shared" si="0"/>
        <v>253</v>
      </c>
      <c r="K22" s="19">
        <f t="shared" si="1"/>
        <v>1563.54</v>
      </c>
      <c r="L22" s="99">
        <f>VLOOKUP(B22,[2]冲压件核价!$D$5:$P$220,11,0)</f>
        <v>1.81335</v>
      </c>
      <c r="M22" s="19">
        <f>VLOOKUP(B22,[2]冲压件核价!$D$5:$P$220,12,0)</f>
        <v>0.76400000000000001</v>
      </c>
      <c r="N22" s="19">
        <f t="shared" si="6"/>
        <v>1.04935</v>
      </c>
      <c r="O22" s="99">
        <v>3.2</v>
      </c>
      <c r="P22" s="99">
        <f t="shared" si="7"/>
        <v>3.35792</v>
      </c>
      <c r="Q22" s="15">
        <f t="shared" si="8"/>
        <v>396.23455999999999</v>
      </c>
      <c r="R22" s="16">
        <f t="shared" si="2"/>
        <v>1959.7745599999998</v>
      </c>
      <c r="S22" s="16">
        <v>1840.8</v>
      </c>
      <c r="T22" s="16"/>
      <c r="U22" s="19">
        <v>3.2</v>
      </c>
      <c r="V22" s="19">
        <f t="shared" si="3"/>
        <v>377.6</v>
      </c>
      <c r="W22" s="19">
        <f t="shared" si="9"/>
        <v>2218.4</v>
      </c>
      <c r="X22" s="16">
        <f t="shared" si="4"/>
        <v>258.62544000000025</v>
      </c>
    </row>
    <row r="23" spans="1:24" ht="21" customHeight="1" x14ac:dyDescent="0.25">
      <c r="A23" s="9" t="s">
        <v>96</v>
      </c>
      <c r="B23" s="6" t="s">
        <v>193</v>
      </c>
      <c r="C23" s="34" t="s">
        <v>36</v>
      </c>
      <c r="D23" s="116" t="s">
        <v>190</v>
      </c>
      <c r="E23" s="126">
        <v>5.6</v>
      </c>
      <c r="F23" s="11">
        <f>VLOOKUP(B23,'[4]2020年发货数量'!$AH$6:$AJ$42,3,0)</f>
        <v>169</v>
      </c>
      <c r="G23" s="11">
        <v>68</v>
      </c>
      <c r="H23" s="11">
        <v>20</v>
      </c>
      <c r="I23" s="11"/>
      <c r="J23" s="11">
        <f t="shared" si="0"/>
        <v>81</v>
      </c>
      <c r="K23" s="19">
        <f t="shared" si="1"/>
        <v>453.59999999999997</v>
      </c>
      <c r="L23" s="99">
        <f>VLOOKUP(B23,[2]冲压件核价!$D$5:$P$220,11,0)</f>
        <v>5.2987500000000001</v>
      </c>
      <c r="M23" s="19">
        <f>VLOOKUP(B23,[2]冲压件核价!$D$5:$P$220,12,0)</f>
        <v>3.3620000000000001</v>
      </c>
      <c r="N23" s="19">
        <f t="shared" si="6"/>
        <v>1.93675</v>
      </c>
      <c r="O23" s="99">
        <v>3.2</v>
      </c>
      <c r="P23" s="99">
        <f t="shared" si="7"/>
        <v>6.1976000000000004</v>
      </c>
      <c r="Q23" s="15">
        <f t="shared" si="8"/>
        <v>421.43680000000001</v>
      </c>
      <c r="R23" s="16">
        <f t="shared" si="2"/>
        <v>875.03679999999997</v>
      </c>
      <c r="S23" s="16">
        <v>3630</v>
      </c>
      <c r="T23" s="16"/>
      <c r="U23" s="19">
        <v>7.6</v>
      </c>
      <c r="V23" s="19">
        <f t="shared" si="3"/>
        <v>516.79999999999995</v>
      </c>
      <c r="W23" s="19">
        <f t="shared" si="9"/>
        <v>4146.8</v>
      </c>
      <c r="X23" s="16">
        <f t="shared" si="4"/>
        <v>3271.7632000000003</v>
      </c>
    </row>
    <row r="24" spans="1:24" ht="21" customHeight="1" x14ac:dyDescent="0.25">
      <c r="A24" s="9" t="s">
        <v>97</v>
      </c>
      <c r="B24" s="6" t="s">
        <v>268</v>
      </c>
      <c r="C24" s="34" t="s">
        <v>38</v>
      </c>
      <c r="D24" s="116" t="s">
        <v>189</v>
      </c>
      <c r="E24" s="126">
        <v>5.0999999999999996</v>
      </c>
      <c r="F24" s="11">
        <f>VLOOKUP(B24,'[4]2020年发货数量'!$AH$6:$AJ$42,3,0)</f>
        <v>165</v>
      </c>
      <c r="G24" s="11">
        <v>139</v>
      </c>
      <c r="H24" s="11">
        <v>20</v>
      </c>
      <c r="I24" s="11"/>
      <c r="J24" s="11">
        <f t="shared" si="0"/>
        <v>6</v>
      </c>
      <c r="K24" s="19">
        <f t="shared" si="1"/>
        <v>30.599999999999998</v>
      </c>
      <c r="L24" s="99">
        <f>VLOOKUP(B24,[2]冲压件核价!$D$5:$P$220,11,0)</f>
        <v>0.89803999999999995</v>
      </c>
      <c r="M24" s="19">
        <f>VLOOKUP(B24,[2]冲压件核价!$D$5:$P$220,12,0)</f>
        <v>0.33200000000000002</v>
      </c>
      <c r="N24" s="19">
        <f t="shared" si="6"/>
        <v>0.56603999999999988</v>
      </c>
      <c r="O24" s="99">
        <v>3.2</v>
      </c>
      <c r="P24" s="99">
        <f t="shared" si="7"/>
        <v>1.8113279999999996</v>
      </c>
      <c r="Q24" s="15">
        <f t="shared" si="8"/>
        <v>251.77459199999996</v>
      </c>
      <c r="R24" s="16">
        <f t="shared" si="2"/>
        <v>282.37459199999995</v>
      </c>
      <c r="S24" s="16">
        <v>257.39999999999998</v>
      </c>
      <c r="T24" s="16">
        <v>1766.3999999999999</v>
      </c>
      <c r="U24" s="19">
        <v>0.6</v>
      </c>
      <c r="V24" s="19">
        <f t="shared" si="3"/>
        <v>83.399999999999991</v>
      </c>
      <c r="W24" s="19">
        <f t="shared" si="9"/>
        <v>340.79999999999995</v>
      </c>
      <c r="X24" s="16">
        <f t="shared" si="4"/>
        <v>58.425408000000004</v>
      </c>
    </row>
    <row r="25" spans="1:24" ht="21" customHeight="1" x14ac:dyDescent="0.25">
      <c r="A25" s="9" t="s">
        <v>98</v>
      </c>
      <c r="B25" s="6" t="s">
        <v>269</v>
      </c>
      <c r="C25" s="34" t="s">
        <v>40</v>
      </c>
      <c r="D25" s="116" t="s">
        <v>189</v>
      </c>
      <c r="E25" s="126">
        <v>5.0999999999999996</v>
      </c>
      <c r="F25" s="11">
        <f>VLOOKUP(B25,'[4]2020年发货数量'!$AH$6:$AJ$42,3,0)</f>
        <v>165</v>
      </c>
      <c r="G25" s="11">
        <v>139</v>
      </c>
      <c r="H25" s="11">
        <v>20</v>
      </c>
      <c r="I25" s="11"/>
      <c r="J25" s="11">
        <f t="shared" si="0"/>
        <v>6</v>
      </c>
      <c r="K25" s="19">
        <f t="shared" si="1"/>
        <v>30.599999999999998</v>
      </c>
      <c r="L25" s="99">
        <f>VLOOKUP(B25,[2]冲压件核价!$D$5:$P$220,11,0)</f>
        <v>0.89803999999999995</v>
      </c>
      <c r="M25" s="19">
        <f>VLOOKUP(B25,[2]冲压件核价!$D$5:$P$220,12,0)</f>
        <v>0.33500000000000002</v>
      </c>
      <c r="N25" s="19">
        <f t="shared" si="6"/>
        <v>0.56303999999999998</v>
      </c>
      <c r="O25" s="99">
        <v>3.2</v>
      </c>
      <c r="P25" s="99">
        <f t="shared" si="7"/>
        <v>1.801728</v>
      </c>
      <c r="Q25" s="15">
        <f t="shared" si="8"/>
        <v>250.440192</v>
      </c>
      <c r="R25" s="16">
        <f t="shared" si="2"/>
        <v>281.04019199999999</v>
      </c>
      <c r="S25" s="16">
        <v>257.39999999999998</v>
      </c>
      <c r="T25" s="16"/>
      <c r="U25" s="19">
        <v>0.6</v>
      </c>
      <c r="V25" s="19">
        <f t="shared" si="3"/>
        <v>83.399999999999991</v>
      </c>
      <c r="W25" s="19">
        <f t="shared" si="9"/>
        <v>340.79999999999995</v>
      </c>
      <c r="X25" s="16">
        <f t="shared" si="4"/>
        <v>59.759807999999964</v>
      </c>
    </row>
    <row r="26" spans="1:24" ht="21" customHeight="1" x14ac:dyDescent="0.25">
      <c r="A26" s="9" t="s">
        <v>99</v>
      </c>
      <c r="B26" s="3" t="s">
        <v>270</v>
      </c>
      <c r="C26" s="33" t="s">
        <v>42</v>
      </c>
      <c r="D26" s="116" t="str">
        <f>VLOOKUP(B26,[1]冲压件核价!$D$4:$P$466,4,0)</f>
        <v>SPFH590 t=3.0</v>
      </c>
      <c r="E26" s="118">
        <f>(5.352+6.3)/2</f>
        <v>5.8260000000000005</v>
      </c>
      <c r="F26" s="11">
        <f>VLOOKUP(B26,'[4]2020年发货数量'!$AH$6:$AJ$42,3,0)</f>
        <v>283</v>
      </c>
      <c r="G26" s="11">
        <v>223</v>
      </c>
      <c r="H26" s="11">
        <v>20</v>
      </c>
      <c r="I26" s="11"/>
      <c r="J26" s="11">
        <f t="shared" si="0"/>
        <v>40</v>
      </c>
      <c r="K26" s="19">
        <f t="shared" si="1"/>
        <v>233.04000000000002</v>
      </c>
      <c r="L26" s="99">
        <f>VLOOKUP(B26,[2]冲压件核价!$D$5:$P$220,11,0)</f>
        <v>0.88783500000000004</v>
      </c>
      <c r="M26" s="19">
        <f>VLOOKUP(B26,[2]冲压件核价!$D$5:$P$220,12,0)</f>
        <v>0.59599999999999997</v>
      </c>
      <c r="N26" s="19">
        <f t="shared" si="6"/>
        <v>0.29183500000000007</v>
      </c>
      <c r="O26" s="99">
        <v>3.2</v>
      </c>
      <c r="P26" s="99">
        <f t="shared" si="7"/>
        <v>0.93387200000000026</v>
      </c>
      <c r="Q26" s="15">
        <f t="shared" si="8"/>
        <v>208.25345600000006</v>
      </c>
      <c r="R26" s="16">
        <f t="shared" si="2"/>
        <v>441.29345600000011</v>
      </c>
      <c r="S26" s="16">
        <v>450</v>
      </c>
      <c r="T26" s="16">
        <v>460.79999999999995</v>
      </c>
      <c r="U26" s="19">
        <v>3.2</v>
      </c>
      <c r="V26" s="19">
        <f t="shared" si="3"/>
        <v>713.6</v>
      </c>
      <c r="W26" s="19">
        <f t="shared" si="9"/>
        <v>1163.5999999999999</v>
      </c>
      <c r="X26" s="16">
        <f t="shared" si="4"/>
        <v>722.3065439999998</v>
      </c>
    </row>
    <row r="27" spans="1:24" s="123" customFormat="1" ht="21" customHeight="1" x14ac:dyDescent="0.25">
      <c r="A27" s="115" t="s">
        <v>100</v>
      </c>
      <c r="B27" s="116" t="s">
        <v>195</v>
      </c>
      <c r="C27" s="117" t="s">
        <v>44</v>
      </c>
      <c r="D27" s="116" t="s">
        <v>188</v>
      </c>
      <c r="E27" s="118">
        <f t="shared" ref="E27:E28" si="10">(5.502+6.85)/2</f>
        <v>6.1760000000000002</v>
      </c>
      <c r="F27" s="11">
        <f>VLOOKUP(B27,'[4]2020年发货数量'!$AH$6:$AJ$42,3,0)</f>
        <v>265</v>
      </c>
      <c r="G27" s="11">
        <v>237</v>
      </c>
      <c r="H27" s="11">
        <v>20</v>
      </c>
      <c r="I27" s="11"/>
      <c r="J27" s="11">
        <f t="shared" si="0"/>
        <v>8</v>
      </c>
      <c r="K27" s="119">
        <f t="shared" si="1"/>
        <v>49.408000000000001</v>
      </c>
      <c r="L27" s="120">
        <f>VLOOKUP(B27,[2]冲压件核价!$D$5:$P$220,11,0)</f>
        <v>0.13062399999999999</v>
      </c>
      <c r="M27" s="119">
        <f>VLOOKUP(B27,[2]冲压件核价!$D$5:$P$220,12,0)</f>
        <v>7.1999999999999995E-2</v>
      </c>
      <c r="N27" s="119">
        <f t="shared" si="6"/>
        <v>5.8623999999999996E-2</v>
      </c>
      <c r="O27" s="120">
        <v>3.2</v>
      </c>
      <c r="P27" s="120">
        <f t="shared" si="7"/>
        <v>0.18759680000000001</v>
      </c>
      <c r="Q27" s="121">
        <f t="shared" si="8"/>
        <v>44.460441600000003</v>
      </c>
      <c r="R27" s="122">
        <f t="shared" si="2"/>
        <v>93.868441600000011</v>
      </c>
      <c r="S27" s="122">
        <v>225</v>
      </c>
      <c r="T27" s="122">
        <v>612.16</v>
      </c>
      <c r="U27" s="119">
        <v>1.2</v>
      </c>
      <c r="V27" s="119">
        <f t="shared" si="3"/>
        <v>284.39999999999998</v>
      </c>
      <c r="W27" s="119">
        <f t="shared" si="9"/>
        <v>509.4</v>
      </c>
      <c r="X27" s="122">
        <f t="shared" si="4"/>
        <v>415.53155839999999</v>
      </c>
    </row>
    <row r="28" spans="1:24" ht="21" customHeight="1" x14ac:dyDescent="0.25">
      <c r="A28" s="9" t="s">
        <v>101</v>
      </c>
      <c r="B28" s="3" t="s">
        <v>47</v>
      </c>
      <c r="C28" s="33" t="s">
        <v>46</v>
      </c>
      <c r="D28" s="116" t="s">
        <v>188</v>
      </c>
      <c r="E28" s="118">
        <f t="shared" si="10"/>
        <v>6.1760000000000002</v>
      </c>
      <c r="F28" s="11">
        <f>VLOOKUP(B28,'[4]2020年发货数量'!$AH$6:$AJ$42,3,0)</f>
        <v>155</v>
      </c>
      <c r="G28" s="11">
        <v>144</v>
      </c>
      <c r="H28" s="11">
        <v>20</v>
      </c>
      <c r="I28" s="11"/>
      <c r="J28" s="11">
        <f t="shared" si="0"/>
        <v>-9</v>
      </c>
      <c r="K28" s="19">
        <f t="shared" si="1"/>
        <v>-55.584000000000003</v>
      </c>
      <c r="L28" s="99">
        <f>VLOOKUP(B28,[2]冲压件核价!$D$5:$P$220,11,0)</f>
        <v>0.13062399999999999</v>
      </c>
      <c r="M28" s="19">
        <f>VLOOKUP(B28,[2]冲压件核价!$D$5:$P$220,12,0)</f>
        <v>7.0000000000000007E-2</v>
      </c>
      <c r="N28" s="19">
        <f t="shared" si="6"/>
        <v>6.0623999999999983E-2</v>
      </c>
      <c r="O28" s="99">
        <v>3.2</v>
      </c>
      <c r="P28" s="99">
        <f t="shared" si="7"/>
        <v>0.19399679999999997</v>
      </c>
      <c r="Q28" s="15">
        <f t="shared" si="8"/>
        <v>27.935539199999994</v>
      </c>
      <c r="R28" s="16">
        <f t="shared" si="2"/>
        <v>-27.648460800000009</v>
      </c>
      <c r="S28" s="16">
        <v>225</v>
      </c>
      <c r="T28" s="16"/>
      <c r="U28" s="19">
        <v>1.2</v>
      </c>
      <c r="V28" s="19">
        <f t="shared" si="3"/>
        <v>172.79999999999998</v>
      </c>
      <c r="W28" s="19">
        <f t="shared" si="9"/>
        <v>397.79999999999995</v>
      </c>
      <c r="X28" s="16">
        <f t="shared" si="4"/>
        <v>425.44846079999996</v>
      </c>
    </row>
    <row r="29" spans="1:24" s="123" customFormat="1" ht="20.399999999999999" customHeight="1" x14ac:dyDescent="0.25">
      <c r="A29" s="115" t="s">
        <v>102</v>
      </c>
      <c r="B29" s="116" t="s">
        <v>266</v>
      </c>
      <c r="C29" s="117" t="s">
        <v>48</v>
      </c>
      <c r="D29" s="116" t="str">
        <f>VLOOKUP(B29,[1]冲压件核价!$D$4:$P$466,4,0)</f>
        <v>SAPH440 t=5.0</v>
      </c>
      <c r="E29" s="118">
        <f>(5.09+6.06)/2</f>
        <v>5.5749999999999993</v>
      </c>
      <c r="F29" s="11">
        <f>VLOOKUP(B29,'[4]2020年发货数量'!$AH$6:$AJ$42,3,0)</f>
        <v>160</v>
      </c>
      <c r="G29" s="11">
        <v>131</v>
      </c>
      <c r="H29" s="11">
        <v>20</v>
      </c>
      <c r="I29" s="11"/>
      <c r="J29" s="11">
        <f t="shared" si="0"/>
        <v>9</v>
      </c>
      <c r="K29" s="119">
        <f t="shared" si="1"/>
        <v>50.174999999999997</v>
      </c>
      <c r="L29" s="120">
        <f>VLOOKUP(B29,[2]冲压件核价!$D$5:$P$220,11,0)</f>
        <v>0.294375</v>
      </c>
      <c r="M29" s="119">
        <f>VLOOKUP(B29,[2]冲压件核价!$D$5:$P$220,12,0)</f>
        <v>0.182</v>
      </c>
      <c r="N29" s="119">
        <f t="shared" si="6"/>
        <v>0.112375</v>
      </c>
      <c r="O29" s="120">
        <v>3.2</v>
      </c>
      <c r="P29" s="120">
        <f t="shared" si="7"/>
        <v>0.35960000000000003</v>
      </c>
      <c r="Q29" s="121">
        <f t="shared" si="8"/>
        <v>47.107600000000005</v>
      </c>
      <c r="R29" s="122">
        <f t="shared" si="2"/>
        <v>97.282600000000002</v>
      </c>
      <c r="S29" s="122"/>
      <c r="T29" s="122">
        <v>96.64</v>
      </c>
      <c r="U29" s="119">
        <v>0.9</v>
      </c>
      <c r="V29" s="119">
        <f t="shared" si="3"/>
        <v>117.9</v>
      </c>
      <c r="W29" s="119">
        <f t="shared" si="9"/>
        <v>117.9</v>
      </c>
      <c r="X29" s="122">
        <f t="shared" si="4"/>
        <v>20.617400000000004</v>
      </c>
    </row>
    <row r="30" spans="1:24" s="123" customFormat="1" ht="21" customHeight="1" x14ac:dyDescent="0.25">
      <c r="A30" s="115" t="s">
        <v>103</v>
      </c>
      <c r="B30" s="116" t="s">
        <v>271</v>
      </c>
      <c r="C30" s="117" t="s">
        <v>50</v>
      </c>
      <c r="D30" s="116" t="str">
        <f>VLOOKUP(B30,[1]冲压件核价!$D$4:$P$466,4,0)</f>
        <v>SAPH440 t=5.0</v>
      </c>
      <c r="E30" s="118">
        <f>(5.09+6.06)/2</f>
        <v>5.5749999999999993</v>
      </c>
      <c r="F30" s="11">
        <f>VLOOKUP(B30,'[4]2020年发货数量'!$AH$6:$AJ$42,3,0)</f>
        <v>152</v>
      </c>
      <c r="G30" s="11">
        <v>131</v>
      </c>
      <c r="H30" s="11">
        <v>20</v>
      </c>
      <c r="I30" s="11"/>
      <c r="J30" s="11">
        <f t="shared" si="0"/>
        <v>1</v>
      </c>
      <c r="K30" s="119">
        <f t="shared" si="1"/>
        <v>5.5749999999999993</v>
      </c>
      <c r="L30" s="120">
        <f>VLOOKUP(B30,[2]冲压件核价!$D$5:$P$220,11,0)</f>
        <v>0.51024999999999998</v>
      </c>
      <c r="M30" s="119">
        <f>VLOOKUP(B30,[2]冲压件核价!$D$5:$P$220,12,0)</f>
        <v>0.224</v>
      </c>
      <c r="N30" s="119">
        <f t="shared" si="6"/>
        <v>0.28625</v>
      </c>
      <c r="O30" s="120">
        <v>3.2</v>
      </c>
      <c r="P30" s="120">
        <f t="shared" si="7"/>
        <v>0.91600000000000004</v>
      </c>
      <c r="Q30" s="121">
        <f t="shared" si="8"/>
        <v>119.99600000000001</v>
      </c>
      <c r="R30" s="122">
        <f t="shared" si="2"/>
        <v>125.57100000000001</v>
      </c>
      <c r="S30" s="122"/>
      <c r="T30" s="122">
        <v>120</v>
      </c>
      <c r="U30" s="119">
        <v>0.9</v>
      </c>
      <c r="V30" s="119">
        <f t="shared" si="3"/>
        <v>117.9</v>
      </c>
      <c r="W30" s="119">
        <f t="shared" si="9"/>
        <v>117.9</v>
      </c>
      <c r="X30" s="122">
        <f t="shared" si="4"/>
        <v>-7.6710000000000065</v>
      </c>
    </row>
    <row r="31" spans="1:24" s="123" customFormat="1" ht="21" customHeight="1" x14ac:dyDescent="0.25">
      <c r="A31" s="115" t="s">
        <v>104</v>
      </c>
      <c r="B31" s="116" t="s">
        <v>272</v>
      </c>
      <c r="C31" s="117" t="s">
        <v>52</v>
      </c>
      <c r="D31" s="116" t="str">
        <f>VLOOKUP(B31,[1]冲压件核价!$D$4:$P$466,4,0)</f>
        <v>SPFH590 t=3.0</v>
      </c>
      <c r="E31" s="118">
        <f t="shared" ref="E31:E34" si="11">(5.352+6.3)/2</f>
        <v>5.8260000000000005</v>
      </c>
      <c r="F31" s="11">
        <f>VLOOKUP(B31,'[4]2020年发货数量'!$AH$6:$AJ$42,3,0)</f>
        <v>230</v>
      </c>
      <c r="G31" s="11">
        <v>208</v>
      </c>
      <c r="H31" s="11">
        <v>20</v>
      </c>
      <c r="I31" s="11"/>
      <c r="J31" s="11">
        <f t="shared" si="0"/>
        <v>2</v>
      </c>
      <c r="K31" s="119">
        <f t="shared" si="1"/>
        <v>11.652000000000001</v>
      </c>
      <c r="L31" s="120">
        <f>VLOOKUP(B31,[2]冲压件核价!$D$5:$P$220,11,0)</f>
        <v>0.32145750000000001</v>
      </c>
      <c r="M31" s="119">
        <f>VLOOKUP(B31,[2]冲压件核价!$D$5:$P$220,12,0)</f>
        <v>0.16900000000000001</v>
      </c>
      <c r="N31" s="119">
        <f t="shared" si="6"/>
        <v>0.1524575</v>
      </c>
      <c r="O31" s="120">
        <v>3.2</v>
      </c>
      <c r="P31" s="120">
        <f t="shared" si="7"/>
        <v>0.48786400000000002</v>
      </c>
      <c r="Q31" s="121">
        <f t="shared" si="8"/>
        <v>101.475712</v>
      </c>
      <c r="R31" s="122">
        <f t="shared" si="2"/>
        <v>113.127712</v>
      </c>
      <c r="S31" s="122"/>
      <c r="T31" s="122">
        <v>135.35999999999999</v>
      </c>
      <c r="U31" s="119">
        <v>1.2</v>
      </c>
      <c r="V31" s="119">
        <f t="shared" si="3"/>
        <v>249.6</v>
      </c>
      <c r="W31" s="119">
        <f t="shared" si="9"/>
        <v>249.6</v>
      </c>
      <c r="X31" s="122">
        <f t="shared" si="4"/>
        <v>136.47228799999999</v>
      </c>
    </row>
    <row r="32" spans="1:24" s="123" customFormat="1" ht="21" customHeight="1" x14ac:dyDescent="0.25">
      <c r="A32" s="115" t="s">
        <v>105</v>
      </c>
      <c r="B32" s="116" t="s">
        <v>273</v>
      </c>
      <c r="C32" s="117" t="s">
        <v>54</v>
      </c>
      <c r="D32" s="116" t="str">
        <f>VLOOKUP(B32,[1]冲压件核价!$D$4:$P$466,4,0)</f>
        <v>SPFH590 t=3.0</v>
      </c>
      <c r="E32" s="118">
        <f t="shared" si="11"/>
        <v>5.8260000000000005</v>
      </c>
      <c r="F32" s="11">
        <f>VLOOKUP(B32,'[4]2020年发货数量'!$AH$6:$AJ$42,3,0)</f>
        <v>257</v>
      </c>
      <c r="G32" s="11">
        <v>228</v>
      </c>
      <c r="H32" s="11">
        <v>20</v>
      </c>
      <c r="I32" s="11"/>
      <c r="J32" s="11">
        <f t="shared" si="0"/>
        <v>9</v>
      </c>
      <c r="K32" s="119">
        <f t="shared" si="1"/>
        <v>52.434000000000005</v>
      </c>
      <c r="L32" s="120">
        <f>VLOOKUP(B32,[2]冲压件核价!$D$5:$P$220,11,0)</f>
        <v>0.32145750000000001</v>
      </c>
      <c r="M32" s="119">
        <f>VLOOKUP(B32,[2]冲压件核价!$D$5:$P$220,12,0)</f>
        <v>0.188</v>
      </c>
      <c r="N32" s="119">
        <f t="shared" si="6"/>
        <v>0.13345750000000001</v>
      </c>
      <c r="O32" s="120">
        <v>3.2</v>
      </c>
      <c r="P32" s="120">
        <f t="shared" si="7"/>
        <v>0.42706400000000005</v>
      </c>
      <c r="Q32" s="121">
        <f t="shared" si="8"/>
        <v>97.370592000000016</v>
      </c>
      <c r="R32" s="122">
        <f t="shared" si="2"/>
        <v>149.80459200000001</v>
      </c>
      <c r="S32" s="122"/>
      <c r="T32" s="122">
        <v>135.35999999999999</v>
      </c>
      <c r="U32" s="119">
        <v>1.2</v>
      </c>
      <c r="V32" s="119">
        <f t="shared" si="3"/>
        <v>273.59999999999997</v>
      </c>
      <c r="W32" s="119">
        <f t="shared" si="9"/>
        <v>273.59999999999997</v>
      </c>
      <c r="X32" s="122">
        <f t="shared" si="4"/>
        <v>123.79540799999995</v>
      </c>
    </row>
    <row r="33" spans="1:24" ht="21" customHeight="1" x14ac:dyDescent="0.25">
      <c r="A33" s="9" t="s">
        <v>106</v>
      </c>
      <c r="B33" s="3" t="s">
        <v>274</v>
      </c>
      <c r="C33" s="33" t="s">
        <v>56</v>
      </c>
      <c r="D33" s="116" t="str">
        <f>VLOOKUP(B33,[1]冲压件核价!$D$4:$P$466,4,0)</f>
        <v>SPFH590 t=3.0</v>
      </c>
      <c r="E33" s="118">
        <f t="shared" si="11"/>
        <v>5.8260000000000005</v>
      </c>
      <c r="F33" s="11">
        <f>VLOOKUP(B33,'[4]2020年发货数量'!$AH$6:$AJ$42,3,0)</f>
        <v>215</v>
      </c>
      <c r="G33" s="11">
        <v>173</v>
      </c>
      <c r="H33" s="11">
        <v>20</v>
      </c>
      <c r="I33" s="11"/>
      <c r="J33" s="11">
        <f t="shared" si="0"/>
        <v>22</v>
      </c>
      <c r="K33" s="19">
        <f t="shared" si="1"/>
        <v>128.17200000000003</v>
      </c>
      <c r="L33" s="99">
        <f>VLOOKUP(B33,[2]冲压件核价!$D$5:$P$220,11,0)</f>
        <v>0.176625</v>
      </c>
      <c r="M33" s="19">
        <f>VLOOKUP(B33,[2]冲压件核价!$D$5:$P$220,12,0)</f>
        <v>7.0999999999999994E-2</v>
      </c>
      <c r="N33" s="19">
        <f t="shared" si="6"/>
        <v>0.10562500000000001</v>
      </c>
      <c r="O33" s="99">
        <v>3.2</v>
      </c>
      <c r="P33" s="99">
        <f t="shared" si="7"/>
        <v>0.33800000000000008</v>
      </c>
      <c r="Q33" s="15">
        <f t="shared" si="8"/>
        <v>58.474000000000011</v>
      </c>
      <c r="R33" s="16">
        <f t="shared" si="2"/>
        <v>186.64600000000004</v>
      </c>
      <c r="S33" s="16"/>
      <c r="T33" s="16">
        <v>460.79999999999995</v>
      </c>
      <c r="U33" s="19">
        <v>1.2</v>
      </c>
      <c r="V33" s="19">
        <f t="shared" si="3"/>
        <v>207.6</v>
      </c>
      <c r="W33" s="19">
        <f t="shared" si="9"/>
        <v>207.6</v>
      </c>
      <c r="X33" s="16">
        <f t="shared" si="4"/>
        <v>20.953999999999951</v>
      </c>
    </row>
    <row r="34" spans="1:24" ht="21" customHeight="1" x14ac:dyDescent="0.25">
      <c r="A34" s="9" t="s">
        <v>107</v>
      </c>
      <c r="B34" s="3" t="s">
        <v>275</v>
      </c>
      <c r="C34" s="33" t="s">
        <v>58</v>
      </c>
      <c r="D34" s="116" t="str">
        <f>VLOOKUP(B34,[1]冲压件核价!$D$4:$P$466,4,0)</f>
        <v>SPFH590 t=3.0</v>
      </c>
      <c r="E34" s="118">
        <f t="shared" si="11"/>
        <v>5.8260000000000005</v>
      </c>
      <c r="F34" s="11">
        <f>VLOOKUP(B34,'[4]2020年发货数量'!$AH$6:$AJ$42,3,0)</f>
        <v>215</v>
      </c>
      <c r="G34" s="11">
        <v>159</v>
      </c>
      <c r="H34" s="11">
        <v>20</v>
      </c>
      <c r="I34" s="11"/>
      <c r="J34" s="11">
        <f t="shared" si="0"/>
        <v>36</v>
      </c>
      <c r="K34" s="19">
        <f t="shared" si="1"/>
        <v>209.73600000000002</v>
      </c>
      <c r="L34" s="99">
        <f>VLOOKUP(B34,[2]冲压件核价!$D$5:$P$220,11,0)</f>
        <v>0.176625</v>
      </c>
      <c r="M34" s="19">
        <f>VLOOKUP(B34,[2]冲压件核价!$D$5:$P$220,12,0)</f>
        <v>7.3999999999999996E-2</v>
      </c>
      <c r="N34" s="19">
        <f t="shared" si="6"/>
        <v>0.10262500000000001</v>
      </c>
      <c r="O34" s="99">
        <v>3.2</v>
      </c>
      <c r="P34" s="99">
        <f t="shared" si="7"/>
        <v>0.32840000000000003</v>
      </c>
      <c r="Q34" s="15">
        <f t="shared" si="8"/>
        <v>52.215600000000002</v>
      </c>
      <c r="R34" s="16">
        <f t="shared" si="2"/>
        <v>261.95160000000004</v>
      </c>
      <c r="S34" s="16"/>
      <c r="T34" s="16">
        <v>806.72</v>
      </c>
      <c r="U34" s="19">
        <v>1.2</v>
      </c>
      <c r="V34" s="19">
        <f t="shared" si="3"/>
        <v>190.79999999999998</v>
      </c>
      <c r="W34" s="19">
        <f t="shared" si="9"/>
        <v>190.79999999999998</v>
      </c>
      <c r="X34" s="16">
        <f t="shared" si="4"/>
        <v>-71.151600000000059</v>
      </c>
    </row>
    <row r="35" spans="1:24" ht="21" customHeight="1" x14ac:dyDescent="0.25">
      <c r="A35" s="9" t="s">
        <v>108</v>
      </c>
      <c r="B35" s="3" t="s">
        <v>276</v>
      </c>
      <c r="C35" s="33" t="s">
        <v>60</v>
      </c>
      <c r="D35" s="116" t="str">
        <f>VLOOKUP(B35,[1]冲压件核价!$D$4:$P$466,4,0)</f>
        <v>SPFH590 t=2.0</v>
      </c>
      <c r="E35" s="118">
        <f t="shared" ref="E35:E37" si="12">(5.502+6.85)/2</f>
        <v>6.1760000000000002</v>
      </c>
      <c r="F35" s="11">
        <f>VLOOKUP(B35,'[4]2020年发货数量'!$AH$6:$AJ$42,3,0)</f>
        <v>312</v>
      </c>
      <c r="G35" s="11">
        <v>233</v>
      </c>
      <c r="H35" s="11">
        <v>20</v>
      </c>
      <c r="I35" s="11"/>
      <c r="J35" s="11">
        <f t="shared" si="0"/>
        <v>59</v>
      </c>
      <c r="K35" s="19">
        <f t="shared" si="1"/>
        <v>364.38400000000001</v>
      </c>
      <c r="L35" s="99">
        <f>VLOOKUP(B35,[2]冲压件核价!$D$5:$P$220,11,0)</f>
        <v>1.3188</v>
      </c>
      <c r="M35" s="19">
        <f>VLOOKUP(B35,[2]冲压件核价!$D$5:$P$220,12,0)</f>
        <v>0.51600000000000001</v>
      </c>
      <c r="N35" s="19">
        <f t="shared" si="6"/>
        <v>0.80279999999999996</v>
      </c>
      <c r="O35" s="99">
        <v>3.2</v>
      </c>
      <c r="P35" s="99">
        <f t="shared" si="7"/>
        <v>2.5689600000000001</v>
      </c>
      <c r="Q35" s="15">
        <f t="shared" si="8"/>
        <v>598.56768</v>
      </c>
      <c r="R35" s="16">
        <f t="shared" si="2"/>
        <v>962.95168000000001</v>
      </c>
      <c r="S35" s="16"/>
      <c r="T35" s="16">
        <v>928</v>
      </c>
      <c r="U35" s="19">
        <v>4</v>
      </c>
      <c r="V35" s="19">
        <f t="shared" si="3"/>
        <v>932</v>
      </c>
      <c r="W35" s="19">
        <f t="shared" si="9"/>
        <v>932</v>
      </c>
      <c r="X35" s="16">
        <f t="shared" si="4"/>
        <v>-30.95168000000001</v>
      </c>
    </row>
    <row r="36" spans="1:24" ht="21" customHeight="1" x14ac:dyDescent="0.25">
      <c r="A36" s="9" t="s">
        <v>109</v>
      </c>
      <c r="B36" s="3" t="s">
        <v>277</v>
      </c>
      <c r="C36" s="33" t="s">
        <v>62</v>
      </c>
      <c r="D36" s="116" t="str">
        <f>VLOOKUP(B36,[1]冲压件核价!$D$4:$P$466,4,0)</f>
        <v>SPFH590 t=2.0</v>
      </c>
      <c r="E36" s="118">
        <f t="shared" si="12"/>
        <v>6.1760000000000002</v>
      </c>
      <c r="F36" s="11">
        <f>VLOOKUP(B36,'[4]2020年发货数量'!$AH$6:$AJ$42,3,0)</f>
        <v>322</v>
      </c>
      <c r="G36" s="11">
        <v>228</v>
      </c>
      <c r="H36" s="11">
        <v>20</v>
      </c>
      <c r="I36" s="11"/>
      <c r="J36" s="11">
        <f t="shared" si="0"/>
        <v>74</v>
      </c>
      <c r="K36" s="19">
        <f t="shared" si="1"/>
        <v>457.024</v>
      </c>
      <c r="L36" s="99">
        <f>VLOOKUP(B36,[2]冲压件核价!$D$5:$P$220,11,0)</f>
        <v>1.6108199999999999</v>
      </c>
      <c r="M36" s="19">
        <f>VLOOKUP(B36,[2]冲压件核价!$D$5:$P$220,12,0)</f>
        <v>1.0009999999999999</v>
      </c>
      <c r="N36" s="19">
        <f t="shared" si="6"/>
        <v>0.60982000000000003</v>
      </c>
      <c r="O36" s="99">
        <v>3.2</v>
      </c>
      <c r="P36" s="99">
        <f t="shared" si="7"/>
        <v>1.9514240000000003</v>
      </c>
      <c r="Q36" s="15">
        <f t="shared" si="8"/>
        <v>444.92467200000004</v>
      </c>
      <c r="R36" s="16">
        <f t="shared" si="2"/>
        <v>901.94867199999999</v>
      </c>
      <c r="S36" s="16">
        <v>1920</v>
      </c>
      <c r="T36" s="16"/>
      <c r="U36" s="19">
        <v>4.8</v>
      </c>
      <c r="V36" s="19">
        <f t="shared" si="3"/>
        <v>1094.3999999999999</v>
      </c>
      <c r="W36" s="19">
        <f t="shared" si="9"/>
        <v>3014.3999999999996</v>
      </c>
      <c r="X36" s="16">
        <f t="shared" si="4"/>
        <v>2112.4513279999996</v>
      </c>
    </row>
    <row r="37" spans="1:24" ht="21" customHeight="1" x14ac:dyDescent="0.25">
      <c r="A37" s="9" t="s">
        <v>110</v>
      </c>
      <c r="B37" s="3" t="s">
        <v>278</v>
      </c>
      <c r="C37" s="33" t="s">
        <v>64</v>
      </c>
      <c r="D37" s="116" t="str">
        <f>VLOOKUP(B37,[1]冲压件核价!$D$4:$P$466,4,0)</f>
        <v>SPFH590 t=2.0</v>
      </c>
      <c r="E37" s="118">
        <f t="shared" si="12"/>
        <v>6.1760000000000002</v>
      </c>
      <c r="F37" s="11">
        <f>VLOOKUP(B37,'[4]2020年发货数量'!$AH$6:$AJ$42,3,0)</f>
        <v>264</v>
      </c>
      <c r="G37" s="11">
        <v>220</v>
      </c>
      <c r="H37" s="11">
        <v>20</v>
      </c>
      <c r="I37" s="11"/>
      <c r="J37" s="11">
        <f t="shared" si="0"/>
        <v>24</v>
      </c>
      <c r="K37" s="19">
        <f t="shared" si="1"/>
        <v>148.22399999999999</v>
      </c>
      <c r="L37" s="99">
        <f>VLOOKUP(B37,[2]冲压件核价!$D$5:$P$220,11,0)</f>
        <v>1.2245999999999999</v>
      </c>
      <c r="M37" s="19">
        <f>VLOOKUP(B37,[2]冲压件核价!$D$5:$P$220,12,0)</f>
        <v>0.60599999999999998</v>
      </c>
      <c r="N37" s="19">
        <f t="shared" si="6"/>
        <v>0.61859999999999993</v>
      </c>
      <c r="O37" s="99">
        <v>3.2</v>
      </c>
      <c r="P37" s="99">
        <f t="shared" si="7"/>
        <v>1.9795199999999999</v>
      </c>
      <c r="Q37" s="15">
        <f t="shared" si="8"/>
        <v>435.49439999999998</v>
      </c>
      <c r="R37" s="16">
        <f t="shared" si="2"/>
        <v>583.71839999999997</v>
      </c>
      <c r="S37" s="16">
        <v>1182</v>
      </c>
      <c r="T37" s="16"/>
      <c r="U37" s="19">
        <v>3.2</v>
      </c>
      <c r="V37" s="19">
        <f t="shared" si="3"/>
        <v>704</v>
      </c>
      <c r="W37" s="19">
        <f t="shared" si="9"/>
        <v>1886</v>
      </c>
      <c r="X37" s="16">
        <f t="shared" si="4"/>
        <v>1302.2816</v>
      </c>
    </row>
    <row r="38" spans="1:24" s="123" customFormat="1" ht="21" customHeight="1" x14ac:dyDescent="0.25">
      <c r="A38" s="115" t="s">
        <v>111</v>
      </c>
      <c r="B38" s="116" t="s">
        <v>279</v>
      </c>
      <c r="C38" s="117" t="s">
        <v>66</v>
      </c>
      <c r="D38" s="116" t="str">
        <f>VLOOKUP(B38,[1]冲压件核价!$D$4:$P$466,4,0)</f>
        <v>SAPH440 t=3.0</v>
      </c>
      <c r="E38" s="118">
        <f t="shared" ref="E38:E40" si="13">(5.09+6.06)/2</f>
        <v>5.5749999999999993</v>
      </c>
      <c r="F38" s="11">
        <f>VLOOKUP(B38,'[4]2020年发货数量'!$AH$6:$AJ$42,3,0)</f>
        <v>162</v>
      </c>
      <c r="G38" s="11">
        <v>137</v>
      </c>
      <c r="H38" s="11">
        <v>20</v>
      </c>
      <c r="I38" s="11"/>
      <c r="J38" s="11">
        <f t="shared" si="0"/>
        <v>5</v>
      </c>
      <c r="K38" s="119">
        <f t="shared" si="1"/>
        <v>27.874999999999996</v>
      </c>
      <c r="L38" s="120">
        <f>VLOOKUP(B38,[2]冲压件核价!$D$5:$P$220,11,0)</f>
        <v>0.40034999999999998</v>
      </c>
      <c r="M38" s="119">
        <f>VLOOKUP(B38,[2]冲压件核价!$D$5:$P$220,12,0)</f>
        <v>0.217</v>
      </c>
      <c r="N38" s="119">
        <f t="shared" si="6"/>
        <v>0.18334999999999999</v>
      </c>
      <c r="O38" s="120">
        <v>3.2</v>
      </c>
      <c r="P38" s="120">
        <f t="shared" si="7"/>
        <v>0.58672000000000002</v>
      </c>
      <c r="Q38" s="121">
        <f t="shared" si="8"/>
        <v>80.38064</v>
      </c>
      <c r="R38" s="122">
        <f t="shared" si="2"/>
        <v>108.25564</v>
      </c>
      <c r="S38" s="122">
        <v>250</v>
      </c>
      <c r="T38" s="122">
        <v>384.96000000000004</v>
      </c>
      <c r="U38" s="119">
        <v>1.6</v>
      </c>
      <c r="V38" s="119">
        <f t="shared" si="3"/>
        <v>219.20000000000002</v>
      </c>
      <c r="W38" s="119">
        <f t="shared" si="9"/>
        <v>469.20000000000005</v>
      </c>
      <c r="X38" s="122">
        <f t="shared" si="4"/>
        <v>360.94436000000007</v>
      </c>
    </row>
    <row r="39" spans="1:24" s="123" customFormat="1" ht="21" customHeight="1" x14ac:dyDescent="0.25">
      <c r="A39" s="115" t="s">
        <v>112</v>
      </c>
      <c r="B39" s="116" t="s">
        <v>280</v>
      </c>
      <c r="C39" s="117" t="s">
        <v>68</v>
      </c>
      <c r="D39" s="116" t="str">
        <f>VLOOKUP(B39,[1]冲压件核价!$D$4:$P$466,4,0)</f>
        <v>SAPH440 t=3.0</v>
      </c>
      <c r="E39" s="118">
        <f t="shared" si="13"/>
        <v>5.5749999999999993</v>
      </c>
      <c r="F39" s="11">
        <f>VLOOKUP(B39,'[4]2020年发货数量'!$AH$6:$AJ$42,3,0)</f>
        <v>162</v>
      </c>
      <c r="G39" s="11">
        <v>138</v>
      </c>
      <c r="H39" s="11">
        <v>20</v>
      </c>
      <c r="I39" s="11"/>
      <c r="J39" s="11">
        <f t="shared" si="0"/>
        <v>4</v>
      </c>
      <c r="K39" s="119">
        <f t="shared" si="1"/>
        <v>22.299999999999997</v>
      </c>
      <c r="L39" s="120">
        <f>VLOOKUP(B39,[2]冲压件核价!$D$5:$P$220,11,0)</f>
        <v>0.40034999999999998</v>
      </c>
      <c r="M39" s="119">
        <f>VLOOKUP(B39,[2]冲压件核价!$D$5:$P$220,12,0)</f>
        <v>0.217</v>
      </c>
      <c r="N39" s="119">
        <f t="shared" si="6"/>
        <v>0.18334999999999999</v>
      </c>
      <c r="O39" s="120">
        <v>3.2</v>
      </c>
      <c r="P39" s="120">
        <f t="shared" si="7"/>
        <v>0.58672000000000002</v>
      </c>
      <c r="Q39" s="121">
        <f t="shared" si="8"/>
        <v>80.967359999999999</v>
      </c>
      <c r="R39" s="122">
        <f t="shared" si="2"/>
        <v>103.26736</v>
      </c>
      <c r="S39" s="122">
        <v>250</v>
      </c>
      <c r="T39" s="122">
        <v>384.96000000000004</v>
      </c>
      <c r="U39" s="119">
        <v>1.6</v>
      </c>
      <c r="V39" s="119">
        <f t="shared" si="3"/>
        <v>220.8</v>
      </c>
      <c r="W39" s="119">
        <f t="shared" si="9"/>
        <v>470.8</v>
      </c>
      <c r="X39" s="122">
        <f t="shared" si="4"/>
        <v>367.53264000000001</v>
      </c>
    </row>
    <row r="40" spans="1:24" s="123" customFormat="1" ht="21" customHeight="1" x14ac:dyDescent="0.25">
      <c r="A40" s="115" t="s">
        <v>113</v>
      </c>
      <c r="B40" s="116" t="s">
        <v>281</v>
      </c>
      <c r="C40" s="117" t="s">
        <v>70</v>
      </c>
      <c r="D40" s="116" t="str">
        <f>VLOOKUP(B40,[1]冲压件核价!$D$4:$P$466,4,0)</f>
        <v>SAPH440 t=3.0</v>
      </c>
      <c r="E40" s="118">
        <f t="shared" si="13"/>
        <v>5.5749999999999993</v>
      </c>
      <c r="F40" s="11">
        <f>VLOOKUP(B40,'[4]2020年发货数量'!$AH$6:$AJ$42,3,0)</f>
        <v>168</v>
      </c>
      <c r="G40" s="11">
        <v>141</v>
      </c>
      <c r="H40" s="11">
        <v>20</v>
      </c>
      <c r="I40" s="11"/>
      <c r="J40" s="11">
        <f t="shared" si="0"/>
        <v>7</v>
      </c>
      <c r="K40" s="119">
        <f t="shared" si="1"/>
        <v>39.024999999999991</v>
      </c>
      <c r="L40" s="120">
        <f>VLOOKUP(B40,[2]冲压件核价!$D$5:$P$220,11,0)</f>
        <v>0.784215</v>
      </c>
      <c r="M40" s="119">
        <f>VLOOKUP(B40,[2]冲压件核价!$D$5:$P$220,12,0)</f>
        <v>0.67200000000000004</v>
      </c>
      <c r="N40" s="119">
        <f t="shared" si="6"/>
        <v>0.11221499999999995</v>
      </c>
      <c r="O40" s="120">
        <v>3.2</v>
      </c>
      <c r="P40" s="120">
        <f t="shared" si="7"/>
        <v>0.35908799999999985</v>
      </c>
      <c r="Q40" s="121">
        <f t="shared" si="8"/>
        <v>50.631407999999979</v>
      </c>
      <c r="R40" s="122">
        <f t="shared" si="2"/>
        <v>89.656407999999971</v>
      </c>
      <c r="S40" s="122">
        <v>200</v>
      </c>
      <c r="T40" s="122">
        <v>266.88</v>
      </c>
      <c r="U40" s="119">
        <v>2.4</v>
      </c>
      <c r="V40" s="119">
        <f t="shared" si="3"/>
        <v>338.4</v>
      </c>
      <c r="W40" s="119">
        <f t="shared" si="9"/>
        <v>538.4</v>
      </c>
      <c r="X40" s="122">
        <f t="shared" si="4"/>
        <v>448.74359200000004</v>
      </c>
    </row>
    <row r="41" spans="1:24" s="123" customFormat="1" ht="21" customHeight="1" x14ac:dyDescent="0.25">
      <c r="A41" s="115" t="s">
        <v>114</v>
      </c>
      <c r="B41" s="116" t="s">
        <v>282</v>
      </c>
      <c r="C41" s="117" t="s">
        <v>72</v>
      </c>
      <c r="D41" s="116" t="str">
        <f>VLOOKUP(B41,[1]冲压件核价!$D$4:$P$466,4,0)</f>
        <v>SAPH440 T=2.0</v>
      </c>
      <c r="E41" s="118">
        <f>(5.14+6.3)/2</f>
        <v>5.72</v>
      </c>
      <c r="F41" s="11">
        <f>VLOOKUP(B41,'[4]2020年发货数量'!$AH$6:$AJ$42,3,0)</f>
        <v>260</v>
      </c>
      <c r="G41" s="11">
        <v>232</v>
      </c>
      <c r="H41" s="11">
        <v>20</v>
      </c>
      <c r="I41" s="11"/>
      <c r="J41" s="11">
        <f t="shared" si="0"/>
        <v>8</v>
      </c>
      <c r="K41" s="119">
        <f t="shared" si="1"/>
        <v>45.76</v>
      </c>
      <c r="L41" s="120">
        <f>VLOOKUP(B41,[2]冲压件核价!$D$5:$P$220,11,0)</f>
        <v>5.4949999999999999E-2</v>
      </c>
      <c r="M41" s="119">
        <f>VLOOKUP(B41,[2]冲压件核价!$D$5:$P$220,12,0)</f>
        <v>2.5000000000000001E-2</v>
      </c>
      <c r="N41" s="119">
        <f t="shared" si="6"/>
        <v>2.9949999999999997E-2</v>
      </c>
      <c r="O41" s="120">
        <v>3.2</v>
      </c>
      <c r="P41" s="120">
        <f t="shared" si="7"/>
        <v>9.5839999999999995E-2</v>
      </c>
      <c r="Q41" s="121">
        <f t="shared" si="8"/>
        <v>22.23488</v>
      </c>
      <c r="R41" s="122">
        <f t="shared" si="2"/>
        <v>67.994879999999995</v>
      </c>
      <c r="S41" s="122"/>
      <c r="T41" s="122">
        <v>68.16</v>
      </c>
      <c r="U41" s="119">
        <v>0.9</v>
      </c>
      <c r="V41" s="119">
        <f t="shared" si="3"/>
        <v>208.8</v>
      </c>
      <c r="W41" s="119">
        <f t="shared" si="9"/>
        <v>208.8</v>
      </c>
      <c r="X41" s="122">
        <f t="shared" si="4"/>
        <v>140.80512000000002</v>
      </c>
    </row>
    <row r="42" spans="1:24" ht="21" customHeight="1" x14ac:dyDescent="0.25">
      <c r="A42" s="9" t="s">
        <v>115</v>
      </c>
      <c r="B42" s="3" t="s">
        <v>75</v>
      </c>
      <c r="C42" s="33" t="s">
        <v>74</v>
      </c>
      <c r="D42" s="116" t="s">
        <v>124</v>
      </c>
      <c r="E42" s="118">
        <f>(5.09+6.06)/2</f>
        <v>5.5749999999999993</v>
      </c>
      <c r="F42" s="11">
        <f>VLOOKUP(B42,'[4]2020年发货数量'!$AH$6:$AJ$42,3,0)</f>
        <v>158</v>
      </c>
      <c r="G42" s="11">
        <v>46</v>
      </c>
      <c r="H42" s="11">
        <v>20</v>
      </c>
      <c r="I42" s="11"/>
      <c r="J42" s="11">
        <f t="shared" si="0"/>
        <v>92</v>
      </c>
      <c r="K42" s="19">
        <f t="shared" si="1"/>
        <v>512.9</v>
      </c>
      <c r="L42" s="99">
        <f>VLOOKUP(B42,[2]冲压件核价!$D$5:$P$220,11,0)</f>
        <v>8.1996390000000002E-2</v>
      </c>
      <c r="M42" s="19">
        <f>VLOOKUP(B42,[2]冲压件核价!$D$5:$P$220,12,0)</f>
        <v>2.7799999999999998E-2</v>
      </c>
      <c r="N42" s="19">
        <f t="shared" si="6"/>
        <v>5.4196390000000004E-2</v>
      </c>
      <c r="O42" s="99">
        <v>3.2</v>
      </c>
      <c r="P42" s="99">
        <f t="shared" si="7"/>
        <v>0.17342844800000001</v>
      </c>
      <c r="Q42" s="15">
        <f t="shared" si="8"/>
        <v>7.9777086080000004</v>
      </c>
      <c r="R42" s="16">
        <f t="shared" si="2"/>
        <v>520.87770860799992</v>
      </c>
      <c r="S42" s="16"/>
      <c r="T42" s="16">
        <v>513.28</v>
      </c>
      <c r="U42" s="18">
        <v>1.2</v>
      </c>
      <c r="V42" s="19">
        <f t="shared" si="3"/>
        <v>55.199999999999996</v>
      </c>
      <c r="W42" s="19">
        <f t="shared" si="9"/>
        <v>55.199999999999996</v>
      </c>
      <c r="X42" s="16">
        <f t="shared" si="4"/>
        <v>-465.67770860799993</v>
      </c>
    </row>
    <row r="43" spans="1:24" ht="17.100000000000001" customHeight="1" x14ac:dyDescent="0.25">
      <c r="A43" s="9"/>
      <c r="B43" s="3"/>
      <c r="C43" s="33"/>
      <c r="D43" s="116"/>
      <c r="E43" s="116"/>
      <c r="F43" s="201">
        <f>SUM(F6:F42)</f>
        <v>10412</v>
      </c>
      <c r="G43" s="100">
        <f>SUM(G6:G42)</f>
        <v>6737</v>
      </c>
      <c r="H43" s="100"/>
      <c r="I43" s="100"/>
      <c r="J43" s="100">
        <f>SUM(J6:J42)</f>
        <v>2935</v>
      </c>
      <c r="K43" s="19">
        <f>SUM(K6:K42)</f>
        <v>17809.024000000001</v>
      </c>
      <c r="L43" s="19"/>
      <c r="M43" s="19"/>
      <c r="N43" s="19"/>
      <c r="O43" s="19"/>
      <c r="P43" s="19"/>
      <c r="Q43" s="15">
        <f>SUM(Q6:Q42)</f>
        <v>8219.3326430080015</v>
      </c>
      <c r="R43" s="15">
        <f>SUM(R6:R42)</f>
        <v>26028.356643007999</v>
      </c>
      <c r="S43" s="15">
        <f>SUM(S6:S42)</f>
        <v>19795.599999999999</v>
      </c>
      <c r="T43" s="15">
        <f>SUM(T6:T42)</f>
        <v>8517.44</v>
      </c>
      <c r="U43" s="18"/>
      <c r="V43" s="18">
        <f>SUM(V6:V42)</f>
        <v>19868.8</v>
      </c>
      <c r="W43" s="18">
        <f>SUM(W6:W42)</f>
        <v>39664.400000000001</v>
      </c>
      <c r="X43" s="15">
        <f>SUM(X6:X42)</f>
        <v>13636.043356992001</v>
      </c>
    </row>
    <row r="51" spans="6:6" x14ac:dyDescent="0.25">
      <c r="F51" s="101">
        <f>5352+150</f>
        <v>5502</v>
      </c>
    </row>
  </sheetData>
  <autoFilter ref="A5:AA43" xr:uid="{DA2FBF86-14D8-4F5C-8364-88E1AA5E729B}"/>
  <mergeCells count="22">
    <mergeCell ref="J3:J5"/>
    <mergeCell ref="X3:X5"/>
    <mergeCell ref="U4:U5"/>
    <mergeCell ref="V4:V5"/>
    <mergeCell ref="W4:W5"/>
    <mergeCell ref="T4:T5"/>
    <mergeCell ref="A1:X2"/>
    <mergeCell ref="K3:R3"/>
    <mergeCell ref="B3:B5"/>
    <mergeCell ref="D3:D5"/>
    <mergeCell ref="A3:A5"/>
    <mergeCell ref="C3:C5"/>
    <mergeCell ref="E3:E5"/>
    <mergeCell ref="F3:F5"/>
    <mergeCell ref="G3:G5"/>
    <mergeCell ref="H3:H5"/>
    <mergeCell ref="S3:W3"/>
    <mergeCell ref="L4:Q4"/>
    <mergeCell ref="K4:K5"/>
    <mergeCell ref="R4:R5"/>
    <mergeCell ref="S4:S5"/>
    <mergeCell ref="I3:I5"/>
  </mergeCells>
  <phoneticPr fontId="2" type="noConversion"/>
  <conditionalFormatting sqref="B6">
    <cfRule type="duplicateValues" dxfId="69" priority="20"/>
  </conditionalFormatting>
  <conditionalFormatting sqref="B7">
    <cfRule type="duplicateValues" dxfId="68" priority="7"/>
  </conditionalFormatting>
  <conditionalFormatting sqref="B8">
    <cfRule type="duplicateValues" dxfId="67" priority="13"/>
  </conditionalFormatting>
  <conditionalFormatting sqref="B9">
    <cfRule type="duplicateValues" dxfId="66" priority="19"/>
  </conditionalFormatting>
  <conditionalFormatting sqref="B10">
    <cfRule type="duplicateValues" dxfId="65" priority="6"/>
  </conditionalFormatting>
  <conditionalFormatting sqref="B11">
    <cfRule type="duplicateValues" dxfId="64" priority="5"/>
  </conditionalFormatting>
  <conditionalFormatting sqref="B12">
    <cfRule type="duplicateValues" dxfId="63" priority="4"/>
  </conditionalFormatting>
  <conditionalFormatting sqref="B13">
    <cfRule type="duplicateValues" dxfId="62" priority="18"/>
  </conditionalFormatting>
  <conditionalFormatting sqref="B14">
    <cfRule type="duplicateValues" dxfId="61" priority="12"/>
  </conditionalFormatting>
  <conditionalFormatting sqref="B15">
    <cfRule type="duplicateValues" dxfId="60" priority="11"/>
  </conditionalFormatting>
  <conditionalFormatting sqref="B16">
    <cfRule type="duplicateValues" dxfId="59" priority="10"/>
  </conditionalFormatting>
  <conditionalFormatting sqref="B17">
    <cfRule type="duplicateValues" dxfId="58" priority="17"/>
  </conditionalFormatting>
  <conditionalFormatting sqref="B18">
    <cfRule type="duplicateValues" dxfId="57" priority="3"/>
  </conditionalFormatting>
  <conditionalFormatting sqref="B19">
    <cfRule type="duplicateValues" dxfId="56" priority="9"/>
  </conditionalFormatting>
  <conditionalFormatting sqref="B20">
    <cfRule type="duplicateValues" dxfId="55" priority="16"/>
  </conditionalFormatting>
  <conditionalFormatting sqref="B21">
    <cfRule type="duplicateValues" dxfId="54" priority="2"/>
  </conditionalFormatting>
  <conditionalFormatting sqref="B22">
    <cfRule type="duplicateValues" dxfId="53" priority="8"/>
  </conditionalFormatting>
  <conditionalFormatting sqref="B23">
    <cfRule type="duplicateValues" dxfId="52" priority="15"/>
  </conditionalFormatting>
  <conditionalFormatting sqref="B24">
    <cfRule type="duplicateValues" dxfId="51" priority="14"/>
  </conditionalFormatting>
  <conditionalFormatting sqref="B25">
    <cfRule type="duplicateValues" dxfId="50" priority="1"/>
  </conditionalFormatting>
  <conditionalFormatting sqref="B26:B41">
    <cfRule type="duplicateValues" dxfId="49" priority="21"/>
  </conditionalFormatting>
  <conditionalFormatting sqref="B42:B43">
    <cfRule type="duplicateValues" dxfId="48" priority="22"/>
  </conditionalFormatting>
  <printOptions horizontalCentered="1"/>
  <pageMargins left="0.11811023622047245" right="0.11811023622047245" top="0.55118110236220474" bottom="0.35433070866141736" header="0.31496062992125984" footer="0.31496062992125984"/>
  <pageSetup paperSize="9" scale="4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D53EC-852E-45D0-9B36-1C142117339A}">
  <dimension ref="A1:X43"/>
  <sheetViews>
    <sheetView view="pageBreakPreview" zoomScale="90" zoomScaleNormal="85" zoomScaleSheetLayoutView="90" workbookViewId="0">
      <pane xSplit="4" ySplit="5" topLeftCell="E27" activePane="bottomRight" state="frozen"/>
      <selection pane="topRight" activeCell="E1" sqref="E1"/>
      <selection pane="bottomLeft" activeCell="A5" sqref="A5"/>
      <selection pane="bottomRight" activeCell="D3" sqref="D1:D1048576"/>
    </sheetView>
  </sheetViews>
  <sheetFormatPr defaultColWidth="9" defaultRowHeight="13.8" x14ac:dyDescent="0.25"/>
  <cols>
    <col min="1" max="1" width="8.77734375" style="2" customWidth="1"/>
    <col min="2" max="2" width="14.33203125" style="2" customWidth="1"/>
    <col min="3" max="3" width="35.77734375" style="35" customWidth="1"/>
    <col min="4" max="4" width="19.44140625" style="123" customWidth="1"/>
    <col min="5" max="5" width="10.109375" style="123" customWidth="1"/>
    <col min="6" max="6" width="7.33203125" style="101" customWidth="1"/>
    <col min="7" max="7" width="9.6640625" style="101" customWidth="1"/>
    <col min="8" max="8" width="8.44140625" style="101" customWidth="1"/>
    <col min="9" max="9" width="9.21875" style="101" customWidth="1"/>
    <col min="10" max="10" width="9.33203125" style="101" customWidth="1"/>
    <col min="11" max="15" width="9.88671875" style="8" customWidth="1"/>
    <col min="16" max="16" width="10.5546875" style="2" customWidth="1"/>
    <col min="17" max="17" width="10.88671875" style="2" customWidth="1"/>
    <col min="18" max="18" width="13.21875" style="8" customWidth="1"/>
    <col min="19" max="20" width="9.44140625" style="8" customWidth="1"/>
    <col min="21" max="21" width="9.21875" style="8" customWidth="1"/>
    <col min="22" max="23" width="13.44140625" style="8" customWidth="1"/>
    <col min="24" max="24" width="12.21875" style="2" customWidth="1"/>
    <col min="25" max="16384" width="9" style="2"/>
  </cols>
  <sheetData>
    <row r="1" spans="1:24" ht="29.1" customHeight="1" x14ac:dyDescent="0.25">
      <c r="A1" s="163" t="s">
        <v>152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ht="21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ht="21" customHeight="1" x14ac:dyDescent="0.25">
      <c r="A3" s="162" t="s">
        <v>78</v>
      </c>
      <c r="B3" s="162" t="s">
        <v>2</v>
      </c>
      <c r="C3" s="162" t="s">
        <v>1</v>
      </c>
      <c r="D3" s="170" t="s">
        <v>121</v>
      </c>
      <c r="E3" s="170" t="s">
        <v>123</v>
      </c>
      <c r="F3" s="200" t="s">
        <v>116</v>
      </c>
      <c r="G3" s="200" t="s">
        <v>243</v>
      </c>
      <c r="H3" s="170" t="s">
        <v>258</v>
      </c>
      <c r="I3" s="170" t="s">
        <v>256</v>
      </c>
      <c r="J3" s="170" t="s">
        <v>255</v>
      </c>
      <c r="K3" s="173" t="s">
        <v>118</v>
      </c>
      <c r="L3" s="173"/>
      <c r="M3" s="173"/>
      <c r="N3" s="173"/>
      <c r="O3" s="173"/>
      <c r="P3" s="173"/>
      <c r="Q3" s="173"/>
      <c r="R3" s="173"/>
      <c r="S3" s="157" t="s">
        <v>128</v>
      </c>
      <c r="T3" s="158"/>
      <c r="U3" s="158"/>
      <c r="V3" s="158"/>
      <c r="W3" s="159"/>
      <c r="X3" s="160" t="s">
        <v>117</v>
      </c>
    </row>
    <row r="4" spans="1:24" ht="21" customHeight="1" x14ac:dyDescent="0.25">
      <c r="A4" s="162"/>
      <c r="B4" s="162"/>
      <c r="C4" s="162"/>
      <c r="D4" s="171"/>
      <c r="E4" s="171"/>
      <c r="F4" s="200"/>
      <c r="G4" s="200"/>
      <c r="H4" s="171"/>
      <c r="I4" s="171"/>
      <c r="J4" s="171"/>
      <c r="K4" s="155" t="s">
        <v>120</v>
      </c>
      <c r="L4" s="157" t="s">
        <v>291</v>
      </c>
      <c r="M4" s="158"/>
      <c r="N4" s="158"/>
      <c r="O4" s="158"/>
      <c r="P4" s="158"/>
      <c r="Q4" s="159"/>
      <c r="R4" s="160" t="s">
        <v>125</v>
      </c>
      <c r="S4" s="176" t="s">
        <v>297</v>
      </c>
      <c r="T4" s="176" t="s">
        <v>298</v>
      </c>
      <c r="U4" s="162" t="s">
        <v>76</v>
      </c>
      <c r="V4" s="162" t="s">
        <v>127</v>
      </c>
      <c r="W4" s="162" t="s">
        <v>283</v>
      </c>
      <c r="X4" s="174"/>
    </row>
    <row r="5" spans="1:24" ht="38.4" customHeight="1" x14ac:dyDescent="0.25">
      <c r="A5" s="162"/>
      <c r="B5" s="162"/>
      <c r="C5" s="162"/>
      <c r="D5" s="172"/>
      <c r="E5" s="172"/>
      <c r="F5" s="200"/>
      <c r="G5" s="200"/>
      <c r="H5" s="172"/>
      <c r="I5" s="172"/>
      <c r="J5" s="172"/>
      <c r="K5" s="156"/>
      <c r="L5" s="96" t="s">
        <v>289</v>
      </c>
      <c r="M5" s="96" t="s">
        <v>290</v>
      </c>
      <c r="N5" s="96" t="s">
        <v>287</v>
      </c>
      <c r="O5" s="96" t="s">
        <v>288</v>
      </c>
      <c r="P5" s="14" t="s">
        <v>126</v>
      </c>
      <c r="Q5" s="3" t="s">
        <v>77</v>
      </c>
      <c r="R5" s="161"/>
      <c r="S5" s="176"/>
      <c r="T5" s="176"/>
      <c r="U5" s="162"/>
      <c r="V5" s="162"/>
      <c r="W5" s="162"/>
      <c r="X5" s="161"/>
    </row>
    <row r="6" spans="1:24" ht="21" customHeight="1" x14ac:dyDescent="0.25">
      <c r="A6" s="9" t="s">
        <v>79</v>
      </c>
      <c r="B6" s="3" t="s">
        <v>122</v>
      </c>
      <c r="C6" s="33" t="s">
        <v>3</v>
      </c>
      <c r="D6" s="116" t="str">
        <f>VLOOKUP(B6,[1]冲压件核价!$D$4:$P$466,4,0)</f>
        <v>SPFH590 t=2.0</v>
      </c>
      <c r="E6" s="118">
        <v>6.85</v>
      </c>
      <c r="F6" s="11">
        <f>VLOOKUP(B6,'[4]2021年发货数量'!$AH$6:$AJ$42,3,0)</f>
        <v>350</v>
      </c>
      <c r="G6" s="11">
        <v>235</v>
      </c>
      <c r="H6" s="11"/>
      <c r="I6" s="11">
        <v>90</v>
      </c>
      <c r="J6" s="11">
        <f>F6-G6-H6-I6</f>
        <v>25</v>
      </c>
      <c r="K6" s="19">
        <f>J6*E6</f>
        <v>171.25</v>
      </c>
      <c r="L6" s="99">
        <f>VLOOKUP(B6,[2]冲压件核价!$D$5:$P$220,11,0)</f>
        <v>1.2403</v>
      </c>
      <c r="M6" s="119">
        <f>VLOOKUP(B6,[2]冲压件核价!$D$5:$P$220,12,0)</f>
        <v>0.65900000000000003</v>
      </c>
      <c r="N6" s="19">
        <f>L6-M6</f>
        <v>0.58129999999999993</v>
      </c>
      <c r="O6" s="99">
        <v>3.2</v>
      </c>
      <c r="P6" s="15">
        <f>VLOOKUP(B6,[2]冲压件核价!$D$5:$Q$221,14,0)</f>
        <v>1.8601599999999998</v>
      </c>
      <c r="Q6" s="15">
        <f>P6*G6</f>
        <v>437.13759999999996</v>
      </c>
      <c r="R6" s="16">
        <f t="shared" ref="R6:R42" si="0">K6+Q6</f>
        <v>608.38760000000002</v>
      </c>
      <c r="S6" s="16">
        <v>0</v>
      </c>
      <c r="T6" s="16">
        <v>0</v>
      </c>
      <c r="U6" s="19">
        <v>4</v>
      </c>
      <c r="V6" s="19">
        <f t="shared" ref="V6:V42" si="1">G6*U6</f>
        <v>940</v>
      </c>
      <c r="W6" s="19">
        <f>S6+V6</f>
        <v>940</v>
      </c>
      <c r="X6" s="16">
        <f t="shared" ref="X6:X42" si="2">W6-R6</f>
        <v>331.61239999999998</v>
      </c>
    </row>
    <row r="7" spans="1:24" ht="21" customHeight="1" x14ac:dyDescent="0.25">
      <c r="A7" s="9" t="s">
        <v>80</v>
      </c>
      <c r="B7" s="3" t="s">
        <v>5</v>
      </c>
      <c r="C7" s="33" t="s">
        <v>4</v>
      </c>
      <c r="D7" s="116" t="str">
        <f>VLOOKUP(B7,[1]冲压件核价!$D$4:$P$466,4,0)</f>
        <v>SPFH590 t=2.0</v>
      </c>
      <c r="E7" s="118">
        <v>6.85</v>
      </c>
      <c r="F7" s="11">
        <f>VLOOKUP(B7,'[4]2021年发货数量'!$AH$6:$AJ$42,3,0)</f>
        <v>300</v>
      </c>
      <c r="G7" s="11">
        <v>216</v>
      </c>
      <c r="H7" s="11"/>
      <c r="I7" s="11"/>
      <c r="J7" s="11">
        <f t="shared" ref="J7:J42" si="3">F7-G7-H7-I7</f>
        <v>84</v>
      </c>
      <c r="K7" s="19">
        <f t="shared" ref="K7:K42" si="4">J7*E7</f>
        <v>575.4</v>
      </c>
      <c r="L7" s="99">
        <f>VLOOKUP(B7,[2]冲压件核价!$D$5:$P$220,11,0)</f>
        <v>1.2403</v>
      </c>
      <c r="M7" s="119">
        <f>VLOOKUP(B7,[2]冲压件核价!$D$5:$P$220,12,0)</f>
        <v>0.70199999999999996</v>
      </c>
      <c r="N7" s="19">
        <f t="shared" ref="N7:N42" si="5">L7-M7</f>
        <v>0.5383</v>
      </c>
      <c r="O7" s="99">
        <v>3.2</v>
      </c>
      <c r="P7" s="15">
        <f>VLOOKUP(B7,[2]冲压件核价!$D$5:$Q$221,14,0)</f>
        <v>1.7225600000000001</v>
      </c>
      <c r="Q7" s="15">
        <f t="shared" ref="Q7:Q43" si="6">P7*G7</f>
        <v>372.07296000000002</v>
      </c>
      <c r="R7" s="16">
        <f t="shared" si="0"/>
        <v>947.47296000000006</v>
      </c>
      <c r="S7" s="16">
        <v>0</v>
      </c>
      <c r="T7" s="16">
        <v>0</v>
      </c>
      <c r="U7" s="19">
        <v>4</v>
      </c>
      <c r="V7" s="19">
        <f t="shared" si="1"/>
        <v>864</v>
      </c>
      <c r="W7" s="19">
        <f t="shared" ref="W7:W42" si="7">S7+V7</f>
        <v>864</v>
      </c>
      <c r="X7" s="16">
        <f t="shared" si="2"/>
        <v>-83.472960000000057</v>
      </c>
    </row>
    <row r="8" spans="1:24" ht="21" customHeight="1" x14ac:dyDescent="0.25">
      <c r="A8" s="9" t="s">
        <v>81</v>
      </c>
      <c r="B8" s="3" t="s">
        <v>7</v>
      </c>
      <c r="C8" s="33" t="s">
        <v>6</v>
      </c>
      <c r="D8" s="116" t="str">
        <f>VLOOKUP(B8,[1]冲压件核价!$D$4:$P$466,4,0)</f>
        <v>SPFH590 t=2.0</v>
      </c>
      <c r="E8" s="118">
        <v>6.85</v>
      </c>
      <c r="F8" s="11">
        <f>VLOOKUP(B8,'[4]2021年发货数量'!$AH$6:$AJ$42,3,0)</f>
        <v>250</v>
      </c>
      <c r="G8" s="11">
        <v>226</v>
      </c>
      <c r="H8" s="11"/>
      <c r="I8" s="11"/>
      <c r="J8" s="11">
        <f t="shared" si="3"/>
        <v>24</v>
      </c>
      <c r="K8" s="19">
        <f t="shared" si="4"/>
        <v>164.39999999999998</v>
      </c>
      <c r="L8" s="99">
        <f>VLOOKUP(B8,[2]冲压件核价!$D$5:$P$220,11,0)</f>
        <v>0.10205</v>
      </c>
      <c r="M8" s="19">
        <f>VLOOKUP(B8,[2]冲压件核价!$D$5:$P$220,12,0)</f>
        <v>7.3999999999999996E-2</v>
      </c>
      <c r="N8" s="19">
        <f t="shared" si="5"/>
        <v>2.8050000000000005E-2</v>
      </c>
      <c r="O8" s="99">
        <v>3.2</v>
      </c>
      <c r="P8" s="15">
        <f>VLOOKUP(B8,[2]冲压件核价!$D$5:$Q$221,14,0)</f>
        <v>8.976000000000002E-2</v>
      </c>
      <c r="Q8" s="15">
        <f t="shared" si="6"/>
        <v>20.285760000000003</v>
      </c>
      <c r="R8" s="16">
        <f t="shared" si="0"/>
        <v>184.68575999999999</v>
      </c>
      <c r="S8" s="16">
        <v>0</v>
      </c>
      <c r="T8" s="16">
        <v>0</v>
      </c>
      <c r="U8" s="19">
        <v>0.6</v>
      </c>
      <c r="V8" s="19">
        <f t="shared" si="1"/>
        <v>135.6</v>
      </c>
      <c r="W8" s="19">
        <f t="shared" si="7"/>
        <v>135.6</v>
      </c>
      <c r="X8" s="16">
        <f t="shared" si="2"/>
        <v>-49.085759999999993</v>
      </c>
    </row>
    <row r="9" spans="1:24" ht="21" customHeight="1" x14ac:dyDescent="0.25">
      <c r="A9" s="9" t="s">
        <v>82</v>
      </c>
      <c r="B9" s="3" t="s">
        <v>9</v>
      </c>
      <c r="C9" s="33" t="s">
        <v>8</v>
      </c>
      <c r="D9" s="116" t="str">
        <f>VLOOKUP(B9,[1]冲压件核价!$D$4:$P$466,4,0)</f>
        <v>SPFH590 t=2.0</v>
      </c>
      <c r="E9" s="118">
        <v>6.85</v>
      </c>
      <c r="F9" s="11">
        <f>VLOOKUP(B9,'[4]2021年发货数量'!$AH$6:$AJ$42,3,0)</f>
        <v>200</v>
      </c>
      <c r="G9" s="11">
        <v>129</v>
      </c>
      <c r="H9" s="11"/>
      <c r="I9" s="11"/>
      <c r="J9" s="11">
        <f t="shared" si="3"/>
        <v>71</v>
      </c>
      <c r="K9" s="19">
        <f t="shared" si="4"/>
        <v>486.34999999999997</v>
      </c>
      <c r="L9" s="99">
        <f>VLOOKUP(B9,[2]冲压件核价!$D$5:$P$220,11,0)</f>
        <v>0.10205</v>
      </c>
      <c r="M9" s="19">
        <f>VLOOKUP(B9,[2]冲压件核价!$D$5:$P$220,12,0)</f>
        <v>7.0999999999999994E-2</v>
      </c>
      <c r="N9" s="19">
        <f t="shared" si="5"/>
        <v>3.1050000000000008E-2</v>
      </c>
      <c r="O9" s="99">
        <v>3.2</v>
      </c>
      <c r="P9" s="15">
        <f>VLOOKUP(B9,[2]冲压件核价!$D$5:$Q$221,14,0)</f>
        <v>9.9360000000000032E-2</v>
      </c>
      <c r="Q9" s="15">
        <f t="shared" si="6"/>
        <v>12.817440000000005</v>
      </c>
      <c r="R9" s="16">
        <f t="shared" si="0"/>
        <v>499.16743999999994</v>
      </c>
      <c r="S9" s="16">
        <v>0</v>
      </c>
      <c r="T9" s="16">
        <v>0</v>
      </c>
      <c r="U9" s="19">
        <v>0.6</v>
      </c>
      <c r="V9" s="19">
        <f t="shared" si="1"/>
        <v>77.399999999999991</v>
      </c>
      <c r="W9" s="19">
        <f t="shared" si="7"/>
        <v>77.399999999999991</v>
      </c>
      <c r="X9" s="16">
        <f t="shared" si="2"/>
        <v>-421.76743999999997</v>
      </c>
    </row>
    <row r="10" spans="1:24" ht="21" customHeight="1" x14ac:dyDescent="0.25">
      <c r="A10" s="9" t="s">
        <v>83</v>
      </c>
      <c r="B10" s="3" t="s">
        <v>191</v>
      </c>
      <c r="C10" s="33" t="s">
        <v>10</v>
      </c>
      <c r="D10" s="116" t="s">
        <v>192</v>
      </c>
      <c r="E10" s="118">
        <v>6.85</v>
      </c>
      <c r="F10" s="11">
        <f>VLOOKUP(B10,'[4]2021年发货数量'!$AH$6:$AJ$42,3,0)</f>
        <v>200</v>
      </c>
      <c r="G10" s="11">
        <v>106</v>
      </c>
      <c r="H10" s="11"/>
      <c r="I10" s="11">
        <v>50</v>
      </c>
      <c r="J10" s="11">
        <f t="shared" si="3"/>
        <v>44</v>
      </c>
      <c r="K10" s="19">
        <f t="shared" si="4"/>
        <v>301.39999999999998</v>
      </c>
      <c r="L10" s="99">
        <f>VLOOKUP(B10,[2]冲压件核价!$D$5:$P$220,11,0)</f>
        <v>1.04562</v>
      </c>
      <c r="M10" s="19">
        <f>VLOOKUP(B10,[2]冲压件核价!$D$5:$P$220,12,0)</f>
        <v>0.39900000000000002</v>
      </c>
      <c r="N10" s="19">
        <f t="shared" si="5"/>
        <v>0.64661999999999997</v>
      </c>
      <c r="O10" s="99">
        <v>3.2</v>
      </c>
      <c r="P10" s="15">
        <f>VLOOKUP(B10,[2]冲压件核价!$D$5:$Q$221,14,0)</f>
        <v>2.0691839999999999</v>
      </c>
      <c r="Q10" s="15">
        <f t="shared" si="6"/>
        <v>219.333504</v>
      </c>
      <c r="R10" s="16">
        <f t="shared" si="0"/>
        <v>520.73350400000004</v>
      </c>
      <c r="S10" s="16">
        <v>0</v>
      </c>
      <c r="T10" s="16">
        <v>0</v>
      </c>
      <c r="U10" s="19">
        <v>4.8</v>
      </c>
      <c r="V10" s="19">
        <f t="shared" si="1"/>
        <v>508.79999999999995</v>
      </c>
      <c r="W10" s="19">
        <f t="shared" si="7"/>
        <v>508.79999999999995</v>
      </c>
      <c r="X10" s="16">
        <f t="shared" si="2"/>
        <v>-11.933504000000084</v>
      </c>
    </row>
    <row r="11" spans="1:24" ht="21" customHeight="1" x14ac:dyDescent="0.25">
      <c r="A11" s="9" t="s">
        <v>84</v>
      </c>
      <c r="B11" s="3" t="s">
        <v>13</v>
      </c>
      <c r="C11" s="33" t="s">
        <v>12</v>
      </c>
      <c r="D11" s="116" t="s">
        <v>188</v>
      </c>
      <c r="E11" s="118">
        <v>6.85</v>
      </c>
      <c r="F11" s="11">
        <f>VLOOKUP(B11,'[4]2021年发货数量'!$AH$6:$AJ$42,3,0)</f>
        <v>150</v>
      </c>
      <c r="G11" s="11">
        <v>109</v>
      </c>
      <c r="H11" s="11"/>
      <c r="I11" s="11"/>
      <c r="J11" s="11">
        <f t="shared" si="3"/>
        <v>41</v>
      </c>
      <c r="K11" s="19">
        <f t="shared" si="4"/>
        <v>280.84999999999997</v>
      </c>
      <c r="L11" s="99">
        <f>VLOOKUP(B11,[2]冲压件核价!$D$5:$P$220,11,0)</f>
        <v>1.01736</v>
      </c>
      <c r="M11" s="19">
        <f>VLOOKUP(B11,[2]冲压件核价!$D$5:$P$220,12,0)</f>
        <v>0.52</v>
      </c>
      <c r="N11" s="19">
        <f t="shared" si="5"/>
        <v>0.49736000000000002</v>
      </c>
      <c r="O11" s="99">
        <v>3.2</v>
      </c>
      <c r="P11" s="15">
        <f>VLOOKUP(B11,[2]冲压件核价!$D$5:$Q$221,14,0)</f>
        <v>1.5915520000000001</v>
      </c>
      <c r="Q11" s="15">
        <f t="shared" si="6"/>
        <v>173.47916800000002</v>
      </c>
      <c r="R11" s="16">
        <f t="shared" si="0"/>
        <v>454.32916799999998</v>
      </c>
      <c r="S11" s="16">
        <v>0</v>
      </c>
      <c r="T11" s="16">
        <v>0</v>
      </c>
      <c r="U11" s="19">
        <v>4.8</v>
      </c>
      <c r="V11" s="19">
        <f t="shared" si="1"/>
        <v>523.19999999999993</v>
      </c>
      <c r="W11" s="19">
        <f t="shared" si="7"/>
        <v>523.19999999999993</v>
      </c>
      <c r="X11" s="16">
        <f t="shared" si="2"/>
        <v>68.87083199999995</v>
      </c>
    </row>
    <row r="12" spans="1:24" s="123" customFormat="1" ht="21" customHeight="1" x14ac:dyDescent="0.25">
      <c r="A12" s="115" t="s">
        <v>85</v>
      </c>
      <c r="B12" s="116" t="s">
        <v>15</v>
      </c>
      <c r="C12" s="117" t="s">
        <v>14</v>
      </c>
      <c r="D12" s="116" t="s">
        <v>188</v>
      </c>
      <c r="E12" s="118">
        <v>6.85</v>
      </c>
      <c r="F12" s="11">
        <f>VLOOKUP(B12,'[4]2021年发货数量'!$AH$6:$AJ$42,3,0)</f>
        <v>350</v>
      </c>
      <c r="G12" s="11">
        <v>258</v>
      </c>
      <c r="H12" s="11"/>
      <c r="I12" s="11">
        <v>120</v>
      </c>
      <c r="J12" s="11">
        <f t="shared" si="3"/>
        <v>-28</v>
      </c>
      <c r="K12" s="119">
        <f t="shared" si="4"/>
        <v>-191.79999999999998</v>
      </c>
      <c r="L12" s="120">
        <f>VLOOKUP(B12,[2]冲压件核价!$D$5:$P$220,11,0)</f>
        <v>0.8478</v>
      </c>
      <c r="M12" s="119">
        <f>VLOOKUP(B12,[2]冲压件核价!$D$5:$P$220,12,0)</f>
        <v>0.38400000000000001</v>
      </c>
      <c r="N12" s="119">
        <f t="shared" si="5"/>
        <v>0.46379999999999999</v>
      </c>
      <c r="O12" s="120">
        <v>3.2</v>
      </c>
      <c r="P12" s="121">
        <f>VLOOKUP(B12,[2]冲压件核价!$D$5:$Q$221,14,0)</f>
        <v>1.4841600000000001</v>
      </c>
      <c r="Q12" s="121">
        <f t="shared" si="6"/>
        <v>382.91328000000004</v>
      </c>
      <c r="R12" s="122">
        <f t="shared" si="0"/>
        <v>191.11328000000006</v>
      </c>
      <c r="S12" s="122">
        <v>0</v>
      </c>
      <c r="T12" s="122">
        <v>0</v>
      </c>
      <c r="U12" s="119">
        <v>5.6</v>
      </c>
      <c r="V12" s="119">
        <f t="shared" si="1"/>
        <v>1444.8</v>
      </c>
      <c r="W12" s="119">
        <f t="shared" si="7"/>
        <v>1444.8</v>
      </c>
      <c r="X12" s="122">
        <f t="shared" si="2"/>
        <v>1253.6867199999999</v>
      </c>
    </row>
    <row r="13" spans="1:24" ht="21" customHeight="1" x14ac:dyDescent="0.25">
      <c r="A13" s="9" t="s">
        <v>86</v>
      </c>
      <c r="B13" s="3" t="s">
        <v>17</v>
      </c>
      <c r="C13" s="33" t="s">
        <v>16</v>
      </c>
      <c r="D13" s="116" t="s">
        <v>188</v>
      </c>
      <c r="E13" s="118">
        <v>6.85</v>
      </c>
      <c r="F13" s="11">
        <f>VLOOKUP(B13,'[4]2021年发货数量'!$AH$6:$AJ$42,3,0)</f>
        <v>350</v>
      </c>
      <c r="G13" s="11">
        <v>254</v>
      </c>
      <c r="H13" s="11"/>
      <c r="I13" s="11"/>
      <c r="J13" s="11">
        <f t="shared" si="3"/>
        <v>96</v>
      </c>
      <c r="K13" s="19">
        <f t="shared" si="4"/>
        <v>657.59999999999991</v>
      </c>
      <c r="L13" s="99">
        <f>VLOOKUP(B13,[2]冲压件核价!$D$5:$P$220,11,0)</f>
        <v>0.8478</v>
      </c>
      <c r="M13" s="19">
        <f>VLOOKUP(B13,[2]冲压件核价!$D$5:$P$220,12,0)</f>
        <v>0.58699999999999997</v>
      </c>
      <c r="N13" s="19">
        <f t="shared" si="5"/>
        <v>0.26080000000000003</v>
      </c>
      <c r="O13" s="99">
        <v>3.2</v>
      </c>
      <c r="P13" s="15">
        <f>VLOOKUP(B13,[2]冲压件核价!$D$5:$Q$221,14,0)</f>
        <v>0.83456000000000019</v>
      </c>
      <c r="Q13" s="15">
        <f t="shared" si="6"/>
        <v>211.97824000000006</v>
      </c>
      <c r="R13" s="16">
        <f t="shared" si="0"/>
        <v>869.57823999999994</v>
      </c>
      <c r="S13" s="16">
        <v>0</v>
      </c>
      <c r="T13" s="16">
        <v>0</v>
      </c>
      <c r="U13" s="19">
        <v>5.6</v>
      </c>
      <c r="V13" s="19">
        <f t="shared" si="1"/>
        <v>1422.3999999999999</v>
      </c>
      <c r="W13" s="19">
        <f t="shared" si="7"/>
        <v>1422.3999999999999</v>
      </c>
      <c r="X13" s="16">
        <f t="shared" si="2"/>
        <v>552.82175999999993</v>
      </c>
    </row>
    <row r="14" spans="1:24" s="123" customFormat="1" ht="21" customHeight="1" x14ac:dyDescent="0.25">
      <c r="A14" s="115" t="s">
        <v>87</v>
      </c>
      <c r="B14" s="116" t="s">
        <v>293</v>
      </c>
      <c r="C14" s="117" t="s">
        <v>18</v>
      </c>
      <c r="D14" s="116" t="s">
        <v>188</v>
      </c>
      <c r="E14" s="118">
        <v>6.85</v>
      </c>
      <c r="F14" s="11">
        <f>VLOOKUP(B14,'[4]2021年发货数量'!$AH$6:$AJ$42,3,0)</f>
        <v>536</v>
      </c>
      <c r="G14" s="11">
        <v>10</v>
      </c>
      <c r="H14" s="11"/>
      <c r="I14" s="11">
        <v>695</v>
      </c>
      <c r="J14" s="11">
        <f t="shared" si="3"/>
        <v>-169</v>
      </c>
      <c r="K14" s="119">
        <f t="shared" si="4"/>
        <v>-1157.6499999999999</v>
      </c>
      <c r="L14" s="120">
        <f>VLOOKUP(B14,[2]冲压件核价!$D$5:$P$220,11,0)</f>
        <v>0.67823999999999995</v>
      </c>
      <c r="M14" s="119">
        <f>VLOOKUP(B14,[2]冲压件核价!$D$5:$P$220,12,0)</f>
        <v>0.39100000000000001</v>
      </c>
      <c r="N14" s="119">
        <f t="shared" si="5"/>
        <v>0.28723999999999994</v>
      </c>
      <c r="O14" s="120">
        <v>3.2</v>
      </c>
      <c r="P14" s="121">
        <f>VLOOKUP(B14,[2]冲压件核价!$D$5:$Q$221,14,0)</f>
        <v>0.91916799999999987</v>
      </c>
      <c r="Q14" s="121">
        <f t="shared" si="6"/>
        <v>9.1916799999999981</v>
      </c>
      <c r="R14" s="122">
        <f t="shared" si="0"/>
        <v>-1148.45832</v>
      </c>
      <c r="S14" s="122">
        <v>0</v>
      </c>
      <c r="T14" s="122">
        <v>0</v>
      </c>
      <c r="U14" s="119">
        <v>2.4</v>
      </c>
      <c r="V14" s="119">
        <f t="shared" si="1"/>
        <v>24</v>
      </c>
      <c r="W14" s="119">
        <f t="shared" si="7"/>
        <v>24</v>
      </c>
      <c r="X14" s="122">
        <f t="shared" si="2"/>
        <v>1172.45832</v>
      </c>
    </row>
    <row r="15" spans="1:24" ht="21" customHeight="1" x14ac:dyDescent="0.25">
      <c r="A15" s="9" t="s">
        <v>88</v>
      </c>
      <c r="B15" s="3" t="s">
        <v>21</v>
      </c>
      <c r="C15" s="33" t="s">
        <v>20</v>
      </c>
      <c r="D15" s="116" t="s">
        <v>188</v>
      </c>
      <c r="E15" s="118">
        <v>6.85</v>
      </c>
      <c r="F15" s="11">
        <f>VLOOKUP(B15,'[4]2021年发货数量'!$AH$6:$AJ$42,3,0)</f>
        <v>536</v>
      </c>
      <c r="G15" s="11">
        <v>10</v>
      </c>
      <c r="H15" s="11"/>
      <c r="I15" s="11"/>
      <c r="J15" s="11">
        <f t="shared" si="3"/>
        <v>526</v>
      </c>
      <c r="K15" s="19">
        <f t="shared" si="4"/>
        <v>3603.1</v>
      </c>
      <c r="L15" s="99">
        <f>VLOOKUP(B15,[2]冲压件核价!$D$5:$P$220,11,0)</f>
        <v>0.67823999999999995</v>
      </c>
      <c r="M15" s="19">
        <f>VLOOKUP(B15,[2]冲压件核价!$D$5:$P$220,12,0)</f>
        <v>0.378</v>
      </c>
      <c r="N15" s="19">
        <f t="shared" si="5"/>
        <v>0.30023999999999995</v>
      </c>
      <c r="O15" s="99">
        <v>3.2</v>
      </c>
      <c r="P15" s="15">
        <f>VLOOKUP(B15,[2]冲压件核价!$D$5:$Q$221,14,0)</f>
        <v>0.96076799999999984</v>
      </c>
      <c r="Q15" s="15">
        <f t="shared" si="6"/>
        <v>9.6076799999999984</v>
      </c>
      <c r="R15" s="16">
        <f t="shared" si="0"/>
        <v>3612.70768</v>
      </c>
      <c r="S15" s="16">
        <v>0</v>
      </c>
      <c r="T15" s="16">
        <v>0</v>
      </c>
      <c r="U15" s="19">
        <v>2.4</v>
      </c>
      <c r="V15" s="19">
        <f t="shared" si="1"/>
        <v>24</v>
      </c>
      <c r="W15" s="19">
        <f t="shared" si="7"/>
        <v>24</v>
      </c>
      <c r="X15" s="16">
        <f t="shared" si="2"/>
        <v>-3588.70768</v>
      </c>
    </row>
    <row r="16" spans="1:24" ht="21" customHeight="1" x14ac:dyDescent="0.25">
      <c r="A16" s="9" t="s">
        <v>89</v>
      </c>
      <c r="B16" s="3" t="s">
        <v>23</v>
      </c>
      <c r="C16" s="33" t="s">
        <v>22</v>
      </c>
      <c r="D16" s="116" t="s">
        <v>188</v>
      </c>
      <c r="E16" s="118">
        <v>6.85</v>
      </c>
      <c r="F16" s="11">
        <f>VLOOKUP(B16,'[4]2021年发货数量'!$AH$6:$AJ$42,3,0)</f>
        <v>550</v>
      </c>
      <c r="G16" s="11">
        <v>15</v>
      </c>
      <c r="H16" s="11"/>
      <c r="I16" s="11"/>
      <c r="J16" s="11">
        <f t="shared" si="3"/>
        <v>535</v>
      </c>
      <c r="K16" s="19">
        <f t="shared" si="4"/>
        <v>3664.75</v>
      </c>
      <c r="L16" s="99">
        <f>VLOOKUP(B16,[2]冲压件核价!$D$5:$P$220,11,0)</f>
        <v>0.49172399999999999</v>
      </c>
      <c r="M16" s="19">
        <f>VLOOKUP(B16,[2]冲压件核价!$D$5:$P$220,12,0)</f>
        <v>0.25600000000000001</v>
      </c>
      <c r="N16" s="19">
        <f t="shared" si="5"/>
        <v>0.23572399999999999</v>
      </c>
      <c r="O16" s="99">
        <v>3.2</v>
      </c>
      <c r="P16" s="15">
        <f>VLOOKUP(B16,[2]冲压件核价!$D$5:$Q$221,14,0)</f>
        <v>0.75431680000000001</v>
      </c>
      <c r="Q16" s="15">
        <f t="shared" si="6"/>
        <v>11.314752</v>
      </c>
      <c r="R16" s="16">
        <f t="shared" si="0"/>
        <v>3676.0647520000002</v>
      </c>
      <c r="S16" s="16">
        <v>0</v>
      </c>
      <c r="T16" s="16">
        <v>0</v>
      </c>
      <c r="U16" s="19">
        <v>4</v>
      </c>
      <c r="V16" s="19">
        <f t="shared" si="1"/>
        <v>60</v>
      </c>
      <c r="W16" s="19">
        <f t="shared" si="7"/>
        <v>60</v>
      </c>
      <c r="X16" s="16">
        <f t="shared" si="2"/>
        <v>-3616.0647520000002</v>
      </c>
    </row>
    <row r="17" spans="1:24" s="123" customFormat="1" ht="21" customHeight="1" x14ac:dyDescent="0.25">
      <c r="A17" s="115" t="s">
        <v>90</v>
      </c>
      <c r="B17" s="116" t="s">
        <v>25</v>
      </c>
      <c r="C17" s="117" t="s">
        <v>24</v>
      </c>
      <c r="D17" s="116" t="s">
        <v>188</v>
      </c>
      <c r="E17" s="118">
        <v>6.85</v>
      </c>
      <c r="F17" s="11">
        <f>VLOOKUP(B17,'[4]2021年发货数量'!$AH$6:$AJ$42,3,0)</f>
        <v>535</v>
      </c>
      <c r="G17" s="11">
        <v>15</v>
      </c>
      <c r="H17" s="11"/>
      <c r="I17" s="11">
        <v>947</v>
      </c>
      <c r="J17" s="11">
        <f t="shared" si="3"/>
        <v>-427</v>
      </c>
      <c r="K17" s="119">
        <f t="shared" si="4"/>
        <v>-2924.95</v>
      </c>
      <c r="L17" s="120">
        <f>VLOOKUP(B17,[2]冲压件核价!$D$5:$P$220,11,0)</f>
        <v>0.49172399999999999</v>
      </c>
      <c r="M17" s="119">
        <f>VLOOKUP(B17,[2]冲压件核价!$D$5:$P$220,12,0)</f>
        <v>0.255</v>
      </c>
      <c r="N17" s="119">
        <f t="shared" si="5"/>
        <v>0.23672399999999999</v>
      </c>
      <c r="O17" s="120">
        <v>3.2</v>
      </c>
      <c r="P17" s="121">
        <f>VLOOKUP(B17,[2]冲压件核价!$D$5:$Q$221,14,0)</f>
        <v>0.75751679999999999</v>
      </c>
      <c r="Q17" s="121">
        <f t="shared" si="6"/>
        <v>11.362752</v>
      </c>
      <c r="R17" s="122">
        <f t="shared" si="0"/>
        <v>-2913.5872479999998</v>
      </c>
      <c r="S17" s="122">
        <v>0</v>
      </c>
      <c r="T17" s="122">
        <v>0</v>
      </c>
      <c r="U17" s="119">
        <v>4</v>
      </c>
      <c r="V17" s="119">
        <f t="shared" si="1"/>
        <v>60</v>
      </c>
      <c r="W17" s="119">
        <f t="shared" si="7"/>
        <v>60</v>
      </c>
      <c r="X17" s="122">
        <f t="shared" si="2"/>
        <v>2973.5872479999998</v>
      </c>
    </row>
    <row r="18" spans="1:24" ht="21" customHeight="1" x14ac:dyDescent="0.25">
      <c r="A18" s="9" t="s">
        <v>91</v>
      </c>
      <c r="B18" s="3" t="s">
        <v>27</v>
      </c>
      <c r="C18" s="33" t="s">
        <v>26</v>
      </c>
      <c r="D18" s="116" t="str">
        <f>VLOOKUP(B18,[1]冲压件核价!$D$4:$P$466,4,0)</f>
        <v>SPFH590 t=3.5</v>
      </c>
      <c r="E18" s="118">
        <v>6.3040000000000003</v>
      </c>
      <c r="F18" s="11">
        <f>VLOOKUP(B18,'[4]2021年发货数量'!$AH$6:$AJ$42,3,0)</f>
        <v>900</v>
      </c>
      <c r="G18" s="11">
        <v>742</v>
      </c>
      <c r="H18" s="11"/>
      <c r="I18" s="11"/>
      <c r="J18" s="11">
        <f t="shared" si="3"/>
        <v>158</v>
      </c>
      <c r="K18" s="19">
        <f t="shared" si="4"/>
        <v>996.03200000000004</v>
      </c>
      <c r="L18" s="99">
        <f>VLOOKUP(B18,[2]冲压件核价!$D$5:$P$220,11,0)</f>
        <v>1.15395</v>
      </c>
      <c r="M18" s="19">
        <f>VLOOKUP(B18,[2]冲压件核价!$D$5:$P$220,12,0)</f>
        <v>0.72399999999999998</v>
      </c>
      <c r="N18" s="19">
        <f t="shared" si="5"/>
        <v>0.42995000000000005</v>
      </c>
      <c r="O18" s="99">
        <v>3.2</v>
      </c>
      <c r="P18" s="15">
        <f>VLOOKUP(B18,[2]冲压件核价!$D$5:$Q$221,14,0)</f>
        <v>1.3758400000000002</v>
      </c>
      <c r="Q18" s="15">
        <f t="shared" si="6"/>
        <v>1020.8732800000001</v>
      </c>
      <c r="R18" s="16">
        <f t="shared" si="0"/>
        <v>2016.9052800000002</v>
      </c>
      <c r="S18" s="16">
        <v>0</v>
      </c>
      <c r="T18" s="16">
        <v>0</v>
      </c>
      <c r="U18" s="19">
        <v>3.2</v>
      </c>
      <c r="V18" s="19">
        <f t="shared" si="1"/>
        <v>2374.4</v>
      </c>
      <c r="W18" s="19">
        <f t="shared" si="7"/>
        <v>2374.4</v>
      </c>
      <c r="X18" s="16">
        <f t="shared" si="2"/>
        <v>357.49471999999992</v>
      </c>
    </row>
    <row r="19" spans="1:24" ht="21" customHeight="1" x14ac:dyDescent="0.25">
      <c r="A19" s="9" t="s">
        <v>92</v>
      </c>
      <c r="B19" s="3" t="s">
        <v>29</v>
      </c>
      <c r="C19" s="33" t="s">
        <v>28</v>
      </c>
      <c r="D19" s="116" t="str">
        <f>VLOOKUP(B19,[1]冲压件核价!$D$4:$P$466,4,0)</f>
        <v>SPFH590 t=4.0</v>
      </c>
      <c r="E19" s="118">
        <v>6.3040000000000003</v>
      </c>
      <c r="F19" s="11">
        <f>VLOOKUP(B19,'[4]2021年发货数量'!$AH$6:$AJ$42,3,0)</f>
        <v>872</v>
      </c>
      <c r="G19" s="11">
        <v>742</v>
      </c>
      <c r="H19" s="11"/>
      <c r="I19" s="11">
        <v>122</v>
      </c>
      <c r="J19" s="11">
        <f t="shared" si="3"/>
        <v>8</v>
      </c>
      <c r="K19" s="19">
        <f t="shared" si="4"/>
        <v>50.432000000000002</v>
      </c>
      <c r="L19" s="99">
        <f>VLOOKUP(B19,[2]冲压件核价!$D$5:$P$220,11,0)</f>
        <v>1.3188</v>
      </c>
      <c r="M19" s="19">
        <f>VLOOKUP(B19,[2]冲压件核价!$D$5:$P$220,12,0)</f>
        <v>0.72399999999999998</v>
      </c>
      <c r="N19" s="19">
        <f t="shared" si="5"/>
        <v>0.5948</v>
      </c>
      <c r="O19" s="99">
        <v>3.2</v>
      </c>
      <c r="P19" s="15">
        <f>VLOOKUP(B19,[2]冲压件核价!$D$5:$Q$221,14,0)</f>
        <v>1.9033600000000002</v>
      </c>
      <c r="Q19" s="15">
        <f t="shared" si="6"/>
        <v>1412.29312</v>
      </c>
      <c r="R19" s="16">
        <f t="shared" si="0"/>
        <v>1462.7251200000001</v>
      </c>
      <c r="S19" s="16">
        <v>0</v>
      </c>
      <c r="T19" s="16">
        <v>0</v>
      </c>
      <c r="U19" s="19">
        <v>3.2</v>
      </c>
      <c r="V19" s="19">
        <f t="shared" si="1"/>
        <v>2374.4</v>
      </c>
      <c r="W19" s="19">
        <f t="shared" si="7"/>
        <v>2374.4</v>
      </c>
      <c r="X19" s="16">
        <f t="shared" si="2"/>
        <v>911.67488000000003</v>
      </c>
    </row>
    <row r="20" spans="1:24" ht="21" customHeight="1" x14ac:dyDescent="0.25">
      <c r="A20" s="9" t="s">
        <v>93</v>
      </c>
      <c r="B20" s="6" t="s">
        <v>31</v>
      </c>
      <c r="C20" s="34" t="s">
        <v>30</v>
      </c>
      <c r="D20" s="116" t="str">
        <f>VLOOKUP(B20,[1]冲压件核价!$D$4:$P$466,4,0)</f>
        <v>QSTE420TM  t=1.5</v>
      </c>
      <c r="E20" s="126">
        <v>6.18</v>
      </c>
      <c r="F20" s="11">
        <f>VLOOKUP(B20,'[4]2021年发货数量'!$AH$6:$AJ$42,3,0)</f>
        <v>100</v>
      </c>
      <c r="G20" s="11">
        <v>0</v>
      </c>
      <c r="H20" s="11"/>
      <c r="I20" s="11"/>
      <c r="J20" s="11">
        <f t="shared" si="3"/>
        <v>100</v>
      </c>
      <c r="K20" s="19">
        <f t="shared" si="4"/>
        <v>618</v>
      </c>
      <c r="L20" s="99">
        <f>VLOOKUP(B20,[2]冲压件核价!$D$5:$P$220,11,0)</f>
        <v>1.81335</v>
      </c>
      <c r="M20" s="19">
        <f>VLOOKUP(B20,[2]冲压件核价!$D$5:$P$220,12,0)</f>
        <v>1.0169999999999999</v>
      </c>
      <c r="N20" s="19">
        <f t="shared" si="5"/>
        <v>0.79635000000000011</v>
      </c>
      <c r="O20" s="99">
        <v>3.2</v>
      </c>
      <c r="P20" s="15">
        <f>VLOOKUP(B20,[2]冲压件核价!$D$5:$Q$221,14,0)</f>
        <v>2.5483200000000004</v>
      </c>
      <c r="Q20" s="15">
        <f t="shared" si="6"/>
        <v>0</v>
      </c>
      <c r="R20" s="16">
        <f t="shared" si="0"/>
        <v>618</v>
      </c>
      <c r="S20" s="16">
        <v>0</v>
      </c>
      <c r="T20" s="16">
        <v>0</v>
      </c>
      <c r="U20" s="19">
        <v>4.8</v>
      </c>
      <c r="V20" s="19">
        <f t="shared" si="1"/>
        <v>0</v>
      </c>
      <c r="W20" s="19">
        <f t="shared" si="7"/>
        <v>0</v>
      </c>
      <c r="X20" s="16">
        <f t="shared" si="2"/>
        <v>-618</v>
      </c>
    </row>
    <row r="21" spans="1:24" ht="21" customHeight="1" x14ac:dyDescent="0.25">
      <c r="A21" s="9" t="s">
        <v>94</v>
      </c>
      <c r="B21" s="6" t="s">
        <v>33</v>
      </c>
      <c r="C21" s="34" t="s">
        <v>32</v>
      </c>
      <c r="D21" s="116" t="str">
        <f>VLOOKUP(B21,[1]冲压件核价!$D$4:$P$466,4,0)</f>
        <v>QSTE420TM  t=1.5</v>
      </c>
      <c r="E21" s="126">
        <v>6.18</v>
      </c>
      <c r="F21" s="11">
        <f>VLOOKUP(B21,'[4]2021年发货数量'!$AH$6:$AJ$42,3,0)</f>
        <v>100</v>
      </c>
      <c r="G21" s="11">
        <v>0</v>
      </c>
      <c r="H21" s="11"/>
      <c r="I21" s="11"/>
      <c r="J21" s="11">
        <f t="shared" si="3"/>
        <v>100</v>
      </c>
      <c r="K21" s="19">
        <f t="shared" si="4"/>
        <v>618</v>
      </c>
      <c r="L21" s="99">
        <f>VLOOKUP(B21,[2]冲压件核价!$D$5:$P$220,11,0)</f>
        <v>1.81335</v>
      </c>
      <c r="M21" s="19">
        <f>VLOOKUP(B21,[2]冲压件核价!$D$5:$P$220,12,0)</f>
        <v>1.0069999999999999</v>
      </c>
      <c r="N21" s="19">
        <f t="shared" si="5"/>
        <v>0.80635000000000012</v>
      </c>
      <c r="O21" s="99">
        <v>3.2</v>
      </c>
      <c r="P21" s="15">
        <f>VLOOKUP(B21,[2]冲压件核价!$D$5:$Q$221,14,0)</f>
        <v>2.5803200000000004</v>
      </c>
      <c r="Q21" s="15">
        <f t="shared" si="6"/>
        <v>0</v>
      </c>
      <c r="R21" s="16">
        <f t="shared" si="0"/>
        <v>618</v>
      </c>
      <c r="S21" s="16">
        <v>0</v>
      </c>
      <c r="T21" s="16">
        <v>0</v>
      </c>
      <c r="U21" s="19">
        <v>4.8</v>
      </c>
      <c r="V21" s="19">
        <f t="shared" si="1"/>
        <v>0</v>
      </c>
      <c r="W21" s="19">
        <f t="shared" si="7"/>
        <v>0</v>
      </c>
      <c r="X21" s="16">
        <f t="shared" si="2"/>
        <v>-618</v>
      </c>
    </row>
    <row r="22" spans="1:24" ht="21" customHeight="1" x14ac:dyDescent="0.25">
      <c r="A22" s="9" t="s">
        <v>95</v>
      </c>
      <c r="B22" s="6" t="s">
        <v>35</v>
      </c>
      <c r="C22" s="34" t="s">
        <v>34</v>
      </c>
      <c r="D22" s="116" t="str">
        <f>VLOOKUP(B22,[1]冲压件核价!$D$4:$P$466,4,0)</f>
        <v>QSTE420TM  t=1.5</v>
      </c>
      <c r="E22" s="126">
        <v>6.18</v>
      </c>
      <c r="F22" s="11">
        <f>VLOOKUP(B22,'[4]2021年发货数量'!$AH$6:$AJ$42,3,0)</f>
        <v>100</v>
      </c>
      <c r="G22" s="11">
        <v>0</v>
      </c>
      <c r="H22" s="11"/>
      <c r="I22" s="11"/>
      <c r="J22" s="11">
        <f t="shared" si="3"/>
        <v>100</v>
      </c>
      <c r="K22" s="19">
        <f t="shared" si="4"/>
        <v>618</v>
      </c>
      <c r="L22" s="99">
        <f>VLOOKUP(B22,[2]冲压件核价!$D$5:$P$220,11,0)</f>
        <v>1.81335</v>
      </c>
      <c r="M22" s="19">
        <f>VLOOKUP(B22,[2]冲压件核价!$D$5:$P$220,12,0)</f>
        <v>0.76400000000000001</v>
      </c>
      <c r="N22" s="19">
        <f t="shared" si="5"/>
        <v>1.04935</v>
      </c>
      <c r="O22" s="99">
        <v>3.2</v>
      </c>
      <c r="P22" s="15">
        <f>VLOOKUP(B22,[2]冲压件核价!$D$5:$Q$221,14,0)</f>
        <v>3.35792</v>
      </c>
      <c r="Q22" s="15">
        <f t="shared" si="6"/>
        <v>0</v>
      </c>
      <c r="R22" s="16">
        <f t="shared" si="0"/>
        <v>618</v>
      </c>
      <c r="S22" s="16">
        <v>0</v>
      </c>
      <c r="T22" s="16">
        <v>0</v>
      </c>
      <c r="U22" s="19">
        <v>3.2</v>
      </c>
      <c r="V22" s="19">
        <f t="shared" si="1"/>
        <v>0</v>
      </c>
      <c r="W22" s="19">
        <f t="shared" si="7"/>
        <v>0</v>
      </c>
      <c r="X22" s="16">
        <f t="shared" si="2"/>
        <v>-618</v>
      </c>
    </row>
    <row r="23" spans="1:24" ht="21" customHeight="1" x14ac:dyDescent="0.25">
      <c r="A23" s="9" t="s">
        <v>96</v>
      </c>
      <c r="B23" s="6" t="s">
        <v>193</v>
      </c>
      <c r="C23" s="34" t="s">
        <v>36</v>
      </c>
      <c r="D23" s="116" t="s">
        <v>190</v>
      </c>
      <c r="E23" s="126">
        <v>5.6</v>
      </c>
      <c r="F23" s="11">
        <f>VLOOKUP(B23,'[4]2021年发货数量'!$AH$6:$AJ$42,3,0)</f>
        <v>150</v>
      </c>
      <c r="G23" s="11">
        <v>0</v>
      </c>
      <c r="H23" s="11"/>
      <c r="I23" s="202">
        <f>51+55</f>
        <v>106</v>
      </c>
      <c r="J23" s="11">
        <f t="shared" si="3"/>
        <v>44</v>
      </c>
      <c r="K23" s="19">
        <f t="shared" si="4"/>
        <v>246.39999999999998</v>
      </c>
      <c r="L23" s="99">
        <f>VLOOKUP(B23,[2]冲压件核价!$D$5:$P$220,11,0)</f>
        <v>5.2987500000000001</v>
      </c>
      <c r="M23" s="19">
        <f>VLOOKUP(B23,[2]冲压件核价!$D$5:$P$220,12,0)</f>
        <v>3.3620000000000001</v>
      </c>
      <c r="N23" s="19">
        <f t="shared" si="5"/>
        <v>1.93675</v>
      </c>
      <c r="O23" s="99">
        <v>3.2</v>
      </c>
      <c r="P23" s="15">
        <f>VLOOKUP(B23,[2]冲压件核价!$D$5:$Q$221,14,0)</f>
        <v>6.1976000000000004</v>
      </c>
      <c r="Q23" s="15">
        <f t="shared" si="6"/>
        <v>0</v>
      </c>
      <c r="R23" s="16">
        <f t="shared" si="0"/>
        <v>246.39999999999998</v>
      </c>
      <c r="S23" s="16">
        <v>0</v>
      </c>
      <c r="T23" s="16">
        <v>0</v>
      </c>
      <c r="U23" s="19">
        <v>7.6</v>
      </c>
      <c r="V23" s="19">
        <f t="shared" si="1"/>
        <v>0</v>
      </c>
      <c r="W23" s="19">
        <f t="shared" si="7"/>
        <v>0</v>
      </c>
      <c r="X23" s="16">
        <f t="shared" si="2"/>
        <v>-246.39999999999998</v>
      </c>
    </row>
    <row r="24" spans="1:24" s="123" customFormat="1" ht="21" customHeight="1" x14ac:dyDescent="0.25">
      <c r="A24" s="115" t="s">
        <v>97</v>
      </c>
      <c r="B24" s="124" t="s">
        <v>39</v>
      </c>
      <c r="C24" s="125" t="s">
        <v>38</v>
      </c>
      <c r="D24" s="116" t="s">
        <v>189</v>
      </c>
      <c r="E24" s="126">
        <v>5.0999999999999996</v>
      </c>
      <c r="F24" s="11">
        <f>VLOOKUP(B24,'[4]2021年发货数量'!$AH$6:$AJ$42,3,0)</f>
        <v>100</v>
      </c>
      <c r="G24" s="11">
        <v>0</v>
      </c>
      <c r="H24" s="11"/>
      <c r="I24" s="202">
        <f>307-55</f>
        <v>252</v>
      </c>
      <c r="J24" s="11">
        <f t="shared" si="3"/>
        <v>-152</v>
      </c>
      <c r="K24" s="119">
        <f t="shared" si="4"/>
        <v>-775.19999999999993</v>
      </c>
      <c r="L24" s="120">
        <f>VLOOKUP(B24,[2]冲压件核价!$D$5:$P$220,11,0)</f>
        <v>0.89803999999999995</v>
      </c>
      <c r="M24" s="119">
        <f>VLOOKUP(B24,[2]冲压件核价!$D$5:$P$220,12,0)</f>
        <v>0.33200000000000002</v>
      </c>
      <c r="N24" s="119">
        <f t="shared" si="5"/>
        <v>0.56603999999999988</v>
      </c>
      <c r="O24" s="120">
        <v>3.2</v>
      </c>
      <c r="P24" s="121">
        <f>VLOOKUP(B24,[2]冲压件核价!$D$5:$Q$221,14,0)</f>
        <v>1.8113279999999996</v>
      </c>
      <c r="Q24" s="121">
        <f t="shared" si="6"/>
        <v>0</v>
      </c>
      <c r="R24" s="122">
        <f t="shared" si="0"/>
        <v>-775.19999999999993</v>
      </c>
      <c r="S24" s="122">
        <v>0</v>
      </c>
      <c r="T24" s="122">
        <v>0</v>
      </c>
      <c r="U24" s="119">
        <v>0.6</v>
      </c>
      <c r="V24" s="119">
        <f t="shared" si="1"/>
        <v>0</v>
      </c>
      <c r="W24" s="119">
        <f t="shared" si="7"/>
        <v>0</v>
      </c>
      <c r="X24" s="122">
        <f t="shared" si="2"/>
        <v>775.19999999999993</v>
      </c>
    </row>
    <row r="25" spans="1:24" ht="21" customHeight="1" x14ac:dyDescent="0.25">
      <c r="A25" s="9" t="s">
        <v>98</v>
      </c>
      <c r="B25" s="6" t="s">
        <v>41</v>
      </c>
      <c r="C25" s="34" t="s">
        <v>40</v>
      </c>
      <c r="D25" s="116" t="s">
        <v>189</v>
      </c>
      <c r="E25" s="126">
        <v>5.0999999999999996</v>
      </c>
      <c r="F25" s="11">
        <f>VLOOKUP(B25,'[4]2021年发货数量'!$AH$6:$AJ$42,3,0)</f>
        <v>100</v>
      </c>
      <c r="G25" s="11">
        <v>0</v>
      </c>
      <c r="H25" s="11"/>
      <c r="I25" s="11"/>
      <c r="J25" s="11">
        <f t="shared" si="3"/>
        <v>100</v>
      </c>
      <c r="K25" s="19">
        <f t="shared" si="4"/>
        <v>509.99999999999994</v>
      </c>
      <c r="L25" s="99">
        <f>VLOOKUP(B25,[2]冲压件核价!$D$5:$P$220,11,0)</f>
        <v>0.89803999999999995</v>
      </c>
      <c r="M25" s="19">
        <f>VLOOKUP(B25,[2]冲压件核价!$D$5:$P$220,12,0)</f>
        <v>0.33500000000000002</v>
      </c>
      <c r="N25" s="19">
        <f t="shared" si="5"/>
        <v>0.56303999999999998</v>
      </c>
      <c r="O25" s="99">
        <v>3.2</v>
      </c>
      <c r="P25" s="15">
        <f>VLOOKUP(B25,[2]冲压件核价!$D$5:$Q$221,14,0)</f>
        <v>1.801728</v>
      </c>
      <c r="Q25" s="15">
        <f t="shared" si="6"/>
        <v>0</v>
      </c>
      <c r="R25" s="16">
        <f t="shared" si="0"/>
        <v>509.99999999999994</v>
      </c>
      <c r="S25" s="16">
        <v>0</v>
      </c>
      <c r="T25" s="16">
        <v>0</v>
      </c>
      <c r="U25" s="19">
        <v>0.6</v>
      </c>
      <c r="V25" s="19">
        <f t="shared" si="1"/>
        <v>0</v>
      </c>
      <c r="W25" s="19">
        <f t="shared" si="7"/>
        <v>0</v>
      </c>
      <c r="X25" s="16">
        <f t="shared" si="2"/>
        <v>-509.99999999999994</v>
      </c>
    </row>
    <row r="26" spans="1:24" ht="21" customHeight="1" x14ac:dyDescent="0.25">
      <c r="A26" s="9" t="s">
        <v>99</v>
      </c>
      <c r="B26" s="3" t="s">
        <v>43</v>
      </c>
      <c r="C26" s="33" t="s">
        <v>42</v>
      </c>
      <c r="D26" s="116" t="str">
        <f>VLOOKUP(B26,[1]冲压件核价!$D$4:$P$466,4,0)</f>
        <v>SPFH590 t=3.0</v>
      </c>
      <c r="E26" s="118">
        <v>6.3040000000000003</v>
      </c>
      <c r="F26" s="11">
        <f>VLOOKUP(B26,'[4]2021年发货数量'!$AH$6:$AJ$42,3,0)</f>
        <v>550</v>
      </c>
      <c r="G26" s="11">
        <v>416</v>
      </c>
      <c r="H26" s="11"/>
      <c r="I26" s="11">
        <v>119</v>
      </c>
      <c r="J26" s="11">
        <f t="shared" si="3"/>
        <v>15</v>
      </c>
      <c r="K26" s="19">
        <f t="shared" si="4"/>
        <v>94.56</v>
      </c>
      <c r="L26" s="99">
        <f>VLOOKUP(B26,[2]冲压件核价!$D$5:$P$220,11,0)</f>
        <v>0.88783500000000004</v>
      </c>
      <c r="M26" s="19">
        <f>VLOOKUP(B26,[2]冲压件核价!$D$5:$P$220,12,0)</f>
        <v>0.59599999999999997</v>
      </c>
      <c r="N26" s="19">
        <f t="shared" si="5"/>
        <v>0.29183500000000007</v>
      </c>
      <c r="O26" s="99">
        <v>3.2</v>
      </c>
      <c r="P26" s="15">
        <f>VLOOKUP(B26,[2]冲压件核价!$D$5:$Q$221,14,0)</f>
        <v>0.93387200000000026</v>
      </c>
      <c r="Q26" s="15">
        <f t="shared" si="6"/>
        <v>388.4907520000001</v>
      </c>
      <c r="R26" s="16">
        <f t="shared" si="0"/>
        <v>483.0507520000001</v>
      </c>
      <c r="S26" s="16">
        <v>0</v>
      </c>
      <c r="T26" s="16">
        <v>0</v>
      </c>
      <c r="U26" s="19">
        <v>3.2</v>
      </c>
      <c r="V26" s="19">
        <f t="shared" si="1"/>
        <v>1331.2</v>
      </c>
      <c r="W26" s="19">
        <f t="shared" si="7"/>
        <v>1331.2</v>
      </c>
      <c r="X26" s="16">
        <f t="shared" si="2"/>
        <v>848.14924799999994</v>
      </c>
    </row>
    <row r="27" spans="1:24" ht="21" customHeight="1" x14ac:dyDescent="0.25">
      <c r="A27" s="9" t="s">
        <v>100</v>
      </c>
      <c r="B27" s="3" t="s">
        <v>195</v>
      </c>
      <c r="C27" s="33" t="s">
        <v>44</v>
      </c>
      <c r="D27" s="116" t="s">
        <v>188</v>
      </c>
      <c r="E27" s="118">
        <v>6.85</v>
      </c>
      <c r="F27" s="11">
        <f>VLOOKUP(B27,'[4]2021年发货数量'!$AH$6:$AJ$42,3,0)</f>
        <v>150</v>
      </c>
      <c r="G27" s="11">
        <v>45</v>
      </c>
      <c r="H27" s="11"/>
      <c r="I27" s="11">
        <v>150</v>
      </c>
      <c r="J27" s="11">
        <f t="shared" si="3"/>
        <v>-45</v>
      </c>
      <c r="K27" s="19">
        <f t="shared" si="4"/>
        <v>-308.25</v>
      </c>
      <c r="L27" s="99">
        <f>VLOOKUP(B27,[2]冲压件核价!$D$5:$P$220,11,0)</f>
        <v>0.13062399999999999</v>
      </c>
      <c r="M27" s="19">
        <f>VLOOKUP(B27,[2]冲压件核价!$D$5:$P$220,12,0)</f>
        <v>7.1999999999999995E-2</v>
      </c>
      <c r="N27" s="19">
        <f t="shared" si="5"/>
        <v>5.8623999999999996E-2</v>
      </c>
      <c r="O27" s="99">
        <v>3.2</v>
      </c>
      <c r="P27" s="15">
        <f>VLOOKUP(B27,[2]冲压件核价!$D$5:$Q$221,14,0)</f>
        <v>0.18759680000000001</v>
      </c>
      <c r="Q27" s="15">
        <f t="shared" si="6"/>
        <v>8.4418559999999996</v>
      </c>
      <c r="R27" s="16">
        <f t="shared" si="0"/>
        <v>-299.80814400000003</v>
      </c>
      <c r="S27" s="16">
        <v>0</v>
      </c>
      <c r="T27" s="16">
        <v>0</v>
      </c>
      <c r="U27" s="19">
        <v>1.2</v>
      </c>
      <c r="V27" s="19">
        <f t="shared" si="1"/>
        <v>54</v>
      </c>
      <c r="W27" s="19">
        <f t="shared" si="7"/>
        <v>54</v>
      </c>
      <c r="X27" s="16">
        <f t="shared" si="2"/>
        <v>353.80814400000003</v>
      </c>
    </row>
    <row r="28" spans="1:24" ht="21" customHeight="1" x14ac:dyDescent="0.25">
      <c r="A28" s="9" t="s">
        <v>101</v>
      </c>
      <c r="B28" s="3" t="s">
        <v>47</v>
      </c>
      <c r="C28" s="33" t="s">
        <v>46</v>
      </c>
      <c r="D28" s="116" t="s">
        <v>188</v>
      </c>
      <c r="E28" s="118">
        <v>6.85</v>
      </c>
      <c r="F28" s="11">
        <f>VLOOKUP(B28,'[4]2021年发货数量'!$AH$6:$AJ$42,3,0)</f>
        <v>150</v>
      </c>
      <c r="G28" s="11">
        <v>15</v>
      </c>
      <c r="H28" s="11"/>
      <c r="I28" s="11"/>
      <c r="J28" s="11">
        <f t="shared" si="3"/>
        <v>135</v>
      </c>
      <c r="K28" s="19">
        <f t="shared" si="4"/>
        <v>924.75</v>
      </c>
      <c r="L28" s="99">
        <f>VLOOKUP(B28,[2]冲压件核价!$D$5:$P$220,11,0)</f>
        <v>0.13062399999999999</v>
      </c>
      <c r="M28" s="19">
        <f>VLOOKUP(B28,[2]冲压件核价!$D$5:$P$220,12,0)</f>
        <v>7.0000000000000007E-2</v>
      </c>
      <c r="N28" s="19">
        <f t="shared" si="5"/>
        <v>6.0623999999999983E-2</v>
      </c>
      <c r="O28" s="99">
        <v>3.2</v>
      </c>
      <c r="P28" s="15">
        <f>VLOOKUP(B28,[2]冲压件核价!$D$5:$Q$221,14,0)</f>
        <v>0.19399679999999997</v>
      </c>
      <c r="Q28" s="15">
        <f t="shared" si="6"/>
        <v>2.9099519999999997</v>
      </c>
      <c r="R28" s="16">
        <f t="shared" si="0"/>
        <v>927.65995199999998</v>
      </c>
      <c r="S28" s="16">
        <v>0</v>
      </c>
      <c r="T28" s="16">
        <v>0</v>
      </c>
      <c r="U28" s="19">
        <v>1.2</v>
      </c>
      <c r="V28" s="19">
        <f t="shared" si="1"/>
        <v>18</v>
      </c>
      <c r="W28" s="19">
        <f t="shared" si="7"/>
        <v>18</v>
      </c>
      <c r="X28" s="16">
        <f t="shared" si="2"/>
        <v>-909.65995199999998</v>
      </c>
    </row>
    <row r="29" spans="1:24" ht="21" customHeight="1" x14ac:dyDescent="0.25">
      <c r="A29" s="9" t="s">
        <v>102</v>
      </c>
      <c r="B29" s="3" t="s">
        <v>49</v>
      </c>
      <c r="C29" s="33" t="s">
        <v>48</v>
      </c>
      <c r="D29" s="116" t="str">
        <f>VLOOKUP(B29,[1]冲压件核价!$D$4:$P$466,4,0)</f>
        <v>SAPH440 t=5.0</v>
      </c>
      <c r="E29" s="118">
        <v>6.0549999999999997</v>
      </c>
      <c r="F29" s="11">
        <f>VLOOKUP(B29,'[4]2021年发货数量'!$AH$6:$AJ$42,3,0)</f>
        <v>150</v>
      </c>
      <c r="G29" s="11">
        <v>70</v>
      </c>
      <c r="H29" s="11"/>
      <c r="I29" s="11">
        <v>95</v>
      </c>
      <c r="J29" s="11">
        <f t="shared" si="3"/>
        <v>-15</v>
      </c>
      <c r="K29" s="19">
        <f t="shared" si="4"/>
        <v>-90.824999999999989</v>
      </c>
      <c r="L29" s="99">
        <f>VLOOKUP(B29,[2]冲压件核价!$D$5:$P$220,11,0)</f>
        <v>0.294375</v>
      </c>
      <c r="M29" s="19">
        <f>VLOOKUP(B29,[2]冲压件核价!$D$5:$P$220,12,0)</f>
        <v>0.182</v>
      </c>
      <c r="N29" s="19">
        <f t="shared" si="5"/>
        <v>0.112375</v>
      </c>
      <c r="O29" s="99">
        <v>3.2</v>
      </c>
      <c r="P29" s="15">
        <f>VLOOKUP(B29,[2]冲压件核价!$D$5:$Q$221,14,0)</f>
        <v>0.35960000000000003</v>
      </c>
      <c r="Q29" s="15">
        <f t="shared" si="6"/>
        <v>25.172000000000001</v>
      </c>
      <c r="R29" s="16">
        <f t="shared" si="0"/>
        <v>-65.652999999999992</v>
      </c>
      <c r="S29" s="16">
        <v>0</v>
      </c>
      <c r="T29" s="16">
        <v>0</v>
      </c>
      <c r="U29" s="19">
        <v>0.9</v>
      </c>
      <c r="V29" s="19">
        <f t="shared" si="1"/>
        <v>63</v>
      </c>
      <c r="W29" s="19">
        <f t="shared" si="7"/>
        <v>63</v>
      </c>
      <c r="X29" s="16">
        <f t="shared" si="2"/>
        <v>128.65299999999999</v>
      </c>
    </row>
    <row r="30" spans="1:24" ht="21" customHeight="1" x14ac:dyDescent="0.25">
      <c r="A30" s="9" t="s">
        <v>103</v>
      </c>
      <c r="B30" s="3" t="s">
        <v>51</v>
      </c>
      <c r="C30" s="33" t="s">
        <v>50</v>
      </c>
      <c r="D30" s="116" t="str">
        <f>VLOOKUP(B30,[1]冲压件核价!$D$4:$P$466,4,0)</f>
        <v>SAPH440 t=5.0</v>
      </c>
      <c r="E30" s="118">
        <v>6.0549999999999997</v>
      </c>
      <c r="F30" s="11">
        <f>VLOOKUP(B30,'[4]2021年发货数量'!$AH$6:$AJ$42,3,0)</f>
        <v>150</v>
      </c>
      <c r="G30" s="11">
        <v>110</v>
      </c>
      <c r="H30" s="11"/>
      <c r="I30" s="11"/>
      <c r="J30" s="11">
        <f t="shared" si="3"/>
        <v>40</v>
      </c>
      <c r="K30" s="19">
        <f t="shared" si="4"/>
        <v>242.2</v>
      </c>
      <c r="L30" s="99">
        <f>VLOOKUP(B30,[2]冲压件核价!$D$5:$P$220,11,0)</f>
        <v>0.51024999999999998</v>
      </c>
      <c r="M30" s="19">
        <f>VLOOKUP(B30,[2]冲压件核价!$D$5:$P$220,12,0)</f>
        <v>0.224</v>
      </c>
      <c r="N30" s="19">
        <f t="shared" si="5"/>
        <v>0.28625</v>
      </c>
      <c r="O30" s="99">
        <v>3.2</v>
      </c>
      <c r="P30" s="15">
        <f>VLOOKUP(B30,[2]冲压件核价!$D$5:$Q$221,14,0)</f>
        <v>0.91600000000000004</v>
      </c>
      <c r="Q30" s="15">
        <f t="shared" si="6"/>
        <v>100.76</v>
      </c>
      <c r="R30" s="16">
        <f t="shared" si="0"/>
        <v>342.96</v>
      </c>
      <c r="S30" s="16">
        <v>0</v>
      </c>
      <c r="T30" s="16">
        <v>0</v>
      </c>
      <c r="U30" s="19">
        <v>0.9</v>
      </c>
      <c r="V30" s="19">
        <f t="shared" si="1"/>
        <v>99</v>
      </c>
      <c r="W30" s="19">
        <f t="shared" si="7"/>
        <v>99</v>
      </c>
      <c r="X30" s="16">
        <f t="shared" si="2"/>
        <v>-243.95999999999998</v>
      </c>
    </row>
    <row r="31" spans="1:24" s="123" customFormat="1" ht="21" customHeight="1" x14ac:dyDescent="0.25">
      <c r="A31" s="115" t="s">
        <v>104</v>
      </c>
      <c r="B31" s="116" t="s">
        <v>53</v>
      </c>
      <c r="C31" s="117" t="s">
        <v>52</v>
      </c>
      <c r="D31" s="116" t="str">
        <f>VLOOKUP(B31,[1]冲压件核价!$D$4:$P$466,4,0)</f>
        <v>SPFH590 t=3.0</v>
      </c>
      <c r="E31" s="118">
        <v>6.3040000000000003</v>
      </c>
      <c r="F31" s="11">
        <f>VLOOKUP(B31,'[4]2021年发货数量'!$AH$6:$AJ$42,3,0)</f>
        <v>400</v>
      </c>
      <c r="G31" s="11">
        <v>100</v>
      </c>
      <c r="H31" s="11"/>
      <c r="I31" s="202">
        <f>540+100</f>
        <v>640</v>
      </c>
      <c r="J31" s="11">
        <f t="shared" si="3"/>
        <v>-340</v>
      </c>
      <c r="K31" s="119">
        <f t="shared" si="4"/>
        <v>-2143.36</v>
      </c>
      <c r="L31" s="120">
        <f>VLOOKUP(B31,[2]冲压件核价!$D$5:$P$220,11,0)</f>
        <v>0.32145750000000001</v>
      </c>
      <c r="M31" s="119">
        <f>VLOOKUP(B31,[2]冲压件核价!$D$5:$P$220,12,0)</f>
        <v>0.16900000000000001</v>
      </c>
      <c r="N31" s="119">
        <f t="shared" si="5"/>
        <v>0.1524575</v>
      </c>
      <c r="O31" s="120">
        <v>3.2</v>
      </c>
      <c r="P31" s="121">
        <f>VLOOKUP(B31,[2]冲压件核价!$D$5:$Q$221,14,0)</f>
        <v>0.48786400000000002</v>
      </c>
      <c r="Q31" s="121">
        <f t="shared" si="6"/>
        <v>48.7864</v>
      </c>
      <c r="R31" s="122">
        <f t="shared" si="0"/>
        <v>-2094.5736000000002</v>
      </c>
      <c r="S31" s="122">
        <v>0</v>
      </c>
      <c r="T31" s="122">
        <v>0</v>
      </c>
      <c r="U31" s="119">
        <v>1.2</v>
      </c>
      <c r="V31" s="119">
        <f t="shared" si="1"/>
        <v>120</v>
      </c>
      <c r="W31" s="119">
        <f t="shared" si="7"/>
        <v>120</v>
      </c>
      <c r="X31" s="122">
        <f t="shared" si="2"/>
        <v>2214.5736000000002</v>
      </c>
    </row>
    <row r="32" spans="1:24" s="123" customFormat="1" ht="21" customHeight="1" x14ac:dyDescent="0.25">
      <c r="A32" s="115" t="s">
        <v>105</v>
      </c>
      <c r="B32" s="116" t="s">
        <v>55</v>
      </c>
      <c r="C32" s="117" t="s">
        <v>54</v>
      </c>
      <c r="D32" s="116" t="str">
        <f>VLOOKUP(B32,[1]冲压件核价!$D$4:$P$466,4,0)</f>
        <v>SPFH590 t=3.0</v>
      </c>
      <c r="E32" s="118">
        <v>6.3040000000000003</v>
      </c>
      <c r="F32" s="11">
        <f>VLOOKUP(B32,'[4]2021年发货数量'!$AH$6:$AJ$42,3,0)</f>
        <v>300</v>
      </c>
      <c r="G32" s="11">
        <v>90</v>
      </c>
      <c r="H32" s="11"/>
      <c r="I32" s="11"/>
      <c r="J32" s="11">
        <f t="shared" si="3"/>
        <v>210</v>
      </c>
      <c r="K32" s="119">
        <f t="shared" si="4"/>
        <v>1323.8400000000001</v>
      </c>
      <c r="L32" s="120">
        <f>VLOOKUP(B32,[2]冲压件核价!$D$5:$P$220,11,0)</f>
        <v>0.32145750000000001</v>
      </c>
      <c r="M32" s="119">
        <f>VLOOKUP(B32,[2]冲压件核价!$D$5:$P$220,12,0)</f>
        <v>0.188</v>
      </c>
      <c r="N32" s="119">
        <f t="shared" si="5"/>
        <v>0.13345750000000001</v>
      </c>
      <c r="O32" s="120">
        <v>3.2</v>
      </c>
      <c r="P32" s="121">
        <f>VLOOKUP(B32,[2]冲压件核价!$D$5:$Q$221,14,0)</f>
        <v>0.42706400000000005</v>
      </c>
      <c r="Q32" s="121">
        <f t="shared" si="6"/>
        <v>38.435760000000002</v>
      </c>
      <c r="R32" s="122">
        <f t="shared" si="0"/>
        <v>1362.2757600000002</v>
      </c>
      <c r="S32" s="122">
        <v>0</v>
      </c>
      <c r="T32" s="122">
        <v>0</v>
      </c>
      <c r="U32" s="119">
        <v>1.2</v>
      </c>
      <c r="V32" s="119">
        <f t="shared" si="1"/>
        <v>108</v>
      </c>
      <c r="W32" s="119">
        <f t="shared" si="7"/>
        <v>108</v>
      </c>
      <c r="X32" s="122">
        <f t="shared" si="2"/>
        <v>-1254.2757600000002</v>
      </c>
    </row>
    <row r="33" spans="1:24" s="123" customFormat="1" ht="21" customHeight="1" x14ac:dyDescent="0.25">
      <c r="A33" s="115" t="s">
        <v>106</v>
      </c>
      <c r="B33" s="116" t="s">
        <v>57</v>
      </c>
      <c r="C33" s="117" t="s">
        <v>56</v>
      </c>
      <c r="D33" s="116" t="str">
        <f>VLOOKUP(B33,[1]冲压件核价!$D$4:$P$466,4,0)</f>
        <v>SPFH590 t=3.0</v>
      </c>
      <c r="E33" s="118">
        <v>6.3040000000000003</v>
      </c>
      <c r="F33" s="11">
        <f>VLOOKUP(B33,'[4]2021年发货数量'!$AH$6:$AJ$42,3,0)</f>
        <v>350</v>
      </c>
      <c r="G33" s="11">
        <v>263</v>
      </c>
      <c r="H33" s="11"/>
      <c r="I33" s="11">
        <f>376+63</f>
        <v>439</v>
      </c>
      <c r="J33" s="11">
        <f t="shared" si="3"/>
        <v>-352</v>
      </c>
      <c r="K33" s="119">
        <f t="shared" si="4"/>
        <v>-2219.0080000000003</v>
      </c>
      <c r="L33" s="120">
        <f>VLOOKUP(B33,[2]冲压件核价!$D$5:$P$220,11,0)</f>
        <v>0.176625</v>
      </c>
      <c r="M33" s="119">
        <f>VLOOKUP(B33,[2]冲压件核价!$D$5:$P$220,12,0)</f>
        <v>7.0999999999999994E-2</v>
      </c>
      <c r="N33" s="119">
        <f t="shared" si="5"/>
        <v>0.10562500000000001</v>
      </c>
      <c r="O33" s="120">
        <v>3.2</v>
      </c>
      <c r="P33" s="121">
        <f>VLOOKUP(B33,[2]冲压件核价!$D$5:$Q$221,14,0)</f>
        <v>0.33800000000000008</v>
      </c>
      <c r="Q33" s="121">
        <f t="shared" si="6"/>
        <v>88.89400000000002</v>
      </c>
      <c r="R33" s="122">
        <f t="shared" si="0"/>
        <v>-2130.114</v>
      </c>
      <c r="S33" s="122">
        <v>0</v>
      </c>
      <c r="T33" s="122">
        <v>0</v>
      </c>
      <c r="U33" s="119">
        <v>1.2</v>
      </c>
      <c r="V33" s="119">
        <f t="shared" si="1"/>
        <v>315.59999999999997</v>
      </c>
      <c r="W33" s="119">
        <f t="shared" si="7"/>
        <v>315.59999999999997</v>
      </c>
      <c r="X33" s="122">
        <f t="shared" si="2"/>
        <v>2445.7139999999999</v>
      </c>
    </row>
    <row r="34" spans="1:24" ht="21" customHeight="1" x14ac:dyDescent="0.25">
      <c r="A34" s="9" t="s">
        <v>107</v>
      </c>
      <c r="B34" s="3" t="s">
        <v>59</v>
      </c>
      <c r="C34" s="33" t="s">
        <v>58</v>
      </c>
      <c r="D34" s="116" t="str">
        <f>VLOOKUP(B34,[1]冲压件核价!$D$4:$P$466,4,0)</f>
        <v>SPFH590 t=3.0</v>
      </c>
      <c r="E34" s="118">
        <v>6.3040000000000003</v>
      </c>
      <c r="F34" s="11">
        <f>VLOOKUP(B34,'[4]2021年发货数量'!$AH$6:$AJ$42,3,0)</f>
        <v>150</v>
      </c>
      <c r="G34" s="11">
        <v>64</v>
      </c>
      <c r="H34" s="11"/>
      <c r="I34" s="11"/>
      <c r="J34" s="11">
        <f t="shared" si="3"/>
        <v>86</v>
      </c>
      <c r="K34" s="19">
        <f t="shared" si="4"/>
        <v>542.14400000000001</v>
      </c>
      <c r="L34" s="99">
        <f>VLOOKUP(B34,[2]冲压件核价!$D$5:$P$220,11,0)</f>
        <v>0.176625</v>
      </c>
      <c r="M34" s="19">
        <f>VLOOKUP(B34,[2]冲压件核价!$D$5:$P$220,12,0)</f>
        <v>7.3999999999999996E-2</v>
      </c>
      <c r="N34" s="19">
        <f t="shared" si="5"/>
        <v>0.10262500000000001</v>
      </c>
      <c r="O34" s="99">
        <v>3.2</v>
      </c>
      <c r="P34" s="15">
        <f>VLOOKUP(B34,[2]冲压件核价!$D$5:$Q$221,14,0)</f>
        <v>0.32840000000000003</v>
      </c>
      <c r="Q34" s="15">
        <f t="shared" si="6"/>
        <v>21.017600000000002</v>
      </c>
      <c r="R34" s="16">
        <f t="shared" si="0"/>
        <v>563.16160000000002</v>
      </c>
      <c r="S34" s="16">
        <v>0</v>
      </c>
      <c r="T34" s="16">
        <v>0</v>
      </c>
      <c r="U34" s="19">
        <v>1.2</v>
      </c>
      <c r="V34" s="19">
        <f t="shared" si="1"/>
        <v>76.8</v>
      </c>
      <c r="W34" s="19">
        <f t="shared" si="7"/>
        <v>76.8</v>
      </c>
      <c r="X34" s="16">
        <f t="shared" si="2"/>
        <v>-486.36160000000001</v>
      </c>
    </row>
    <row r="35" spans="1:24" ht="21" customHeight="1" x14ac:dyDescent="0.25">
      <c r="A35" s="9" t="s">
        <v>108</v>
      </c>
      <c r="B35" s="3" t="s">
        <v>61</v>
      </c>
      <c r="C35" s="33" t="s">
        <v>60</v>
      </c>
      <c r="D35" s="116" t="str">
        <f>VLOOKUP(B35,[1]冲压件核价!$D$4:$P$466,4,0)</f>
        <v>SPFH590 t=2.0</v>
      </c>
      <c r="E35" s="118">
        <v>6.85</v>
      </c>
      <c r="F35" s="11">
        <f>VLOOKUP(B35,'[4]2021年发货数量'!$AH$6:$AJ$42,3,0)</f>
        <v>550</v>
      </c>
      <c r="G35" s="11">
        <v>445</v>
      </c>
      <c r="H35" s="11"/>
      <c r="I35" s="11">
        <v>60</v>
      </c>
      <c r="J35" s="11">
        <f t="shared" si="3"/>
        <v>45</v>
      </c>
      <c r="K35" s="19">
        <f t="shared" si="4"/>
        <v>308.25</v>
      </c>
      <c r="L35" s="99">
        <f>VLOOKUP(B35,[2]冲压件核价!$D$5:$P$220,11,0)</f>
        <v>1.3188</v>
      </c>
      <c r="M35" s="19">
        <f>VLOOKUP(B35,[2]冲压件核价!$D$5:$P$220,12,0)</f>
        <v>0.51600000000000001</v>
      </c>
      <c r="N35" s="19">
        <f t="shared" si="5"/>
        <v>0.80279999999999996</v>
      </c>
      <c r="O35" s="99">
        <v>3.2</v>
      </c>
      <c r="P35" s="15">
        <f>VLOOKUP(B35,[2]冲压件核价!$D$5:$Q$221,14,0)</f>
        <v>2.5689600000000001</v>
      </c>
      <c r="Q35" s="15">
        <f t="shared" si="6"/>
        <v>1143.1872000000001</v>
      </c>
      <c r="R35" s="16">
        <f t="shared" si="0"/>
        <v>1451.4372000000001</v>
      </c>
      <c r="S35" s="16">
        <v>0</v>
      </c>
      <c r="T35" s="16">
        <v>0</v>
      </c>
      <c r="U35" s="19">
        <v>4</v>
      </c>
      <c r="V35" s="19">
        <f t="shared" si="1"/>
        <v>1780</v>
      </c>
      <c r="W35" s="19">
        <f t="shared" si="7"/>
        <v>1780</v>
      </c>
      <c r="X35" s="16">
        <f t="shared" si="2"/>
        <v>328.56279999999992</v>
      </c>
    </row>
    <row r="36" spans="1:24" ht="21" customHeight="1" x14ac:dyDescent="0.25">
      <c r="A36" s="9" t="s">
        <v>109</v>
      </c>
      <c r="B36" s="3" t="s">
        <v>63</v>
      </c>
      <c r="C36" s="33" t="s">
        <v>62</v>
      </c>
      <c r="D36" s="116" t="str">
        <f>VLOOKUP(B36,[1]冲压件核价!$D$4:$P$466,4,0)</f>
        <v>SPFH590 t=2.0</v>
      </c>
      <c r="E36" s="118">
        <v>6.85</v>
      </c>
      <c r="F36" s="11">
        <f>VLOOKUP(B36,'[4]2021年发货数量'!$AH$6:$AJ$42,3,0)</f>
        <v>550</v>
      </c>
      <c r="G36" s="11">
        <v>406</v>
      </c>
      <c r="H36" s="11"/>
      <c r="I36" s="11">
        <v>43</v>
      </c>
      <c r="J36" s="11">
        <f t="shared" si="3"/>
        <v>101</v>
      </c>
      <c r="K36" s="19">
        <f t="shared" si="4"/>
        <v>691.84999999999991</v>
      </c>
      <c r="L36" s="99">
        <f>VLOOKUP(B36,[2]冲压件核价!$D$5:$P$220,11,0)</f>
        <v>1.6108199999999999</v>
      </c>
      <c r="M36" s="19">
        <f>VLOOKUP(B36,[2]冲压件核价!$D$5:$P$220,12,0)</f>
        <v>1.0009999999999999</v>
      </c>
      <c r="N36" s="19">
        <f t="shared" si="5"/>
        <v>0.60982000000000003</v>
      </c>
      <c r="O36" s="99">
        <v>3.2</v>
      </c>
      <c r="P36" s="15">
        <f>VLOOKUP(B36,[2]冲压件核价!$D$5:$Q$221,14,0)</f>
        <v>1.9514240000000003</v>
      </c>
      <c r="Q36" s="15">
        <f t="shared" si="6"/>
        <v>792.27814400000011</v>
      </c>
      <c r="R36" s="16">
        <f t="shared" si="0"/>
        <v>1484.128144</v>
      </c>
      <c r="S36" s="16">
        <v>0</v>
      </c>
      <c r="T36" s="16">
        <v>0</v>
      </c>
      <c r="U36" s="19">
        <v>4.8</v>
      </c>
      <c r="V36" s="19">
        <f t="shared" si="1"/>
        <v>1948.8</v>
      </c>
      <c r="W36" s="19">
        <f t="shared" si="7"/>
        <v>1948.8</v>
      </c>
      <c r="X36" s="16">
        <f t="shared" si="2"/>
        <v>464.67185599999993</v>
      </c>
    </row>
    <row r="37" spans="1:24" ht="21" customHeight="1" x14ac:dyDescent="0.25">
      <c r="A37" s="9" t="s">
        <v>110</v>
      </c>
      <c r="B37" s="3" t="s">
        <v>65</v>
      </c>
      <c r="C37" s="33" t="s">
        <v>64</v>
      </c>
      <c r="D37" s="116" t="str">
        <f>VLOOKUP(B37,[1]冲压件核价!$D$4:$P$466,4,0)</f>
        <v>SPFH590 t=2.0</v>
      </c>
      <c r="E37" s="118">
        <v>6.85</v>
      </c>
      <c r="F37" s="11">
        <f>VLOOKUP(B37,'[4]2021年发货数量'!$AH$6:$AJ$42,3,0)</f>
        <v>550</v>
      </c>
      <c r="G37" s="11">
        <v>322</v>
      </c>
      <c r="H37" s="11"/>
      <c r="I37" s="11"/>
      <c r="J37" s="11">
        <f t="shared" si="3"/>
        <v>228</v>
      </c>
      <c r="K37" s="19">
        <f t="shared" si="4"/>
        <v>1561.8</v>
      </c>
      <c r="L37" s="99">
        <f>VLOOKUP(B37,[2]冲压件核价!$D$5:$P$220,11,0)</f>
        <v>1.2245999999999999</v>
      </c>
      <c r="M37" s="19">
        <f>VLOOKUP(B37,[2]冲压件核价!$D$5:$P$220,12,0)</f>
        <v>0.60599999999999998</v>
      </c>
      <c r="N37" s="19">
        <f t="shared" si="5"/>
        <v>0.61859999999999993</v>
      </c>
      <c r="O37" s="99">
        <v>3.2</v>
      </c>
      <c r="P37" s="15">
        <f>VLOOKUP(B37,[2]冲压件核价!$D$5:$Q$221,14,0)</f>
        <v>1.9795199999999999</v>
      </c>
      <c r="Q37" s="15">
        <f t="shared" si="6"/>
        <v>637.40544</v>
      </c>
      <c r="R37" s="16">
        <f t="shared" si="0"/>
        <v>2199.2054399999997</v>
      </c>
      <c r="S37" s="16">
        <v>0</v>
      </c>
      <c r="T37" s="16">
        <v>0</v>
      </c>
      <c r="U37" s="19">
        <v>3.2</v>
      </c>
      <c r="V37" s="19">
        <f t="shared" si="1"/>
        <v>1030.4000000000001</v>
      </c>
      <c r="W37" s="19">
        <f t="shared" si="7"/>
        <v>1030.4000000000001</v>
      </c>
      <c r="X37" s="16">
        <f t="shared" si="2"/>
        <v>-1168.8054399999996</v>
      </c>
    </row>
    <row r="38" spans="1:24" ht="21" customHeight="1" x14ac:dyDescent="0.25">
      <c r="A38" s="9" t="s">
        <v>111</v>
      </c>
      <c r="B38" s="3" t="s">
        <v>67</v>
      </c>
      <c r="C38" s="33" t="s">
        <v>66</v>
      </c>
      <c r="D38" s="116" t="str">
        <f>VLOOKUP(B38,[1]冲压件核价!$D$4:$P$466,4,0)</f>
        <v>SAPH440 t=3.0</v>
      </c>
      <c r="E38" s="118">
        <v>6.0549999999999997</v>
      </c>
      <c r="F38" s="11">
        <f>VLOOKUP(B38,'[4]2021年发货数量'!$AH$6:$AJ$42,3,0)</f>
        <v>150</v>
      </c>
      <c r="G38" s="11">
        <v>60</v>
      </c>
      <c r="H38" s="11"/>
      <c r="I38" s="11">
        <v>139</v>
      </c>
      <c r="J38" s="11">
        <f t="shared" si="3"/>
        <v>-49</v>
      </c>
      <c r="K38" s="19">
        <f t="shared" si="4"/>
        <v>-296.69499999999999</v>
      </c>
      <c r="L38" s="99">
        <f>VLOOKUP(B38,[2]冲压件核价!$D$5:$P$220,11,0)</f>
        <v>0.40034999999999998</v>
      </c>
      <c r="M38" s="19">
        <f>VLOOKUP(B38,[2]冲压件核价!$D$5:$P$220,12,0)</f>
        <v>0.217</v>
      </c>
      <c r="N38" s="19">
        <f t="shared" si="5"/>
        <v>0.18334999999999999</v>
      </c>
      <c r="O38" s="99">
        <v>3.2</v>
      </c>
      <c r="P38" s="15">
        <f>VLOOKUP(B38,[2]冲压件核价!$D$5:$Q$221,14,0)</f>
        <v>0.58672000000000002</v>
      </c>
      <c r="Q38" s="15">
        <f t="shared" si="6"/>
        <v>35.203200000000002</v>
      </c>
      <c r="R38" s="16">
        <f t="shared" si="0"/>
        <v>-261.49180000000001</v>
      </c>
      <c r="S38" s="16">
        <v>0</v>
      </c>
      <c r="T38" s="16">
        <v>0</v>
      </c>
      <c r="U38" s="19">
        <v>1.6</v>
      </c>
      <c r="V38" s="19">
        <f t="shared" si="1"/>
        <v>96</v>
      </c>
      <c r="W38" s="19">
        <f t="shared" si="7"/>
        <v>96</v>
      </c>
      <c r="X38" s="16">
        <f t="shared" si="2"/>
        <v>357.49180000000001</v>
      </c>
    </row>
    <row r="39" spans="1:24" ht="21" customHeight="1" x14ac:dyDescent="0.25">
      <c r="A39" s="9" t="s">
        <v>112</v>
      </c>
      <c r="B39" s="3" t="s">
        <v>69</v>
      </c>
      <c r="C39" s="33" t="s">
        <v>68</v>
      </c>
      <c r="D39" s="116" t="str">
        <f>VLOOKUP(B39,[1]冲压件核价!$D$4:$P$466,4,0)</f>
        <v>SAPH440 t=3.0</v>
      </c>
      <c r="E39" s="118">
        <v>6.0549999999999997</v>
      </c>
      <c r="F39" s="11">
        <f>VLOOKUP(B39,'[4]2021年发货数量'!$AH$6:$AJ$42,3,0)</f>
        <v>150</v>
      </c>
      <c r="G39" s="11">
        <v>60</v>
      </c>
      <c r="H39" s="11"/>
      <c r="I39" s="11"/>
      <c r="J39" s="11">
        <f t="shared" si="3"/>
        <v>90</v>
      </c>
      <c r="K39" s="19">
        <f t="shared" si="4"/>
        <v>544.94999999999993</v>
      </c>
      <c r="L39" s="99">
        <f>VLOOKUP(B39,[2]冲压件核价!$D$5:$P$220,11,0)</f>
        <v>0.40034999999999998</v>
      </c>
      <c r="M39" s="19">
        <f>VLOOKUP(B39,[2]冲压件核价!$D$5:$P$220,12,0)</f>
        <v>0.217</v>
      </c>
      <c r="N39" s="19">
        <f t="shared" si="5"/>
        <v>0.18334999999999999</v>
      </c>
      <c r="O39" s="99">
        <v>3.2</v>
      </c>
      <c r="P39" s="15">
        <f>VLOOKUP(B39,[2]冲压件核价!$D$5:$Q$221,14,0)</f>
        <v>0.58672000000000002</v>
      </c>
      <c r="Q39" s="15">
        <f t="shared" si="6"/>
        <v>35.203200000000002</v>
      </c>
      <c r="R39" s="16">
        <f t="shared" si="0"/>
        <v>580.15319999999997</v>
      </c>
      <c r="S39" s="16">
        <v>0</v>
      </c>
      <c r="T39" s="16">
        <v>0</v>
      </c>
      <c r="U39" s="19">
        <v>1.6</v>
      </c>
      <c r="V39" s="19">
        <f t="shared" si="1"/>
        <v>96</v>
      </c>
      <c r="W39" s="19">
        <f t="shared" si="7"/>
        <v>96</v>
      </c>
      <c r="X39" s="16">
        <f t="shared" si="2"/>
        <v>-484.15319999999997</v>
      </c>
    </row>
    <row r="40" spans="1:24" ht="21" customHeight="1" x14ac:dyDescent="0.25">
      <c r="A40" s="9" t="s">
        <v>113</v>
      </c>
      <c r="B40" s="3" t="s">
        <v>71</v>
      </c>
      <c r="C40" s="33" t="s">
        <v>70</v>
      </c>
      <c r="D40" s="116" t="str">
        <f>VLOOKUP(B40,[1]冲压件核价!$D$4:$P$466,4,0)</f>
        <v>SAPH440 t=3.0</v>
      </c>
      <c r="E40" s="118">
        <v>6.0549999999999997</v>
      </c>
      <c r="F40" s="11">
        <f>VLOOKUP(B40,'[4]2021年发货数量'!$AH$6:$AJ$42,3,0)</f>
        <v>100</v>
      </c>
      <c r="G40" s="11">
        <v>30</v>
      </c>
      <c r="H40" s="11"/>
      <c r="I40" s="11">
        <v>67</v>
      </c>
      <c r="J40" s="11">
        <f t="shared" si="3"/>
        <v>3</v>
      </c>
      <c r="K40" s="19">
        <f t="shared" si="4"/>
        <v>18.164999999999999</v>
      </c>
      <c r="L40" s="99">
        <f>VLOOKUP(B40,[2]冲压件核价!$D$5:$P$220,11,0)</f>
        <v>0.784215</v>
      </c>
      <c r="M40" s="19">
        <f>VLOOKUP(B40,[2]冲压件核价!$D$5:$P$220,12,0)</f>
        <v>0.67200000000000004</v>
      </c>
      <c r="N40" s="19">
        <f t="shared" si="5"/>
        <v>0.11221499999999995</v>
      </c>
      <c r="O40" s="99">
        <v>3.2</v>
      </c>
      <c r="P40" s="15">
        <f>VLOOKUP(B40,[2]冲压件核价!$D$5:$Q$221,14,0)</f>
        <v>0.35908799999999985</v>
      </c>
      <c r="Q40" s="15">
        <f t="shared" si="6"/>
        <v>10.772639999999996</v>
      </c>
      <c r="R40" s="16">
        <f t="shared" si="0"/>
        <v>28.937639999999995</v>
      </c>
      <c r="S40" s="16">
        <v>0</v>
      </c>
      <c r="T40" s="16">
        <v>0</v>
      </c>
      <c r="U40" s="19">
        <v>2.4</v>
      </c>
      <c r="V40" s="19">
        <f t="shared" si="1"/>
        <v>72</v>
      </c>
      <c r="W40" s="19">
        <f t="shared" si="7"/>
        <v>72</v>
      </c>
      <c r="X40" s="16">
        <f t="shared" si="2"/>
        <v>43.062360000000005</v>
      </c>
    </row>
    <row r="41" spans="1:24" ht="21" customHeight="1" x14ac:dyDescent="0.25">
      <c r="A41" s="9" t="s">
        <v>114</v>
      </c>
      <c r="B41" s="3" t="s">
        <v>73</v>
      </c>
      <c r="C41" s="33" t="s">
        <v>72</v>
      </c>
      <c r="D41" s="116" t="str">
        <f>VLOOKUP(B41,[1]冲压件核价!$D$4:$P$466,4,0)</f>
        <v>SAPH440 T=2.0</v>
      </c>
      <c r="E41" s="118">
        <v>6.3</v>
      </c>
      <c r="F41" s="11">
        <f>VLOOKUP(B41,'[4]2021年发货数量'!$AH$6:$AJ$42,3,0)</f>
        <v>150</v>
      </c>
      <c r="G41" s="11">
        <v>70</v>
      </c>
      <c r="H41" s="11"/>
      <c r="I41" s="11"/>
      <c r="J41" s="11">
        <f t="shared" si="3"/>
        <v>80</v>
      </c>
      <c r="K41" s="19">
        <f t="shared" si="4"/>
        <v>504</v>
      </c>
      <c r="L41" s="99">
        <f>VLOOKUP(B41,[2]冲压件核价!$D$5:$P$220,11,0)</f>
        <v>5.4949999999999999E-2</v>
      </c>
      <c r="M41" s="19">
        <f>VLOOKUP(B41,[2]冲压件核价!$D$5:$P$220,12,0)</f>
        <v>2.5000000000000001E-2</v>
      </c>
      <c r="N41" s="19">
        <f t="shared" si="5"/>
        <v>2.9949999999999997E-2</v>
      </c>
      <c r="O41" s="99">
        <v>3.2</v>
      </c>
      <c r="P41" s="15">
        <f>VLOOKUP(B41,[2]冲压件核价!$D$5:$Q$221,14,0)</f>
        <v>9.5839999999999995E-2</v>
      </c>
      <c r="Q41" s="15">
        <f t="shared" si="6"/>
        <v>6.7087999999999992</v>
      </c>
      <c r="R41" s="16">
        <f t="shared" si="0"/>
        <v>510.7088</v>
      </c>
      <c r="S41" s="16">
        <v>0</v>
      </c>
      <c r="T41" s="16">
        <v>0</v>
      </c>
      <c r="U41" s="19">
        <v>0.9</v>
      </c>
      <c r="V41" s="19">
        <f t="shared" si="1"/>
        <v>63</v>
      </c>
      <c r="W41" s="19">
        <f t="shared" si="7"/>
        <v>63</v>
      </c>
      <c r="X41" s="16">
        <f t="shared" si="2"/>
        <v>-447.7088</v>
      </c>
    </row>
    <row r="42" spans="1:24" ht="21" customHeight="1" x14ac:dyDescent="0.25">
      <c r="A42" s="9" t="s">
        <v>115</v>
      </c>
      <c r="B42" s="3" t="s">
        <v>75</v>
      </c>
      <c r="C42" s="33" t="s">
        <v>74</v>
      </c>
      <c r="D42" s="116" t="s">
        <v>124</v>
      </c>
      <c r="E42" s="118">
        <v>6.0549999999999997</v>
      </c>
      <c r="F42" s="11">
        <f>VLOOKUP(B42,'[4]2021年发货数量'!$AH$6:$AJ$42,3,0)</f>
        <v>0</v>
      </c>
      <c r="G42" s="11">
        <v>0</v>
      </c>
      <c r="H42" s="11"/>
      <c r="I42" s="11"/>
      <c r="J42" s="11">
        <f t="shared" si="3"/>
        <v>0</v>
      </c>
      <c r="K42" s="19">
        <f t="shared" si="4"/>
        <v>0</v>
      </c>
      <c r="L42" s="99">
        <f>VLOOKUP(B42,[2]冲压件核价!$D$5:$P$220,11,0)</f>
        <v>8.1996390000000002E-2</v>
      </c>
      <c r="M42" s="19">
        <f>VLOOKUP(B42,[2]冲压件核价!$D$5:$P$220,12,0)</f>
        <v>2.7799999999999998E-2</v>
      </c>
      <c r="N42" s="19">
        <f t="shared" si="5"/>
        <v>5.4196390000000004E-2</v>
      </c>
      <c r="O42" s="99">
        <v>3.2</v>
      </c>
      <c r="P42" s="15">
        <f>VLOOKUP(B42,[2]冲压件核价!$D$5:$Q$221,14,0)</f>
        <v>0.17342844800000001</v>
      </c>
      <c r="Q42" s="15">
        <f t="shared" si="6"/>
        <v>0</v>
      </c>
      <c r="R42" s="16">
        <f t="shared" si="0"/>
        <v>0</v>
      </c>
      <c r="S42" s="16">
        <v>0</v>
      </c>
      <c r="T42" s="16">
        <v>0</v>
      </c>
      <c r="U42" s="18">
        <v>1.2</v>
      </c>
      <c r="V42" s="19">
        <f t="shared" si="1"/>
        <v>0</v>
      </c>
      <c r="W42" s="19">
        <f t="shared" si="7"/>
        <v>0</v>
      </c>
      <c r="X42" s="16">
        <f t="shared" si="2"/>
        <v>0</v>
      </c>
    </row>
    <row r="43" spans="1:24" ht="17.100000000000001" customHeight="1" x14ac:dyDescent="0.25">
      <c r="A43" s="9"/>
      <c r="B43" s="3"/>
      <c r="C43" s="33"/>
      <c r="D43" s="116"/>
      <c r="E43" s="116"/>
      <c r="F43" s="100">
        <f>SUM(F6:F42)</f>
        <v>11279</v>
      </c>
      <c r="G43" s="100">
        <f>SUM(G6:G42)</f>
        <v>5633</v>
      </c>
      <c r="H43" s="100"/>
      <c r="I43" s="100"/>
      <c r="J43" s="100">
        <f>SUM(J6:J42)</f>
        <v>1512</v>
      </c>
      <c r="K43" s="119">
        <f>SUM(K6:K42)</f>
        <v>10210.735000000001</v>
      </c>
      <c r="L43" s="19"/>
      <c r="M43" s="19"/>
      <c r="N43" s="19"/>
      <c r="O43" s="19"/>
      <c r="P43" s="17"/>
      <c r="Q43" s="15">
        <f t="shared" si="6"/>
        <v>0</v>
      </c>
      <c r="R43" s="15">
        <f>SUM(R6:R42)</f>
        <v>17899.063160000002</v>
      </c>
      <c r="S43" s="15">
        <f>SUM(S6:S42)</f>
        <v>0</v>
      </c>
      <c r="T43" s="15">
        <f>SUM(T6:T42)</f>
        <v>0</v>
      </c>
      <c r="U43" s="18"/>
      <c r="V43" s="18">
        <f>SUM(V6:V42)</f>
        <v>18104.800000000003</v>
      </c>
      <c r="W43" s="18">
        <f>SUM(W6:W42)</f>
        <v>18104.800000000003</v>
      </c>
      <c r="X43" s="15">
        <f>SUM(X6:X42)</f>
        <v>205.7368399999998</v>
      </c>
    </row>
  </sheetData>
  <autoFilter ref="A5:AA43" xr:uid="{DA2FBF86-14D8-4F5C-8364-88E1AA5E729B}"/>
  <mergeCells count="22">
    <mergeCell ref="A1:X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V4:V5"/>
    <mergeCell ref="W4:W5"/>
    <mergeCell ref="J3:J5"/>
    <mergeCell ref="K3:R3"/>
    <mergeCell ref="X3:X5"/>
    <mergeCell ref="S3:W3"/>
    <mergeCell ref="U4:U5"/>
    <mergeCell ref="L4:Q4"/>
    <mergeCell ref="R4:R5"/>
    <mergeCell ref="K4:K5"/>
    <mergeCell ref="S4:S5"/>
    <mergeCell ref="T4:T5"/>
  </mergeCells>
  <phoneticPr fontId="2" type="noConversion"/>
  <conditionalFormatting sqref="B6">
    <cfRule type="duplicateValues" dxfId="47" priority="20"/>
  </conditionalFormatting>
  <conditionalFormatting sqref="B7">
    <cfRule type="duplicateValues" dxfId="46" priority="7"/>
  </conditionalFormatting>
  <conditionalFormatting sqref="B8">
    <cfRule type="duplicateValues" dxfId="45" priority="13"/>
  </conditionalFormatting>
  <conditionalFormatting sqref="B9">
    <cfRule type="duplicateValues" dxfId="44" priority="19"/>
  </conditionalFormatting>
  <conditionalFormatting sqref="B10">
    <cfRule type="duplicateValues" dxfId="43" priority="6"/>
  </conditionalFormatting>
  <conditionalFormatting sqref="B11">
    <cfRule type="duplicateValues" dxfId="42" priority="5"/>
  </conditionalFormatting>
  <conditionalFormatting sqref="B12">
    <cfRule type="duplicateValues" dxfId="41" priority="4"/>
  </conditionalFormatting>
  <conditionalFormatting sqref="B13">
    <cfRule type="duplicateValues" dxfId="40" priority="18"/>
  </conditionalFormatting>
  <conditionalFormatting sqref="B14">
    <cfRule type="duplicateValues" dxfId="39" priority="12"/>
  </conditionalFormatting>
  <conditionalFormatting sqref="B15">
    <cfRule type="duplicateValues" dxfId="38" priority="11"/>
  </conditionalFormatting>
  <conditionalFormatting sqref="B16">
    <cfRule type="duplicateValues" dxfId="37" priority="10"/>
  </conditionalFormatting>
  <conditionalFormatting sqref="B17">
    <cfRule type="duplicateValues" dxfId="36" priority="17"/>
  </conditionalFormatting>
  <conditionalFormatting sqref="B18">
    <cfRule type="duplicateValues" dxfId="35" priority="3"/>
  </conditionalFormatting>
  <conditionalFormatting sqref="B19">
    <cfRule type="duplicateValues" dxfId="34" priority="9"/>
  </conditionalFormatting>
  <conditionalFormatting sqref="B20">
    <cfRule type="duplicateValues" dxfId="33" priority="16"/>
  </conditionalFormatting>
  <conditionalFormatting sqref="B21">
    <cfRule type="duplicateValues" dxfId="32" priority="2"/>
  </conditionalFormatting>
  <conditionalFormatting sqref="B22">
    <cfRule type="duplicateValues" dxfId="31" priority="8"/>
  </conditionalFormatting>
  <conditionalFormatting sqref="B23">
    <cfRule type="duplicateValues" dxfId="30" priority="15"/>
  </conditionalFormatting>
  <conditionalFormatting sqref="B24">
    <cfRule type="duplicateValues" dxfId="29" priority="14"/>
  </conditionalFormatting>
  <conditionalFormatting sqref="B25">
    <cfRule type="duplicateValues" dxfId="28" priority="1"/>
  </conditionalFormatting>
  <conditionalFormatting sqref="B26:B41">
    <cfRule type="duplicateValues" dxfId="27" priority="21"/>
  </conditionalFormatting>
  <conditionalFormatting sqref="B42:B43">
    <cfRule type="duplicateValues" dxfId="26" priority="22"/>
  </conditionalFormatting>
  <printOptions horizontalCentered="1"/>
  <pageMargins left="0.11811023622047245" right="0.11811023622047245" top="0.55118110236220474" bottom="0.35433070866141736" header="0.31496062992125984" footer="0.31496062992125984"/>
  <pageSetup paperSize="9" scale="4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F3BB7-068E-483E-85F5-954645E643BE}">
  <dimension ref="A1:R42"/>
  <sheetViews>
    <sheetView view="pageBreakPreview" zoomScale="90" zoomScaleNormal="85" zoomScaleSheetLayoutView="90" workbookViewId="0">
      <pane xSplit="4" ySplit="4" topLeftCell="E8" activePane="bottomRight" state="frozen"/>
      <selection pane="topRight" activeCell="E1" sqref="E1"/>
      <selection pane="bottomLeft" activeCell="A5" sqref="A5"/>
      <selection pane="bottomRight" activeCell="I17" sqref="I17"/>
    </sheetView>
  </sheetViews>
  <sheetFormatPr defaultColWidth="9" defaultRowHeight="13.8" x14ac:dyDescent="0.25"/>
  <cols>
    <col min="1" max="1" width="8.77734375" style="2" customWidth="1"/>
    <col min="2" max="2" width="14.33203125" style="2" customWidth="1"/>
    <col min="3" max="3" width="26.44140625" style="35" customWidth="1"/>
    <col min="4" max="4" width="19.44140625" style="2" customWidth="1"/>
    <col min="5" max="5" width="10.109375" style="80" customWidth="1"/>
    <col min="6" max="6" width="9.5546875" style="8" customWidth="1"/>
    <col min="7" max="7" width="9.6640625" style="65" customWidth="1"/>
    <col min="8" max="8" width="9.88671875" style="86" customWidth="1"/>
    <col min="9" max="9" width="9.6640625" style="65" customWidth="1"/>
    <col min="10" max="10" width="9.21875" style="8" customWidth="1"/>
    <col min="11" max="11" width="11.88671875" style="8" customWidth="1"/>
    <col min="12" max="12" width="10.5546875" style="2" customWidth="1"/>
    <col min="13" max="13" width="10.88671875" style="2" customWidth="1"/>
    <col min="14" max="14" width="13.21875" style="8" customWidth="1"/>
    <col min="15" max="15" width="9.21875" style="8" customWidth="1"/>
    <col min="16" max="16" width="13.44140625" style="8" customWidth="1"/>
    <col min="17" max="17" width="12.21875" style="2" customWidth="1"/>
    <col min="18" max="18" width="26.88671875" style="2" customWidth="1"/>
    <col min="19" max="16384" width="9" style="2"/>
  </cols>
  <sheetData>
    <row r="1" spans="1:17" ht="29.1" customHeight="1" x14ac:dyDescent="0.25">
      <c r="A1" s="163" t="s">
        <v>152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</row>
    <row r="2" spans="1:17" ht="21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17" ht="21" customHeight="1" x14ac:dyDescent="0.25">
      <c r="A3" s="162" t="s">
        <v>78</v>
      </c>
      <c r="B3" s="162" t="s">
        <v>2</v>
      </c>
      <c r="C3" s="162" t="s">
        <v>1</v>
      </c>
      <c r="D3" s="155" t="s">
        <v>121</v>
      </c>
      <c r="E3" s="166" t="s">
        <v>123</v>
      </c>
      <c r="F3" s="162" t="s">
        <v>116</v>
      </c>
      <c r="G3" s="175" t="s">
        <v>243</v>
      </c>
      <c r="H3" s="177" t="s">
        <v>251</v>
      </c>
      <c r="I3" s="149" t="s">
        <v>250</v>
      </c>
      <c r="J3" s="155" t="s">
        <v>119</v>
      </c>
      <c r="K3" s="173" t="s">
        <v>118</v>
      </c>
      <c r="L3" s="173"/>
      <c r="M3" s="173"/>
      <c r="N3" s="173"/>
      <c r="O3" s="157" t="s">
        <v>128</v>
      </c>
      <c r="P3" s="159"/>
      <c r="Q3" s="160" t="s">
        <v>117</v>
      </c>
    </row>
    <row r="4" spans="1:17" ht="32.4" customHeight="1" x14ac:dyDescent="0.25">
      <c r="A4" s="162"/>
      <c r="B4" s="162"/>
      <c r="C4" s="162"/>
      <c r="D4" s="156"/>
      <c r="E4" s="168"/>
      <c r="F4" s="162"/>
      <c r="G4" s="175"/>
      <c r="H4" s="178"/>
      <c r="I4" s="151"/>
      <c r="J4" s="156"/>
      <c r="K4" s="83" t="s">
        <v>120</v>
      </c>
      <c r="L4" s="14" t="s">
        <v>126</v>
      </c>
      <c r="M4" s="3" t="s">
        <v>77</v>
      </c>
      <c r="N4" s="3" t="s">
        <v>125</v>
      </c>
      <c r="O4" s="83" t="s">
        <v>76</v>
      </c>
      <c r="P4" s="83" t="s">
        <v>127</v>
      </c>
      <c r="Q4" s="161"/>
    </row>
    <row r="5" spans="1:17" ht="21" customHeight="1" x14ac:dyDescent="0.25">
      <c r="A5" s="9" t="s">
        <v>79</v>
      </c>
      <c r="B5" s="3" t="s">
        <v>122</v>
      </c>
      <c r="C5" s="33" t="s">
        <v>3</v>
      </c>
      <c r="D5" s="3" t="str">
        <f>VLOOKUP(B5,[1]冲压件核价!$D$4:$P$466,4,0)</f>
        <v>SPFH590 t=2.0</v>
      </c>
      <c r="E5" s="77">
        <v>7.1</v>
      </c>
      <c r="F5" s="4">
        <v>526</v>
      </c>
      <c r="G5" s="63">
        <v>381</v>
      </c>
      <c r="H5" s="84">
        <v>20</v>
      </c>
      <c r="I5" s="63">
        <f t="shared" ref="I5:I41" si="0">G5-H5</f>
        <v>361</v>
      </c>
      <c r="J5" s="4">
        <f t="shared" ref="J5:J41" si="1">F5-I5</f>
        <v>165</v>
      </c>
      <c r="K5" s="19">
        <f t="shared" ref="K5:K40" si="2">J5*E5</f>
        <v>1171.5</v>
      </c>
      <c r="L5" s="15">
        <f>VLOOKUP(B5,[2]冲压件核价!$D$5:$Q$221,14,0)</f>
        <v>1.8601599999999998</v>
      </c>
      <c r="M5" s="15">
        <f>L5*I5</f>
        <v>671.51775999999995</v>
      </c>
      <c r="N5" s="16">
        <f t="shared" ref="N5:N41" si="3">K5+M5</f>
        <v>1843.01776</v>
      </c>
      <c r="O5" s="19">
        <v>4</v>
      </c>
      <c r="P5" s="19">
        <f t="shared" ref="P5:P41" si="4">G5*O5</f>
        <v>1524</v>
      </c>
      <c r="Q5" s="16">
        <f>P5-N5</f>
        <v>-319.01775999999995</v>
      </c>
    </row>
    <row r="6" spans="1:17" ht="21" customHeight="1" x14ac:dyDescent="0.25">
      <c r="A6" s="9" t="s">
        <v>80</v>
      </c>
      <c r="B6" s="3" t="s">
        <v>5</v>
      </c>
      <c r="C6" s="33" t="s">
        <v>4</v>
      </c>
      <c r="D6" s="3" t="str">
        <f>VLOOKUP(B6,[1]冲压件核价!$D$4:$P$466,4,0)</f>
        <v>SPFH590 t=2.0</v>
      </c>
      <c r="E6" s="77">
        <v>7.1</v>
      </c>
      <c r="F6" s="4">
        <v>520</v>
      </c>
      <c r="G6" s="63">
        <v>402</v>
      </c>
      <c r="H6" s="84">
        <v>20</v>
      </c>
      <c r="I6" s="63">
        <f t="shared" si="0"/>
        <v>382</v>
      </c>
      <c r="J6" s="4">
        <f t="shared" si="1"/>
        <v>138</v>
      </c>
      <c r="K6" s="19">
        <f t="shared" si="2"/>
        <v>979.8</v>
      </c>
      <c r="L6" s="15">
        <f>VLOOKUP(B6,[2]冲压件核价!$D$5:$Q$221,14,0)</f>
        <v>1.7225600000000001</v>
      </c>
      <c r="M6" s="15">
        <f t="shared" ref="M6:M41" si="5">L6*I6</f>
        <v>658.01792</v>
      </c>
      <c r="N6" s="16">
        <f t="shared" si="3"/>
        <v>1637.81792</v>
      </c>
      <c r="O6" s="19">
        <v>4</v>
      </c>
      <c r="P6" s="19">
        <f t="shared" si="4"/>
        <v>1608</v>
      </c>
      <c r="Q6" s="16">
        <f t="shared" ref="Q6:Q41" si="6">P6-N6</f>
        <v>-29.817919999999958</v>
      </c>
    </row>
    <row r="7" spans="1:17" ht="21" customHeight="1" x14ac:dyDescent="0.25">
      <c r="A7" s="9" t="s">
        <v>81</v>
      </c>
      <c r="B7" s="3" t="s">
        <v>7</v>
      </c>
      <c r="C7" s="33" t="s">
        <v>6</v>
      </c>
      <c r="D7" s="3" t="str">
        <f>VLOOKUP(B7,[1]冲压件核价!$D$4:$P$466,4,0)</f>
        <v>SPFH590 t=2.0</v>
      </c>
      <c r="E7" s="77">
        <v>7.1</v>
      </c>
      <c r="F7" s="4">
        <v>405</v>
      </c>
      <c r="G7" s="63">
        <v>329</v>
      </c>
      <c r="H7" s="84">
        <v>20</v>
      </c>
      <c r="I7" s="63">
        <f t="shared" si="0"/>
        <v>309</v>
      </c>
      <c r="J7" s="4">
        <f t="shared" si="1"/>
        <v>96</v>
      </c>
      <c r="K7" s="19">
        <f t="shared" si="2"/>
        <v>681.59999999999991</v>
      </c>
      <c r="L7" s="15">
        <f>VLOOKUP(B7,[2]冲压件核价!$D$5:$Q$221,14,0)</f>
        <v>8.976000000000002E-2</v>
      </c>
      <c r="M7" s="15">
        <f t="shared" si="5"/>
        <v>27.735840000000007</v>
      </c>
      <c r="N7" s="16">
        <f t="shared" si="3"/>
        <v>709.33583999999996</v>
      </c>
      <c r="O7" s="19">
        <v>0.6</v>
      </c>
      <c r="P7" s="19">
        <f t="shared" si="4"/>
        <v>197.4</v>
      </c>
      <c r="Q7" s="16">
        <f t="shared" si="6"/>
        <v>-511.93583999999998</v>
      </c>
    </row>
    <row r="8" spans="1:17" ht="21" customHeight="1" x14ac:dyDescent="0.25">
      <c r="A8" s="9" t="s">
        <v>82</v>
      </c>
      <c r="B8" s="3" t="s">
        <v>9</v>
      </c>
      <c r="C8" s="33" t="s">
        <v>8</v>
      </c>
      <c r="D8" s="3" t="str">
        <f>VLOOKUP(B8,[1]冲压件核价!$D$4:$P$466,4,0)</f>
        <v>SPFH590 t=2.0</v>
      </c>
      <c r="E8" s="77">
        <v>7.1</v>
      </c>
      <c r="F8" s="4">
        <v>420</v>
      </c>
      <c r="G8" s="63">
        <v>249</v>
      </c>
      <c r="H8" s="84">
        <v>20</v>
      </c>
      <c r="I8" s="63">
        <f t="shared" si="0"/>
        <v>229</v>
      </c>
      <c r="J8" s="4">
        <f t="shared" si="1"/>
        <v>191</v>
      </c>
      <c r="K8" s="19">
        <f t="shared" si="2"/>
        <v>1356.1</v>
      </c>
      <c r="L8" s="15">
        <f>VLOOKUP(B8,[2]冲压件核价!$D$5:$Q$221,14,0)</f>
        <v>9.9360000000000032E-2</v>
      </c>
      <c r="M8" s="15">
        <f t="shared" si="5"/>
        <v>22.753440000000008</v>
      </c>
      <c r="N8" s="16">
        <f t="shared" si="3"/>
        <v>1378.8534399999999</v>
      </c>
      <c r="O8" s="19">
        <v>0.6</v>
      </c>
      <c r="P8" s="19">
        <f t="shared" si="4"/>
        <v>149.4</v>
      </c>
      <c r="Q8" s="16">
        <f t="shared" si="6"/>
        <v>-1229.4534399999998</v>
      </c>
    </row>
    <row r="9" spans="1:17" ht="21" customHeight="1" x14ac:dyDescent="0.25">
      <c r="A9" s="9" t="s">
        <v>83</v>
      </c>
      <c r="B9" s="3" t="s">
        <v>191</v>
      </c>
      <c r="C9" s="33" t="s">
        <v>10</v>
      </c>
      <c r="D9" s="71" t="s">
        <v>192</v>
      </c>
      <c r="E9" s="77">
        <v>7.1</v>
      </c>
      <c r="F9" s="4">
        <v>455</v>
      </c>
      <c r="G9" s="63">
        <v>236</v>
      </c>
      <c r="H9" s="84">
        <v>20</v>
      </c>
      <c r="I9" s="63">
        <f t="shared" si="0"/>
        <v>216</v>
      </c>
      <c r="J9" s="4">
        <f t="shared" si="1"/>
        <v>239</v>
      </c>
      <c r="K9" s="19">
        <f t="shared" si="2"/>
        <v>1696.8999999999999</v>
      </c>
      <c r="L9" s="15">
        <f>VLOOKUP(B9,[2]冲压件核价!$D$5:$Q$221,14,0)</f>
        <v>2.0691839999999999</v>
      </c>
      <c r="M9" s="15">
        <f t="shared" si="5"/>
        <v>446.94374399999998</v>
      </c>
      <c r="N9" s="16">
        <f t="shared" si="3"/>
        <v>2143.8437439999998</v>
      </c>
      <c r="O9" s="19">
        <v>4.8</v>
      </c>
      <c r="P9" s="19">
        <f t="shared" si="4"/>
        <v>1132.8</v>
      </c>
      <c r="Q9" s="16">
        <f t="shared" si="6"/>
        <v>-1011.0437439999998</v>
      </c>
    </row>
    <row r="10" spans="1:17" ht="21" customHeight="1" x14ac:dyDescent="0.25">
      <c r="A10" s="9" t="s">
        <v>84</v>
      </c>
      <c r="B10" s="3" t="s">
        <v>13</v>
      </c>
      <c r="C10" s="33" t="s">
        <v>12</v>
      </c>
      <c r="D10" s="71" t="s">
        <v>188</v>
      </c>
      <c r="E10" s="77">
        <v>7.1</v>
      </c>
      <c r="F10" s="4">
        <v>348</v>
      </c>
      <c r="G10" s="63">
        <v>248</v>
      </c>
      <c r="H10" s="84">
        <v>20</v>
      </c>
      <c r="I10" s="63">
        <f t="shared" si="0"/>
        <v>228</v>
      </c>
      <c r="J10" s="4">
        <f t="shared" si="1"/>
        <v>120</v>
      </c>
      <c r="K10" s="19">
        <f t="shared" si="2"/>
        <v>852</v>
      </c>
      <c r="L10" s="15">
        <f>VLOOKUP(B10,[2]冲压件核价!$D$5:$Q$221,14,0)</f>
        <v>1.5915520000000001</v>
      </c>
      <c r="M10" s="15">
        <f t="shared" si="5"/>
        <v>362.87385600000005</v>
      </c>
      <c r="N10" s="16">
        <f t="shared" si="3"/>
        <v>1214.8738560000002</v>
      </c>
      <c r="O10" s="19">
        <v>4.8</v>
      </c>
      <c r="P10" s="19">
        <f t="shared" si="4"/>
        <v>1190.3999999999999</v>
      </c>
      <c r="Q10" s="16">
        <f t="shared" si="6"/>
        <v>-24.473856000000296</v>
      </c>
    </row>
    <row r="11" spans="1:17" ht="21" customHeight="1" x14ac:dyDescent="0.25">
      <c r="A11" s="9" t="s">
        <v>85</v>
      </c>
      <c r="B11" s="3" t="s">
        <v>15</v>
      </c>
      <c r="C11" s="33" t="s">
        <v>14</v>
      </c>
      <c r="D11" s="71" t="s">
        <v>188</v>
      </c>
      <c r="E11" s="77">
        <v>7.1</v>
      </c>
      <c r="F11" s="4">
        <v>776</v>
      </c>
      <c r="G11" s="63">
        <v>552</v>
      </c>
      <c r="H11" s="84">
        <v>20</v>
      </c>
      <c r="I11" s="63">
        <f t="shared" si="0"/>
        <v>532</v>
      </c>
      <c r="J11" s="4">
        <f t="shared" si="1"/>
        <v>244</v>
      </c>
      <c r="K11" s="19">
        <f t="shared" si="2"/>
        <v>1732.3999999999999</v>
      </c>
      <c r="L11" s="15">
        <f>VLOOKUP(B11,[2]冲压件核价!$D$5:$Q$221,14,0)</f>
        <v>1.4841600000000001</v>
      </c>
      <c r="M11" s="15">
        <f t="shared" si="5"/>
        <v>789.57312000000013</v>
      </c>
      <c r="N11" s="16">
        <f t="shared" si="3"/>
        <v>2521.9731200000001</v>
      </c>
      <c r="O11" s="19">
        <v>5.6</v>
      </c>
      <c r="P11" s="19">
        <f t="shared" si="4"/>
        <v>3091.2</v>
      </c>
      <c r="Q11" s="16">
        <f t="shared" si="6"/>
        <v>569.22687999999971</v>
      </c>
    </row>
    <row r="12" spans="1:17" ht="21" customHeight="1" x14ac:dyDescent="0.25">
      <c r="A12" s="9" t="s">
        <v>86</v>
      </c>
      <c r="B12" s="3" t="s">
        <v>17</v>
      </c>
      <c r="C12" s="33" t="s">
        <v>16</v>
      </c>
      <c r="D12" s="71" t="s">
        <v>188</v>
      </c>
      <c r="E12" s="77">
        <v>7.1</v>
      </c>
      <c r="F12" s="4">
        <v>776</v>
      </c>
      <c r="G12" s="63">
        <v>610</v>
      </c>
      <c r="H12" s="84">
        <v>20</v>
      </c>
      <c r="I12" s="63">
        <f t="shared" si="0"/>
        <v>590</v>
      </c>
      <c r="J12" s="4">
        <f t="shared" si="1"/>
        <v>186</v>
      </c>
      <c r="K12" s="19">
        <f t="shared" si="2"/>
        <v>1320.6</v>
      </c>
      <c r="L12" s="15">
        <f>VLOOKUP(B12,[2]冲压件核价!$D$5:$Q$221,14,0)</f>
        <v>0.83456000000000019</v>
      </c>
      <c r="M12" s="15">
        <f t="shared" si="5"/>
        <v>492.39040000000011</v>
      </c>
      <c r="N12" s="16">
        <f t="shared" si="3"/>
        <v>1812.9904000000001</v>
      </c>
      <c r="O12" s="19">
        <v>5.6</v>
      </c>
      <c r="P12" s="19">
        <f t="shared" si="4"/>
        <v>3416</v>
      </c>
      <c r="Q12" s="16">
        <f t="shared" si="6"/>
        <v>1603.0095999999999</v>
      </c>
    </row>
    <row r="13" spans="1:17" ht="21" customHeight="1" x14ac:dyDescent="0.25">
      <c r="A13" s="9" t="s">
        <v>87</v>
      </c>
      <c r="B13" s="3" t="s">
        <v>19</v>
      </c>
      <c r="C13" s="33" t="s">
        <v>18</v>
      </c>
      <c r="D13" s="71" t="s">
        <v>188</v>
      </c>
      <c r="E13" s="77">
        <v>7.1</v>
      </c>
      <c r="F13" s="72">
        <v>1011</v>
      </c>
      <c r="G13" s="63">
        <v>171</v>
      </c>
      <c r="H13" s="84">
        <v>20</v>
      </c>
      <c r="I13" s="63">
        <f t="shared" si="0"/>
        <v>151</v>
      </c>
      <c r="J13" s="4">
        <f t="shared" si="1"/>
        <v>860</v>
      </c>
      <c r="K13" s="19">
        <f t="shared" si="2"/>
        <v>6106</v>
      </c>
      <c r="L13" s="15">
        <f>VLOOKUP(B13,[2]冲压件核价!$D$5:$Q$221,14,0)</f>
        <v>0.91916799999999987</v>
      </c>
      <c r="M13" s="15">
        <f t="shared" si="5"/>
        <v>138.79436799999999</v>
      </c>
      <c r="N13" s="16">
        <f t="shared" si="3"/>
        <v>6244.7943679999998</v>
      </c>
      <c r="O13" s="19">
        <v>2.4</v>
      </c>
      <c r="P13" s="19">
        <f t="shared" si="4"/>
        <v>410.4</v>
      </c>
      <c r="Q13" s="16">
        <f t="shared" si="6"/>
        <v>-5834.3943680000002</v>
      </c>
    </row>
    <row r="14" spans="1:17" ht="21" customHeight="1" x14ac:dyDescent="0.25">
      <c r="A14" s="9" t="s">
        <v>88</v>
      </c>
      <c r="B14" s="3" t="s">
        <v>21</v>
      </c>
      <c r="C14" s="33" t="s">
        <v>20</v>
      </c>
      <c r="D14" s="71" t="s">
        <v>188</v>
      </c>
      <c r="E14" s="77">
        <v>7.1</v>
      </c>
      <c r="F14" s="72">
        <v>1011</v>
      </c>
      <c r="G14" s="63">
        <v>171</v>
      </c>
      <c r="H14" s="84">
        <v>20</v>
      </c>
      <c r="I14" s="63">
        <f t="shared" si="0"/>
        <v>151</v>
      </c>
      <c r="J14" s="4">
        <f t="shared" si="1"/>
        <v>860</v>
      </c>
      <c r="K14" s="19">
        <f t="shared" si="2"/>
        <v>6106</v>
      </c>
      <c r="L14" s="15">
        <f>VLOOKUP(B14,[2]冲压件核价!$D$5:$Q$221,14,0)</f>
        <v>0.96076799999999984</v>
      </c>
      <c r="M14" s="15">
        <f t="shared" si="5"/>
        <v>145.07596799999999</v>
      </c>
      <c r="N14" s="16">
        <f t="shared" si="3"/>
        <v>6251.0759680000001</v>
      </c>
      <c r="O14" s="19">
        <v>2.4</v>
      </c>
      <c r="P14" s="19">
        <f t="shared" si="4"/>
        <v>410.4</v>
      </c>
      <c r="Q14" s="16">
        <f t="shared" si="6"/>
        <v>-5840.6759680000005</v>
      </c>
    </row>
    <row r="15" spans="1:17" ht="21" customHeight="1" x14ac:dyDescent="0.25">
      <c r="A15" s="9" t="s">
        <v>89</v>
      </c>
      <c r="B15" s="3" t="s">
        <v>23</v>
      </c>
      <c r="C15" s="33" t="s">
        <v>22</v>
      </c>
      <c r="D15" s="71" t="s">
        <v>188</v>
      </c>
      <c r="E15" s="77">
        <v>7.1</v>
      </c>
      <c r="F15" s="72">
        <v>986</v>
      </c>
      <c r="G15" s="63">
        <v>198</v>
      </c>
      <c r="H15" s="84">
        <v>20</v>
      </c>
      <c r="I15" s="63">
        <f t="shared" si="0"/>
        <v>178</v>
      </c>
      <c r="J15" s="4">
        <f t="shared" si="1"/>
        <v>808</v>
      </c>
      <c r="K15" s="19">
        <f t="shared" si="2"/>
        <v>5736.7999999999993</v>
      </c>
      <c r="L15" s="15">
        <f>VLOOKUP(B15,[2]冲压件核价!$D$5:$Q$221,14,0)</f>
        <v>0.75431680000000001</v>
      </c>
      <c r="M15" s="15">
        <f t="shared" si="5"/>
        <v>134.26839040000002</v>
      </c>
      <c r="N15" s="16">
        <f t="shared" si="3"/>
        <v>5871.0683903999989</v>
      </c>
      <c r="O15" s="19">
        <v>4</v>
      </c>
      <c r="P15" s="19">
        <f t="shared" si="4"/>
        <v>792</v>
      </c>
      <c r="Q15" s="16">
        <f t="shared" si="6"/>
        <v>-5079.0683903999989</v>
      </c>
    </row>
    <row r="16" spans="1:17" ht="21" customHeight="1" x14ac:dyDescent="0.25">
      <c r="A16" s="9" t="s">
        <v>90</v>
      </c>
      <c r="B16" s="3" t="s">
        <v>25</v>
      </c>
      <c r="C16" s="33" t="s">
        <v>24</v>
      </c>
      <c r="D16" s="71" t="s">
        <v>188</v>
      </c>
      <c r="E16" s="77">
        <v>7.1</v>
      </c>
      <c r="F16" s="72">
        <v>971</v>
      </c>
      <c r="G16" s="63">
        <v>274</v>
      </c>
      <c r="H16" s="84">
        <v>20</v>
      </c>
      <c r="I16" s="63">
        <f t="shared" si="0"/>
        <v>254</v>
      </c>
      <c r="J16" s="4">
        <f t="shared" si="1"/>
        <v>717</v>
      </c>
      <c r="K16" s="19">
        <f t="shared" si="2"/>
        <v>5090.7</v>
      </c>
      <c r="L16" s="15">
        <f>VLOOKUP(B16,[2]冲压件核价!$D$5:$Q$221,14,0)</f>
        <v>0.75751679999999999</v>
      </c>
      <c r="M16" s="15">
        <f t="shared" si="5"/>
        <v>192.40926719999999</v>
      </c>
      <c r="N16" s="16">
        <f t="shared" si="3"/>
        <v>5283.1092671999995</v>
      </c>
      <c r="O16" s="19">
        <v>4</v>
      </c>
      <c r="P16" s="19">
        <f t="shared" si="4"/>
        <v>1096</v>
      </c>
      <c r="Q16" s="16">
        <f t="shared" si="6"/>
        <v>-4187.1092671999995</v>
      </c>
    </row>
    <row r="17" spans="1:17" ht="21" customHeight="1" x14ac:dyDescent="0.25">
      <c r="A17" s="9" t="s">
        <v>91</v>
      </c>
      <c r="B17" s="3" t="s">
        <v>292</v>
      </c>
      <c r="C17" s="33" t="s">
        <v>26</v>
      </c>
      <c r="D17" s="3" t="str">
        <f>VLOOKUP(B17,[1]冲压件核价!$D$4:$P$466,4,0)</f>
        <v>SPFH590 t=3.5</v>
      </c>
      <c r="E17" s="77">
        <v>6.95</v>
      </c>
      <c r="F17" s="4">
        <v>1492</v>
      </c>
      <c r="G17" s="63">
        <v>1136</v>
      </c>
      <c r="H17" s="84">
        <v>20</v>
      </c>
      <c r="I17" s="63">
        <f t="shared" si="0"/>
        <v>1116</v>
      </c>
      <c r="J17" s="4">
        <f t="shared" si="1"/>
        <v>376</v>
      </c>
      <c r="K17" s="19">
        <f t="shared" si="2"/>
        <v>2613.2000000000003</v>
      </c>
      <c r="L17" s="15">
        <f>VLOOKUP(B17,[2]冲压件核价!$D$5:$Q$221,14,0)</f>
        <v>1.3758400000000002</v>
      </c>
      <c r="M17" s="15">
        <f t="shared" si="5"/>
        <v>1535.4374400000002</v>
      </c>
      <c r="N17" s="16">
        <f t="shared" si="3"/>
        <v>4148.6374400000004</v>
      </c>
      <c r="O17" s="19">
        <v>3.2</v>
      </c>
      <c r="P17" s="19">
        <f t="shared" si="4"/>
        <v>3635.2000000000003</v>
      </c>
      <c r="Q17" s="16">
        <f t="shared" si="6"/>
        <v>-513.43744000000015</v>
      </c>
    </row>
    <row r="18" spans="1:17" ht="21" customHeight="1" x14ac:dyDescent="0.25">
      <c r="A18" s="9" t="s">
        <v>92</v>
      </c>
      <c r="B18" s="3" t="s">
        <v>29</v>
      </c>
      <c r="C18" s="33" t="s">
        <v>28</v>
      </c>
      <c r="D18" s="3" t="str">
        <f>VLOOKUP(B18,[1]冲压件核价!$D$4:$P$466,4,0)</f>
        <v>SPFH590 t=4.0</v>
      </c>
      <c r="E18" s="77">
        <v>6.95</v>
      </c>
      <c r="F18" s="4">
        <v>1464</v>
      </c>
      <c r="G18" s="63">
        <v>1068</v>
      </c>
      <c r="H18" s="84">
        <v>20</v>
      </c>
      <c r="I18" s="63">
        <f t="shared" si="0"/>
        <v>1048</v>
      </c>
      <c r="J18" s="4">
        <f t="shared" si="1"/>
        <v>416</v>
      </c>
      <c r="K18" s="19">
        <f t="shared" si="2"/>
        <v>2891.2000000000003</v>
      </c>
      <c r="L18" s="15">
        <f>VLOOKUP(B18,[2]冲压件核价!$D$5:$Q$221,14,0)</f>
        <v>1.9033600000000002</v>
      </c>
      <c r="M18" s="15">
        <f t="shared" si="5"/>
        <v>1994.7212800000002</v>
      </c>
      <c r="N18" s="16">
        <f t="shared" si="3"/>
        <v>4885.9212800000005</v>
      </c>
      <c r="O18" s="19">
        <v>3.2</v>
      </c>
      <c r="P18" s="19">
        <f t="shared" si="4"/>
        <v>3417.6000000000004</v>
      </c>
      <c r="Q18" s="16">
        <f t="shared" si="6"/>
        <v>-1468.3212800000001</v>
      </c>
    </row>
    <row r="19" spans="1:17" ht="21" customHeight="1" x14ac:dyDescent="0.25">
      <c r="A19" s="9" t="s">
        <v>93</v>
      </c>
      <c r="B19" s="6" t="s">
        <v>31</v>
      </c>
      <c r="C19" s="34" t="s">
        <v>30</v>
      </c>
      <c r="D19" s="3" t="str">
        <f>VLOOKUP(B19,[1]冲压件核价!$D$4:$P$466,4,0)</f>
        <v>QSTE420TM  t=1.5</v>
      </c>
      <c r="E19" s="78">
        <v>7.1</v>
      </c>
      <c r="F19" s="4">
        <v>540</v>
      </c>
      <c r="G19" s="63">
        <v>153</v>
      </c>
      <c r="H19" s="84">
        <v>20</v>
      </c>
      <c r="I19" s="63">
        <f t="shared" si="0"/>
        <v>133</v>
      </c>
      <c r="J19" s="4">
        <f t="shared" si="1"/>
        <v>407</v>
      </c>
      <c r="K19" s="19">
        <f t="shared" si="2"/>
        <v>2889.7</v>
      </c>
      <c r="L19" s="15">
        <f>VLOOKUP(B19,[2]冲压件核价!$D$5:$Q$221,14,0)</f>
        <v>2.5483200000000004</v>
      </c>
      <c r="M19" s="15">
        <f t="shared" si="5"/>
        <v>338.92656000000005</v>
      </c>
      <c r="N19" s="16">
        <f t="shared" si="3"/>
        <v>3228.6265599999997</v>
      </c>
      <c r="O19" s="19">
        <v>4.8</v>
      </c>
      <c r="P19" s="19">
        <f t="shared" si="4"/>
        <v>734.4</v>
      </c>
      <c r="Q19" s="16">
        <f t="shared" si="6"/>
        <v>-2494.2265599999996</v>
      </c>
    </row>
    <row r="20" spans="1:17" ht="21" customHeight="1" x14ac:dyDescent="0.25">
      <c r="A20" s="9" t="s">
        <v>94</v>
      </c>
      <c r="B20" s="6" t="s">
        <v>33</v>
      </c>
      <c r="C20" s="34" t="s">
        <v>32</v>
      </c>
      <c r="D20" s="3" t="str">
        <f>VLOOKUP(B20,[1]冲压件核价!$D$4:$P$466,4,0)</f>
        <v>QSTE420TM  t=1.5</v>
      </c>
      <c r="E20" s="78">
        <v>7.1</v>
      </c>
      <c r="F20" s="4">
        <v>540</v>
      </c>
      <c r="G20" s="63">
        <v>153</v>
      </c>
      <c r="H20" s="84">
        <v>20</v>
      </c>
      <c r="I20" s="63">
        <f t="shared" si="0"/>
        <v>133</v>
      </c>
      <c r="J20" s="4">
        <f t="shared" si="1"/>
        <v>407</v>
      </c>
      <c r="K20" s="19">
        <f t="shared" si="2"/>
        <v>2889.7</v>
      </c>
      <c r="L20" s="15">
        <f>VLOOKUP(B20,[2]冲压件核价!$D$5:$Q$221,14,0)</f>
        <v>2.5803200000000004</v>
      </c>
      <c r="M20" s="15">
        <f t="shared" si="5"/>
        <v>343.18256000000008</v>
      </c>
      <c r="N20" s="16">
        <f t="shared" si="3"/>
        <v>3232.88256</v>
      </c>
      <c r="O20" s="19">
        <v>4.8</v>
      </c>
      <c r="P20" s="19">
        <f t="shared" si="4"/>
        <v>734.4</v>
      </c>
      <c r="Q20" s="16">
        <f t="shared" si="6"/>
        <v>-2498.4825599999999</v>
      </c>
    </row>
    <row r="21" spans="1:17" ht="21" customHeight="1" x14ac:dyDescent="0.25">
      <c r="A21" s="9" t="s">
        <v>95</v>
      </c>
      <c r="B21" s="6" t="s">
        <v>35</v>
      </c>
      <c r="C21" s="34" t="s">
        <v>34</v>
      </c>
      <c r="D21" s="3" t="str">
        <f>VLOOKUP(B21,[1]冲压件核价!$D$4:$P$466,4,0)</f>
        <v>QSTE420TM  t=1.5</v>
      </c>
      <c r="E21" s="78">
        <v>7.1</v>
      </c>
      <c r="F21" s="4">
        <v>491</v>
      </c>
      <c r="G21" s="63">
        <v>118</v>
      </c>
      <c r="H21" s="84">
        <v>20</v>
      </c>
      <c r="I21" s="63">
        <f t="shared" si="0"/>
        <v>98</v>
      </c>
      <c r="J21" s="4">
        <f t="shared" si="1"/>
        <v>393</v>
      </c>
      <c r="K21" s="19">
        <f t="shared" si="2"/>
        <v>2790.2999999999997</v>
      </c>
      <c r="L21" s="15">
        <f>VLOOKUP(B21,[2]冲压件核价!$D$5:$Q$221,14,0)</f>
        <v>3.35792</v>
      </c>
      <c r="M21" s="15">
        <f t="shared" si="5"/>
        <v>329.07616000000002</v>
      </c>
      <c r="N21" s="16">
        <f t="shared" si="3"/>
        <v>3119.3761599999998</v>
      </c>
      <c r="O21" s="19">
        <v>3.2</v>
      </c>
      <c r="P21" s="19">
        <f t="shared" si="4"/>
        <v>377.6</v>
      </c>
      <c r="Q21" s="16">
        <f t="shared" si="6"/>
        <v>-2741.7761599999999</v>
      </c>
    </row>
    <row r="22" spans="1:17" ht="21" customHeight="1" x14ac:dyDescent="0.25">
      <c r="A22" s="9" t="s">
        <v>96</v>
      </c>
      <c r="B22" s="6" t="s">
        <v>193</v>
      </c>
      <c r="C22" s="34" t="s">
        <v>36</v>
      </c>
      <c r="D22" s="71" t="s">
        <v>190</v>
      </c>
      <c r="E22" s="78">
        <v>7</v>
      </c>
      <c r="F22" s="11">
        <v>319</v>
      </c>
      <c r="G22" s="63">
        <v>68</v>
      </c>
      <c r="H22" s="84">
        <v>20</v>
      </c>
      <c r="I22" s="63">
        <f t="shared" si="0"/>
        <v>48</v>
      </c>
      <c r="J22" s="4">
        <f t="shared" si="1"/>
        <v>271</v>
      </c>
      <c r="K22" s="19">
        <f t="shared" si="2"/>
        <v>1897</v>
      </c>
      <c r="L22" s="15">
        <f>VLOOKUP(B22,[2]冲压件核价!$D$5:$Q$221,14,0)</f>
        <v>6.1976000000000004</v>
      </c>
      <c r="M22" s="15">
        <f t="shared" si="5"/>
        <v>297.48480000000001</v>
      </c>
      <c r="N22" s="16">
        <f t="shared" si="3"/>
        <v>2194.4848000000002</v>
      </c>
      <c r="O22" s="19">
        <v>7.6</v>
      </c>
      <c r="P22" s="19">
        <f t="shared" si="4"/>
        <v>516.79999999999995</v>
      </c>
      <c r="Q22" s="16">
        <f t="shared" si="6"/>
        <v>-1677.6848000000002</v>
      </c>
    </row>
    <row r="23" spans="1:17" ht="21" customHeight="1" x14ac:dyDescent="0.25">
      <c r="A23" s="9" t="s">
        <v>97</v>
      </c>
      <c r="B23" s="6" t="s">
        <v>39</v>
      </c>
      <c r="C23" s="34" t="s">
        <v>38</v>
      </c>
      <c r="D23" s="71" t="s">
        <v>189</v>
      </c>
      <c r="E23" s="78">
        <v>7.1</v>
      </c>
      <c r="F23" s="4">
        <v>265</v>
      </c>
      <c r="G23" s="63">
        <v>139</v>
      </c>
      <c r="H23" s="84">
        <v>20</v>
      </c>
      <c r="I23" s="63">
        <f t="shared" si="0"/>
        <v>119</v>
      </c>
      <c r="J23" s="4">
        <f t="shared" si="1"/>
        <v>146</v>
      </c>
      <c r="K23" s="19">
        <f t="shared" si="2"/>
        <v>1036.5999999999999</v>
      </c>
      <c r="L23" s="15">
        <f>VLOOKUP(B23,[2]冲压件核价!$D$5:$Q$221,14,0)</f>
        <v>1.8113279999999996</v>
      </c>
      <c r="M23" s="15">
        <f t="shared" si="5"/>
        <v>215.54803199999995</v>
      </c>
      <c r="N23" s="16">
        <f t="shared" si="3"/>
        <v>1252.1480319999998</v>
      </c>
      <c r="O23" s="19">
        <v>0.6</v>
      </c>
      <c r="P23" s="19">
        <f t="shared" si="4"/>
        <v>83.399999999999991</v>
      </c>
      <c r="Q23" s="16">
        <f t="shared" si="6"/>
        <v>-1168.7480319999997</v>
      </c>
    </row>
    <row r="24" spans="1:17" ht="21" customHeight="1" x14ac:dyDescent="0.25">
      <c r="A24" s="9" t="s">
        <v>98</v>
      </c>
      <c r="B24" s="6" t="s">
        <v>41</v>
      </c>
      <c r="C24" s="34" t="s">
        <v>40</v>
      </c>
      <c r="D24" s="71" t="s">
        <v>189</v>
      </c>
      <c r="E24" s="78">
        <v>7.1</v>
      </c>
      <c r="F24" s="4">
        <v>265</v>
      </c>
      <c r="G24" s="63">
        <v>139</v>
      </c>
      <c r="H24" s="84">
        <v>20</v>
      </c>
      <c r="I24" s="63">
        <f t="shared" si="0"/>
        <v>119</v>
      </c>
      <c r="J24" s="4">
        <f t="shared" si="1"/>
        <v>146</v>
      </c>
      <c r="K24" s="19">
        <f t="shared" si="2"/>
        <v>1036.5999999999999</v>
      </c>
      <c r="L24" s="15">
        <f>VLOOKUP(B24,[2]冲压件核价!$D$5:$Q$221,14,0)</f>
        <v>1.801728</v>
      </c>
      <c r="M24" s="15">
        <f t="shared" si="5"/>
        <v>214.405632</v>
      </c>
      <c r="N24" s="16">
        <f t="shared" si="3"/>
        <v>1251.0056319999999</v>
      </c>
      <c r="O24" s="19">
        <v>0.6</v>
      </c>
      <c r="P24" s="19">
        <f t="shared" si="4"/>
        <v>83.399999999999991</v>
      </c>
      <c r="Q24" s="16">
        <f t="shared" si="6"/>
        <v>-1167.6056319999998</v>
      </c>
    </row>
    <row r="25" spans="1:17" ht="21" customHeight="1" x14ac:dyDescent="0.25">
      <c r="A25" s="9" t="s">
        <v>99</v>
      </c>
      <c r="B25" s="3" t="s">
        <v>43</v>
      </c>
      <c r="C25" s="33" t="s">
        <v>42</v>
      </c>
      <c r="D25" s="3" t="str">
        <f>VLOOKUP(B25,[1]冲压件核价!$D$4:$P$466,4,0)</f>
        <v>SPFH590 t=3.0</v>
      </c>
      <c r="E25" s="77">
        <v>6.95</v>
      </c>
      <c r="F25" s="4">
        <v>833</v>
      </c>
      <c r="G25" s="63">
        <v>639</v>
      </c>
      <c r="H25" s="84">
        <v>20</v>
      </c>
      <c r="I25" s="63">
        <f t="shared" si="0"/>
        <v>619</v>
      </c>
      <c r="J25" s="4">
        <f t="shared" si="1"/>
        <v>214</v>
      </c>
      <c r="K25" s="19">
        <f t="shared" si="2"/>
        <v>1487.3</v>
      </c>
      <c r="L25" s="15">
        <f>VLOOKUP(B25,[2]冲压件核价!$D$5:$Q$221,14,0)</f>
        <v>0.93387200000000026</v>
      </c>
      <c r="M25" s="15">
        <f t="shared" si="5"/>
        <v>578.06676800000014</v>
      </c>
      <c r="N25" s="16">
        <f t="shared" si="3"/>
        <v>2065.3667679999999</v>
      </c>
      <c r="O25" s="19">
        <v>3.2</v>
      </c>
      <c r="P25" s="19">
        <f t="shared" si="4"/>
        <v>2044.8000000000002</v>
      </c>
      <c r="Q25" s="16">
        <f t="shared" si="6"/>
        <v>-20.566767999999684</v>
      </c>
    </row>
    <row r="26" spans="1:17" ht="21" customHeight="1" x14ac:dyDescent="0.25">
      <c r="A26" s="9" t="s">
        <v>100</v>
      </c>
      <c r="B26" s="3" t="s">
        <v>195</v>
      </c>
      <c r="C26" s="33" t="s">
        <v>44</v>
      </c>
      <c r="D26" s="71" t="s">
        <v>188</v>
      </c>
      <c r="E26" s="77">
        <v>7.1</v>
      </c>
      <c r="F26" s="4">
        <v>415</v>
      </c>
      <c r="G26" s="63">
        <v>282</v>
      </c>
      <c r="H26" s="84">
        <v>20</v>
      </c>
      <c r="I26" s="63">
        <f t="shared" si="0"/>
        <v>262</v>
      </c>
      <c r="J26" s="4">
        <f t="shared" si="1"/>
        <v>153</v>
      </c>
      <c r="K26" s="19">
        <f t="shared" si="2"/>
        <v>1086.3</v>
      </c>
      <c r="L26" s="15">
        <f>VLOOKUP(B26,[2]冲压件核价!$D$5:$Q$221,14,0)</f>
        <v>0.18759680000000001</v>
      </c>
      <c r="M26" s="15">
        <f t="shared" si="5"/>
        <v>49.150361600000004</v>
      </c>
      <c r="N26" s="16">
        <f t="shared" si="3"/>
        <v>1135.4503616</v>
      </c>
      <c r="O26" s="19">
        <v>1.2</v>
      </c>
      <c r="P26" s="19">
        <f t="shared" si="4"/>
        <v>338.4</v>
      </c>
      <c r="Q26" s="16">
        <f t="shared" si="6"/>
        <v>-797.05036159999997</v>
      </c>
    </row>
    <row r="27" spans="1:17" ht="21" customHeight="1" x14ac:dyDescent="0.25">
      <c r="A27" s="9" t="s">
        <v>101</v>
      </c>
      <c r="B27" s="3" t="s">
        <v>47</v>
      </c>
      <c r="C27" s="33" t="s">
        <v>46</v>
      </c>
      <c r="D27" s="71" t="s">
        <v>188</v>
      </c>
      <c r="E27" s="77">
        <v>7.1</v>
      </c>
      <c r="F27" s="4">
        <v>305</v>
      </c>
      <c r="G27" s="63">
        <v>159</v>
      </c>
      <c r="H27" s="84">
        <v>20</v>
      </c>
      <c r="I27" s="63">
        <f t="shared" si="0"/>
        <v>139</v>
      </c>
      <c r="J27" s="4">
        <f t="shared" si="1"/>
        <v>166</v>
      </c>
      <c r="K27" s="19">
        <f t="shared" si="2"/>
        <v>1178.5999999999999</v>
      </c>
      <c r="L27" s="15">
        <f>VLOOKUP(B27,[2]冲压件核价!$D$5:$Q$221,14,0)</f>
        <v>0.19399679999999997</v>
      </c>
      <c r="M27" s="15">
        <f t="shared" si="5"/>
        <v>26.965555199999997</v>
      </c>
      <c r="N27" s="16">
        <f t="shared" si="3"/>
        <v>1205.5655551999998</v>
      </c>
      <c r="O27" s="19">
        <v>1.2</v>
      </c>
      <c r="P27" s="19">
        <f t="shared" si="4"/>
        <v>190.79999999999998</v>
      </c>
      <c r="Q27" s="16">
        <f t="shared" si="6"/>
        <v>-1014.7655551999999</v>
      </c>
    </row>
    <row r="28" spans="1:17" ht="21" customHeight="1" x14ac:dyDescent="0.25">
      <c r="A28" s="9" t="s">
        <v>102</v>
      </c>
      <c r="B28" s="3" t="s">
        <v>49</v>
      </c>
      <c r="C28" s="33" t="s">
        <v>48</v>
      </c>
      <c r="D28" s="3" t="str">
        <f>VLOOKUP(B28,[1]冲压件核价!$D$4:$P$466,4,0)</f>
        <v>SAPH440 t=5.0</v>
      </c>
      <c r="E28" s="77">
        <v>6.7</v>
      </c>
      <c r="F28" s="4">
        <v>310</v>
      </c>
      <c r="G28" s="63">
        <v>201</v>
      </c>
      <c r="H28" s="84">
        <v>20</v>
      </c>
      <c r="I28" s="63">
        <f t="shared" si="0"/>
        <v>181</v>
      </c>
      <c r="J28" s="4">
        <f t="shared" si="1"/>
        <v>129</v>
      </c>
      <c r="K28" s="19">
        <f t="shared" si="2"/>
        <v>864.30000000000007</v>
      </c>
      <c r="L28" s="15">
        <f>VLOOKUP(B28,[2]冲压件核价!$D$5:$Q$221,14,0)</f>
        <v>0.35960000000000003</v>
      </c>
      <c r="M28" s="15">
        <f t="shared" si="5"/>
        <v>65.087600000000009</v>
      </c>
      <c r="N28" s="16">
        <f t="shared" si="3"/>
        <v>929.38760000000002</v>
      </c>
      <c r="O28" s="19">
        <v>0.9</v>
      </c>
      <c r="P28" s="19">
        <f t="shared" si="4"/>
        <v>180.9</v>
      </c>
      <c r="Q28" s="16">
        <f t="shared" si="6"/>
        <v>-748.48760000000004</v>
      </c>
    </row>
    <row r="29" spans="1:17" ht="21" customHeight="1" x14ac:dyDescent="0.25">
      <c r="A29" s="9" t="s">
        <v>103</v>
      </c>
      <c r="B29" s="3" t="s">
        <v>51</v>
      </c>
      <c r="C29" s="33" t="s">
        <v>50</v>
      </c>
      <c r="D29" s="3" t="str">
        <f>VLOOKUP(B29,[1]冲压件核价!$D$4:$P$466,4,0)</f>
        <v>SAPH440 t=5.0</v>
      </c>
      <c r="E29" s="77">
        <v>6.7</v>
      </c>
      <c r="F29" s="4">
        <v>302</v>
      </c>
      <c r="G29" s="63">
        <v>241</v>
      </c>
      <c r="H29" s="84">
        <v>20</v>
      </c>
      <c r="I29" s="63">
        <f t="shared" si="0"/>
        <v>221</v>
      </c>
      <c r="J29" s="4">
        <f t="shared" si="1"/>
        <v>81</v>
      </c>
      <c r="K29" s="19">
        <f t="shared" si="2"/>
        <v>542.70000000000005</v>
      </c>
      <c r="L29" s="15">
        <f>VLOOKUP(B29,[2]冲压件核价!$D$5:$Q$221,14,0)</f>
        <v>0.91600000000000004</v>
      </c>
      <c r="M29" s="15">
        <f t="shared" si="5"/>
        <v>202.43600000000001</v>
      </c>
      <c r="N29" s="16">
        <f t="shared" si="3"/>
        <v>745.13600000000008</v>
      </c>
      <c r="O29" s="19">
        <v>0.9</v>
      </c>
      <c r="P29" s="19">
        <f t="shared" si="4"/>
        <v>216.9</v>
      </c>
      <c r="Q29" s="16">
        <f t="shared" si="6"/>
        <v>-528.2360000000001</v>
      </c>
    </row>
    <row r="30" spans="1:17" ht="21" customHeight="1" x14ac:dyDescent="0.25">
      <c r="A30" s="9" t="s">
        <v>104</v>
      </c>
      <c r="B30" s="3" t="s">
        <v>53</v>
      </c>
      <c r="C30" s="33" t="s">
        <v>52</v>
      </c>
      <c r="D30" s="3" t="str">
        <f>VLOOKUP(B30,[1]冲压件核价!$D$4:$P$466,4,0)</f>
        <v>SPFH590 t=3.0</v>
      </c>
      <c r="E30" s="77">
        <v>6.95</v>
      </c>
      <c r="F30" s="72">
        <v>630</v>
      </c>
      <c r="G30" s="63">
        <v>308</v>
      </c>
      <c r="H30" s="84">
        <v>20</v>
      </c>
      <c r="I30" s="63">
        <f t="shared" si="0"/>
        <v>288</v>
      </c>
      <c r="J30" s="4">
        <f t="shared" si="1"/>
        <v>342</v>
      </c>
      <c r="K30" s="19">
        <f t="shared" si="2"/>
        <v>2376.9</v>
      </c>
      <c r="L30" s="15">
        <f>VLOOKUP(B30,[2]冲压件核价!$D$5:$Q$221,14,0)</f>
        <v>0.48786400000000002</v>
      </c>
      <c r="M30" s="15">
        <f t="shared" si="5"/>
        <v>140.50483199999999</v>
      </c>
      <c r="N30" s="16">
        <f t="shared" si="3"/>
        <v>2517.4048320000002</v>
      </c>
      <c r="O30" s="19">
        <v>1.2</v>
      </c>
      <c r="P30" s="19">
        <f t="shared" si="4"/>
        <v>369.59999999999997</v>
      </c>
      <c r="Q30" s="16">
        <f t="shared" si="6"/>
        <v>-2147.8048320000003</v>
      </c>
    </row>
    <row r="31" spans="1:17" ht="21" customHeight="1" x14ac:dyDescent="0.25">
      <c r="A31" s="9" t="s">
        <v>105</v>
      </c>
      <c r="B31" s="3" t="s">
        <v>55</v>
      </c>
      <c r="C31" s="33" t="s">
        <v>54</v>
      </c>
      <c r="D31" s="3" t="str">
        <f>VLOOKUP(B31,[1]冲压件核价!$D$4:$P$466,4,0)</f>
        <v>SPFH590 t=3.0</v>
      </c>
      <c r="E31" s="77">
        <v>6.95</v>
      </c>
      <c r="F31" s="72">
        <v>557</v>
      </c>
      <c r="G31" s="63">
        <v>318</v>
      </c>
      <c r="H31" s="84">
        <v>20</v>
      </c>
      <c r="I31" s="63">
        <f t="shared" si="0"/>
        <v>298</v>
      </c>
      <c r="J31" s="4">
        <f t="shared" si="1"/>
        <v>259</v>
      </c>
      <c r="K31" s="19">
        <f t="shared" si="2"/>
        <v>1800.05</v>
      </c>
      <c r="L31" s="15">
        <f>VLOOKUP(B31,[2]冲压件核价!$D$5:$Q$221,14,0)</f>
        <v>0.42706400000000005</v>
      </c>
      <c r="M31" s="15">
        <f t="shared" si="5"/>
        <v>127.26507200000002</v>
      </c>
      <c r="N31" s="16">
        <f t="shared" si="3"/>
        <v>1927.3150719999999</v>
      </c>
      <c r="O31" s="19">
        <v>1.2</v>
      </c>
      <c r="P31" s="19">
        <f t="shared" si="4"/>
        <v>381.59999999999997</v>
      </c>
      <c r="Q31" s="16">
        <f t="shared" si="6"/>
        <v>-1545.715072</v>
      </c>
    </row>
    <row r="32" spans="1:17" ht="21" customHeight="1" x14ac:dyDescent="0.25">
      <c r="A32" s="9" t="s">
        <v>106</v>
      </c>
      <c r="B32" s="3" t="s">
        <v>57</v>
      </c>
      <c r="C32" s="33" t="s">
        <v>56</v>
      </c>
      <c r="D32" s="3" t="str">
        <f>VLOOKUP(B32,[1]冲压件核价!$D$4:$P$466,4,0)</f>
        <v>SPFH590 t=3.0</v>
      </c>
      <c r="E32" s="77">
        <v>6.95</v>
      </c>
      <c r="F32" s="4">
        <v>565</v>
      </c>
      <c r="G32" s="63">
        <v>436</v>
      </c>
      <c r="H32" s="84">
        <v>20</v>
      </c>
      <c r="I32" s="63">
        <f t="shared" si="0"/>
        <v>416</v>
      </c>
      <c r="J32" s="4">
        <f t="shared" si="1"/>
        <v>149</v>
      </c>
      <c r="K32" s="19">
        <f t="shared" si="2"/>
        <v>1035.55</v>
      </c>
      <c r="L32" s="15">
        <f>VLOOKUP(B32,[2]冲压件核价!$D$5:$Q$221,14,0)</f>
        <v>0.33800000000000008</v>
      </c>
      <c r="M32" s="15">
        <f t="shared" si="5"/>
        <v>140.60800000000003</v>
      </c>
      <c r="N32" s="16">
        <f t="shared" si="3"/>
        <v>1176.1579999999999</v>
      </c>
      <c r="O32" s="19">
        <v>1.2</v>
      </c>
      <c r="P32" s="19">
        <f t="shared" si="4"/>
        <v>523.19999999999993</v>
      </c>
      <c r="Q32" s="16">
        <f t="shared" si="6"/>
        <v>-652.95799999999997</v>
      </c>
    </row>
    <row r="33" spans="1:18" ht="21" customHeight="1" x14ac:dyDescent="0.25">
      <c r="A33" s="9" t="s">
        <v>107</v>
      </c>
      <c r="B33" s="3" t="s">
        <v>59</v>
      </c>
      <c r="C33" s="33" t="s">
        <v>58</v>
      </c>
      <c r="D33" s="3" t="str">
        <f>VLOOKUP(B33,[1]冲压件核价!$D$4:$P$466,4,0)</f>
        <v>SPFH590 t=3.0</v>
      </c>
      <c r="E33" s="77">
        <v>6.95</v>
      </c>
      <c r="F33" s="4">
        <v>365</v>
      </c>
      <c r="G33" s="63">
        <v>223</v>
      </c>
      <c r="H33" s="84">
        <v>20</v>
      </c>
      <c r="I33" s="63">
        <f t="shared" si="0"/>
        <v>203</v>
      </c>
      <c r="J33" s="4">
        <f t="shared" si="1"/>
        <v>162</v>
      </c>
      <c r="K33" s="19">
        <f t="shared" si="2"/>
        <v>1125.9000000000001</v>
      </c>
      <c r="L33" s="15">
        <f>VLOOKUP(B33,[2]冲压件核价!$D$5:$Q$221,14,0)</f>
        <v>0.32840000000000003</v>
      </c>
      <c r="M33" s="15">
        <f t="shared" si="5"/>
        <v>66.665199999999999</v>
      </c>
      <c r="N33" s="16">
        <f t="shared" si="3"/>
        <v>1192.5652</v>
      </c>
      <c r="O33" s="19">
        <v>1.2</v>
      </c>
      <c r="P33" s="19">
        <f t="shared" si="4"/>
        <v>267.59999999999997</v>
      </c>
      <c r="Q33" s="16">
        <f t="shared" si="6"/>
        <v>-924.9652000000001</v>
      </c>
    </row>
    <row r="34" spans="1:18" ht="21" customHeight="1" x14ac:dyDescent="0.25">
      <c r="A34" s="9" t="s">
        <v>108</v>
      </c>
      <c r="B34" s="3" t="s">
        <v>61</v>
      </c>
      <c r="C34" s="33" t="s">
        <v>60</v>
      </c>
      <c r="D34" s="3" t="str">
        <f>VLOOKUP(B34,[1]冲压件核价!$D$4:$P$466,4,0)</f>
        <v>SPFH590 t=2.0</v>
      </c>
      <c r="E34" s="77">
        <v>7.1</v>
      </c>
      <c r="F34" s="4">
        <v>862</v>
      </c>
      <c r="G34" s="63">
        <v>678</v>
      </c>
      <c r="H34" s="84">
        <v>20</v>
      </c>
      <c r="I34" s="63">
        <f t="shared" si="0"/>
        <v>658</v>
      </c>
      <c r="J34" s="4">
        <f t="shared" si="1"/>
        <v>204</v>
      </c>
      <c r="K34" s="19">
        <f t="shared" si="2"/>
        <v>1448.3999999999999</v>
      </c>
      <c r="L34" s="15">
        <f>VLOOKUP(B34,[2]冲压件核价!$D$5:$Q$221,14,0)</f>
        <v>2.5689600000000001</v>
      </c>
      <c r="M34" s="15">
        <f t="shared" si="5"/>
        <v>1690.3756800000001</v>
      </c>
      <c r="N34" s="16">
        <f t="shared" si="3"/>
        <v>3138.7756799999997</v>
      </c>
      <c r="O34" s="19">
        <v>4</v>
      </c>
      <c r="P34" s="19">
        <f t="shared" si="4"/>
        <v>2712</v>
      </c>
      <c r="Q34" s="16">
        <f t="shared" si="6"/>
        <v>-426.77567999999974</v>
      </c>
    </row>
    <row r="35" spans="1:18" ht="21" customHeight="1" x14ac:dyDescent="0.25">
      <c r="A35" s="9" t="s">
        <v>109</v>
      </c>
      <c r="B35" s="3" t="s">
        <v>63</v>
      </c>
      <c r="C35" s="33" t="s">
        <v>62</v>
      </c>
      <c r="D35" s="3" t="str">
        <f>VLOOKUP(B35,[1]冲压件核价!$D$4:$P$466,4,0)</f>
        <v>SPFH590 t=2.0</v>
      </c>
      <c r="E35" s="77">
        <v>7.1</v>
      </c>
      <c r="F35" s="4">
        <v>872</v>
      </c>
      <c r="G35" s="63">
        <v>634</v>
      </c>
      <c r="H35" s="84">
        <v>20</v>
      </c>
      <c r="I35" s="63">
        <f t="shared" si="0"/>
        <v>614</v>
      </c>
      <c r="J35" s="4">
        <f t="shared" si="1"/>
        <v>258</v>
      </c>
      <c r="K35" s="19">
        <f t="shared" si="2"/>
        <v>1831.8</v>
      </c>
      <c r="L35" s="15">
        <f>VLOOKUP(B35,[2]冲压件核价!$D$5:$Q$221,14,0)</f>
        <v>1.9514240000000003</v>
      </c>
      <c r="M35" s="15">
        <f t="shared" si="5"/>
        <v>1198.1743360000003</v>
      </c>
      <c r="N35" s="16">
        <f t="shared" si="3"/>
        <v>3029.9743360000002</v>
      </c>
      <c r="O35" s="19">
        <v>4.8</v>
      </c>
      <c r="P35" s="19">
        <f t="shared" si="4"/>
        <v>3043.2</v>
      </c>
      <c r="Q35" s="16">
        <f t="shared" si="6"/>
        <v>13.225663999999597</v>
      </c>
    </row>
    <row r="36" spans="1:18" ht="21" customHeight="1" x14ac:dyDescent="0.25">
      <c r="A36" s="9" t="s">
        <v>110</v>
      </c>
      <c r="B36" s="3" t="s">
        <v>65</v>
      </c>
      <c r="C36" s="33" t="s">
        <v>64</v>
      </c>
      <c r="D36" s="3" t="str">
        <f>VLOOKUP(B36,[1]冲压件核价!$D$4:$P$466,4,0)</f>
        <v>SPFH590 t=2.0</v>
      </c>
      <c r="E36" s="77">
        <v>7.1</v>
      </c>
      <c r="F36" s="4">
        <v>814</v>
      </c>
      <c r="G36" s="63">
        <v>542</v>
      </c>
      <c r="H36" s="84">
        <v>20</v>
      </c>
      <c r="I36" s="63">
        <f t="shared" si="0"/>
        <v>522</v>
      </c>
      <c r="J36" s="4">
        <f t="shared" si="1"/>
        <v>292</v>
      </c>
      <c r="K36" s="19">
        <f t="shared" si="2"/>
        <v>2073.1999999999998</v>
      </c>
      <c r="L36" s="15">
        <f>VLOOKUP(B36,[2]冲压件核价!$D$5:$Q$221,14,0)</f>
        <v>1.9795199999999999</v>
      </c>
      <c r="M36" s="15">
        <f t="shared" si="5"/>
        <v>1033.30944</v>
      </c>
      <c r="N36" s="16">
        <f t="shared" si="3"/>
        <v>3106.5094399999998</v>
      </c>
      <c r="O36" s="19">
        <v>3.2</v>
      </c>
      <c r="P36" s="19">
        <f t="shared" si="4"/>
        <v>1734.4</v>
      </c>
      <c r="Q36" s="16">
        <f t="shared" si="6"/>
        <v>-1372.1094399999997</v>
      </c>
    </row>
    <row r="37" spans="1:18" ht="21" customHeight="1" x14ac:dyDescent="0.25">
      <c r="A37" s="9" t="s">
        <v>111</v>
      </c>
      <c r="B37" s="3" t="s">
        <v>67</v>
      </c>
      <c r="C37" s="33" t="s">
        <v>66</v>
      </c>
      <c r="D37" s="3" t="str">
        <f>VLOOKUP(B37,[1]冲压件核价!$D$4:$P$466,4,0)</f>
        <v>SAPH440 t=3.0</v>
      </c>
      <c r="E37" s="77">
        <v>6.7</v>
      </c>
      <c r="F37" s="4">
        <v>312</v>
      </c>
      <c r="G37" s="63">
        <v>197</v>
      </c>
      <c r="H37" s="84">
        <v>20</v>
      </c>
      <c r="I37" s="63">
        <f t="shared" si="0"/>
        <v>177</v>
      </c>
      <c r="J37" s="4">
        <f t="shared" si="1"/>
        <v>135</v>
      </c>
      <c r="K37" s="19">
        <f t="shared" si="2"/>
        <v>904.5</v>
      </c>
      <c r="L37" s="15">
        <f>VLOOKUP(B37,[2]冲压件核价!$D$5:$Q$221,14,0)</f>
        <v>0.58672000000000002</v>
      </c>
      <c r="M37" s="15">
        <f t="shared" si="5"/>
        <v>103.84944</v>
      </c>
      <c r="N37" s="16">
        <f t="shared" si="3"/>
        <v>1008.34944</v>
      </c>
      <c r="O37" s="19">
        <v>1.6</v>
      </c>
      <c r="P37" s="19">
        <f t="shared" si="4"/>
        <v>315.20000000000005</v>
      </c>
      <c r="Q37" s="16">
        <f t="shared" si="6"/>
        <v>-693.14943999999991</v>
      </c>
    </row>
    <row r="38" spans="1:18" ht="21" customHeight="1" x14ac:dyDescent="0.25">
      <c r="A38" s="9" t="s">
        <v>112</v>
      </c>
      <c r="B38" s="3" t="s">
        <v>69</v>
      </c>
      <c r="C38" s="33" t="s">
        <v>68</v>
      </c>
      <c r="D38" s="3" t="str">
        <f>VLOOKUP(B38,[1]冲压件核价!$D$4:$P$466,4,0)</f>
        <v>SAPH440 t=3.0</v>
      </c>
      <c r="E38" s="77">
        <v>6.7</v>
      </c>
      <c r="F38" s="4">
        <v>312</v>
      </c>
      <c r="G38" s="63">
        <v>198</v>
      </c>
      <c r="H38" s="84">
        <v>20</v>
      </c>
      <c r="I38" s="63">
        <f t="shared" si="0"/>
        <v>178</v>
      </c>
      <c r="J38" s="4">
        <f t="shared" si="1"/>
        <v>134</v>
      </c>
      <c r="K38" s="19">
        <f t="shared" si="2"/>
        <v>897.80000000000007</v>
      </c>
      <c r="L38" s="15">
        <f>VLOOKUP(B38,[2]冲压件核价!$D$5:$Q$221,14,0)</f>
        <v>0.58672000000000002</v>
      </c>
      <c r="M38" s="15">
        <f t="shared" si="5"/>
        <v>104.43616</v>
      </c>
      <c r="N38" s="16">
        <f t="shared" si="3"/>
        <v>1002.23616</v>
      </c>
      <c r="O38" s="19">
        <v>1.6</v>
      </c>
      <c r="P38" s="19">
        <f t="shared" si="4"/>
        <v>316.8</v>
      </c>
      <c r="Q38" s="16">
        <f t="shared" si="6"/>
        <v>-685.43615999999997</v>
      </c>
    </row>
    <row r="39" spans="1:18" ht="21" customHeight="1" x14ac:dyDescent="0.25">
      <c r="A39" s="9" t="s">
        <v>113</v>
      </c>
      <c r="B39" s="3" t="s">
        <v>71</v>
      </c>
      <c r="C39" s="33" t="s">
        <v>70</v>
      </c>
      <c r="D39" s="3" t="str">
        <f>VLOOKUP(B39,[1]冲压件核价!$D$4:$P$466,4,0)</f>
        <v>SAPH440 t=3.0</v>
      </c>
      <c r="E39" s="77">
        <v>6.7</v>
      </c>
      <c r="F39" s="4">
        <v>268</v>
      </c>
      <c r="G39" s="63">
        <v>171</v>
      </c>
      <c r="H39" s="84">
        <v>20</v>
      </c>
      <c r="I39" s="63">
        <f t="shared" si="0"/>
        <v>151</v>
      </c>
      <c r="J39" s="4">
        <f t="shared" si="1"/>
        <v>117</v>
      </c>
      <c r="K39" s="19">
        <f t="shared" si="2"/>
        <v>783.9</v>
      </c>
      <c r="L39" s="15">
        <f>VLOOKUP(B39,[2]冲压件核价!$D$5:$Q$221,14,0)</f>
        <v>0.35908799999999985</v>
      </c>
      <c r="M39" s="15">
        <f t="shared" si="5"/>
        <v>54.222287999999978</v>
      </c>
      <c r="N39" s="16">
        <f t="shared" si="3"/>
        <v>838.12228799999991</v>
      </c>
      <c r="O39" s="19">
        <v>2.4</v>
      </c>
      <c r="P39" s="19">
        <f t="shared" si="4"/>
        <v>410.4</v>
      </c>
      <c r="Q39" s="16">
        <f t="shared" si="6"/>
        <v>-427.72228799999993</v>
      </c>
    </row>
    <row r="40" spans="1:18" ht="21" customHeight="1" x14ac:dyDescent="0.25">
      <c r="A40" s="9" t="s">
        <v>114</v>
      </c>
      <c r="B40" s="3" t="s">
        <v>73</v>
      </c>
      <c r="C40" s="33" t="s">
        <v>72</v>
      </c>
      <c r="D40" s="3" t="str">
        <f>VLOOKUP(B40,[1]冲压件核价!$D$4:$P$466,4,0)</f>
        <v>SAPH440 T=2.0</v>
      </c>
      <c r="E40" s="77">
        <v>6.85</v>
      </c>
      <c r="F40" s="4">
        <v>410</v>
      </c>
      <c r="G40" s="63">
        <v>302</v>
      </c>
      <c r="H40" s="84">
        <v>20</v>
      </c>
      <c r="I40" s="63">
        <f t="shared" si="0"/>
        <v>282</v>
      </c>
      <c r="J40" s="4">
        <f t="shared" si="1"/>
        <v>128</v>
      </c>
      <c r="K40" s="19">
        <f t="shared" si="2"/>
        <v>876.8</v>
      </c>
      <c r="L40" s="15">
        <f>VLOOKUP(B40,[2]冲压件核价!$D$5:$Q$221,14,0)</f>
        <v>9.5839999999999995E-2</v>
      </c>
      <c r="M40" s="15">
        <f t="shared" si="5"/>
        <v>27.026879999999998</v>
      </c>
      <c r="N40" s="16">
        <f t="shared" si="3"/>
        <v>903.82687999999996</v>
      </c>
      <c r="O40" s="19">
        <v>0.9</v>
      </c>
      <c r="P40" s="19">
        <f t="shared" si="4"/>
        <v>271.8</v>
      </c>
      <c r="Q40" s="16">
        <f t="shared" si="6"/>
        <v>-632.02687999999989</v>
      </c>
    </row>
    <row r="41" spans="1:18" ht="21" customHeight="1" x14ac:dyDescent="0.25">
      <c r="A41" s="9" t="s">
        <v>115</v>
      </c>
      <c r="B41" s="3" t="s">
        <v>75</v>
      </c>
      <c r="C41" s="33" t="s">
        <v>74</v>
      </c>
      <c r="D41" s="3" t="s">
        <v>124</v>
      </c>
      <c r="E41" s="77">
        <v>6.7</v>
      </c>
      <c r="F41" s="7">
        <v>158</v>
      </c>
      <c r="G41" s="64">
        <v>46</v>
      </c>
      <c r="H41" s="84">
        <v>20</v>
      </c>
      <c r="I41" s="63">
        <f t="shared" si="0"/>
        <v>26</v>
      </c>
      <c r="J41" s="4">
        <f t="shared" si="1"/>
        <v>132</v>
      </c>
      <c r="K41" s="19">
        <f>F41*J41</f>
        <v>20856</v>
      </c>
      <c r="L41" s="15">
        <f>VLOOKUP(B41,[2]冲压件核价!$D$5:$Q$221,14,0)</f>
        <v>0.17342844800000001</v>
      </c>
      <c r="M41" s="15">
        <f t="shared" si="5"/>
        <v>4.5091396480000006</v>
      </c>
      <c r="N41" s="16">
        <f t="shared" si="3"/>
        <v>20860.509139647998</v>
      </c>
      <c r="O41" s="18">
        <v>1.2</v>
      </c>
      <c r="P41" s="19">
        <f t="shared" si="4"/>
        <v>55.199999999999996</v>
      </c>
      <c r="Q41" s="16">
        <f t="shared" si="6"/>
        <v>-20805.309139647998</v>
      </c>
      <c r="R41" s="42"/>
    </row>
    <row r="42" spans="1:18" ht="17.100000000000001" customHeight="1" x14ac:dyDescent="0.25">
      <c r="A42" s="9"/>
      <c r="B42" s="3"/>
      <c r="C42" s="33"/>
      <c r="D42" s="3"/>
      <c r="E42" s="79"/>
      <c r="F42" s="7"/>
      <c r="G42" s="64"/>
      <c r="H42" s="85"/>
      <c r="I42" s="64"/>
      <c r="J42" s="7"/>
      <c r="K42" s="19">
        <f>SUM(K5:K41)</f>
        <v>92044.7</v>
      </c>
      <c r="L42" s="17"/>
      <c r="M42" s="15">
        <f>SUM(M5:M41)</f>
        <v>14963.789290048004</v>
      </c>
      <c r="N42" s="15">
        <f>SUM(N5:N41)</f>
        <v>107008.48929004798</v>
      </c>
      <c r="O42" s="18"/>
      <c r="P42" s="18">
        <f>SUM(P5:P41)</f>
        <v>37973.600000000006</v>
      </c>
      <c r="Q42" s="15">
        <f>SUM(Q5:Q41)</f>
        <v>-69034.889290047984</v>
      </c>
    </row>
  </sheetData>
  <mergeCells count="14">
    <mergeCell ref="J3:J4"/>
    <mergeCell ref="K3:N3"/>
    <mergeCell ref="O3:P3"/>
    <mergeCell ref="Q3:Q4"/>
    <mergeCell ref="A1:Q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conditionalFormatting sqref="B5">
    <cfRule type="duplicateValues" dxfId="25" priority="20"/>
  </conditionalFormatting>
  <conditionalFormatting sqref="B6">
    <cfRule type="duplicateValues" dxfId="24" priority="7"/>
  </conditionalFormatting>
  <conditionalFormatting sqref="B7">
    <cfRule type="duplicateValues" dxfId="23" priority="13"/>
  </conditionalFormatting>
  <conditionalFormatting sqref="B8">
    <cfRule type="duplicateValues" dxfId="22" priority="19"/>
  </conditionalFormatting>
  <conditionalFormatting sqref="B9">
    <cfRule type="duplicateValues" dxfId="21" priority="6"/>
  </conditionalFormatting>
  <conditionalFormatting sqref="B10">
    <cfRule type="duplicateValues" dxfId="20" priority="5"/>
  </conditionalFormatting>
  <conditionalFormatting sqref="B11">
    <cfRule type="duplicateValues" dxfId="19" priority="4"/>
  </conditionalFormatting>
  <conditionalFormatting sqref="B12">
    <cfRule type="duplicateValues" dxfId="18" priority="18"/>
  </conditionalFormatting>
  <conditionalFormatting sqref="B13">
    <cfRule type="duplicateValues" dxfId="17" priority="12"/>
  </conditionalFormatting>
  <conditionalFormatting sqref="B14">
    <cfRule type="duplicateValues" dxfId="16" priority="11"/>
  </conditionalFormatting>
  <conditionalFormatting sqref="B15">
    <cfRule type="duplicateValues" dxfId="15" priority="10"/>
  </conditionalFormatting>
  <conditionalFormatting sqref="B16">
    <cfRule type="duplicateValues" dxfId="14" priority="17"/>
  </conditionalFormatting>
  <conditionalFormatting sqref="B17">
    <cfRule type="duplicateValues" dxfId="13" priority="3"/>
  </conditionalFormatting>
  <conditionalFormatting sqref="B18">
    <cfRule type="duplicateValues" dxfId="12" priority="9"/>
  </conditionalFormatting>
  <conditionalFormatting sqref="B19">
    <cfRule type="duplicateValues" dxfId="11" priority="16"/>
  </conditionalFormatting>
  <conditionalFormatting sqref="B20">
    <cfRule type="duplicateValues" dxfId="10" priority="2"/>
  </conditionalFormatting>
  <conditionalFormatting sqref="B21">
    <cfRule type="duplicateValues" dxfId="9" priority="8"/>
  </conditionalFormatting>
  <conditionalFormatting sqref="B22">
    <cfRule type="duplicateValues" dxfId="8" priority="15"/>
  </conditionalFormatting>
  <conditionalFormatting sqref="B23">
    <cfRule type="duplicateValues" dxfId="7" priority="14"/>
  </conditionalFormatting>
  <conditionalFormatting sqref="B24">
    <cfRule type="duplicateValues" dxfId="6" priority="1"/>
  </conditionalFormatting>
  <conditionalFormatting sqref="B25:B40">
    <cfRule type="duplicateValues" dxfId="5" priority="21"/>
  </conditionalFormatting>
  <conditionalFormatting sqref="B41:B42">
    <cfRule type="duplicateValues" dxfId="4" priority="22"/>
  </conditionalFormatting>
  <printOptions horizontalCentered="1"/>
  <pageMargins left="0.11811023622047245" right="0.11811023622047245" top="0.55118110236220474" bottom="0.35433070866141736" header="0.31496062992125984" footer="0.31496062992125984"/>
  <pageSetup paperSize="9" scale="5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8007-0C25-4DD8-B6DE-3348E0BE2478}">
  <dimension ref="A1:Q14"/>
  <sheetViews>
    <sheetView view="pageBreakPreview" zoomScale="60" zoomScaleNormal="145" workbookViewId="0">
      <selection activeCell="J16" sqref="J16"/>
    </sheetView>
  </sheetViews>
  <sheetFormatPr defaultRowHeight="13.8" x14ac:dyDescent="0.25"/>
  <cols>
    <col min="1" max="1" width="6.5546875" customWidth="1"/>
    <col min="3" max="3" width="14.21875" customWidth="1"/>
    <col min="4" max="4" width="11.109375" bestFit="1" customWidth="1"/>
    <col min="5" max="5" width="12.77734375" customWidth="1"/>
    <col min="6" max="6" width="7.21875" customWidth="1"/>
    <col min="7" max="8" width="12.77734375" customWidth="1"/>
    <col min="9" max="9" width="13.44140625" customWidth="1"/>
    <col min="10" max="11" width="12.77734375" customWidth="1"/>
    <col min="12" max="12" width="13.88671875" customWidth="1"/>
    <col min="13" max="13" width="11.109375" customWidth="1"/>
    <col min="14" max="14" width="6.109375" customWidth="1"/>
    <col min="15" max="15" width="56" customWidth="1"/>
  </cols>
  <sheetData>
    <row r="1" spans="1:17" ht="20.399999999999999" x14ac:dyDescent="0.35">
      <c r="C1" s="179" t="s">
        <v>245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7" ht="20.399999999999999" hidden="1" customHeight="1" x14ac:dyDescent="0.25">
      <c r="A2" s="181" t="s">
        <v>284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7" s="23" customFormat="1" ht="26.4" x14ac:dyDescent="0.25">
      <c r="A3" s="22" t="s">
        <v>299</v>
      </c>
      <c r="B3" s="20" t="s">
        <v>261</v>
      </c>
      <c r="C3" s="20" t="s">
        <v>129</v>
      </c>
      <c r="D3" s="20" t="s">
        <v>130</v>
      </c>
      <c r="E3" s="21" t="s">
        <v>131</v>
      </c>
      <c r="F3" s="21" t="s">
        <v>144</v>
      </c>
      <c r="G3" s="21" t="s">
        <v>145</v>
      </c>
      <c r="H3" s="21" t="s">
        <v>146</v>
      </c>
      <c r="I3" s="21" t="s">
        <v>147</v>
      </c>
      <c r="J3" s="21" t="s">
        <v>140</v>
      </c>
      <c r="K3" s="21" t="s">
        <v>148</v>
      </c>
      <c r="L3" s="21" t="s">
        <v>141</v>
      </c>
      <c r="M3" s="22" t="s">
        <v>132</v>
      </c>
      <c r="N3" s="22" t="s">
        <v>133</v>
      </c>
      <c r="O3" s="20" t="s">
        <v>134</v>
      </c>
    </row>
    <row r="4" spans="1:17" s="29" customFormat="1" ht="121.2" hidden="1" customHeight="1" x14ac:dyDescent="0.25">
      <c r="A4" s="24"/>
      <c r="B4" s="24" t="s">
        <v>262</v>
      </c>
      <c r="C4" s="27" t="s">
        <v>135</v>
      </c>
      <c r="D4" s="25" t="s">
        <v>136</v>
      </c>
      <c r="E4" s="37">
        <v>4350500</v>
      </c>
      <c r="F4" s="38">
        <v>0.3</v>
      </c>
      <c r="G4" s="39">
        <f>E4*F4</f>
        <v>1305150</v>
      </c>
      <c r="H4" s="37">
        <v>1305150</v>
      </c>
      <c r="I4" s="37">
        <f>E4-H4</f>
        <v>3045350</v>
      </c>
      <c r="J4" s="37">
        <f>1005000+55596</f>
        <v>1060596</v>
      </c>
      <c r="K4" s="37">
        <f>I4-J4</f>
        <v>1984754</v>
      </c>
      <c r="L4" s="37">
        <f>(E4-J4)*30%-J4*30%</f>
        <v>668792.39999999991</v>
      </c>
      <c r="M4" s="30" t="s">
        <v>137</v>
      </c>
      <c r="N4" s="26" t="s">
        <v>138</v>
      </c>
      <c r="O4" s="27" t="s">
        <v>249</v>
      </c>
      <c r="P4" s="28">
        <v>297031.8</v>
      </c>
      <c r="Q4" s="29" t="s">
        <v>139</v>
      </c>
    </row>
    <row r="5" spans="1:17" s="131" customFormat="1" ht="59.4" hidden="1" customHeight="1" x14ac:dyDescent="0.25">
      <c r="A5" s="127"/>
      <c r="B5" s="128" t="s">
        <v>263</v>
      </c>
      <c r="C5" s="27" t="s">
        <v>135</v>
      </c>
      <c r="D5" s="129" t="s">
        <v>252</v>
      </c>
      <c r="E5" s="37">
        <v>4350500</v>
      </c>
      <c r="F5" s="38">
        <v>0.3</v>
      </c>
      <c r="G5" s="39">
        <f>E5*F5</f>
        <v>1305150</v>
      </c>
      <c r="H5" s="37">
        <v>1305150</v>
      </c>
      <c r="I5" s="37">
        <f>E5-H5</f>
        <v>3045350</v>
      </c>
      <c r="J5" s="37">
        <f>1005000*0.7+55596</f>
        <v>759096</v>
      </c>
      <c r="K5" s="37">
        <f>I5-J5</f>
        <v>2286254</v>
      </c>
      <c r="L5" s="37">
        <f>(E5-J5)*30%-J5*30%</f>
        <v>849692.39999999991</v>
      </c>
      <c r="M5" s="127"/>
      <c r="N5" s="127"/>
      <c r="O5" s="130" t="s">
        <v>252</v>
      </c>
    </row>
    <row r="6" spans="1:17" s="131" customFormat="1" ht="59.4" hidden="1" customHeight="1" x14ac:dyDescent="0.25">
      <c r="A6" s="127"/>
      <c r="B6" s="128" t="s">
        <v>264</v>
      </c>
      <c r="C6" s="27" t="s">
        <v>135</v>
      </c>
      <c r="D6" s="129" t="s">
        <v>253</v>
      </c>
      <c r="E6" s="37">
        <v>4350500</v>
      </c>
      <c r="F6" s="38">
        <v>0.3</v>
      </c>
      <c r="G6" s="39">
        <f>E6*F6</f>
        <v>1305150</v>
      </c>
      <c r="H6" s="37">
        <v>1305150</v>
      </c>
      <c r="I6" s="37">
        <f>E6-H6</f>
        <v>3045350</v>
      </c>
      <c r="J6" s="37">
        <f>1005000*0.4+55596</f>
        <v>457596</v>
      </c>
      <c r="K6" s="37">
        <f>I6-J6</f>
        <v>2587754</v>
      </c>
      <c r="L6" s="37">
        <f>(E6-J6)*30%-J6*30%</f>
        <v>1030592.3999999999</v>
      </c>
      <c r="M6" s="127"/>
      <c r="N6" s="127"/>
      <c r="O6" s="130" t="s">
        <v>253</v>
      </c>
    </row>
    <row r="7" spans="1:17" s="131" customFormat="1" ht="94.2" customHeight="1" x14ac:dyDescent="0.25">
      <c r="A7" s="132" t="s">
        <v>285</v>
      </c>
      <c r="B7" s="128" t="s">
        <v>265</v>
      </c>
      <c r="C7" s="27" t="s">
        <v>135</v>
      </c>
      <c r="D7" s="203" t="s">
        <v>260</v>
      </c>
      <c r="E7" s="37">
        <v>4350500</v>
      </c>
      <c r="F7" s="38">
        <v>0.3</v>
      </c>
      <c r="G7" s="39">
        <f>E7*F7</f>
        <v>1305150</v>
      </c>
      <c r="H7" s="37">
        <v>1305150</v>
      </c>
      <c r="I7" s="37">
        <f>E7-H7</f>
        <v>3045350</v>
      </c>
      <c r="J7" s="37">
        <f>55596</f>
        <v>55596</v>
      </c>
      <c r="K7" s="37">
        <f>I7-J7</f>
        <v>2989754</v>
      </c>
      <c r="L7" s="37">
        <f>(E7-J7)*30%-J7*30%</f>
        <v>1271792.3999999999</v>
      </c>
      <c r="M7" s="127"/>
      <c r="N7" s="127"/>
      <c r="O7" s="130" t="s">
        <v>260</v>
      </c>
    </row>
    <row r="9" spans="1:17" x14ac:dyDescent="0.25">
      <c r="I9" s="61"/>
      <c r="O9" s="36">
        <f>(4350500-990106-49200)*30%-((990106+49200)*30%)</f>
        <v>681566.39999999991</v>
      </c>
    </row>
    <row r="10" spans="1:17" x14ac:dyDescent="0.25">
      <c r="I10" s="62"/>
      <c r="O10" s="36">
        <f>993358.2-311791.8</f>
        <v>681566.39999999991</v>
      </c>
    </row>
    <row r="11" spans="1:17" x14ac:dyDescent="0.25">
      <c r="I11" s="62"/>
      <c r="O11">
        <f>990106+49200</f>
        <v>1039306</v>
      </c>
    </row>
    <row r="12" spans="1:17" x14ac:dyDescent="0.25">
      <c r="I12" s="62"/>
    </row>
    <row r="13" spans="1:17" x14ac:dyDescent="0.25">
      <c r="I13" s="62"/>
      <c r="O13">
        <f>4350500-1305150-1005000-55596</f>
        <v>1984754</v>
      </c>
    </row>
    <row r="14" spans="1:17" x14ac:dyDescent="0.25">
      <c r="I14" s="62"/>
      <c r="O14" s="36">
        <f>(4350500-1005000-55596)*30%-(1005000+55596)*30%</f>
        <v>668792.39999999991</v>
      </c>
    </row>
  </sheetData>
  <mergeCells count="2">
    <mergeCell ref="C1:O1"/>
    <mergeCell ref="A2:O2"/>
  </mergeCells>
  <phoneticPr fontId="2" type="noConversion"/>
  <conditionalFormatting sqref="C3">
    <cfRule type="duplicateValues" dxfId="3" priority="4"/>
  </conditionalFormatting>
  <conditionalFormatting sqref="C4:C7">
    <cfRule type="duplicateValues" dxfId="2" priority="3"/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62" orientation="landscape" r:id="rId1"/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D0DE-7572-47E3-A4F4-E8A2AC599E5C}">
  <dimension ref="A1:C7"/>
  <sheetViews>
    <sheetView workbookViewId="0">
      <selection activeCell="C10" sqref="C10"/>
    </sheetView>
  </sheetViews>
  <sheetFormatPr defaultRowHeight="13.8" x14ac:dyDescent="0.25"/>
  <cols>
    <col min="2" max="2" width="12.33203125" customWidth="1"/>
    <col min="3" max="3" width="99.5546875" customWidth="1"/>
  </cols>
  <sheetData>
    <row r="1" spans="1:3" ht="22.8" customHeight="1" x14ac:dyDescent="0.25">
      <c r="A1" s="182" t="s">
        <v>153</v>
      </c>
      <c r="B1" s="183"/>
      <c r="C1" s="183"/>
    </row>
    <row r="2" spans="1:3" ht="37.799999999999997" customHeight="1" x14ac:dyDescent="0.25">
      <c r="A2" s="1" t="s">
        <v>246</v>
      </c>
      <c r="B2" s="1" t="s">
        <v>150</v>
      </c>
      <c r="C2" s="1" t="s">
        <v>151</v>
      </c>
    </row>
    <row r="3" spans="1:3" ht="37.799999999999997" customHeight="1" x14ac:dyDescent="0.25">
      <c r="A3" s="1" t="s">
        <v>149</v>
      </c>
      <c r="B3" s="1">
        <v>0</v>
      </c>
      <c r="C3" s="40" t="s">
        <v>241</v>
      </c>
    </row>
    <row r="4" spans="1:3" ht="37.799999999999997" customHeight="1" x14ac:dyDescent="0.25">
      <c r="A4" s="1" t="s">
        <v>0</v>
      </c>
      <c r="B4" s="1">
        <v>-5943</v>
      </c>
      <c r="C4" s="41" t="s">
        <v>254</v>
      </c>
    </row>
    <row r="5" spans="1:3" ht="37.799999999999997" customHeight="1" x14ac:dyDescent="0.25">
      <c r="A5" s="1" t="s">
        <v>117</v>
      </c>
      <c r="B5" s="1">
        <f>SUM(B3:B4)</f>
        <v>-5943</v>
      </c>
      <c r="C5" s="31"/>
    </row>
    <row r="7" spans="1:3" x14ac:dyDescent="0.25">
      <c r="C7" t="s">
        <v>259</v>
      </c>
    </row>
  </sheetData>
  <mergeCells count="1">
    <mergeCell ref="A1:C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1F7E4-AF68-4E72-9D76-A1421673B839}">
  <dimension ref="A1:K170"/>
  <sheetViews>
    <sheetView view="pageBreakPreview" zoomScale="80" zoomScaleNormal="85" zoomScaleSheetLayoutView="80" workbookViewId="0">
      <pane xSplit="4" ySplit="2" topLeftCell="E27" activePane="bottomRight" state="frozen"/>
      <selection pane="topRight" activeCell="E1" sqref="E1"/>
      <selection pane="bottomLeft" activeCell="A5" sqref="A5"/>
      <selection pane="bottomRight" activeCell="K37" sqref="K37"/>
    </sheetView>
  </sheetViews>
  <sheetFormatPr defaultColWidth="9" defaultRowHeight="13.8" x14ac:dyDescent="0.25"/>
  <cols>
    <col min="1" max="1" width="8.77734375" style="2" customWidth="1"/>
    <col min="2" max="2" width="18.6640625" style="2" customWidth="1"/>
    <col min="3" max="3" width="34.88671875" style="35" customWidth="1"/>
    <col min="4" max="4" width="19.44140625" style="2" customWidth="1"/>
    <col min="5" max="5" width="13.77734375" style="2" customWidth="1"/>
    <col min="6" max="6" width="11" style="47" customWidth="1"/>
    <col min="7" max="7" width="12.33203125" style="8" customWidth="1"/>
    <col min="8" max="8" width="16" style="2" customWidth="1"/>
    <col min="9" max="9" width="7.21875" style="2" hidden="1" customWidth="1"/>
    <col min="10" max="10" width="13.6640625" style="2" customWidth="1"/>
    <col min="11" max="11" width="63.88671875" style="35" customWidth="1"/>
    <col min="12" max="16384" width="9" style="2"/>
  </cols>
  <sheetData>
    <row r="1" spans="1:11" ht="29.1" customHeight="1" x14ac:dyDescent="0.25">
      <c r="A1" s="164" t="s">
        <v>244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32.4" customHeight="1" x14ac:dyDescent="0.25">
      <c r="A2" s="10" t="s">
        <v>78</v>
      </c>
      <c r="B2" s="10" t="s">
        <v>2</v>
      </c>
      <c r="C2" s="10" t="s">
        <v>1</v>
      </c>
      <c r="D2" s="12" t="s">
        <v>156</v>
      </c>
      <c r="E2" s="43" t="s">
        <v>157</v>
      </c>
      <c r="F2" s="44" t="s">
        <v>162</v>
      </c>
      <c r="G2" s="14" t="s">
        <v>161</v>
      </c>
      <c r="H2" s="3" t="s">
        <v>183</v>
      </c>
      <c r="I2" s="66" t="s">
        <v>184</v>
      </c>
      <c r="J2" s="66" t="s">
        <v>185</v>
      </c>
      <c r="K2" s="3" t="s">
        <v>151</v>
      </c>
    </row>
    <row r="3" spans="1:11" s="57" customFormat="1" ht="21" customHeight="1" x14ac:dyDescent="0.25">
      <c r="A3" s="194" t="s">
        <v>79</v>
      </c>
      <c r="B3" s="194" t="s">
        <v>122</v>
      </c>
      <c r="C3" s="194" t="s">
        <v>3</v>
      </c>
      <c r="D3" s="194" t="s">
        <v>229</v>
      </c>
      <c r="E3" s="53" t="s">
        <v>164</v>
      </c>
      <c r="F3" s="54">
        <v>250</v>
      </c>
      <c r="G3" s="53">
        <v>2.83</v>
      </c>
      <c r="H3" s="53">
        <f>G3*1.13</f>
        <v>3.1978999999999997</v>
      </c>
      <c r="I3" s="55"/>
      <c r="J3" s="53">
        <f t="shared" ref="J3:J10" si="0">I3*1.13</f>
        <v>0</v>
      </c>
      <c r="K3" s="56" t="s">
        <v>196</v>
      </c>
    </row>
    <row r="4" spans="1:11" s="57" customFormat="1" ht="21" customHeight="1" x14ac:dyDescent="0.25">
      <c r="A4" s="195"/>
      <c r="B4" s="195"/>
      <c r="C4" s="195"/>
      <c r="D4" s="195"/>
      <c r="E4" s="53" t="s">
        <v>168</v>
      </c>
      <c r="F4" s="54">
        <v>250</v>
      </c>
      <c r="G4" s="53">
        <v>2.66</v>
      </c>
      <c r="H4" s="53">
        <f t="shared" ref="H4:H69" si="1">G4*1.13</f>
        <v>3.0057999999999998</v>
      </c>
      <c r="I4" s="55"/>
      <c r="J4" s="53">
        <f t="shared" si="0"/>
        <v>0</v>
      </c>
      <c r="K4" s="56" t="s">
        <v>196</v>
      </c>
    </row>
    <row r="5" spans="1:11" s="57" customFormat="1" ht="21" customHeight="1" x14ac:dyDescent="0.25">
      <c r="A5" s="195"/>
      <c r="B5" s="195"/>
      <c r="C5" s="195"/>
      <c r="D5" s="195"/>
      <c r="E5" s="53" t="s">
        <v>166</v>
      </c>
      <c r="F5" s="54">
        <v>250</v>
      </c>
      <c r="G5" s="53">
        <v>2.66</v>
      </c>
      <c r="H5" s="53">
        <f t="shared" si="1"/>
        <v>3.0057999999999998</v>
      </c>
      <c r="I5" s="55"/>
      <c r="J5" s="53">
        <f t="shared" si="0"/>
        <v>0</v>
      </c>
      <c r="K5" s="56" t="s">
        <v>196</v>
      </c>
    </row>
    <row r="6" spans="1:11" s="57" customFormat="1" ht="21" customHeight="1" x14ac:dyDescent="0.25">
      <c r="A6" s="196"/>
      <c r="B6" s="196"/>
      <c r="C6" s="196"/>
      <c r="D6" s="196"/>
      <c r="E6" s="53" t="s">
        <v>172</v>
      </c>
      <c r="F6" s="54">
        <v>250</v>
      </c>
      <c r="G6" s="53">
        <v>2.79</v>
      </c>
      <c r="H6" s="53">
        <f t="shared" si="1"/>
        <v>3.1526999999999998</v>
      </c>
      <c r="I6" s="55"/>
      <c r="J6" s="53">
        <f t="shared" si="0"/>
        <v>0</v>
      </c>
      <c r="K6" s="56" t="s">
        <v>196</v>
      </c>
    </row>
    <row r="7" spans="1:11" s="57" customFormat="1" ht="21" customHeight="1" x14ac:dyDescent="0.25">
      <c r="A7" s="194" t="s">
        <v>80</v>
      </c>
      <c r="B7" s="194" t="s">
        <v>5</v>
      </c>
      <c r="C7" s="194" t="s">
        <v>4</v>
      </c>
      <c r="D7" s="194" t="s">
        <v>229</v>
      </c>
      <c r="E7" s="53" t="s">
        <v>164</v>
      </c>
      <c r="F7" s="54">
        <v>250</v>
      </c>
      <c r="G7" s="53">
        <v>2.83</v>
      </c>
      <c r="H7" s="53">
        <f t="shared" si="1"/>
        <v>3.1978999999999997</v>
      </c>
      <c r="I7" s="55"/>
      <c r="J7" s="53">
        <f t="shared" si="0"/>
        <v>0</v>
      </c>
      <c r="K7" s="56" t="s">
        <v>196</v>
      </c>
    </row>
    <row r="8" spans="1:11" s="57" customFormat="1" ht="21" customHeight="1" x14ac:dyDescent="0.25">
      <c r="A8" s="195"/>
      <c r="B8" s="195"/>
      <c r="C8" s="195"/>
      <c r="D8" s="195"/>
      <c r="E8" s="53" t="s">
        <v>168</v>
      </c>
      <c r="F8" s="54">
        <v>250</v>
      </c>
      <c r="G8" s="53">
        <v>2.66</v>
      </c>
      <c r="H8" s="53">
        <f t="shared" si="1"/>
        <v>3.0057999999999998</v>
      </c>
      <c r="I8" s="55"/>
      <c r="J8" s="53">
        <f t="shared" si="0"/>
        <v>0</v>
      </c>
      <c r="K8" s="56" t="s">
        <v>196</v>
      </c>
    </row>
    <row r="9" spans="1:11" s="57" customFormat="1" ht="21" customHeight="1" x14ac:dyDescent="0.25">
      <c r="A9" s="195"/>
      <c r="B9" s="195"/>
      <c r="C9" s="195"/>
      <c r="D9" s="195"/>
      <c r="E9" s="53" t="s">
        <v>166</v>
      </c>
      <c r="F9" s="54">
        <v>250</v>
      </c>
      <c r="G9" s="53">
        <v>2.66</v>
      </c>
      <c r="H9" s="53">
        <f t="shared" si="1"/>
        <v>3.0057999999999998</v>
      </c>
      <c r="I9" s="55"/>
      <c r="J9" s="53">
        <f t="shared" si="0"/>
        <v>0</v>
      </c>
      <c r="K9" s="56" t="s">
        <v>196</v>
      </c>
    </row>
    <row r="10" spans="1:11" s="57" customFormat="1" ht="21" customHeight="1" x14ac:dyDescent="0.25">
      <c r="A10" s="196"/>
      <c r="B10" s="196"/>
      <c r="C10" s="196"/>
      <c r="D10" s="196"/>
      <c r="E10" s="53" t="s">
        <v>172</v>
      </c>
      <c r="F10" s="54">
        <v>250</v>
      </c>
      <c r="G10" s="53">
        <v>2.79</v>
      </c>
      <c r="H10" s="53">
        <f t="shared" si="1"/>
        <v>3.1526999999999998</v>
      </c>
      <c r="I10" s="55"/>
      <c r="J10" s="53">
        <f t="shared" si="0"/>
        <v>0</v>
      </c>
      <c r="K10" s="56" t="s">
        <v>196</v>
      </c>
    </row>
    <row r="11" spans="1:11" ht="21" customHeight="1" x14ac:dyDescent="0.25">
      <c r="A11" s="184" t="s">
        <v>81</v>
      </c>
      <c r="B11" s="184" t="s">
        <v>7</v>
      </c>
      <c r="C11" s="184" t="s">
        <v>6</v>
      </c>
      <c r="D11" s="184" t="s">
        <v>229</v>
      </c>
      <c r="E11" s="13" t="s">
        <v>163</v>
      </c>
      <c r="F11" s="45">
        <v>80</v>
      </c>
      <c r="G11" s="13">
        <v>1.93</v>
      </c>
      <c r="H11" s="13">
        <f t="shared" si="1"/>
        <v>2.1808999999999998</v>
      </c>
      <c r="I11" s="5"/>
      <c r="J11" s="13">
        <v>0.8</v>
      </c>
      <c r="K11" s="33" t="s">
        <v>197</v>
      </c>
    </row>
    <row r="12" spans="1:11" ht="21" customHeight="1" x14ac:dyDescent="0.25">
      <c r="A12" s="185"/>
      <c r="B12" s="185"/>
      <c r="C12" s="185"/>
      <c r="D12" s="185"/>
      <c r="E12" s="13" t="s">
        <v>164</v>
      </c>
      <c r="F12" s="45">
        <v>80</v>
      </c>
      <c r="G12" s="13">
        <v>1.98</v>
      </c>
      <c r="H12" s="13">
        <f t="shared" si="1"/>
        <v>2.2373999999999996</v>
      </c>
      <c r="I12" s="5"/>
      <c r="J12" s="13">
        <v>0.6</v>
      </c>
      <c r="K12" s="33" t="s">
        <v>198</v>
      </c>
    </row>
    <row r="13" spans="1:11" ht="21" customHeight="1" x14ac:dyDescent="0.25">
      <c r="A13" s="185"/>
      <c r="B13" s="185"/>
      <c r="C13" s="185"/>
      <c r="D13" s="185"/>
      <c r="E13" s="13" t="s">
        <v>164</v>
      </c>
      <c r="F13" s="45">
        <v>80</v>
      </c>
      <c r="G13" s="13">
        <v>1.85</v>
      </c>
      <c r="H13" s="13">
        <f t="shared" si="1"/>
        <v>2.0905</v>
      </c>
      <c r="I13" s="5"/>
      <c r="J13" s="13">
        <v>0.6</v>
      </c>
      <c r="K13" s="33" t="s">
        <v>198</v>
      </c>
    </row>
    <row r="14" spans="1:11" ht="21" customHeight="1" x14ac:dyDescent="0.25">
      <c r="A14" s="186"/>
      <c r="B14" s="186"/>
      <c r="C14" s="186"/>
      <c r="D14" s="186"/>
      <c r="E14" s="13" t="s">
        <v>173</v>
      </c>
      <c r="F14" s="45">
        <v>80</v>
      </c>
      <c r="G14" s="13">
        <v>1.45</v>
      </c>
      <c r="H14" s="13">
        <f t="shared" si="1"/>
        <v>1.6384999999999998</v>
      </c>
      <c r="I14" s="5"/>
      <c r="J14" s="13">
        <f t="shared" ref="J14:J20" si="2">I14*1.13</f>
        <v>0</v>
      </c>
      <c r="K14" s="33" t="s">
        <v>199</v>
      </c>
    </row>
    <row r="15" spans="1:11" ht="21" customHeight="1" x14ac:dyDescent="0.25">
      <c r="A15" s="184" t="s">
        <v>82</v>
      </c>
      <c r="B15" s="184" t="s">
        <v>9</v>
      </c>
      <c r="C15" s="184" t="s">
        <v>8</v>
      </c>
      <c r="D15" s="184" t="s">
        <v>229</v>
      </c>
      <c r="E15" s="13" t="s">
        <v>163</v>
      </c>
      <c r="F15" s="45">
        <v>80</v>
      </c>
      <c r="G15" s="13">
        <v>0</v>
      </c>
      <c r="H15" s="13">
        <f t="shared" si="1"/>
        <v>0</v>
      </c>
      <c r="I15" s="5"/>
      <c r="J15" s="13">
        <f t="shared" si="2"/>
        <v>0</v>
      </c>
      <c r="K15" s="33"/>
    </row>
    <row r="16" spans="1:11" ht="21" customHeight="1" x14ac:dyDescent="0.25">
      <c r="A16" s="185"/>
      <c r="B16" s="185"/>
      <c r="C16" s="185"/>
      <c r="D16" s="185"/>
      <c r="E16" s="13" t="s">
        <v>164</v>
      </c>
      <c r="F16" s="45">
        <v>80</v>
      </c>
      <c r="G16" s="13">
        <v>0</v>
      </c>
      <c r="H16" s="13">
        <f t="shared" si="1"/>
        <v>0</v>
      </c>
      <c r="I16" s="5"/>
      <c r="J16" s="13">
        <f t="shared" si="2"/>
        <v>0</v>
      </c>
      <c r="K16" s="33"/>
    </row>
    <row r="17" spans="1:11" ht="21" customHeight="1" x14ac:dyDescent="0.25">
      <c r="A17" s="185"/>
      <c r="B17" s="185"/>
      <c r="C17" s="185"/>
      <c r="D17" s="185"/>
      <c r="E17" s="13" t="s">
        <v>164</v>
      </c>
      <c r="F17" s="45">
        <v>80</v>
      </c>
      <c r="G17" s="13">
        <v>0</v>
      </c>
      <c r="H17" s="13">
        <f t="shared" si="1"/>
        <v>0</v>
      </c>
      <c r="I17" s="5"/>
      <c r="J17" s="13">
        <f t="shared" si="2"/>
        <v>0</v>
      </c>
      <c r="K17" s="33"/>
    </row>
    <row r="18" spans="1:11" ht="21" customHeight="1" x14ac:dyDescent="0.25">
      <c r="A18" s="186"/>
      <c r="B18" s="186"/>
      <c r="C18" s="186"/>
      <c r="D18" s="186"/>
      <c r="E18" s="13" t="s">
        <v>173</v>
      </c>
      <c r="F18" s="45">
        <v>80</v>
      </c>
      <c r="G18" s="13">
        <v>0</v>
      </c>
      <c r="H18" s="13">
        <f t="shared" si="1"/>
        <v>0</v>
      </c>
      <c r="I18" s="5"/>
      <c r="J18" s="13">
        <f t="shared" si="2"/>
        <v>0</v>
      </c>
      <c r="K18" s="33" t="s">
        <v>199</v>
      </c>
    </row>
    <row r="19" spans="1:11" ht="21" customHeight="1" x14ac:dyDescent="0.25">
      <c r="A19" s="184" t="s">
        <v>83</v>
      </c>
      <c r="B19" s="184" t="s">
        <v>11</v>
      </c>
      <c r="C19" s="184" t="s">
        <v>10</v>
      </c>
      <c r="D19" s="191" t="s">
        <v>230</v>
      </c>
      <c r="E19" s="13" t="s">
        <v>164</v>
      </c>
      <c r="F19" s="45">
        <v>250</v>
      </c>
      <c r="G19" s="13">
        <v>2.04</v>
      </c>
      <c r="H19" s="13">
        <f t="shared" si="1"/>
        <v>2.3051999999999997</v>
      </c>
      <c r="I19" s="5"/>
      <c r="J19" s="13">
        <f t="shared" si="2"/>
        <v>0</v>
      </c>
      <c r="K19" s="33"/>
    </row>
    <row r="20" spans="1:11" ht="21" customHeight="1" x14ac:dyDescent="0.25">
      <c r="A20" s="185"/>
      <c r="B20" s="185"/>
      <c r="C20" s="185"/>
      <c r="D20" s="192"/>
      <c r="E20" s="13" t="s">
        <v>174</v>
      </c>
      <c r="F20" s="45">
        <v>250</v>
      </c>
      <c r="G20" s="13">
        <v>2.04</v>
      </c>
      <c r="H20" s="13">
        <f t="shared" si="1"/>
        <v>2.3051999999999997</v>
      </c>
      <c r="I20" s="5"/>
      <c r="J20" s="13">
        <f t="shared" si="2"/>
        <v>0</v>
      </c>
      <c r="K20" s="33"/>
    </row>
    <row r="21" spans="1:11" ht="21" customHeight="1" x14ac:dyDescent="0.25">
      <c r="A21" s="185"/>
      <c r="B21" s="185"/>
      <c r="C21" s="185"/>
      <c r="D21" s="192"/>
      <c r="E21" s="13" t="s">
        <v>167</v>
      </c>
      <c r="F21" s="45">
        <v>250</v>
      </c>
      <c r="G21" s="13">
        <v>1.93</v>
      </c>
      <c r="H21" s="13">
        <f t="shared" si="1"/>
        <v>2.1808999999999998</v>
      </c>
      <c r="I21" s="5"/>
      <c r="J21" s="13">
        <v>0.6</v>
      </c>
      <c r="K21" s="33" t="s">
        <v>200</v>
      </c>
    </row>
    <row r="22" spans="1:11" ht="21" customHeight="1" x14ac:dyDescent="0.25">
      <c r="A22" s="185"/>
      <c r="B22" s="185"/>
      <c r="C22" s="185"/>
      <c r="D22" s="192"/>
      <c r="E22" s="13" t="s">
        <v>165</v>
      </c>
      <c r="F22" s="45">
        <v>200</v>
      </c>
      <c r="G22" s="13">
        <v>1.93</v>
      </c>
      <c r="H22" s="13">
        <f t="shared" si="1"/>
        <v>2.1808999999999998</v>
      </c>
      <c r="I22" s="5"/>
      <c r="J22" s="13">
        <v>1.5</v>
      </c>
      <c r="K22" s="33" t="s">
        <v>247</v>
      </c>
    </row>
    <row r="23" spans="1:11" ht="21" customHeight="1" x14ac:dyDescent="0.25">
      <c r="A23" s="185"/>
      <c r="B23" s="185"/>
      <c r="C23" s="185"/>
      <c r="D23" s="192"/>
      <c r="E23" s="13" t="s">
        <v>175</v>
      </c>
      <c r="F23" s="45">
        <v>200</v>
      </c>
      <c r="G23" s="13">
        <v>1.93</v>
      </c>
      <c r="H23" s="13">
        <f t="shared" si="1"/>
        <v>2.1808999999999998</v>
      </c>
      <c r="I23" s="5"/>
      <c r="J23" s="13">
        <f>I23*1.13</f>
        <v>0</v>
      </c>
      <c r="K23" s="33"/>
    </row>
    <row r="24" spans="1:11" ht="21" customHeight="1" x14ac:dyDescent="0.25">
      <c r="A24" s="186"/>
      <c r="B24" s="186"/>
      <c r="C24" s="186"/>
      <c r="D24" s="193"/>
      <c r="E24" s="13" t="s">
        <v>176</v>
      </c>
      <c r="F24" s="45">
        <v>200</v>
      </c>
      <c r="G24" s="13">
        <v>2.5</v>
      </c>
      <c r="H24" s="13">
        <f t="shared" si="1"/>
        <v>2.8249999999999997</v>
      </c>
      <c r="I24" s="5"/>
      <c r="J24" s="13">
        <f>I24*1.13</f>
        <v>0</v>
      </c>
      <c r="K24" s="33"/>
    </row>
    <row r="25" spans="1:11" ht="21" customHeight="1" x14ac:dyDescent="0.25">
      <c r="A25" s="184" t="s">
        <v>84</v>
      </c>
      <c r="B25" s="184" t="s">
        <v>13</v>
      </c>
      <c r="C25" s="184" t="s">
        <v>12</v>
      </c>
      <c r="D25" s="191" t="s">
        <v>230</v>
      </c>
      <c r="E25" s="13" t="s">
        <v>164</v>
      </c>
      <c r="F25" s="45">
        <v>250</v>
      </c>
      <c r="G25" s="13">
        <v>2.14</v>
      </c>
      <c r="H25" s="13">
        <f t="shared" si="1"/>
        <v>2.4182000000000001</v>
      </c>
      <c r="I25" s="5"/>
      <c r="J25" s="13">
        <f>I25*1.13</f>
        <v>0</v>
      </c>
      <c r="K25" s="33"/>
    </row>
    <row r="26" spans="1:11" ht="21" customHeight="1" x14ac:dyDescent="0.25">
      <c r="A26" s="185"/>
      <c r="B26" s="185"/>
      <c r="C26" s="185"/>
      <c r="D26" s="192"/>
      <c r="E26" s="13" t="s">
        <v>174</v>
      </c>
      <c r="F26" s="45">
        <v>250</v>
      </c>
      <c r="G26" s="13">
        <v>2.14</v>
      </c>
      <c r="H26" s="13">
        <f t="shared" si="1"/>
        <v>2.4182000000000001</v>
      </c>
      <c r="I26" s="5"/>
      <c r="J26" s="13">
        <v>1.5</v>
      </c>
      <c r="K26" s="33" t="s">
        <v>202</v>
      </c>
    </row>
    <row r="27" spans="1:11" ht="21" customHeight="1" x14ac:dyDescent="0.25">
      <c r="A27" s="185"/>
      <c r="B27" s="185"/>
      <c r="C27" s="185"/>
      <c r="D27" s="192"/>
      <c r="E27" s="13" t="s">
        <v>167</v>
      </c>
      <c r="F27" s="45">
        <v>250</v>
      </c>
      <c r="G27" s="13">
        <v>2.0299999999999998</v>
      </c>
      <c r="H27" s="13">
        <f t="shared" si="1"/>
        <v>2.2938999999999994</v>
      </c>
      <c r="I27" s="5"/>
      <c r="J27" s="13">
        <f>I27*1.13</f>
        <v>0</v>
      </c>
      <c r="K27" s="33"/>
    </row>
    <row r="28" spans="1:11" ht="21" customHeight="1" x14ac:dyDescent="0.25">
      <c r="A28" s="185"/>
      <c r="B28" s="185"/>
      <c r="C28" s="185"/>
      <c r="D28" s="192"/>
      <c r="E28" s="13" t="s">
        <v>177</v>
      </c>
      <c r="F28" s="45">
        <v>200</v>
      </c>
      <c r="G28" s="13">
        <v>1.85</v>
      </c>
      <c r="H28" s="13">
        <f t="shared" si="1"/>
        <v>2.0905</v>
      </c>
      <c r="I28" s="5"/>
      <c r="J28" s="13">
        <f>I28*1.13</f>
        <v>0</v>
      </c>
      <c r="K28" s="33"/>
    </row>
    <row r="29" spans="1:11" ht="21" customHeight="1" x14ac:dyDescent="0.25">
      <c r="A29" s="185"/>
      <c r="B29" s="185"/>
      <c r="C29" s="185"/>
      <c r="D29" s="192"/>
      <c r="E29" s="13" t="s">
        <v>165</v>
      </c>
      <c r="F29" s="45">
        <v>200</v>
      </c>
      <c r="G29" s="13">
        <v>1.85</v>
      </c>
      <c r="H29" s="13">
        <f t="shared" si="1"/>
        <v>2.0905</v>
      </c>
      <c r="I29" s="5"/>
      <c r="J29" s="13">
        <v>0.6</v>
      </c>
      <c r="K29" s="33" t="s">
        <v>203</v>
      </c>
    </row>
    <row r="30" spans="1:11" ht="21" customHeight="1" x14ac:dyDescent="0.25">
      <c r="A30" s="186"/>
      <c r="B30" s="186"/>
      <c r="C30" s="186"/>
      <c r="D30" s="193"/>
      <c r="E30" s="13" t="s">
        <v>167</v>
      </c>
      <c r="F30" s="45">
        <v>200</v>
      </c>
      <c r="G30" s="13">
        <v>1.85</v>
      </c>
      <c r="H30" s="13">
        <f t="shared" si="1"/>
        <v>2.0905</v>
      </c>
      <c r="I30" s="5"/>
      <c r="J30" s="13">
        <f>I30*1.13</f>
        <v>0</v>
      </c>
      <c r="K30" s="33"/>
    </row>
    <row r="31" spans="1:11" ht="21" customHeight="1" x14ac:dyDescent="0.25">
      <c r="A31" s="184" t="s">
        <v>85</v>
      </c>
      <c r="B31" s="184" t="s">
        <v>238</v>
      </c>
      <c r="C31" s="184" t="s">
        <v>14</v>
      </c>
      <c r="D31" s="191" t="s">
        <v>230</v>
      </c>
      <c r="E31" s="13" t="s">
        <v>163</v>
      </c>
      <c r="F31" s="45">
        <v>250</v>
      </c>
      <c r="G31" s="13">
        <v>3.08</v>
      </c>
      <c r="H31" s="13">
        <f t="shared" si="1"/>
        <v>3.4803999999999999</v>
      </c>
      <c r="I31" s="5"/>
      <c r="J31" s="13">
        <f>I31*1.13</f>
        <v>0</v>
      </c>
      <c r="K31" s="33"/>
    </row>
    <row r="32" spans="1:11" ht="21" customHeight="1" x14ac:dyDescent="0.25">
      <c r="A32" s="185"/>
      <c r="B32" s="185"/>
      <c r="C32" s="185"/>
      <c r="D32" s="192"/>
      <c r="E32" s="52" t="s">
        <v>159</v>
      </c>
      <c r="F32" s="50">
        <v>250</v>
      </c>
      <c r="G32" s="52"/>
      <c r="H32" s="52"/>
      <c r="I32" s="73"/>
      <c r="J32" s="52">
        <v>0.8</v>
      </c>
      <c r="K32" s="49" t="s">
        <v>204</v>
      </c>
    </row>
    <row r="33" spans="1:11" ht="21" customHeight="1" x14ac:dyDescent="0.25">
      <c r="A33" s="185"/>
      <c r="B33" s="185"/>
      <c r="C33" s="185"/>
      <c r="D33" s="192"/>
      <c r="E33" s="13" t="s">
        <v>178</v>
      </c>
      <c r="F33" s="45">
        <v>250</v>
      </c>
      <c r="G33" s="13">
        <v>3.66</v>
      </c>
      <c r="H33" s="13">
        <f t="shared" si="1"/>
        <v>4.1357999999999997</v>
      </c>
      <c r="I33" s="5"/>
      <c r="J33" s="13">
        <f t="shared" ref="J33:J39" si="3">I33*1.13</f>
        <v>0</v>
      </c>
      <c r="K33" s="33"/>
    </row>
    <row r="34" spans="1:11" ht="21" customHeight="1" x14ac:dyDescent="0.25">
      <c r="A34" s="185"/>
      <c r="B34" s="185"/>
      <c r="C34" s="185"/>
      <c r="D34" s="192"/>
      <c r="E34" s="13" t="s">
        <v>168</v>
      </c>
      <c r="F34" s="45">
        <v>250</v>
      </c>
      <c r="G34" s="13">
        <v>3.37</v>
      </c>
      <c r="H34" s="13">
        <f t="shared" si="1"/>
        <v>3.8080999999999996</v>
      </c>
      <c r="I34" s="5"/>
      <c r="J34" s="13">
        <f t="shared" si="3"/>
        <v>0</v>
      </c>
      <c r="K34" s="33"/>
    </row>
    <row r="35" spans="1:11" ht="21" customHeight="1" x14ac:dyDescent="0.25">
      <c r="A35" s="185"/>
      <c r="B35" s="185"/>
      <c r="C35" s="185"/>
      <c r="D35" s="192"/>
      <c r="E35" s="13" t="s">
        <v>167</v>
      </c>
      <c r="F35" s="45">
        <v>250</v>
      </c>
      <c r="G35" s="13">
        <v>3.18</v>
      </c>
      <c r="H35" s="13">
        <f t="shared" si="1"/>
        <v>3.5933999999999999</v>
      </c>
      <c r="I35" s="5"/>
      <c r="J35" s="13">
        <f t="shared" si="3"/>
        <v>0</v>
      </c>
      <c r="K35" s="33"/>
    </row>
    <row r="36" spans="1:11" ht="21" customHeight="1" x14ac:dyDescent="0.25">
      <c r="A36" s="185"/>
      <c r="B36" s="185"/>
      <c r="C36" s="185"/>
      <c r="D36" s="192"/>
      <c r="E36" s="13" t="s">
        <v>179</v>
      </c>
      <c r="F36" s="45">
        <v>250</v>
      </c>
      <c r="G36" s="13">
        <v>3.18</v>
      </c>
      <c r="H36" s="13">
        <f t="shared" si="1"/>
        <v>3.5933999999999999</v>
      </c>
      <c r="I36" s="5"/>
      <c r="J36" s="13">
        <v>1.5</v>
      </c>
      <c r="K36" s="33" t="s">
        <v>205</v>
      </c>
    </row>
    <row r="37" spans="1:11" ht="21" customHeight="1" x14ac:dyDescent="0.25">
      <c r="A37" s="185"/>
      <c r="B37" s="185"/>
      <c r="C37" s="185"/>
      <c r="D37" s="192"/>
      <c r="E37" s="13" t="s">
        <v>165</v>
      </c>
      <c r="F37" s="45">
        <v>200</v>
      </c>
      <c r="G37" s="13">
        <v>2.89</v>
      </c>
      <c r="H37" s="13">
        <f t="shared" si="1"/>
        <v>3.2656999999999998</v>
      </c>
      <c r="I37" s="5"/>
      <c r="J37" s="13">
        <f t="shared" si="3"/>
        <v>0</v>
      </c>
      <c r="K37" s="33"/>
    </row>
    <row r="38" spans="1:11" ht="21" customHeight="1" x14ac:dyDescent="0.25">
      <c r="A38" s="186"/>
      <c r="B38" s="186"/>
      <c r="C38" s="186"/>
      <c r="D38" s="193"/>
      <c r="E38" s="13" t="s">
        <v>165</v>
      </c>
      <c r="F38" s="45">
        <v>200</v>
      </c>
      <c r="G38" s="13">
        <v>2.89</v>
      </c>
      <c r="H38" s="13">
        <f t="shared" si="1"/>
        <v>3.2656999999999998</v>
      </c>
      <c r="I38" s="5"/>
      <c r="J38" s="13">
        <v>0.8</v>
      </c>
      <c r="K38" s="33" t="s">
        <v>203</v>
      </c>
    </row>
    <row r="39" spans="1:11" ht="21" customHeight="1" x14ac:dyDescent="0.25">
      <c r="A39" s="184" t="s">
        <v>86</v>
      </c>
      <c r="B39" s="184" t="s">
        <v>17</v>
      </c>
      <c r="C39" s="184" t="s">
        <v>16</v>
      </c>
      <c r="D39" s="191" t="s">
        <v>230</v>
      </c>
      <c r="E39" s="13" t="s">
        <v>163</v>
      </c>
      <c r="F39" s="45">
        <v>250</v>
      </c>
      <c r="G39" s="13">
        <v>0</v>
      </c>
      <c r="H39" s="13">
        <f t="shared" si="1"/>
        <v>0</v>
      </c>
      <c r="I39" s="5"/>
      <c r="J39" s="13">
        <f t="shared" si="3"/>
        <v>0</v>
      </c>
      <c r="K39" s="33"/>
    </row>
    <row r="40" spans="1:11" ht="21" customHeight="1" x14ac:dyDescent="0.25">
      <c r="A40" s="185"/>
      <c r="B40" s="185"/>
      <c r="C40" s="185"/>
      <c r="D40" s="192"/>
      <c r="E40" s="52" t="s">
        <v>159</v>
      </c>
      <c r="F40" s="50">
        <v>250</v>
      </c>
      <c r="G40" s="52">
        <v>0</v>
      </c>
      <c r="H40" s="52">
        <f t="shared" si="1"/>
        <v>0</v>
      </c>
      <c r="I40" s="73"/>
      <c r="J40" s="52">
        <v>0</v>
      </c>
      <c r="K40" s="49" t="s">
        <v>242</v>
      </c>
    </row>
    <row r="41" spans="1:11" ht="21" customHeight="1" x14ac:dyDescent="0.25">
      <c r="A41" s="185"/>
      <c r="B41" s="185"/>
      <c r="C41" s="185"/>
      <c r="D41" s="192"/>
      <c r="E41" s="13" t="s">
        <v>178</v>
      </c>
      <c r="F41" s="45">
        <v>250</v>
      </c>
      <c r="G41" s="13">
        <v>3.66</v>
      </c>
      <c r="H41" s="13">
        <f t="shared" si="1"/>
        <v>4.1357999999999997</v>
      </c>
      <c r="I41" s="5"/>
      <c r="J41" s="13">
        <f t="shared" ref="J41:J103" si="4">I41*1.13</f>
        <v>0</v>
      </c>
      <c r="K41" s="33"/>
    </row>
    <row r="42" spans="1:11" ht="21" customHeight="1" x14ac:dyDescent="0.25">
      <c r="A42" s="185"/>
      <c r="B42" s="185"/>
      <c r="C42" s="185"/>
      <c r="D42" s="192"/>
      <c r="E42" s="13" t="s">
        <v>168</v>
      </c>
      <c r="F42" s="45">
        <v>250</v>
      </c>
      <c r="G42" s="13">
        <v>3.37</v>
      </c>
      <c r="H42" s="13">
        <f t="shared" si="1"/>
        <v>3.8080999999999996</v>
      </c>
      <c r="I42" s="5"/>
      <c r="J42" s="13">
        <f t="shared" si="4"/>
        <v>0</v>
      </c>
      <c r="K42" s="33"/>
    </row>
    <row r="43" spans="1:11" ht="21" customHeight="1" x14ac:dyDescent="0.25">
      <c r="A43" s="185"/>
      <c r="B43" s="185"/>
      <c r="C43" s="185"/>
      <c r="D43" s="192"/>
      <c r="E43" s="13" t="s">
        <v>167</v>
      </c>
      <c r="F43" s="45">
        <v>250</v>
      </c>
      <c r="G43" s="13">
        <v>3.18</v>
      </c>
      <c r="H43" s="13">
        <f t="shared" si="1"/>
        <v>3.5933999999999999</v>
      </c>
      <c r="I43" s="5"/>
      <c r="J43" s="13">
        <f t="shared" si="4"/>
        <v>0</v>
      </c>
      <c r="K43" s="33"/>
    </row>
    <row r="44" spans="1:11" ht="21" customHeight="1" x14ac:dyDescent="0.25">
      <c r="A44" s="185"/>
      <c r="B44" s="185"/>
      <c r="C44" s="185"/>
      <c r="D44" s="192"/>
      <c r="E44" s="13" t="s">
        <v>179</v>
      </c>
      <c r="F44" s="45">
        <v>250</v>
      </c>
      <c r="G44" s="13">
        <v>3.18</v>
      </c>
      <c r="H44" s="13">
        <f t="shared" si="1"/>
        <v>3.5933999999999999</v>
      </c>
      <c r="I44" s="5"/>
      <c r="J44" s="13">
        <v>1.2</v>
      </c>
      <c r="K44" s="33" t="s">
        <v>205</v>
      </c>
    </row>
    <row r="45" spans="1:11" ht="21" customHeight="1" x14ac:dyDescent="0.25">
      <c r="A45" s="185"/>
      <c r="B45" s="185"/>
      <c r="C45" s="185"/>
      <c r="D45" s="192"/>
      <c r="E45" s="13" t="s">
        <v>165</v>
      </c>
      <c r="F45" s="45">
        <v>200</v>
      </c>
      <c r="G45" s="13">
        <v>2.89</v>
      </c>
      <c r="H45" s="13">
        <f t="shared" si="1"/>
        <v>3.2656999999999998</v>
      </c>
      <c r="I45" s="5"/>
      <c r="J45" s="13">
        <f t="shared" si="4"/>
        <v>0</v>
      </c>
      <c r="K45" s="33"/>
    </row>
    <row r="46" spans="1:11" ht="21" customHeight="1" x14ac:dyDescent="0.25">
      <c r="A46" s="186"/>
      <c r="B46" s="186"/>
      <c r="C46" s="186"/>
      <c r="D46" s="193"/>
      <c r="E46" s="13" t="s">
        <v>165</v>
      </c>
      <c r="F46" s="45">
        <v>200</v>
      </c>
      <c r="G46" s="13">
        <v>2.89</v>
      </c>
      <c r="H46" s="13">
        <f t="shared" si="1"/>
        <v>3.2656999999999998</v>
      </c>
      <c r="I46" s="5"/>
      <c r="J46" s="13">
        <f t="shared" si="4"/>
        <v>0</v>
      </c>
      <c r="K46" s="33"/>
    </row>
    <row r="47" spans="1:11" ht="21" customHeight="1" x14ac:dyDescent="0.25">
      <c r="A47" s="184" t="s">
        <v>87</v>
      </c>
      <c r="B47" s="184" t="s">
        <v>19</v>
      </c>
      <c r="C47" s="184" t="s">
        <v>18</v>
      </c>
      <c r="D47" s="191" t="s">
        <v>230</v>
      </c>
      <c r="E47" s="3" t="s">
        <v>164</v>
      </c>
      <c r="F47" s="3">
        <v>250</v>
      </c>
      <c r="G47" s="13">
        <v>4.62</v>
      </c>
      <c r="H47" s="13">
        <f t="shared" si="1"/>
        <v>5.2205999999999992</v>
      </c>
      <c r="I47" s="5"/>
      <c r="J47" s="13">
        <f t="shared" si="4"/>
        <v>0</v>
      </c>
      <c r="K47" s="33"/>
    </row>
    <row r="48" spans="1:11" ht="21" customHeight="1" x14ac:dyDescent="0.25">
      <c r="A48" s="185"/>
      <c r="B48" s="185"/>
      <c r="C48" s="185"/>
      <c r="D48" s="192"/>
      <c r="E48" s="13" t="s">
        <v>168</v>
      </c>
      <c r="F48" s="45">
        <v>250</v>
      </c>
      <c r="G48" s="13">
        <v>4.33</v>
      </c>
      <c r="H48" s="13">
        <f t="shared" si="1"/>
        <v>4.8929</v>
      </c>
      <c r="I48" s="5"/>
      <c r="J48" s="13">
        <v>1.5</v>
      </c>
      <c r="K48" s="33" t="s">
        <v>206</v>
      </c>
    </row>
    <row r="49" spans="1:11" ht="21" customHeight="1" x14ac:dyDescent="0.25">
      <c r="A49" s="185"/>
      <c r="B49" s="185"/>
      <c r="C49" s="185"/>
      <c r="D49" s="192"/>
      <c r="E49" s="13" t="s">
        <v>167</v>
      </c>
      <c r="F49" s="45">
        <v>250</v>
      </c>
      <c r="G49" s="13">
        <v>4.33</v>
      </c>
      <c r="H49" s="13">
        <f t="shared" si="1"/>
        <v>4.8929</v>
      </c>
      <c r="I49" s="5"/>
      <c r="J49" s="13">
        <f t="shared" si="4"/>
        <v>0</v>
      </c>
      <c r="K49" s="33"/>
    </row>
    <row r="50" spans="1:11" ht="21" customHeight="1" x14ac:dyDescent="0.25">
      <c r="A50" s="185"/>
      <c r="B50" s="185"/>
      <c r="C50" s="185"/>
      <c r="D50" s="192"/>
      <c r="E50" s="13" t="s">
        <v>179</v>
      </c>
      <c r="F50" s="45">
        <v>250</v>
      </c>
      <c r="G50" s="13">
        <v>4.33</v>
      </c>
      <c r="H50" s="13">
        <f t="shared" si="1"/>
        <v>4.8929</v>
      </c>
      <c r="I50" s="5"/>
      <c r="J50" s="13">
        <f t="shared" si="4"/>
        <v>0</v>
      </c>
      <c r="K50" s="33"/>
    </row>
    <row r="51" spans="1:11" ht="21" customHeight="1" x14ac:dyDescent="0.25">
      <c r="A51" s="185"/>
      <c r="B51" s="185"/>
      <c r="C51" s="185"/>
      <c r="D51" s="192"/>
      <c r="E51" s="13" t="s">
        <v>165</v>
      </c>
      <c r="F51" s="45">
        <v>200</v>
      </c>
      <c r="G51" s="13">
        <v>4.05</v>
      </c>
      <c r="H51" s="13">
        <f t="shared" si="1"/>
        <v>4.5764999999999993</v>
      </c>
      <c r="I51" s="5"/>
      <c r="J51" s="13">
        <f t="shared" si="4"/>
        <v>0</v>
      </c>
      <c r="K51" s="33"/>
    </row>
    <row r="52" spans="1:11" ht="21" customHeight="1" x14ac:dyDescent="0.25">
      <c r="A52" s="186"/>
      <c r="B52" s="186"/>
      <c r="C52" s="186"/>
      <c r="D52" s="193"/>
      <c r="E52" s="13" t="s">
        <v>173</v>
      </c>
      <c r="F52" s="45">
        <v>200</v>
      </c>
      <c r="G52" s="13">
        <v>4.05</v>
      </c>
      <c r="H52" s="13">
        <f t="shared" si="1"/>
        <v>4.5764999999999993</v>
      </c>
      <c r="I52" s="5"/>
      <c r="J52" s="13">
        <f t="shared" si="4"/>
        <v>0</v>
      </c>
      <c r="K52" s="33"/>
    </row>
    <row r="53" spans="1:11" ht="21" customHeight="1" x14ac:dyDescent="0.25">
      <c r="A53" s="184" t="s">
        <v>88</v>
      </c>
      <c r="B53" s="184" t="s">
        <v>21</v>
      </c>
      <c r="C53" s="184" t="s">
        <v>20</v>
      </c>
      <c r="D53" s="191" t="s">
        <v>230</v>
      </c>
      <c r="E53" s="3" t="s">
        <v>164</v>
      </c>
      <c r="F53" s="3">
        <v>250</v>
      </c>
      <c r="G53" s="13">
        <v>0</v>
      </c>
      <c r="H53" s="13">
        <f t="shared" si="1"/>
        <v>0</v>
      </c>
      <c r="I53" s="5"/>
      <c r="J53" s="13">
        <f t="shared" si="4"/>
        <v>0</v>
      </c>
      <c r="K53" s="33"/>
    </row>
    <row r="54" spans="1:11" ht="21" customHeight="1" x14ac:dyDescent="0.25">
      <c r="A54" s="185"/>
      <c r="B54" s="185"/>
      <c r="C54" s="185"/>
      <c r="D54" s="192"/>
      <c r="E54" s="13" t="s">
        <v>168</v>
      </c>
      <c r="F54" s="45">
        <v>250</v>
      </c>
      <c r="G54" s="13">
        <v>0</v>
      </c>
      <c r="H54" s="13">
        <f t="shared" si="1"/>
        <v>0</v>
      </c>
      <c r="I54" s="5"/>
      <c r="J54" s="13">
        <f t="shared" si="4"/>
        <v>0</v>
      </c>
      <c r="K54" s="33"/>
    </row>
    <row r="55" spans="1:11" ht="21" customHeight="1" x14ac:dyDescent="0.25">
      <c r="A55" s="185"/>
      <c r="B55" s="185"/>
      <c r="C55" s="185"/>
      <c r="D55" s="192"/>
      <c r="E55" s="13" t="s">
        <v>167</v>
      </c>
      <c r="F55" s="45">
        <v>250</v>
      </c>
      <c r="G55" s="13">
        <v>0</v>
      </c>
      <c r="H55" s="13">
        <f t="shared" si="1"/>
        <v>0</v>
      </c>
      <c r="I55" s="5"/>
      <c r="J55" s="13">
        <f t="shared" si="4"/>
        <v>0</v>
      </c>
      <c r="K55" s="33"/>
    </row>
    <row r="56" spans="1:11" ht="21" customHeight="1" x14ac:dyDescent="0.25">
      <c r="A56" s="185"/>
      <c r="B56" s="185"/>
      <c r="C56" s="185"/>
      <c r="D56" s="192"/>
      <c r="E56" s="13" t="s">
        <v>179</v>
      </c>
      <c r="F56" s="45">
        <v>250</v>
      </c>
      <c r="G56" s="13">
        <v>0</v>
      </c>
      <c r="H56" s="13">
        <f t="shared" si="1"/>
        <v>0</v>
      </c>
      <c r="I56" s="5"/>
      <c r="J56" s="13">
        <f t="shared" si="4"/>
        <v>0</v>
      </c>
      <c r="K56" s="33"/>
    </row>
    <row r="57" spans="1:11" ht="21" customHeight="1" x14ac:dyDescent="0.25">
      <c r="A57" s="185"/>
      <c r="B57" s="185"/>
      <c r="C57" s="185"/>
      <c r="D57" s="192"/>
      <c r="E57" s="13" t="s">
        <v>165</v>
      </c>
      <c r="F57" s="45">
        <v>200</v>
      </c>
      <c r="G57" s="13">
        <v>0</v>
      </c>
      <c r="H57" s="13">
        <f t="shared" si="1"/>
        <v>0</v>
      </c>
      <c r="I57" s="5"/>
      <c r="J57" s="13">
        <f t="shared" si="4"/>
        <v>0</v>
      </c>
      <c r="K57" s="33"/>
    </row>
    <row r="58" spans="1:11" ht="21" customHeight="1" x14ac:dyDescent="0.25">
      <c r="A58" s="186"/>
      <c r="B58" s="186"/>
      <c r="C58" s="186"/>
      <c r="D58" s="193"/>
      <c r="E58" s="13" t="s">
        <v>173</v>
      </c>
      <c r="F58" s="45">
        <v>200</v>
      </c>
      <c r="G58" s="13">
        <v>0</v>
      </c>
      <c r="H58" s="13">
        <f t="shared" si="1"/>
        <v>0</v>
      </c>
      <c r="I58" s="5"/>
      <c r="J58" s="13">
        <f t="shared" si="4"/>
        <v>0</v>
      </c>
      <c r="K58" s="33"/>
    </row>
    <row r="59" spans="1:11" ht="21" customHeight="1" x14ac:dyDescent="0.25">
      <c r="A59" s="184" t="s">
        <v>89</v>
      </c>
      <c r="B59" s="184" t="s">
        <v>23</v>
      </c>
      <c r="C59" s="184" t="s">
        <v>22</v>
      </c>
      <c r="D59" s="191" t="s">
        <v>230</v>
      </c>
      <c r="E59" s="3" t="s">
        <v>164</v>
      </c>
      <c r="F59" s="45">
        <v>250</v>
      </c>
      <c r="G59" s="13">
        <v>2.2999999999999998</v>
      </c>
      <c r="H59" s="13">
        <f t="shared" si="1"/>
        <v>2.5989999999999998</v>
      </c>
      <c r="I59" s="5"/>
      <c r="J59" s="13">
        <f t="shared" si="4"/>
        <v>0</v>
      </c>
      <c r="K59" s="33"/>
    </row>
    <row r="60" spans="1:11" ht="21" customHeight="1" x14ac:dyDescent="0.25">
      <c r="A60" s="185"/>
      <c r="B60" s="185"/>
      <c r="C60" s="185"/>
      <c r="D60" s="192"/>
      <c r="E60" s="13" t="s">
        <v>168</v>
      </c>
      <c r="F60" s="45">
        <v>200</v>
      </c>
      <c r="G60" s="13">
        <v>1.79</v>
      </c>
      <c r="H60" s="13">
        <f t="shared" si="1"/>
        <v>2.0226999999999999</v>
      </c>
      <c r="I60" s="5"/>
      <c r="J60" s="13">
        <f t="shared" si="4"/>
        <v>0</v>
      </c>
      <c r="K60" s="33"/>
    </row>
    <row r="61" spans="1:11" ht="21" customHeight="1" x14ac:dyDescent="0.25">
      <c r="A61" s="185"/>
      <c r="B61" s="185"/>
      <c r="C61" s="185"/>
      <c r="D61" s="192"/>
      <c r="E61" s="13" t="s">
        <v>167</v>
      </c>
      <c r="F61" s="45">
        <v>200</v>
      </c>
      <c r="G61" s="13">
        <v>1.79</v>
      </c>
      <c r="H61" s="13">
        <f t="shared" si="1"/>
        <v>2.0226999999999999</v>
      </c>
      <c r="I61" s="5"/>
      <c r="J61" s="13">
        <v>0.8</v>
      </c>
      <c r="K61" s="33" t="s">
        <v>198</v>
      </c>
    </row>
    <row r="62" spans="1:11" ht="21" customHeight="1" x14ac:dyDescent="0.25">
      <c r="A62" s="185"/>
      <c r="B62" s="185"/>
      <c r="C62" s="185"/>
      <c r="D62" s="192"/>
      <c r="E62" s="2" t="s">
        <v>168</v>
      </c>
      <c r="F62" s="45">
        <v>160</v>
      </c>
      <c r="G62" s="13">
        <v>1.42</v>
      </c>
      <c r="H62" s="13">
        <f t="shared" si="1"/>
        <v>1.6045999999999998</v>
      </c>
      <c r="I62" s="5"/>
      <c r="J62" s="13">
        <f t="shared" si="4"/>
        <v>0</v>
      </c>
      <c r="K62" s="33"/>
    </row>
    <row r="63" spans="1:11" ht="21" customHeight="1" x14ac:dyDescent="0.25">
      <c r="A63" s="186"/>
      <c r="B63" s="186"/>
      <c r="C63" s="186"/>
      <c r="D63" s="193"/>
      <c r="E63" s="13" t="s">
        <v>179</v>
      </c>
      <c r="F63" s="45">
        <v>160</v>
      </c>
      <c r="G63" s="13">
        <v>1.42</v>
      </c>
      <c r="H63" s="13">
        <f t="shared" si="1"/>
        <v>1.6045999999999998</v>
      </c>
      <c r="I63" s="5"/>
      <c r="J63" s="13">
        <f t="shared" si="4"/>
        <v>0</v>
      </c>
      <c r="K63" s="33"/>
    </row>
    <row r="64" spans="1:11" ht="21" customHeight="1" x14ac:dyDescent="0.25">
      <c r="A64" s="184" t="s">
        <v>90</v>
      </c>
      <c r="B64" s="184" t="s">
        <v>25</v>
      </c>
      <c r="C64" s="184" t="s">
        <v>24</v>
      </c>
      <c r="D64" s="191" t="s">
        <v>230</v>
      </c>
      <c r="E64" s="3" t="s">
        <v>164</v>
      </c>
      <c r="F64" s="45">
        <v>250</v>
      </c>
      <c r="G64" s="13">
        <v>2.2999999999999998</v>
      </c>
      <c r="H64" s="13">
        <f t="shared" si="1"/>
        <v>2.5989999999999998</v>
      </c>
      <c r="I64" s="5"/>
      <c r="J64" s="13">
        <f t="shared" si="4"/>
        <v>0</v>
      </c>
      <c r="K64" s="33"/>
    </row>
    <row r="65" spans="1:11" ht="21" customHeight="1" x14ac:dyDescent="0.25">
      <c r="A65" s="185"/>
      <c r="B65" s="185"/>
      <c r="C65" s="185"/>
      <c r="D65" s="192"/>
      <c r="E65" s="13" t="s">
        <v>168</v>
      </c>
      <c r="F65" s="45">
        <v>200</v>
      </c>
      <c r="G65" s="13">
        <v>1.79</v>
      </c>
      <c r="H65" s="13">
        <f t="shared" si="1"/>
        <v>2.0226999999999999</v>
      </c>
      <c r="I65" s="5"/>
      <c r="J65" s="13">
        <f t="shared" si="4"/>
        <v>0</v>
      </c>
      <c r="K65" s="33"/>
    </row>
    <row r="66" spans="1:11" ht="21" customHeight="1" x14ac:dyDescent="0.25">
      <c r="A66" s="185"/>
      <c r="B66" s="185"/>
      <c r="C66" s="185"/>
      <c r="D66" s="192"/>
      <c r="E66" s="13" t="s">
        <v>167</v>
      </c>
      <c r="F66" s="45">
        <v>200</v>
      </c>
      <c r="G66" s="13">
        <v>1.79</v>
      </c>
      <c r="H66" s="13">
        <f t="shared" si="1"/>
        <v>2.0226999999999999</v>
      </c>
      <c r="I66" s="5"/>
      <c r="J66" s="13">
        <v>1</v>
      </c>
      <c r="K66" s="33" t="s">
        <v>198</v>
      </c>
    </row>
    <row r="67" spans="1:11" ht="21" customHeight="1" x14ac:dyDescent="0.25">
      <c r="A67" s="185"/>
      <c r="B67" s="185"/>
      <c r="C67" s="185"/>
      <c r="D67" s="192"/>
      <c r="E67" s="2" t="s">
        <v>168</v>
      </c>
      <c r="F67" s="45">
        <v>160</v>
      </c>
      <c r="G67" s="13">
        <v>1.42</v>
      </c>
      <c r="H67" s="13">
        <f t="shared" si="1"/>
        <v>1.6045999999999998</v>
      </c>
      <c r="I67" s="5"/>
      <c r="J67" s="13">
        <f t="shared" si="4"/>
        <v>0</v>
      </c>
      <c r="K67" s="33"/>
    </row>
    <row r="68" spans="1:11" ht="21" customHeight="1" x14ac:dyDescent="0.25">
      <c r="A68" s="186"/>
      <c r="B68" s="186"/>
      <c r="C68" s="186"/>
      <c r="D68" s="193"/>
      <c r="E68" s="13" t="s">
        <v>179</v>
      </c>
      <c r="F68" s="45">
        <v>160</v>
      </c>
      <c r="G68" s="13">
        <v>1.42</v>
      </c>
      <c r="H68" s="13">
        <f t="shared" si="1"/>
        <v>1.6045999999999998</v>
      </c>
      <c r="I68" s="5"/>
      <c r="J68" s="13">
        <v>1</v>
      </c>
      <c r="K68" s="33" t="s">
        <v>207</v>
      </c>
    </row>
    <row r="69" spans="1:11" s="57" customFormat="1" ht="21" customHeight="1" x14ac:dyDescent="0.25">
      <c r="A69" s="194" t="s">
        <v>91</v>
      </c>
      <c r="B69" s="194" t="s">
        <v>27</v>
      </c>
      <c r="C69" s="194" t="s">
        <v>26</v>
      </c>
      <c r="D69" s="194" t="s">
        <v>231</v>
      </c>
      <c r="E69" s="53" t="s">
        <v>164</v>
      </c>
      <c r="F69" s="54">
        <v>250</v>
      </c>
      <c r="G69" s="53">
        <v>2.7050000000000001</v>
      </c>
      <c r="H69" s="53">
        <f t="shared" si="1"/>
        <v>3.0566499999999999</v>
      </c>
      <c r="I69" s="55"/>
      <c r="J69" s="53">
        <f t="shared" si="4"/>
        <v>0</v>
      </c>
      <c r="K69" s="56" t="s">
        <v>196</v>
      </c>
    </row>
    <row r="70" spans="1:11" s="57" customFormat="1" ht="21" customHeight="1" x14ac:dyDescent="0.25">
      <c r="A70" s="195"/>
      <c r="B70" s="195"/>
      <c r="C70" s="195"/>
      <c r="D70" s="195"/>
      <c r="E70" s="53" t="s">
        <v>174</v>
      </c>
      <c r="F70" s="54">
        <v>250</v>
      </c>
      <c r="G70" s="53">
        <v>2.5099999999999998</v>
      </c>
      <c r="H70" s="53">
        <f t="shared" ref="H70:H133" si="5">G70*1.13</f>
        <v>2.8362999999999996</v>
      </c>
      <c r="I70" s="55"/>
      <c r="J70" s="53">
        <f t="shared" si="4"/>
        <v>0</v>
      </c>
      <c r="K70" s="56" t="s">
        <v>196</v>
      </c>
    </row>
    <row r="71" spans="1:11" s="57" customFormat="1" ht="21" customHeight="1" x14ac:dyDescent="0.25">
      <c r="A71" s="195"/>
      <c r="B71" s="195"/>
      <c r="C71" s="195"/>
      <c r="D71" s="195"/>
      <c r="E71" s="53" t="s">
        <v>179</v>
      </c>
      <c r="F71" s="54">
        <v>250</v>
      </c>
      <c r="G71" s="53">
        <v>2.5099999999999998</v>
      </c>
      <c r="H71" s="53">
        <f t="shared" si="5"/>
        <v>2.8362999999999996</v>
      </c>
      <c r="I71" s="55"/>
      <c r="J71" s="53">
        <f t="shared" si="4"/>
        <v>0</v>
      </c>
      <c r="K71" s="56" t="s">
        <v>196</v>
      </c>
    </row>
    <row r="72" spans="1:11" s="57" customFormat="1" ht="21" customHeight="1" x14ac:dyDescent="0.25">
      <c r="A72" s="196"/>
      <c r="B72" s="196"/>
      <c r="C72" s="196"/>
      <c r="D72" s="196"/>
      <c r="E72" s="53" t="s">
        <v>165</v>
      </c>
      <c r="F72" s="54">
        <v>200</v>
      </c>
      <c r="G72" s="53">
        <v>2.15</v>
      </c>
      <c r="H72" s="53">
        <f t="shared" si="5"/>
        <v>2.4294999999999995</v>
      </c>
      <c r="I72" s="55"/>
      <c r="J72" s="53">
        <f t="shared" si="4"/>
        <v>0</v>
      </c>
      <c r="K72" s="56" t="s">
        <v>196</v>
      </c>
    </row>
    <row r="73" spans="1:11" s="57" customFormat="1" ht="21" customHeight="1" x14ac:dyDescent="0.25">
      <c r="A73" s="194" t="s">
        <v>92</v>
      </c>
      <c r="B73" s="194" t="s">
        <v>29</v>
      </c>
      <c r="C73" s="194" t="s">
        <v>28</v>
      </c>
      <c r="D73" s="194" t="s">
        <v>232</v>
      </c>
      <c r="E73" s="53" t="s">
        <v>164</v>
      </c>
      <c r="F73" s="54">
        <v>250</v>
      </c>
      <c r="G73" s="53">
        <v>2.7050000000000001</v>
      </c>
      <c r="H73" s="53">
        <f t="shared" si="5"/>
        <v>3.0566499999999999</v>
      </c>
      <c r="I73" s="55"/>
      <c r="J73" s="53">
        <f t="shared" si="4"/>
        <v>0</v>
      </c>
      <c r="K73" s="56" t="s">
        <v>196</v>
      </c>
    </row>
    <row r="74" spans="1:11" s="57" customFormat="1" ht="21" customHeight="1" x14ac:dyDescent="0.25">
      <c r="A74" s="195"/>
      <c r="B74" s="195"/>
      <c r="C74" s="195"/>
      <c r="D74" s="195"/>
      <c r="E74" s="53" t="s">
        <v>174</v>
      </c>
      <c r="F74" s="54">
        <v>250</v>
      </c>
      <c r="G74" s="53">
        <v>2.5099999999999998</v>
      </c>
      <c r="H74" s="53">
        <f t="shared" si="5"/>
        <v>2.8362999999999996</v>
      </c>
      <c r="I74" s="55"/>
      <c r="J74" s="53">
        <f t="shared" si="4"/>
        <v>0</v>
      </c>
      <c r="K74" s="56" t="s">
        <v>196</v>
      </c>
    </row>
    <row r="75" spans="1:11" s="57" customFormat="1" ht="21" customHeight="1" x14ac:dyDescent="0.25">
      <c r="A75" s="195"/>
      <c r="B75" s="195"/>
      <c r="C75" s="195"/>
      <c r="D75" s="195"/>
      <c r="E75" s="53" t="s">
        <v>179</v>
      </c>
      <c r="F75" s="54">
        <v>250</v>
      </c>
      <c r="G75" s="53">
        <v>2.5099999999999998</v>
      </c>
      <c r="H75" s="53">
        <f t="shared" si="5"/>
        <v>2.8362999999999996</v>
      </c>
      <c r="I75" s="55"/>
      <c r="J75" s="53">
        <f t="shared" si="4"/>
        <v>0</v>
      </c>
      <c r="K75" s="56" t="s">
        <v>196</v>
      </c>
    </row>
    <row r="76" spans="1:11" s="57" customFormat="1" ht="21" customHeight="1" x14ac:dyDescent="0.25">
      <c r="A76" s="196"/>
      <c r="B76" s="196"/>
      <c r="C76" s="196"/>
      <c r="D76" s="196"/>
      <c r="E76" s="53" t="s">
        <v>165</v>
      </c>
      <c r="F76" s="54">
        <v>200</v>
      </c>
      <c r="G76" s="53">
        <v>2.15</v>
      </c>
      <c r="H76" s="53">
        <f t="shared" si="5"/>
        <v>2.4294999999999995</v>
      </c>
      <c r="I76" s="55"/>
      <c r="J76" s="53">
        <f t="shared" si="4"/>
        <v>0</v>
      </c>
      <c r="K76" s="56" t="s">
        <v>196</v>
      </c>
    </row>
    <row r="77" spans="1:11" s="57" customFormat="1" ht="21" customHeight="1" x14ac:dyDescent="0.25">
      <c r="A77" s="194" t="s">
        <v>93</v>
      </c>
      <c r="B77" s="194" t="s">
        <v>31</v>
      </c>
      <c r="C77" s="194" t="s">
        <v>30</v>
      </c>
      <c r="D77" s="194" t="s">
        <v>233</v>
      </c>
      <c r="E77" s="59" t="s">
        <v>164</v>
      </c>
      <c r="F77" s="60">
        <v>250</v>
      </c>
      <c r="G77" s="53">
        <v>4.55</v>
      </c>
      <c r="H77" s="53">
        <f t="shared" si="5"/>
        <v>5.1414999999999997</v>
      </c>
      <c r="I77" s="55"/>
      <c r="J77" s="53">
        <f t="shared" si="4"/>
        <v>0</v>
      </c>
      <c r="K77" s="56" t="s">
        <v>196</v>
      </c>
    </row>
    <row r="78" spans="1:11" s="57" customFormat="1" ht="21" customHeight="1" x14ac:dyDescent="0.25">
      <c r="A78" s="195"/>
      <c r="B78" s="195"/>
      <c r="C78" s="195"/>
      <c r="D78" s="195"/>
      <c r="E78" s="59" t="s">
        <v>168</v>
      </c>
      <c r="F78" s="60">
        <v>250</v>
      </c>
      <c r="G78" s="53">
        <v>4.55</v>
      </c>
      <c r="H78" s="53">
        <f t="shared" si="5"/>
        <v>5.1414999999999997</v>
      </c>
      <c r="I78" s="55"/>
      <c r="J78" s="53">
        <f t="shared" si="4"/>
        <v>0</v>
      </c>
      <c r="K78" s="56" t="s">
        <v>196</v>
      </c>
    </row>
    <row r="79" spans="1:11" s="57" customFormat="1" ht="21" customHeight="1" x14ac:dyDescent="0.25">
      <c r="A79" s="195"/>
      <c r="B79" s="195"/>
      <c r="C79" s="195"/>
      <c r="D79" s="195"/>
      <c r="E79" s="59" t="s">
        <v>167</v>
      </c>
      <c r="F79" s="60">
        <v>250</v>
      </c>
      <c r="G79" s="53">
        <v>4.55</v>
      </c>
      <c r="H79" s="53">
        <f t="shared" si="5"/>
        <v>5.1414999999999997</v>
      </c>
      <c r="I79" s="55"/>
      <c r="J79" s="53">
        <f t="shared" si="4"/>
        <v>0</v>
      </c>
      <c r="K79" s="56" t="s">
        <v>196</v>
      </c>
    </row>
    <row r="80" spans="1:11" s="57" customFormat="1" ht="21" customHeight="1" x14ac:dyDescent="0.25">
      <c r="A80" s="195"/>
      <c r="B80" s="195"/>
      <c r="C80" s="195"/>
      <c r="D80" s="195"/>
      <c r="E80" s="59" t="s">
        <v>167</v>
      </c>
      <c r="F80" s="60">
        <v>250</v>
      </c>
      <c r="G80" s="53">
        <v>3.89</v>
      </c>
      <c r="H80" s="53">
        <f t="shared" si="5"/>
        <v>4.3956999999999997</v>
      </c>
      <c r="I80" s="55"/>
      <c r="J80" s="53">
        <f t="shared" si="4"/>
        <v>0</v>
      </c>
      <c r="K80" s="56" t="s">
        <v>196</v>
      </c>
    </row>
    <row r="81" spans="1:11" s="57" customFormat="1" ht="21" customHeight="1" x14ac:dyDescent="0.25">
      <c r="A81" s="196"/>
      <c r="B81" s="196"/>
      <c r="C81" s="196"/>
      <c r="D81" s="196"/>
      <c r="E81" s="59" t="s">
        <v>169</v>
      </c>
      <c r="F81" s="60">
        <v>250</v>
      </c>
      <c r="G81" s="53">
        <v>5.45</v>
      </c>
      <c r="H81" s="53">
        <f t="shared" si="5"/>
        <v>6.1584999999999992</v>
      </c>
      <c r="I81" s="55"/>
      <c r="J81" s="53">
        <f t="shared" si="4"/>
        <v>0</v>
      </c>
      <c r="K81" s="56" t="s">
        <v>196</v>
      </c>
    </row>
    <row r="82" spans="1:11" s="57" customFormat="1" ht="21" customHeight="1" x14ac:dyDescent="0.25">
      <c r="A82" s="194" t="s">
        <v>94</v>
      </c>
      <c r="B82" s="194" t="s">
        <v>33</v>
      </c>
      <c r="C82" s="194" t="s">
        <v>32</v>
      </c>
      <c r="D82" s="194" t="s">
        <v>233</v>
      </c>
      <c r="E82" s="59" t="s">
        <v>164</v>
      </c>
      <c r="F82" s="60">
        <v>250</v>
      </c>
      <c r="G82" s="53">
        <v>4.55</v>
      </c>
      <c r="H82" s="53">
        <f t="shared" si="5"/>
        <v>5.1414999999999997</v>
      </c>
      <c r="I82" s="55"/>
      <c r="J82" s="53">
        <f t="shared" si="4"/>
        <v>0</v>
      </c>
      <c r="K82" s="56" t="s">
        <v>196</v>
      </c>
    </row>
    <row r="83" spans="1:11" s="57" customFormat="1" ht="21" customHeight="1" x14ac:dyDescent="0.25">
      <c r="A83" s="195"/>
      <c r="B83" s="195"/>
      <c r="C83" s="195"/>
      <c r="D83" s="195"/>
      <c r="E83" s="59" t="s">
        <v>168</v>
      </c>
      <c r="F83" s="60">
        <v>250</v>
      </c>
      <c r="G83" s="53">
        <v>4.55</v>
      </c>
      <c r="H83" s="53">
        <f t="shared" si="5"/>
        <v>5.1414999999999997</v>
      </c>
      <c r="I83" s="55"/>
      <c r="J83" s="53">
        <f t="shared" si="4"/>
        <v>0</v>
      </c>
      <c r="K83" s="56" t="s">
        <v>196</v>
      </c>
    </row>
    <row r="84" spans="1:11" s="57" customFormat="1" ht="21" customHeight="1" x14ac:dyDescent="0.25">
      <c r="A84" s="195"/>
      <c r="B84" s="195"/>
      <c r="C84" s="195"/>
      <c r="D84" s="195"/>
      <c r="E84" s="59" t="s">
        <v>167</v>
      </c>
      <c r="F84" s="60">
        <v>250</v>
      </c>
      <c r="G84" s="53">
        <v>4.55</v>
      </c>
      <c r="H84" s="53">
        <f t="shared" si="5"/>
        <v>5.1414999999999997</v>
      </c>
      <c r="I84" s="55"/>
      <c r="J84" s="53">
        <f t="shared" si="4"/>
        <v>0</v>
      </c>
      <c r="K84" s="56" t="s">
        <v>196</v>
      </c>
    </row>
    <row r="85" spans="1:11" s="57" customFormat="1" ht="21" customHeight="1" x14ac:dyDescent="0.25">
      <c r="A85" s="195"/>
      <c r="B85" s="195"/>
      <c r="C85" s="195"/>
      <c r="D85" s="195"/>
      <c r="E85" s="59" t="s">
        <v>167</v>
      </c>
      <c r="F85" s="60">
        <v>250</v>
      </c>
      <c r="G85" s="53">
        <v>3.89</v>
      </c>
      <c r="H85" s="53">
        <f t="shared" si="5"/>
        <v>4.3956999999999997</v>
      </c>
      <c r="I85" s="55"/>
      <c r="J85" s="53">
        <f t="shared" si="4"/>
        <v>0</v>
      </c>
      <c r="K85" s="56" t="s">
        <v>196</v>
      </c>
    </row>
    <row r="86" spans="1:11" s="57" customFormat="1" ht="21" customHeight="1" x14ac:dyDescent="0.25">
      <c r="A86" s="196"/>
      <c r="B86" s="196"/>
      <c r="C86" s="196"/>
      <c r="D86" s="196"/>
      <c r="E86" s="59" t="s">
        <v>169</v>
      </c>
      <c r="F86" s="60">
        <v>250</v>
      </c>
      <c r="G86" s="53">
        <v>5.45</v>
      </c>
      <c r="H86" s="53">
        <f t="shared" si="5"/>
        <v>6.1584999999999992</v>
      </c>
      <c r="I86" s="55"/>
      <c r="J86" s="53">
        <f t="shared" si="4"/>
        <v>0</v>
      </c>
      <c r="K86" s="56" t="s">
        <v>196</v>
      </c>
    </row>
    <row r="87" spans="1:11" ht="21" customHeight="1" x14ac:dyDescent="0.25">
      <c r="A87" s="184" t="s">
        <v>95</v>
      </c>
      <c r="B87" s="184" t="s">
        <v>35</v>
      </c>
      <c r="C87" s="184" t="s">
        <v>34</v>
      </c>
      <c r="D87" s="184" t="s">
        <v>233</v>
      </c>
      <c r="E87" s="32" t="s">
        <v>164</v>
      </c>
      <c r="F87" s="46">
        <v>200</v>
      </c>
      <c r="G87" s="13">
        <v>3.46</v>
      </c>
      <c r="H87" s="13">
        <f t="shared" si="5"/>
        <v>3.9097999999999997</v>
      </c>
      <c r="I87" s="5"/>
      <c r="J87" s="13">
        <v>0.8</v>
      </c>
      <c r="K87" s="33" t="s">
        <v>208</v>
      </c>
    </row>
    <row r="88" spans="1:11" ht="21" customHeight="1" x14ac:dyDescent="0.25">
      <c r="A88" s="185"/>
      <c r="B88" s="185"/>
      <c r="C88" s="185"/>
      <c r="D88" s="185"/>
      <c r="E88" s="32" t="s">
        <v>168</v>
      </c>
      <c r="F88" s="46">
        <v>200</v>
      </c>
      <c r="G88" s="13">
        <v>3.46</v>
      </c>
      <c r="H88" s="13">
        <f t="shared" si="5"/>
        <v>3.9097999999999997</v>
      </c>
      <c r="I88" s="5"/>
      <c r="J88" s="13">
        <v>1.5</v>
      </c>
      <c r="K88" s="33" t="s">
        <v>209</v>
      </c>
    </row>
    <row r="89" spans="1:11" ht="21" customHeight="1" x14ac:dyDescent="0.25">
      <c r="A89" s="185"/>
      <c r="B89" s="185"/>
      <c r="C89" s="185"/>
      <c r="D89" s="185"/>
      <c r="E89" s="32" t="s">
        <v>167</v>
      </c>
      <c r="F89" s="46">
        <v>200</v>
      </c>
      <c r="G89" s="13">
        <v>3.46</v>
      </c>
      <c r="H89" s="13">
        <f t="shared" si="5"/>
        <v>3.9097999999999997</v>
      </c>
      <c r="I89" s="5"/>
      <c r="J89" s="13">
        <v>0.8</v>
      </c>
      <c r="K89" s="33" t="s">
        <v>209</v>
      </c>
    </row>
    <row r="90" spans="1:11" ht="21" customHeight="1" x14ac:dyDescent="0.25">
      <c r="A90" s="186"/>
      <c r="B90" s="186"/>
      <c r="C90" s="186"/>
      <c r="D90" s="186"/>
      <c r="E90" s="32" t="s">
        <v>167</v>
      </c>
      <c r="F90" s="46">
        <v>200</v>
      </c>
      <c r="G90" s="13">
        <v>2.5499999999999998</v>
      </c>
      <c r="H90" s="13">
        <f t="shared" si="5"/>
        <v>2.8814999999999995</v>
      </c>
      <c r="I90" s="5"/>
      <c r="J90" s="13">
        <f t="shared" si="4"/>
        <v>0</v>
      </c>
      <c r="K90" s="33"/>
    </row>
    <row r="91" spans="1:11" ht="21" customHeight="1" x14ac:dyDescent="0.25">
      <c r="A91" s="184" t="s">
        <v>96</v>
      </c>
      <c r="B91" s="184" t="s">
        <v>37</v>
      </c>
      <c r="C91" s="184" t="s">
        <v>36</v>
      </c>
      <c r="D91" s="191" t="s">
        <v>194</v>
      </c>
      <c r="E91" s="32" t="s">
        <v>180</v>
      </c>
      <c r="F91" s="46">
        <v>400</v>
      </c>
      <c r="G91" s="13">
        <v>8.89</v>
      </c>
      <c r="H91" s="13">
        <f t="shared" si="5"/>
        <v>10.0457</v>
      </c>
      <c r="I91" s="74"/>
      <c r="J91" s="75">
        <f t="shared" si="4"/>
        <v>0</v>
      </c>
      <c r="K91" s="76" t="s">
        <v>210</v>
      </c>
    </row>
    <row r="92" spans="1:11" ht="21" customHeight="1" x14ac:dyDescent="0.25">
      <c r="A92" s="185"/>
      <c r="B92" s="185"/>
      <c r="C92" s="185"/>
      <c r="D92" s="192"/>
      <c r="E92" s="32" t="s">
        <v>168</v>
      </c>
      <c r="F92" s="46">
        <v>400</v>
      </c>
      <c r="G92" s="13">
        <v>7.37</v>
      </c>
      <c r="H92" s="13">
        <f t="shared" si="5"/>
        <v>8.3280999999999992</v>
      </c>
      <c r="I92" s="74"/>
      <c r="J92" s="75">
        <f t="shared" si="4"/>
        <v>0</v>
      </c>
      <c r="K92" s="76" t="s">
        <v>210</v>
      </c>
    </row>
    <row r="93" spans="1:11" ht="21" customHeight="1" x14ac:dyDescent="0.25">
      <c r="A93" s="185"/>
      <c r="B93" s="185"/>
      <c r="C93" s="185"/>
      <c r="D93" s="192"/>
      <c r="E93" s="32" t="s">
        <v>181</v>
      </c>
      <c r="F93" s="46">
        <v>400</v>
      </c>
      <c r="G93" s="13">
        <v>9.84</v>
      </c>
      <c r="H93" s="13">
        <f t="shared" si="5"/>
        <v>11.119199999999999</v>
      </c>
      <c r="I93" s="74"/>
      <c r="J93" s="75">
        <f t="shared" si="4"/>
        <v>0</v>
      </c>
      <c r="K93" s="76" t="s">
        <v>210</v>
      </c>
    </row>
    <row r="94" spans="1:11" ht="21" customHeight="1" x14ac:dyDescent="0.25">
      <c r="A94" s="185"/>
      <c r="B94" s="185"/>
      <c r="C94" s="185"/>
      <c r="D94" s="192"/>
      <c r="E94" s="32" t="s">
        <v>181</v>
      </c>
      <c r="F94" s="46">
        <v>400</v>
      </c>
      <c r="G94" s="13">
        <v>7.08</v>
      </c>
      <c r="H94" s="13">
        <f t="shared" si="5"/>
        <v>8.0003999999999991</v>
      </c>
      <c r="I94" s="74"/>
      <c r="J94" s="75">
        <f t="shared" si="4"/>
        <v>0</v>
      </c>
      <c r="K94" s="76" t="s">
        <v>210</v>
      </c>
    </row>
    <row r="95" spans="1:11" ht="21" customHeight="1" x14ac:dyDescent="0.25">
      <c r="A95" s="185"/>
      <c r="B95" s="185"/>
      <c r="C95" s="185"/>
      <c r="D95" s="192"/>
      <c r="E95" s="32" t="s">
        <v>179</v>
      </c>
      <c r="F95" s="46">
        <v>250</v>
      </c>
      <c r="G95" s="13">
        <v>4.25</v>
      </c>
      <c r="H95" s="13">
        <f t="shared" si="5"/>
        <v>4.8024999999999993</v>
      </c>
      <c r="I95" s="74"/>
      <c r="J95" s="75">
        <f t="shared" si="4"/>
        <v>0</v>
      </c>
      <c r="K95" s="76" t="s">
        <v>210</v>
      </c>
    </row>
    <row r="96" spans="1:11" ht="21" customHeight="1" x14ac:dyDescent="0.25">
      <c r="A96" s="186"/>
      <c r="B96" s="186"/>
      <c r="C96" s="186"/>
      <c r="D96" s="193"/>
      <c r="E96" s="32" t="s">
        <v>167</v>
      </c>
      <c r="F96" s="46">
        <v>250</v>
      </c>
      <c r="G96" s="13">
        <v>4.25</v>
      </c>
      <c r="H96" s="13">
        <f t="shared" si="5"/>
        <v>4.8024999999999993</v>
      </c>
      <c r="I96" s="74"/>
      <c r="J96" s="75">
        <f t="shared" si="4"/>
        <v>0</v>
      </c>
      <c r="K96" s="76" t="s">
        <v>210</v>
      </c>
    </row>
    <row r="97" spans="1:11" ht="21" customHeight="1" x14ac:dyDescent="0.25">
      <c r="A97" s="184" t="s">
        <v>97</v>
      </c>
      <c r="B97" s="184" t="s">
        <v>39</v>
      </c>
      <c r="C97" s="184" t="s">
        <v>38</v>
      </c>
      <c r="D97" s="191" t="s">
        <v>189</v>
      </c>
      <c r="E97" s="32" t="s">
        <v>170</v>
      </c>
      <c r="F97" s="46">
        <v>200</v>
      </c>
      <c r="G97" s="13">
        <v>2.5499999999999998</v>
      </c>
      <c r="H97" s="13">
        <f t="shared" si="5"/>
        <v>2.8814999999999995</v>
      </c>
      <c r="I97" s="5"/>
      <c r="J97" s="13">
        <v>0.8</v>
      </c>
      <c r="K97" s="33" t="s">
        <v>211</v>
      </c>
    </row>
    <row r="98" spans="1:11" ht="21" customHeight="1" x14ac:dyDescent="0.25">
      <c r="A98" s="185"/>
      <c r="B98" s="185"/>
      <c r="C98" s="185"/>
      <c r="D98" s="192"/>
      <c r="E98" s="32" t="s">
        <v>182</v>
      </c>
      <c r="F98" s="46">
        <v>200</v>
      </c>
      <c r="G98" s="13">
        <v>2.5499999999999998</v>
      </c>
      <c r="H98" s="13">
        <f t="shared" si="5"/>
        <v>2.8814999999999995</v>
      </c>
      <c r="I98" s="5"/>
      <c r="J98" s="13">
        <f t="shared" si="4"/>
        <v>0</v>
      </c>
      <c r="K98" s="33"/>
    </row>
    <row r="99" spans="1:11" ht="21" customHeight="1" x14ac:dyDescent="0.25">
      <c r="A99" s="186"/>
      <c r="B99" s="186"/>
      <c r="C99" s="186"/>
      <c r="D99" s="193"/>
      <c r="E99" s="32" t="s">
        <v>173</v>
      </c>
      <c r="F99" s="46">
        <v>160</v>
      </c>
      <c r="G99" s="13">
        <v>1.65</v>
      </c>
      <c r="H99" s="13">
        <f t="shared" si="5"/>
        <v>1.8644999999999998</v>
      </c>
      <c r="I99" s="5"/>
      <c r="J99" s="13">
        <f t="shared" si="4"/>
        <v>0</v>
      </c>
      <c r="K99" s="33"/>
    </row>
    <row r="100" spans="1:11" ht="21" customHeight="1" x14ac:dyDescent="0.25">
      <c r="A100" s="184" t="s">
        <v>98</v>
      </c>
      <c r="B100" s="184" t="s">
        <v>41</v>
      </c>
      <c r="C100" s="184" t="s">
        <v>40</v>
      </c>
      <c r="D100" s="191" t="s">
        <v>189</v>
      </c>
      <c r="E100" s="32" t="s">
        <v>170</v>
      </c>
      <c r="F100" s="46">
        <v>200</v>
      </c>
      <c r="G100" s="13">
        <v>0</v>
      </c>
      <c r="H100" s="13">
        <f t="shared" si="5"/>
        <v>0</v>
      </c>
      <c r="I100" s="5"/>
      <c r="J100" s="13">
        <f t="shared" si="4"/>
        <v>0</v>
      </c>
      <c r="K100" s="33"/>
    </row>
    <row r="101" spans="1:11" ht="21" customHeight="1" x14ac:dyDescent="0.25">
      <c r="A101" s="185"/>
      <c r="B101" s="185"/>
      <c r="C101" s="185"/>
      <c r="D101" s="192"/>
      <c r="E101" s="32" t="s">
        <v>182</v>
      </c>
      <c r="F101" s="46">
        <v>200</v>
      </c>
      <c r="G101" s="13">
        <v>0</v>
      </c>
      <c r="H101" s="13">
        <f t="shared" si="5"/>
        <v>0</v>
      </c>
      <c r="I101" s="5"/>
      <c r="J101" s="13">
        <f t="shared" si="4"/>
        <v>0</v>
      </c>
      <c r="K101" s="33"/>
    </row>
    <row r="102" spans="1:11" ht="21" customHeight="1" x14ac:dyDescent="0.25">
      <c r="A102" s="186"/>
      <c r="B102" s="186"/>
      <c r="C102" s="186"/>
      <c r="D102" s="193"/>
      <c r="E102" s="32" t="s">
        <v>173</v>
      </c>
      <c r="F102" s="46">
        <v>160</v>
      </c>
      <c r="G102" s="13">
        <v>0</v>
      </c>
      <c r="H102" s="13">
        <f t="shared" si="5"/>
        <v>0</v>
      </c>
      <c r="I102" s="5"/>
      <c r="J102" s="13">
        <f t="shared" si="4"/>
        <v>0</v>
      </c>
      <c r="K102" s="33"/>
    </row>
    <row r="103" spans="1:11" ht="21" customHeight="1" x14ac:dyDescent="0.25">
      <c r="A103" s="184" t="s">
        <v>99</v>
      </c>
      <c r="B103" s="184" t="s">
        <v>43</v>
      </c>
      <c r="C103" s="184" t="s">
        <v>42</v>
      </c>
      <c r="D103" s="184" t="s">
        <v>234</v>
      </c>
      <c r="E103" s="13" t="s">
        <v>163</v>
      </c>
      <c r="F103" s="45">
        <v>250</v>
      </c>
      <c r="G103" s="13">
        <v>2.2999999999999998</v>
      </c>
      <c r="H103" s="13">
        <f t="shared" si="5"/>
        <v>2.5989999999999998</v>
      </c>
      <c r="I103" s="5"/>
      <c r="J103" s="13">
        <f t="shared" si="4"/>
        <v>0</v>
      </c>
      <c r="K103" s="33"/>
    </row>
    <row r="104" spans="1:11" ht="21" customHeight="1" x14ac:dyDescent="0.25">
      <c r="A104" s="185"/>
      <c r="B104" s="185"/>
      <c r="C104" s="185"/>
      <c r="D104" s="185"/>
      <c r="E104" s="13" t="s">
        <v>164</v>
      </c>
      <c r="F104" s="45">
        <v>250</v>
      </c>
      <c r="G104" s="13">
        <v>2.2999999999999998</v>
      </c>
      <c r="H104" s="13">
        <f t="shared" si="5"/>
        <v>2.5989999999999998</v>
      </c>
      <c r="I104" s="5"/>
      <c r="J104" s="13">
        <v>1.2</v>
      </c>
      <c r="K104" s="33" t="s">
        <v>248</v>
      </c>
    </row>
    <row r="105" spans="1:11" ht="21" customHeight="1" x14ac:dyDescent="0.25">
      <c r="A105" s="185"/>
      <c r="B105" s="185"/>
      <c r="C105" s="185"/>
      <c r="D105" s="185"/>
      <c r="E105" s="13" t="s">
        <v>166</v>
      </c>
      <c r="F105" s="45">
        <v>200</v>
      </c>
      <c r="G105" s="13">
        <v>2.19</v>
      </c>
      <c r="H105" s="13">
        <f t="shared" si="5"/>
        <v>2.4746999999999999</v>
      </c>
      <c r="I105" s="5"/>
      <c r="J105" s="13">
        <f t="shared" ref="J105:J163" si="6">I105*1.13</f>
        <v>0</v>
      </c>
      <c r="K105" s="33"/>
    </row>
    <row r="106" spans="1:11" ht="21" customHeight="1" x14ac:dyDescent="0.25">
      <c r="A106" s="186"/>
      <c r="B106" s="186"/>
      <c r="C106" s="186"/>
      <c r="D106" s="186"/>
      <c r="E106" s="13" t="s">
        <v>165</v>
      </c>
      <c r="F106" s="45">
        <v>160</v>
      </c>
      <c r="G106" s="13">
        <v>2.4500000000000002</v>
      </c>
      <c r="H106" s="13">
        <f t="shared" si="5"/>
        <v>2.7685</v>
      </c>
      <c r="I106" s="5"/>
      <c r="J106" s="13">
        <v>0.5</v>
      </c>
      <c r="K106" s="33" t="s">
        <v>213</v>
      </c>
    </row>
    <row r="107" spans="1:11" ht="26.4" customHeight="1" x14ac:dyDescent="0.25">
      <c r="A107" s="184" t="s">
        <v>100</v>
      </c>
      <c r="B107" s="184" t="s">
        <v>45</v>
      </c>
      <c r="C107" s="184" t="s">
        <v>44</v>
      </c>
      <c r="D107" s="191" t="s">
        <v>230</v>
      </c>
      <c r="E107" s="13" t="s">
        <v>163</v>
      </c>
      <c r="F107" s="45">
        <v>160</v>
      </c>
      <c r="G107" s="13">
        <v>1.39</v>
      </c>
      <c r="H107" s="13">
        <f t="shared" si="5"/>
        <v>1.5706999999999998</v>
      </c>
      <c r="I107" s="5"/>
      <c r="J107" s="13">
        <v>0.6</v>
      </c>
      <c r="K107" s="88" t="s">
        <v>214</v>
      </c>
    </row>
    <row r="108" spans="1:11" ht="21" customHeight="1" x14ac:dyDescent="0.25">
      <c r="A108" s="185"/>
      <c r="B108" s="185"/>
      <c r="C108" s="185"/>
      <c r="D108" s="192"/>
      <c r="E108" s="13" t="s">
        <v>164</v>
      </c>
      <c r="F108" s="45">
        <v>160</v>
      </c>
      <c r="G108" s="13">
        <v>1.39</v>
      </c>
      <c r="H108" s="13">
        <f t="shared" si="5"/>
        <v>1.5706999999999998</v>
      </c>
      <c r="I108" s="5"/>
      <c r="J108" s="13">
        <f t="shared" si="6"/>
        <v>0</v>
      </c>
      <c r="K108" s="33"/>
    </row>
    <row r="109" spans="1:11" ht="21" customHeight="1" x14ac:dyDescent="0.25">
      <c r="A109" s="186"/>
      <c r="B109" s="186"/>
      <c r="C109" s="186"/>
      <c r="D109" s="193"/>
      <c r="E109" s="13" t="s">
        <v>165</v>
      </c>
      <c r="F109" s="45">
        <v>80</v>
      </c>
      <c r="G109" s="13">
        <v>1.06</v>
      </c>
      <c r="H109" s="13">
        <f t="shared" si="5"/>
        <v>1.1978</v>
      </c>
      <c r="I109" s="5"/>
      <c r="J109" s="13">
        <f t="shared" si="6"/>
        <v>0</v>
      </c>
      <c r="K109" s="33"/>
    </row>
    <row r="110" spans="1:11" ht="21" customHeight="1" x14ac:dyDescent="0.25">
      <c r="A110" s="184" t="s">
        <v>101</v>
      </c>
      <c r="B110" s="184" t="s">
        <v>47</v>
      </c>
      <c r="C110" s="184" t="s">
        <v>46</v>
      </c>
      <c r="D110" s="191" t="s">
        <v>230</v>
      </c>
      <c r="E110" s="13" t="s">
        <v>163</v>
      </c>
      <c r="F110" s="45">
        <v>160</v>
      </c>
      <c r="G110" s="13">
        <v>0</v>
      </c>
      <c r="H110" s="13">
        <f t="shared" si="5"/>
        <v>0</v>
      </c>
      <c r="I110" s="5"/>
      <c r="J110" s="13">
        <f t="shared" si="6"/>
        <v>0</v>
      </c>
      <c r="K110" s="33"/>
    </row>
    <row r="111" spans="1:11" ht="21" customHeight="1" x14ac:dyDescent="0.25">
      <c r="A111" s="185"/>
      <c r="B111" s="185"/>
      <c r="C111" s="185"/>
      <c r="D111" s="192"/>
      <c r="E111" s="13" t="s">
        <v>164</v>
      </c>
      <c r="F111" s="45">
        <v>160</v>
      </c>
      <c r="G111" s="13">
        <v>1.39</v>
      </c>
      <c r="H111" s="13">
        <f t="shared" si="5"/>
        <v>1.5706999999999998</v>
      </c>
      <c r="I111" s="5"/>
      <c r="J111" s="13">
        <f t="shared" si="6"/>
        <v>0</v>
      </c>
      <c r="K111" s="33"/>
    </row>
    <row r="112" spans="1:11" ht="21" customHeight="1" x14ac:dyDescent="0.25">
      <c r="A112" s="186"/>
      <c r="B112" s="186"/>
      <c r="C112" s="186"/>
      <c r="D112" s="193"/>
      <c r="E112" s="13" t="s">
        <v>165</v>
      </c>
      <c r="F112" s="45">
        <v>80</v>
      </c>
      <c r="G112" s="13">
        <v>1.06</v>
      </c>
      <c r="H112" s="13">
        <f t="shared" si="5"/>
        <v>1.1978</v>
      </c>
      <c r="I112" s="5"/>
      <c r="J112" s="13">
        <f t="shared" si="6"/>
        <v>0</v>
      </c>
      <c r="K112" s="33"/>
    </row>
    <row r="113" spans="1:11" ht="21" customHeight="1" x14ac:dyDescent="0.25">
      <c r="A113" s="184" t="s">
        <v>102</v>
      </c>
      <c r="B113" s="184" t="s">
        <v>49</v>
      </c>
      <c r="C113" s="184" t="s">
        <v>48</v>
      </c>
      <c r="D113" s="184" t="s">
        <v>235</v>
      </c>
      <c r="E113" s="13" t="s">
        <v>163</v>
      </c>
      <c r="F113" s="45">
        <v>160</v>
      </c>
      <c r="G113" s="13">
        <v>1.92</v>
      </c>
      <c r="H113" s="13">
        <f t="shared" si="5"/>
        <v>2.1695999999999995</v>
      </c>
      <c r="I113" s="5"/>
      <c r="J113" s="13">
        <f t="shared" si="6"/>
        <v>0</v>
      </c>
      <c r="K113" s="33"/>
    </row>
    <row r="114" spans="1:11" ht="21" customHeight="1" x14ac:dyDescent="0.25">
      <c r="A114" s="185"/>
      <c r="B114" s="185"/>
      <c r="C114" s="185"/>
      <c r="D114" s="185"/>
      <c r="E114" s="13" t="s">
        <v>164</v>
      </c>
      <c r="F114" s="45">
        <v>160</v>
      </c>
      <c r="G114" s="13">
        <v>1.62</v>
      </c>
      <c r="H114" s="13">
        <f t="shared" si="5"/>
        <v>1.8306</v>
      </c>
      <c r="I114" s="5"/>
      <c r="J114" s="13">
        <f t="shared" si="6"/>
        <v>0</v>
      </c>
      <c r="K114" s="33"/>
    </row>
    <row r="115" spans="1:11" ht="21" customHeight="1" x14ac:dyDescent="0.25">
      <c r="A115" s="186"/>
      <c r="B115" s="186"/>
      <c r="C115" s="186"/>
      <c r="D115" s="186"/>
      <c r="E115" s="13" t="s">
        <v>165</v>
      </c>
      <c r="F115" s="45">
        <v>160</v>
      </c>
      <c r="G115" s="13">
        <v>1.51</v>
      </c>
      <c r="H115" s="13">
        <f t="shared" si="5"/>
        <v>1.7062999999999999</v>
      </c>
      <c r="I115" s="5"/>
      <c r="J115" s="13">
        <f t="shared" si="6"/>
        <v>0</v>
      </c>
      <c r="K115" s="33"/>
    </row>
    <row r="116" spans="1:11" ht="21" customHeight="1" x14ac:dyDescent="0.25">
      <c r="A116" s="184" t="s">
        <v>103</v>
      </c>
      <c r="B116" s="184" t="s">
        <v>51</v>
      </c>
      <c r="C116" s="184" t="s">
        <v>50</v>
      </c>
      <c r="D116" s="184" t="s">
        <v>235</v>
      </c>
      <c r="E116" s="13" t="s">
        <v>163</v>
      </c>
      <c r="F116" s="45">
        <v>160</v>
      </c>
      <c r="G116" s="13">
        <v>2.2400000000000002</v>
      </c>
      <c r="H116" s="13">
        <f t="shared" si="5"/>
        <v>2.5312000000000001</v>
      </c>
      <c r="I116" s="5"/>
      <c r="J116" s="13">
        <f t="shared" si="6"/>
        <v>0</v>
      </c>
      <c r="K116" s="33"/>
    </row>
    <row r="117" spans="1:11" ht="21" customHeight="1" x14ac:dyDescent="0.25">
      <c r="A117" s="185"/>
      <c r="B117" s="185"/>
      <c r="C117" s="185"/>
      <c r="D117" s="185"/>
      <c r="E117" s="13" t="s">
        <v>164</v>
      </c>
      <c r="F117" s="45">
        <v>160</v>
      </c>
      <c r="G117" s="13">
        <v>1.89</v>
      </c>
      <c r="H117" s="13">
        <f t="shared" si="5"/>
        <v>2.1356999999999995</v>
      </c>
      <c r="I117" s="5"/>
      <c r="J117" s="13">
        <f t="shared" si="6"/>
        <v>0</v>
      </c>
      <c r="K117" s="33"/>
    </row>
    <row r="118" spans="1:11" ht="21" customHeight="1" x14ac:dyDescent="0.25">
      <c r="A118" s="186"/>
      <c r="B118" s="186"/>
      <c r="C118" s="186"/>
      <c r="D118" s="186"/>
      <c r="E118" s="13" t="s">
        <v>165</v>
      </c>
      <c r="F118" s="45">
        <v>160</v>
      </c>
      <c r="G118" s="13">
        <v>1.73</v>
      </c>
      <c r="H118" s="13">
        <f t="shared" si="5"/>
        <v>1.9548999999999999</v>
      </c>
      <c r="I118" s="5"/>
      <c r="J118" s="13">
        <f t="shared" si="6"/>
        <v>0</v>
      </c>
      <c r="K118" s="33"/>
    </row>
    <row r="119" spans="1:11" ht="21" customHeight="1" x14ac:dyDescent="0.25">
      <c r="A119" s="184" t="s">
        <v>104</v>
      </c>
      <c r="B119" s="184" t="s">
        <v>53</v>
      </c>
      <c r="C119" s="184" t="s">
        <v>52</v>
      </c>
      <c r="D119" s="184" t="s">
        <v>234</v>
      </c>
      <c r="E119" s="13" t="s">
        <v>163</v>
      </c>
      <c r="F119" s="45">
        <v>200</v>
      </c>
      <c r="G119" s="13">
        <v>0</v>
      </c>
      <c r="H119" s="13">
        <f t="shared" si="5"/>
        <v>0</v>
      </c>
      <c r="I119" s="5"/>
      <c r="J119" s="13">
        <f t="shared" si="6"/>
        <v>0</v>
      </c>
      <c r="K119" s="33"/>
    </row>
    <row r="120" spans="1:11" ht="21" customHeight="1" x14ac:dyDescent="0.25">
      <c r="A120" s="185"/>
      <c r="B120" s="185"/>
      <c r="C120" s="185"/>
      <c r="D120" s="185"/>
      <c r="E120" s="13" t="s">
        <v>164</v>
      </c>
      <c r="F120" s="45">
        <v>200</v>
      </c>
      <c r="G120" s="13">
        <v>1.79</v>
      </c>
      <c r="H120" s="13">
        <f t="shared" si="5"/>
        <v>2.0226999999999999</v>
      </c>
      <c r="I120" s="5"/>
      <c r="J120" s="13">
        <f t="shared" si="6"/>
        <v>0</v>
      </c>
      <c r="K120" s="33"/>
    </row>
    <row r="121" spans="1:11" ht="21" customHeight="1" x14ac:dyDescent="0.25">
      <c r="A121" s="185"/>
      <c r="B121" s="185"/>
      <c r="C121" s="185"/>
      <c r="D121" s="185"/>
      <c r="E121" s="13" t="s">
        <v>166</v>
      </c>
      <c r="F121" s="45">
        <v>160</v>
      </c>
      <c r="G121" s="13">
        <v>1.5</v>
      </c>
      <c r="H121" s="13">
        <f t="shared" si="5"/>
        <v>1.6949999999999998</v>
      </c>
      <c r="I121" s="5"/>
      <c r="J121" s="13">
        <f t="shared" si="6"/>
        <v>0</v>
      </c>
      <c r="K121" s="33"/>
    </row>
    <row r="122" spans="1:11" ht="21" customHeight="1" x14ac:dyDescent="0.25">
      <c r="A122" s="186"/>
      <c r="B122" s="186"/>
      <c r="C122" s="186"/>
      <c r="D122" s="186"/>
      <c r="E122" s="13" t="s">
        <v>165</v>
      </c>
      <c r="F122" s="45">
        <v>110</v>
      </c>
      <c r="G122" s="13">
        <v>1.39</v>
      </c>
      <c r="H122" s="13">
        <f t="shared" si="5"/>
        <v>1.5706999999999998</v>
      </c>
      <c r="I122" s="5"/>
      <c r="J122" s="13">
        <f t="shared" si="6"/>
        <v>0</v>
      </c>
      <c r="K122" s="33"/>
    </row>
    <row r="123" spans="1:11" ht="21" customHeight="1" x14ac:dyDescent="0.25">
      <c r="A123" s="184" t="s">
        <v>105</v>
      </c>
      <c r="B123" s="184" t="s">
        <v>55</v>
      </c>
      <c r="C123" s="184" t="s">
        <v>54</v>
      </c>
      <c r="D123" s="184" t="s">
        <v>234</v>
      </c>
      <c r="E123" s="13" t="s">
        <v>163</v>
      </c>
      <c r="F123" s="45">
        <v>200</v>
      </c>
      <c r="G123" s="13">
        <v>1.79</v>
      </c>
      <c r="H123" s="13">
        <f t="shared" si="5"/>
        <v>2.0226999999999999</v>
      </c>
      <c r="I123" s="5"/>
      <c r="J123" s="13">
        <f t="shared" si="6"/>
        <v>0</v>
      </c>
      <c r="K123" s="33"/>
    </row>
    <row r="124" spans="1:11" ht="21" customHeight="1" x14ac:dyDescent="0.25">
      <c r="A124" s="185"/>
      <c r="B124" s="185"/>
      <c r="C124" s="185"/>
      <c r="D124" s="185"/>
      <c r="E124" s="13" t="s">
        <v>164</v>
      </c>
      <c r="F124" s="45">
        <v>200</v>
      </c>
      <c r="G124" s="13">
        <v>1.79</v>
      </c>
      <c r="H124" s="13">
        <f t="shared" si="5"/>
        <v>2.0226999999999999</v>
      </c>
      <c r="I124" s="5"/>
      <c r="J124" s="13">
        <f t="shared" si="6"/>
        <v>0</v>
      </c>
      <c r="K124" s="33"/>
    </row>
    <row r="125" spans="1:11" ht="21" customHeight="1" x14ac:dyDescent="0.25">
      <c r="A125" s="185"/>
      <c r="B125" s="185"/>
      <c r="C125" s="185"/>
      <c r="D125" s="185"/>
      <c r="E125" s="13" t="s">
        <v>166</v>
      </c>
      <c r="F125" s="45">
        <v>160</v>
      </c>
      <c r="G125" s="13">
        <v>1.5</v>
      </c>
      <c r="H125" s="13">
        <f t="shared" si="5"/>
        <v>1.6949999999999998</v>
      </c>
      <c r="I125" s="5"/>
      <c r="J125" s="13">
        <f t="shared" si="6"/>
        <v>0</v>
      </c>
      <c r="K125" s="33"/>
    </row>
    <row r="126" spans="1:11" ht="21" customHeight="1" x14ac:dyDescent="0.25">
      <c r="A126" s="186"/>
      <c r="B126" s="186"/>
      <c r="C126" s="186"/>
      <c r="D126" s="186"/>
      <c r="E126" s="13" t="s">
        <v>165</v>
      </c>
      <c r="F126" s="45">
        <v>110</v>
      </c>
      <c r="G126" s="13">
        <v>1.39</v>
      </c>
      <c r="H126" s="13">
        <f t="shared" si="5"/>
        <v>1.5706999999999998</v>
      </c>
      <c r="I126" s="5"/>
      <c r="J126" s="13">
        <f t="shared" si="6"/>
        <v>0</v>
      </c>
      <c r="K126" s="33"/>
    </row>
    <row r="127" spans="1:11" ht="21" customHeight="1" x14ac:dyDescent="0.25">
      <c r="A127" s="184" t="s">
        <v>106</v>
      </c>
      <c r="B127" s="184" t="s">
        <v>57</v>
      </c>
      <c r="C127" s="184" t="s">
        <v>56</v>
      </c>
      <c r="D127" s="184" t="s">
        <v>234</v>
      </c>
      <c r="E127" s="13" t="s">
        <v>163</v>
      </c>
      <c r="F127" s="45">
        <v>160</v>
      </c>
      <c r="G127" s="13">
        <v>1.32</v>
      </c>
      <c r="H127" s="13">
        <f t="shared" si="5"/>
        <v>1.4916</v>
      </c>
      <c r="I127" s="5"/>
      <c r="J127" s="13">
        <f t="shared" si="6"/>
        <v>0</v>
      </c>
      <c r="K127" s="33"/>
    </row>
    <row r="128" spans="1:11" ht="21" customHeight="1" x14ac:dyDescent="0.25">
      <c r="A128" s="185"/>
      <c r="B128" s="185"/>
      <c r="C128" s="185"/>
      <c r="D128" s="185"/>
      <c r="E128" s="13" t="s">
        <v>164</v>
      </c>
      <c r="F128" s="45">
        <v>160</v>
      </c>
      <c r="G128" s="13">
        <v>1.32</v>
      </c>
      <c r="H128" s="13">
        <f t="shared" si="5"/>
        <v>1.4916</v>
      </c>
      <c r="I128" s="5"/>
      <c r="J128" s="13">
        <f t="shared" si="6"/>
        <v>0</v>
      </c>
      <c r="K128" s="33"/>
    </row>
    <row r="129" spans="1:11" ht="21" customHeight="1" x14ac:dyDescent="0.25">
      <c r="A129" s="185"/>
      <c r="B129" s="185"/>
      <c r="C129" s="185"/>
      <c r="D129" s="185"/>
      <c r="E129" s="13" t="s">
        <v>168</v>
      </c>
      <c r="F129" s="45">
        <v>160</v>
      </c>
      <c r="G129" s="13">
        <v>1.25</v>
      </c>
      <c r="H129" s="13">
        <f t="shared" si="5"/>
        <v>1.4124999999999999</v>
      </c>
      <c r="I129" s="5"/>
      <c r="J129" s="13">
        <f t="shared" si="6"/>
        <v>0</v>
      </c>
      <c r="K129" s="33"/>
    </row>
    <row r="130" spans="1:11" ht="21" customHeight="1" x14ac:dyDescent="0.25">
      <c r="A130" s="186"/>
      <c r="B130" s="186"/>
      <c r="C130" s="186"/>
      <c r="D130" s="186"/>
      <c r="E130" s="13" t="s">
        <v>167</v>
      </c>
      <c r="F130" s="45">
        <v>110</v>
      </c>
      <c r="G130" s="13">
        <v>1.1200000000000001</v>
      </c>
      <c r="H130" s="13">
        <f t="shared" si="5"/>
        <v>1.2656000000000001</v>
      </c>
      <c r="I130" s="5"/>
      <c r="J130" s="13">
        <v>1</v>
      </c>
      <c r="K130" s="33" t="s">
        <v>215</v>
      </c>
    </row>
    <row r="131" spans="1:11" ht="21" customHeight="1" x14ac:dyDescent="0.25">
      <c r="A131" s="184" t="s">
        <v>107</v>
      </c>
      <c r="B131" s="184" t="s">
        <v>59</v>
      </c>
      <c r="C131" s="184" t="s">
        <v>58</v>
      </c>
      <c r="D131" s="184" t="s">
        <v>234</v>
      </c>
      <c r="E131" s="13" t="s">
        <v>163</v>
      </c>
      <c r="F131" s="45">
        <v>160</v>
      </c>
      <c r="G131" s="13">
        <v>0</v>
      </c>
      <c r="H131" s="13">
        <f t="shared" si="5"/>
        <v>0</v>
      </c>
      <c r="I131" s="5"/>
      <c r="J131" s="13">
        <f t="shared" si="6"/>
        <v>0</v>
      </c>
      <c r="K131" s="33"/>
    </row>
    <row r="132" spans="1:11" ht="21" customHeight="1" x14ac:dyDescent="0.25">
      <c r="A132" s="185"/>
      <c r="B132" s="185"/>
      <c r="C132" s="185"/>
      <c r="D132" s="185"/>
      <c r="E132" s="13" t="s">
        <v>164</v>
      </c>
      <c r="F132" s="45">
        <v>160</v>
      </c>
      <c r="G132" s="13">
        <v>1.32</v>
      </c>
      <c r="H132" s="13">
        <f t="shared" si="5"/>
        <v>1.4916</v>
      </c>
      <c r="I132" s="5"/>
      <c r="J132" s="13">
        <f t="shared" si="6"/>
        <v>0</v>
      </c>
      <c r="K132" s="33"/>
    </row>
    <row r="133" spans="1:11" ht="21" customHeight="1" x14ac:dyDescent="0.25">
      <c r="A133" s="185"/>
      <c r="B133" s="185"/>
      <c r="C133" s="185"/>
      <c r="D133" s="185"/>
      <c r="E133" s="13" t="s">
        <v>168</v>
      </c>
      <c r="F133" s="45">
        <v>160</v>
      </c>
      <c r="G133" s="13">
        <v>1.25</v>
      </c>
      <c r="H133" s="13">
        <f t="shared" si="5"/>
        <v>1.4124999999999999</v>
      </c>
      <c r="I133" s="5"/>
      <c r="J133" s="13">
        <f t="shared" si="6"/>
        <v>0</v>
      </c>
      <c r="K133" s="33"/>
    </row>
    <row r="134" spans="1:11" ht="21" customHeight="1" x14ac:dyDescent="0.25">
      <c r="A134" s="186"/>
      <c r="B134" s="186"/>
      <c r="C134" s="186"/>
      <c r="D134" s="186"/>
      <c r="E134" s="13" t="s">
        <v>167</v>
      </c>
      <c r="F134" s="45">
        <v>110</v>
      </c>
      <c r="G134" s="13">
        <v>1.1200000000000001</v>
      </c>
      <c r="H134" s="13">
        <f t="shared" ref="H134:H166" si="7">G134*1.13</f>
        <v>1.2656000000000001</v>
      </c>
      <c r="I134" s="5"/>
      <c r="J134" s="13">
        <v>1</v>
      </c>
      <c r="K134" s="33" t="s">
        <v>215</v>
      </c>
    </row>
    <row r="135" spans="1:11" ht="21" customHeight="1" x14ac:dyDescent="0.25">
      <c r="A135" s="184" t="s">
        <v>108</v>
      </c>
      <c r="B135" s="184" t="s">
        <v>61</v>
      </c>
      <c r="C135" s="184" t="s">
        <v>60</v>
      </c>
      <c r="D135" s="184" t="s">
        <v>229</v>
      </c>
      <c r="E135" s="13" t="s">
        <v>170</v>
      </c>
      <c r="F135" s="45">
        <v>250</v>
      </c>
      <c r="G135" s="13">
        <v>3.4649999999999999</v>
      </c>
      <c r="H135" s="13">
        <f t="shared" si="7"/>
        <v>3.9154499999999994</v>
      </c>
      <c r="I135" s="5"/>
      <c r="J135" s="13">
        <f t="shared" si="6"/>
        <v>0</v>
      </c>
      <c r="K135" s="33"/>
    </row>
    <row r="136" spans="1:11" ht="21" customHeight="1" x14ac:dyDescent="0.25">
      <c r="A136" s="185"/>
      <c r="B136" s="185"/>
      <c r="C136" s="185"/>
      <c r="D136" s="185"/>
      <c r="E136" s="13" t="s">
        <v>164</v>
      </c>
      <c r="F136" s="45">
        <v>250</v>
      </c>
      <c r="G136" s="13">
        <v>3.4649999999999999</v>
      </c>
      <c r="H136" s="13">
        <f t="shared" si="7"/>
        <v>3.9154499999999994</v>
      </c>
      <c r="I136" s="5"/>
      <c r="J136" s="13">
        <f t="shared" si="6"/>
        <v>0</v>
      </c>
      <c r="K136" s="33"/>
    </row>
    <row r="137" spans="1:11" ht="21" customHeight="1" x14ac:dyDescent="0.25">
      <c r="A137" s="185"/>
      <c r="B137" s="185"/>
      <c r="C137" s="185"/>
      <c r="D137" s="185"/>
      <c r="E137" s="13" t="s">
        <v>165</v>
      </c>
      <c r="F137" s="45">
        <v>200</v>
      </c>
      <c r="G137" s="13">
        <v>3.14</v>
      </c>
      <c r="H137" s="13">
        <f t="shared" si="7"/>
        <v>3.5482</v>
      </c>
      <c r="I137" s="5"/>
      <c r="J137" s="13">
        <f t="shared" si="6"/>
        <v>0</v>
      </c>
      <c r="K137" s="33"/>
    </row>
    <row r="138" spans="1:11" ht="21" customHeight="1" x14ac:dyDescent="0.25">
      <c r="A138" s="185"/>
      <c r="B138" s="185"/>
      <c r="C138" s="185"/>
      <c r="D138" s="185"/>
      <c r="E138" s="13" t="s">
        <v>167</v>
      </c>
      <c r="F138" s="45">
        <v>200</v>
      </c>
      <c r="G138" s="13">
        <v>3.14</v>
      </c>
      <c r="H138" s="13">
        <f t="shared" si="7"/>
        <v>3.5482</v>
      </c>
      <c r="I138" s="5"/>
      <c r="J138" s="13">
        <f t="shared" si="6"/>
        <v>0</v>
      </c>
      <c r="K138" s="33"/>
    </row>
    <row r="139" spans="1:11" ht="21" customHeight="1" x14ac:dyDescent="0.25">
      <c r="A139" s="186"/>
      <c r="B139" s="186"/>
      <c r="C139" s="186"/>
      <c r="D139" s="186"/>
      <c r="E139" s="13" t="s">
        <v>165</v>
      </c>
      <c r="F139" s="45">
        <v>200</v>
      </c>
      <c r="G139" s="13">
        <v>1.83</v>
      </c>
      <c r="H139" s="13">
        <f t="shared" si="7"/>
        <v>2.0678999999999998</v>
      </c>
      <c r="I139" s="5"/>
      <c r="J139" s="13">
        <v>0.6</v>
      </c>
      <c r="K139" s="33" t="s">
        <v>216</v>
      </c>
    </row>
    <row r="140" spans="1:11" ht="21" customHeight="1" x14ac:dyDescent="0.25">
      <c r="A140" s="184" t="s">
        <v>109</v>
      </c>
      <c r="B140" s="184" t="s">
        <v>63</v>
      </c>
      <c r="C140" s="184" t="s">
        <v>62</v>
      </c>
      <c r="D140" s="184" t="s">
        <v>229</v>
      </c>
      <c r="E140" s="13" t="s">
        <v>164</v>
      </c>
      <c r="F140" s="45">
        <v>250</v>
      </c>
      <c r="G140" s="13">
        <v>3.9</v>
      </c>
      <c r="H140" s="13">
        <f t="shared" si="7"/>
        <v>4.4069999999999991</v>
      </c>
      <c r="I140" s="5"/>
      <c r="J140" s="13">
        <v>1.2</v>
      </c>
      <c r="K140" s="33" t="s">
        <v>217</v>
      </c>
    </row>
    <row r="141" spans="1:11" ht="21" customHeight="1" x14ac:dyDescent="0.25">
      <c r="A141" s="185"/>
      <c r="B141" s="185"/>
      <c r="C141" s="185"/>
      <c r="D141" s="185"/>
      <c r="E141" s="13" t="s">
        <v>168</v>
      </c>
      <c r="F141" s="45">
        <v>250</v>
      </c>
      <c r="G141" s="13">
        <v>3.9</v>
      </c>
      <c r="H141" s="13">
        <f t="shared" si="7"/>
        <v>4.4069999999999991</v>
      </c>
      <c r="I141" s="5"/>
      <c r="J141" s="13">
        <v>1.2</v>
      </c>
      <c r="K141" s="33" t="s">
        <v>218</v>
      </c>
    </row>
    <row r="142" spans="1:11" ht="21" customHeight="1" x14ac:dyDescent="0.25">
      <c r="A142" s="185"/>
      <c r="B142" s="185"/>
      <c r="C142" s="185"/>
      <c r="D142" s="185"/>
      <c r="E142" s="13" t="s">
        <v>171</v>
      </c>
      <c r="F142" s="45">
        <v>200</v>
      </c>
      <c r="G142" s="13">
        <v>3.31</v>
      </c>
      <c r="H142" s="13">
        <f t="shared" si="7"/>
        <v>3.7402999999999995</v>
      </c>
      <c r="I142" s="5"/>
      <c r="J142" s="13">
        <f t="shared" si="6"/>
        <v>0</v>
      </c>
      <c r="K142" s="33"/>
    </row>
    <row r="143" spans="1:11" ht="21" customHeight="1" x14ac:dyDescent="0.25">
      <c r="A143" s="185"/>
      <c r="B143" s="185"/>
      <c r="C143" s="185"/>
      <c r="D143" s="185"/>
      <c r="E143" s="13" t="s">
        <v>167</v>
      </c>
      <c r="F143" s="45">
        <v>200</v>
      </c>
      <c r="G143" s="13">
        <v>3.31</v>
      </c>
      <c r="H143" s="13">
        <f t="shared" si="7"/>
        <v>3.7402999999999995</v>
      </c>
      <c r="I143" s="5"/>
      <c r="J143" s="13">
        <v>0.8</v>
      </c>
      <c r="K143" s="33" t="s">
        <v>219</v>
      </c>
    </row>
    <row r="144" spans="1:11" ht="21" customHeight="1" x14ac:dyDescent="0.25">
      <c r="A144" s="185"/>
      <c r="B144" s="185"/>
      <c r="C144" s="185"/>
      <c r="D144" s="185"/>
      <c r="E144" s="13" t="s">
        <v>169</v>
      </c>
      <c r="F144" s="45">
        <v>200</v>
      </c>
      <c r="G144" s="13">
        <v>4.54</v>
      </c>
      <c r="H144" s="13">
        <f t="shared" si="7"/>
        <v>5.1301999999999994</v>
      </c>
      <c r="I144" s="5"/>
      <c r="J144" s="13">
        <v>0.8</v>
      </c>
      <c r="K144" s="33" t="s">
        <v>220</v>
      </c>
    </row>
    <row r="145" spans="1:11" ht="21" customHeight="1" x14ac:dyDescent="0.25">
      <c r="A145" s="186"/>
      <c r="B145" s="186"/>
      <c r="C145" s="186"/>
      <c r="D145" s="186"/>
      <c r="E145" s="13" t="s">
        <v>167</v>
      </c>
      <c r="F145" s="45">
        <v>200</v>
      </c>
      <c r="G145" s="13">
        <v>2.95</v>
      </c>
      <c r="H145" s="13">
        <f t="shared" si="7"/>
        <v>3.3334999999999999</v>
      </c>
      <c r="I145" s="5"/>
      <c r="J145" s="13">
        <v>0.8</v>
      </c>
      <c r="K145" s="33" t="s">
        <v>221</v>
      </c>
    </row>
    <row r="146" spans="1:11" ht="21" customHeight="1" x14ac:dyDescent="0.25">
      <c r="A146" s="184" t="s">
        <v>110</v>
      </c>
      <c r="B146" s="184" t="s">
        <v>65</v>
      </c>
      <c r="C146" s="184" t="s">
        <v>64</v>
      </c>
      <c r="D146" s="184" t="s">
        <v>229</v>
      </c>
      <c r="E146" s="13" t="s">
        <v>164</v>
      </c>
      <c r="F146" s="45">
        <v>250</v>
      </c>
      <c r="G146" s="13">
        <v>3.12</v>
      </c>
      <c r="H146" s="13">
        <f t="shared" si="7"/>
        <v>3.5255999999999998</v>
      </c>
      <c r="I146" s="5"/>
      <c r="J146" s="13">
        <f t="shared" si="6"/>
        <v>0</v>
      </c>
      <c r="K146" s="33"/>
    </row>
    <row r="147" spans="1:11" ht="21" customHeight="1" x14ac:dyDescent="0.25">
      <c r="A147" s="185"/>
      <c r="B147" s="185"/>
      <c r="C147" s="185"/>
      <c r="D147" s="185"/>
      <c r="E147" s="13" t="s">
        <v>168</v>
      </c>
      <c r="F147" s="45">
        <v>250</v>
      </c>
      <c r="G147" s="13">
        <v>3.12</v>
      </c>
      <c r="H147" s="13">
        <f t="shared" si="7"/>
        <v>3.5255999999999998</v>
      </c>
      <c r="I147" s="5"/>
      <c r="J147" s="13">
        <v>0.8</v>
      </c>
      <c r="K147" s="33" t="s">
        <v>222</v>
      </c>
    </row>
    <row r="148" spans="1:11" ht="21" customHeight="1" x14ac:dyDescent="0.25">
      <c r="A148" s="185"/>
      <c r="B148" s="185"/>
      <c r="C148" s="185"/>
      <c r="D148" s="185"/>
      <c r="E148" s="2" t="s">
        <v>166</v>
      </c>
      <c r="F148" s="45">
        <v>250</v>
      </c>
      <c r="G148" s="13">
        <v>3.01</v>
      </c>
      <c r="H148" s="13">
        <f t="shared" si="7"/>
        <v>3.4012999999999995</v>
      </c>
      <c r="I148" s="5"/>
      <c r="J148" s="13">
        <v>0.8</v>
      </c>
      <c r="K148" s="33" t="s">
        <v>213</v>
      </c>
    </row>
    <row r="149" spans="1:11" ht="21" customHeight="1" x14ac:dyDescent="0.25">
      <c r="A149" s="186"/>
      <c r="B149" s="186"/>
      <c r="C149" s="186"/>
      <c r="D149" s="186"/>
      <c r="E149" s="13" t="s">
        <v>169</v>
      </c>
      <c r="F149" s="45">
        <v>250</v>
      </c>
      <c r="G149" s="13">
        <v>3.67</v>
      </c>
      <c r="H149" s="13">
        <f t="shared" si="7"/>
        <v>4.1470999999999991</v>
      </c>
      <c r="I149" s="5"/>
      <c r="J149" s="13">
        <v>0.6</v>
      </c>
      <c r="K149" s="33" t="s">
        <v>213</v>
      </c>
    </row>
    <row r="150" spans="1:11" ht="21" customHeight="1" x14ac:dyDescent="0.25">
      <c r="A150" s="184" t="s">
        <v>111</v>
      </c>
      <c r="B150" s="184" t="s">
        <v>67</v>
      </c>
      <c r="C150" s="184" t="s">
        <v>66</v>
      </c>
      <c r="D150" s="184" t="s">
        <v>236</v>
      </c>
      <c r="E150" s="13" t="s">
        <v>163</v>
      </c>
      <c r="F150" s="45">
        <v>160</v>
      </c>
      <c r="G150" s="13">
        <v>1.41</v>
      </c>
      <c r="H150" s="13">
        <f t="shared" si="7"/>
        <v>1.5932999999999997</v>
      </c>
      <c r="I150" s="5"/>
      <c r="J150" s="13">
        <f t="shared" si="6"/>
        <v>0</v>
      </c>
      <c r="K150" s="33"/>
    </row>
    <row r="151" spans="1:11" ht="21" customHeight="1" x14ac:dyDescent="0.25">
      <c r="A151" s="185"/>
      <c r="B151" s="185"/>
      <c r="C151" s="185"/>
      <c r="D151" s="185"/>
      <c r="E151" s="13" t="s">
        <v>164</v>
      </c>
      <c r="F151" s="45">
        <v>160</v>
      </c>
      <c r="G151" s="13">
        <v>1.41</v>
      </c>
      <c r="H151" s="13">
        <f t="shared" si="7"/>
        <v>1.5932999999999997</v>
      </c>
      <c r="I151" s="5"/>
      <c r="J151" s="13">
        <f t="shared" si="6"/>
        <v>0</v>
      </c>
      <c r="K151" s="33"/>
    </row>
    <row r="152" spans="1:11" ht="21" customHeight="1" x14ac:dyDescent="0.25">
      <c r="A152" s="185"/>
      <c r="B152" s="185"/>
      <c r="C152" s="185"/>
      <c r="D152" s="185"/>
      <c r="E152" s="13" t="s">
        <v>167</v>
      </c>
      <c r="F152" s="45">
        <v>160</v>
      </c>
      <c r="G152" s="13">
        <v>1.39</v>
      </c>
      <c r="H152" s="13">
        <f t="shared" si="7"/>
        <v>1.5706999999999998</v>
      </c>
      <c r="I152" s="5"/>
      <c r="J152" s="13">
        <f t="shared" si="6"/>
        <v>0</v>
      </c>
      <c r="K152" s="33"/>
    </row>
    <row r="153" spans="1:11" ht="21" customHeight="1" x14ac:dyDescent="0.25">
      <c r="A153" s="186"/>
      <c r="B153" s="186"/>
      <c r="C153" s="186"/>
      <c r="D153" s="186"/>
      <c r="E153" s="13" t="s">
        <v>165</v>
      </c>
      <c r="F153" s="45">
        <v>110</v>
      </c>
      <c r="G153" s="13">
        <v>1.3</v>
      </c>
      <c r="H153" s="13">
        <f t="shared" si="7"/>
        <v>1.4689999999999999</v>
      </c>
      <c r="I153" s="5"/>
      <c r="J153" s="13">
        <f t="shared" si="6"/>
        <v>0</v>
      </c>
      <c r="K153" s="33"/>
    </row>
    <row r="154" spans="1:11" ht="21" customHeight="1" x14ac:dyDescent="0.25">
      <c r="A154" s="184" t="s">
        <v>112</v>
      </c>
      <c r="B154" s="184" t="s">
        <v>69</v>
      </c>
      <c r="C154" s="184" t="s">
        <v>68</v>
      </c>
      <c r="D154" s="184" t="s">
        <v>236</v>
      </c>
      <c r="E154" s="13" t="s">
        <v>163</v>
      </c>
      <c r="F154" s="45">
        <v>160</v>
      </c>
      <c r="G154" s="13">
        <v>0</v>
      </c>
      <c r="H154" s="13">
        <f t="shared" si="7"/>
        <v>0</v>
      </c>
      <c r="I154" s="5"/>
      <c r="J154" s="13">
        <f t="shared" si="6"/>
        <v>0</v>
      </c>
      <c r="K154" s="33"/>
    </row>
    <row r="155" spans="1:11" ht="21" customHeight="1" x14ac:dyDescent="0.25">
      <c r="A155" s="185"/>
      <c r="B155" s="185"/>
      <c r="C155" s="185"/>
      <c r="D155" s="185"/>
      <c r="E155" s="13" t="s">
        <v>164</v>
      </c>
      <c r="F155" s="45">
        <v>160</v>
      </c>
      <c r="G155" s="13">
        <v>1.41</v>
      </c>
      <c r="H155" s="13">
        <f t="shared" si="7"/>
        <v>1.5932999999999997</v>
      </c>
      <c r="I155" s="5"/>
      <c r="J155" s="13">
        <f t="shared" si="6"/>
        <v>0</v>
      </c>
      <c r="K155" s="33"/>
    </row>
    <row r="156" spans="1:11" ht="21" customHeight="1" x14ac:dyDescent="0.25">
      <c r="A156" s="185"/>
      <c r="B156" s="185"/>
      <c r="C156" s="185"/>
      <c r="D156" s="185"/>
      <c r="E156" s="13" t="s">
        <v>167</v>
      </c>
      <c r="F156" s="45">
        <v>160</v>
      </c>
      <c r="G156" s="13">
        <v>1.39</v>
      </c>
      <c r="H156" s="13">
        <f t="shared" si="7"/>
        <v>1.5706999999999998</v>
      </c>
      <c r="I156" s="5"/>
      <c r="J156" s="13">
        <f t="shared" si="6"/>
        <v>0</v>
      </c>
      <c r="K156" s="33"/>
    </row>
    <row r="157" spans="1:11" ht="21" customHeight="1" x14ac:dyDescent="0.25">
      <c r="A157" s="186"/>
      <c r="B157" s="186"/>
      <c r="C157" s="186"/>
      <c r="D157" s="186"/>
      <c r="E157" s="13" t="s">
        <v>165</v>
      </c>
      <c r="F157" s="45">
        <v>110</v>
      </c>
      <c r="G157" s="13">
        <v>1.3</v>
      </c>
      <c r="H157" s="13">
        <f t="shared" si="7"/>
        <v>1.4689999999999999</v>
      </c>
      <c r="I157" s="5"/>
      <c r="J157" s="13">
        <f t="shared" si="6"/>
        <v>0</v>
      </c>
      <c r="K157" s="33"/>
    </row>
    <row r="158" spans="1:11" ht="21" customHeight="1" x14ac:dyDescent="0.25">
      <c r="A158" s="184" t="s">
        <v>113</v>
      </c>
      <c r="B158" s="184" t="s">
        <v>71</v>
      </c>
      <c r="C158" s="184" t="s">
        <v>70</v>
      </c>
      <c r="D158" s="184" t="s">
        <v>236</v>
      </c>
      <c r="E158" s="13" t="s">
        <v>163</v>
      </c>
      <c r="F158" s="45">
        <v>250</v>
      </c>
      <c r="G158" s="13">
        <v>2.355</v>
      </c>
      <c r="H158" s="13">
        <f t="shared" si="7"/>
        <v>2.6611499999999997</v>
      </c>
      <c r="I158" s="5"/>
      <c r="J158" s="13">
        <v>0.6</v>
      </c>
      <c r="K158" s="33" t="s">
        <v>222</v>
      </c>
    </row>
    <row r="159" spans="1:11" ht="21" customHeight="1" x14ac:dyDescent="0.25">
      <c r="A159" s="185"/>
      <c r="B159" s="185"/>
      <c r="C159" s="185"/>
      <c r="D159" s="185"/>
      <c r="E159" s="13" t="s">
        <v>166</v>
      </c>
      <c r="F159" s="45">
        <v>250</v>
      </c>
      <c r="G159" s="13">
        <v>2.355</v>
      </c>
      <c r="H159" s="13">
        <f t="shared" si="7"/>
        <v>2.6611499999999997</v>
      </c>
      <c r="I159" s="5"/>
      <c r="J159" s="13">
        <f t="shared" si="6"/>
        <v>0</v>
      </c>
      <c r="K159" s="33"/>
    </row>
    <row r="160" spans="1:11" ht="21" customHeight="1" x14ac:dyDescent="0.25">
      <c r="A160" s="186"/>
      <c r="B160" s="186"/>
      <c r="C160" s="186"/>
      <c r="D160" s="186"/>
      <c r="E160" s="13" t="s">
        <v>165</v>
      </c>
      <c r="F160" s="45">
        <v>110</v>
      </c>
      <c r="G160" s="13">
        <v>1.5</v>
      </c>
      <c r="H160" s="13">
        <f t="shared" si="7"/>
        <v>1.6949999999999998</v>
      </c>
      <c r="I160" s="5"/>
      <c r="J160" s="13">
        <f t="shared" si="6"/>
        <v>0</v>
      </c>
      <c r="K160" s="33"/>
    </row>
    <row r="161" spans="1:11" ht="21" customHeight="1" x14ac:dyDescent="0.25">
      <c r="A161" s="184" t="s">
        <v>114</v>
      </c>
      <c r="B161" s="184" t="s">
        <v>73</v>
      </c>
      <c r="C161" s="184" t="s">
        <v>72</v>
      </c>
      <c r="D161" s="184" t="s">
        <v>237</v>
      </c>
      <c r="E161" s="13" t="s">
        <v>158</v>
      </c>
      <c r="F161" s="45">
        <v>160</v>
      </c>
      <c r="G161" s="13">
        <v>1.1000000000000001</v>
      </c>
      <c r="H161" s="13">
        <f t="shared" si="7"/>
        <v>1.2429999999999999</v>
      </c>
      <c r="I161" s="5"/>
      <c r="J161" s="13">
        <f t="shared" si="6"/>
        <v>0</v>
      </c>
      <c r="K161" s="33"/>
    </row>
    <row r="162" spans="1:11" ht="21" customHeight="1" x14ac:dyDescent="0.25">
      <c r="A162" s="185"/>
      <c r="B162" s="185"/>
      <c r="C162" s="185"/>
      <c r="D162" s="185"/>
      <c r="E162" s="13" t="s">
        <v>159</v>
      </c>
      <c r="F162" s="45">
        <v>160</v>
      </c>
      <c r="G162" s="13">
        <v>1.1000000000000001</v>
      </c>
      <c r="H162" s="13">
        <f t="shared" si="7"/>
        <v>1.2429999999999999</v>
      </c>
      <c r="I162" s="5"/>
      <c r="J162" s="13">
        <f t="shared" si="6"/>
        <v>0</v>
      </c>
      <c r="K162" s="33"/>
    </row>
    <row r="163" spans="1:11" ht="21" customHeight="1" x14ac:dyDescent="0.25">
      <c r="A163" s="186"/>
      <c r="B163" s="186"/>
      <c r="C163" s="186"/>
      <c r="D163" s="186"/>
      <c r="E163" s="13" t="s">
        <v>160</v>
      </c>
      <c r="F163" s="45">
        <v>80</v>
      </c>
      <c r="G163" s="13">
        <v>0.93</v>
      </c>
      <c r="H163" s="13">
        <f t="shared" si="7"/>
        <v>1.0508999999999999</v>
      </c>
      <c r="I163" s="5"/>
      <c r="J163" s="13">
        <f t="shared" si="6"/>
        <v>0</v>
      </c>
      <c r="K163" s="33"/>
    </row>
    <row r="164" spans="1:11" s="57" customFormat="1" ht="18" customHeight="1" x14ac:dyDescent="0.25">
      <c r="A164" s="194" t="s">
        <v>115</v>
      </c>
      <c r="B164" s="197" t="s">
        <v>75</v>
      </c>
      <c r="C164" s="197" t="s">
        <v>74</v>
      </c>
      <c r="D164" s="197" t="s">
        <v>124</v>
      </c>
      <c r="E164" s="53" t="s">
        <v>158</v>
      </c>
      <c r="F164" s="54">
        <v>200</v>
      </c>
      <c r="G164" s="53">
        <v>1.8</v>
      </c>
      <c r="H164" s="53">
        <f t="shared" si="7"/>
        <v>2.0339999999999998</v>
      </c>
      <c r="I164" s="58"/>
      <c r="J164" s="53">
        <v>0</v>
      </c>
      <c r="K164" s="56" t="s">
        <v>223</v>
      </c>
    </row>
    <row r="165" spans="1:11" s="57" customFormat="1" ht="18" customHeight="1" x14ac:dyDescent="0.25">
      <c r="A165" s="195"/>
      <c r="B165" s="198"/>
      <c r="C165" s="198"/>
      <c r="D165" s="198"/>
      <c r="E165" s="53" t="s">
        <v>159</v>
      </c>
      <c r="F165" s="54">
        <v>160</v>
      </c>
      <c r="G165" s="53">
        <v>1.5549999999999999</v>
      </c>
      <c r="H165" s="53">
        <f t="shared" si="7"/>
        <v>1.7571499999999998</v>
      </c>
      <c r="I165" s="58"/>
      <c r="J165" s="53">
        <v>0</v>
      </c>
      <c r="K165" s="56" t="s">
        <v>223</v>
      </c>
    </row>
    <row r="166" spans="1:11" s="57" customFormat="1" ht="18" customHeight="1" x14ac:dyDescent="0.25">
      <c r="A166" s="196"/>
      <c r="B166" s="199"/>
      <c r="C166" s="199"/>
      <c r="D166" s="199"/>
      <c r="E166" s="53" t="s">
        <v>160</v>
      </c>
      <c r="F166" s="54">
        <v>160</v>
      </c>
      <c r="G166" s="53">
        <v>1.5549999999999999</v>
      </c>
      <c r="H166" s="53">
        <f t="shared" si="7"/>
        <v>1.7571499999999998</v>
      </c>
      <c r="I166" s="58"/>
      <c r="J166" s="53">
        <v>0</v>
      </c>
      <c r="K166" s="56" t="s">
        <v>223</v>
      </c>
    </row>
    <row r="167" spans="1:11" s="51" customFormat="1" ht="17.100000000000001" customHeight="1" x14ac:dyDescent="0.25">
      <c r="A167" s="187" t="s">
        <v>186</v>
      </c>
      <c r="B167" s="188"/>
      <c r="C167" s="188"/>
      <c r="D167" s="189"/>
      <c r="E167" s="48"/>
      <c r="F167" s="50"/>
      <c r="G167" s="48">
        <f>SUM(G3:G166)</f>
        <v>385.00000000000017</v>
      </c>
      <c r="H167" s="48">
        <f>SUM(H3:H166)</f>
        <v>435.04999999999995</v>
      </c>
      <c r="I167" s="48">
        <f t="shared" ref="I167:J167" si="8">SUM(I3:I166)</f>
        <v>0</v>
      </c>
      <c r="J167" s="52">
        <f t="shared" si="8"/>
        <v>31.20000000000001</v>
      </c>
      <c r="K167" s="49"/>
    </row>
    <row r="168" spans="1:11" ht="34.799999999999997" customHeight="1" x14ac:dyDescent="0.25">
      <c r="A168" s="190" t="s">
        <v>187</v>
      </c>
      <c r="B168" s="190"/>
      <c r="C168" s="190"/>
      <c r="D168" s="190"/>
      <c r="E168" s="67"/>
      <c r="F168" s="68"/>
      <c r="G168" s="69">
        <f>G167*10000</f>
        <v>3850000.0000000019</v>
      </c>
      <c r="H168" s="69">
        <f t="shared" ref="H168:J168" si="9">H167*10000</f>
        <v>4350500</v>
      </c>
      <c r="I168" s="69">
        <f t="shared" si="9"/>
        <v>0</v>
      </c>
      <c r="J168" s="87">
        <f t="shared" si="9"/>
        <v>312000.00000000012</v>
      </c>
      <c r="K168" s="70"/>
    </row>
    <row r="170" spans="1:11" x14ac:dyDescent="0.25">
      <c r="H170" s="8">
        <v>146.01</v>
      </c>
      <c r="J170" s="8">
        <v>31.2</v>
      </c>
      <c r="K170" s="89">
        <f>J170/H170</f>
        <v>0.21368399424696941</v>
      </c>
    </row>
  </sheetData>
  <autoFilter ref="A2:L168" xr:uid="{9551F7E4-AF68-4E72-9D76-A1421673B839}"/>
  <mergeCells count="151">
    <mergeCell ref="A1:K1"/>
    <mergeCell ref="B164:B166"/>
    <mergeCell ref="C164:C166"/>
    <mergeCell ref="A164:A166"/>
    <mergeCell ref="D164:D166"/>
    <mergeCell ref="A3:A6"/>
    <mergeCell ref="B3:B6"/>
    <mergeCell ref="C3:C6"/>
    <mergeCell ref="A15:A18"/>
    <mergeCell ref="B15:B18"/>
    <mergeCell ref="C15:C18"/>
    <mergeCell ref="D15:D18"/>
    <mergeCell ref="A19:A24"/>
    <mergeCell ref="B19:B24"/>
    <mergeCell ref="C19:C24"/>
    <mergeCell ref="D19:D24"/>
    <mergeCell ref="D3:D6"/>
    <mergeCell ref="A7:A10"/>
    <mergeCell ref="B7:B10"/>
    <mergeCell ref="C7:C10"/>
    <mergeCell ref="D7:D10"/>
    <mergeCell ref="A11:A14"/>
    <mergeCell ref="B11:B14"/>
    <mergeCell ref="C11:C14"/>
    <mergeCell ref="D11:D14"/>
    <mergeCell ref="A39:A46"/>
    <mergeCell ref="B39:B46"/>
    <mergeCell ref="C39:C46"/>
    <mergeCell ref="D39:D46"/>
    <mergeCell ref="A47:A52"/>
    <mergeCell ref="B47:B52"/>
    <mergeCell ref="C47:C52"/>
    <mergeCell ref="D47:D52"/>
    <mergeCell ref="A25:A30"/>
    <mergeCell ref="B25:B30"/>
    <mergeCell ref="C25:C30"/>
    <mergeCell ref="D25:D30"/>
    <mergeCell ref="A31:A38"/>
    <mergeCell ref="B31:B38"/>
    <mergeCell ref="C31:C38"/>
    <mergeCell ref="D31:D38"/>
    <mergeCell ref="A64:A68"/>
    <mergeCell ref="B64:B68"/>
    <mergeCell ref="C64:C68"/>
    <mergeCell ref="D64:D68"/>
    <mergeCell ref="A69:A72"/>
    <mergeCell ref="B69:B72"/>
    <mergeCell ref="C69:C72"/>
    <mergeCell ref="D69:D72"/>
    <mergeCell ref="A53:A58"/>
    <mergeCell ref="B53:B58"/>
    <mergeCell ref="C53:C58"/>
    <mergeCell ref="D53:D58"/>
    <mergeCell ref="A59:A63"/>
    <mergeCell ref="B59:B63"/>
    <mergeCell ref="C59:C63"/>
    <mergeCell ref="D59:D63"/>
    <mergeCell ref="A82:A86"/>
    <mergeCell ref="B82:B86"/>
    <mergeCell ref="C82:C86"/>
    <mergeCell ref="D82:D86"/>
    <mergeCell ref="A87:A90"/>
    <mergeCell ref="B87:B90"/>
    <mergeCell ref="C87:C90"/>
    <mergeCell ref="D87:D90"/>
    <mergeCell ref="A73:A76"/>
    <mergeCell ref="B73:B76"/>
    <mergeCell ref="C73:C76"/>
    <mergeCell ref="D73:D76"/>
    <mergeCell ref="A77:A81"/>
    <mergeCell ref="B77:B81"/>
    <mergeCell ref="C77:C81"/>
    <mergeCell ref="D77:D81"/>
    <mergeCell ref="A100:A102"/>
    <mergeCell ref="B100:B102"/>
    <mergeCell ref="C100:C102"/>
    <mergeCell ref="D100:D102"/>
    <mergeCell ref="A103:A106"/>
    <mergeCell ref="B103:B106"/>
    <mergeCell ref="C103:C106"/>
    <mergeCell ref="D103:D106"/>
    <mergeCell ref="A91:A96"/>
    <mergeCell ref="B91:B96"/>
    <mergeCell ref="C91:C96"/>
    <mergeCell ref="D91:D96"/>
    <mergeCell ref="A97:A99"/>
    <mergeCell ref="B97:B99"/>
    <mergeCell ref="C97:C99"/>
    <mergeCell ref="D97:D99"/>
    <mergeCell ref="A113:A115"/>
    <mergeCell ref="B113:B115"/>
    <mergeCell ref="C113:C115"/>
    <mergeCell ref="D113:D115"/>
    <mergeCell ref="A116:A118"/>
    <mergeCell ref="B116:B118"/>
    <mergeCell ref="C116:C118"/>
    <mergeCell ref="D116:D118"/>
    <mergeCell ref="A107:A109"/>
    <mergeCell ref="B107:B109"/>
    <mergeCell ref="C107:C109"/>
    <mergeCell ref="D107:D109"/>
    <mergeCell ref="A110:A112"/>
    <mergeCell ref="B110:B112"/>
    <mergeCell ref="C110:C112"/>
    <mergeCell ref="D110:D112"/>
    <mergeCell ref="A127:A130"/>
    <mergeCell ref="B127:B130"/>
    <mergeCell ref="C127:C130"/>
    <mergeCell ref="D127:D130"/>
    <mergeCell ref="A131:A134"/>
    <mergeCell ref="B131:B134"/>
    <mergeCell ref="C131:C134"/>
    <mergeCell ref="D131:D134"/>
    <mergeCell ref="A119:A122"/>
    <mergeCell ref="B119:B122"/>
    <mergeCell ref="C119:C122"/>
    <mergeCell ref="D119:D122"/>
    <mergeCell ref="A123:A126"/>
    <mergeCell ref="B123:B126"/>
    <mergeCell ref="C123:C126"/>
    <mergeCell ref="D123:D126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35:A139"/>
    <mergeCell ref="B135:B139"/>
    <mergeCell ref="C135:C139"/>
    <mergeCell ref="D135:D139"/>
    <mergeCell ref="A140:A145"/>
    <mergeCell ref="B140:B145"/>
    <mergeCell ref="C140:C145"/>
    <mergeCell ref="D140:D145"/>
    <mergeCell ref="A161:A163"/>
    <mergeCell ref="B161:B163"/>
    <mergeCell ref="C161:C163"/>
    <mergeCell ref="D161:D163"/>
    <mergeCell ref="A167:D167"/>
    <mergeCell ref="A168:D168"/>
    <mergeCell ref="A154:A157"/>
    <mergeCell ref="B154:B157"/>
    <mergeCell ref="C154:C157"/>
    <mergeCell ref="D154:D157"/>
    <mergeCell ref="A158:A160"/>
    <mergeCell ref="B158:B160"/>
    <mergeCell ref="C158:C160"/>
    <mergeCell ref="D158:D160"/>
  </mergeCells>
  <phoneticPr fontId="2" type="noConversion"/>
  <conditionalFormatting sqref="B164">
    <cfRule type="duplicateValues" dxfId="1" priority="25"/>
  </conditionalFormatting>
  <printOptions horizontalCentered="1"/>
  <pageMargins left="0.11811023622047245" right="0.11811023622047245" top="0.55118110236220474" bottom="0.15748031496062992" header="0.31496062992125984" footer="0.31496062992125984"/>
  <pageSetup paperSize="9" scale="66" orientation="landscape" r:id="rId1"/>
  <rowBreaks count="4" manualBreakCount="4">
    <brk id="38" max="10" man="1"/>
    <brk id="76" max="10" man="1"/>
    <brk id="112" max="10" man="1"/>
    <brk id="153" max="10" man="1"/>
  </rowBreaks>
  <colBreaks count="1" manualBreakCount="1">
    <brk id="11" max="168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9D0F-44FE-4ACA-9127-E380BA8EEB2A}">
  <dimension ref="A1"/>
  <sheetViews>
    <sheetView workbookViewId="0">
      <selection activeCell="P14" sqref="P14"/>
    </sheetView>
  </sheetViews>
  <sheetFormatPr defaultRowHeight="13.8" x14ac:dyDescent="0.25"/>
  <sheetData>
    <row r="1" spans="1:1" x14ac:dyDescent="0.25">
      <c r="A1" t="s">
        <v>303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8</vt:i4>
      </vt:variant>
    </vt:vector>
  </HeadingPairs>
  <TitlesOfParts>
    <vt:vector size="18" baseType="lpstr">
      <vt:lpstr>总结费用</vt:lpstr>
      <vt:lpstr>打样费用-合计10.12修改</vt:lpstr>
      <vt:lpstr>打样费用-20年打件数量</vt:lpstr>
      <vt:lpstr>打样费用-21年打件数量</vt:lpstr>
      <vt:lpstr>打样费用 (2)</vt:lpstr>
      <vt:lpstr>模具费用</vt:lpstr>
      <vt:lpstr>运费</vt:lpstr>
      <vt:lpstr>模具维修费</vt:lpstr>
      <vt:lpstr>Sheet1</vt:lpstr>
      <vt:lpstr>模具维修费 (线)</vt:lpstr>
      <vt:lpstr>'打样费用 (2)'!Print_Area</vt:lpstr>
      <vt:lpstr>'打样费用-20年打件数量'!Print_Area</vt:lpstr>
      <vt:lpstr>'打样费用-21年打件数量'!Print_Area</vt:lpstr>
      <vt:lpstr>'打样费用-合计10.12修改'!Print_Area</vt:lpstr>
      <vt:lpstr>模具费用!Print_Area</vt:lpstr>
      <vt:lpstr>模具维修费!Print_Area</vt:lpstr>
      <vt:lpstr>'模具维修费 (线)'!Print_Area</vt:lpstr>
      <vt:lpstr>总结费用!Print_Area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2021-10-14T04:09:12Z</cp:lastPrinted>
  <dcterms:created xsi:type="dcterms:W3CDTF">2015-06-05T18:19:34Z</dcterms:created>
  <dcterms:modified xsi:type="dcterms:W3CDTF">2021-10-14T04:09:17Z</dcterms:modified>
</cp:coreProperties>
</file>