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H6座椅\H6委外冲压件2021.11\"/>
    </mc:Choice>
  </mc:AlternateContent>
  <bookViews>
    <workbookView xWindow="-105" yWindow="-105" windowWidth="23250" windowHeight="12570"/>
  </bookViews>
  <sheets>
    <sheet name="河北提报" sheetId="2" r:id="rId1"/>
    <sheet name="核价" sheetId="3" r:id="rId2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2" l="1"/>
  <c r="R38" i="2"/>
  <c r="R33" i="2"/>
  <c r="X43" i="3"/>
  <c r="X44" i="3"/>
  <c r="X45" i="3"/>
  <c r="X46" i="3"/>
  <c r="X50" i="3"/>
  <c r="O43" i="3"/>
  <c r="Q43" i="3"/>
  <c r="R43" i="3"/>
  <c r="R50" i="3"/>
  <c r="L49" i="3"/>
  <c r="L48" i="3"/>
  <c r="L47" i="3"/>
  <c r="L46" i="3"/>
  <c r="L45" i="3"/>
  <c r="Y43" i="3"/>
  <c r="Z43" i="3"/>
  <c r="AD43" i="3"/>
  <c r="R29" i="2"/>
  <c r="X35" i="3"/>
  <c r="X36" i="3"/>
  <c r="X37" i="3"/>
  <c r="X38" i="3"/>
  <c r="X42" i="3"/>
  <c r="O35" i="3"/>
  <c r="Q35" i="3"/>
  <c r="R35" i="3"/>
  <c r="R42" i="3"/>
  <c r="L41" i="3"/>
  <c r="L40" i="3"/>
  <c r="L39" i="3"/>
  <c r="L38" i="3"/>
  <c r="L37" i="3"/>
  <c r="Y35" i="3"/>
  <c r="Z35" i="3"/>
  <c r="AD35" i="3"/>
  <c r="R22" i="2"/>
  <c r="X27" i="3"/>
  <c r="X28" i="3"/>
  <c r="X29" i="3"/>
  <c r="X30" i="3"/>
  <c r="X31" i="3"/>
  <c r="W32" i="3"/>
  <c r="X32" i="3"/>
  <c r="X34" i="3"/>
  <c r="O27" i="3"/>
  <c r="Q27" i="3"/>
  <c r="R27" i="3"/>
  <c r="R32" i="3"/>
  <c r="R34" i="3"/>
  <c r="L33" i="3"/>
  <c r="L32" i="3"/>
  <c r="L31" i="3"/>
  <c r="L30" i="3"/>
  <c r="L29" i="3"/>
  <c r="Y27" i="3"/>
  <c r="Z27" i="3"/>
  <c r="AD27" i="3"/>
  <c r="R15" i="2"/>
  <c r="W24" i="3"/>
  <c r="R24" i="3"/>
  <c r="X24" i="3"/>
  <c r="X19" i="3"/>
  <c r="X20" i="3"/>
  <c r="X21" i="3"/>
  <c r="X22" i="3"/>
  <c r="X23" i="3"/>
  <c r="X26" i="3"/>
  <c r="O19" i="3"/>
  <c r="Q19" i="3"/>
  <c r="R19" i="3"/>
  <c r="R26" i="3"/>
  <c r="L25" i="3"/>
  <c r="L24" i="3"/>
  <c r="L23" i="3"/>
  <c r="L22" i="3"/>
  <c r="L21" i="3"/>
  <c r="Y19" i="3"/>
  <c r="Z19" i="3"/>
  <c r="AD19" i="3"/>
  <c r="R9" i="2"/>
  <c r="X11" i="3"/>
  <c r="X12" i="3"/>
  <c r="X13" i="3"/>
  <c r="X14" i="3"/>
  <c r="X15" i="3"/>
  <c r="X16" i="3"/>
  <c r="X18" i="3"/>
  <c r="O11" i="3"/>
  <c r="Q11" i="3"/>
  <c r="R11" i="3"/>
  <c r="R18" i="3"/>
  <c r="L17" i="3"/>
  <c r="L16" i="3"/>
  <c r="L15" i="3"/>
  <c r="L14" i="3"/>
  <c r="L13" i="3"/>
  <c r="Y11" i="3"/>
  <c r="Z11" i="3"/>
  <c r="AD11" i="3"/>
  <c r="R3" i="2"/>
  <c r="R37" i="2"/>
  <c r="L9" i="3"/>
  <c r="L8" i="3"/>
  <c r="L7" i="3"/>
  <c r="L6" i="3"/>
  <c r="L5" i="3"/>
  <c r="X4" i="3"/>
  <c r="X5" i="3"/>
  <c r="X6" i="3"/>
  <c r="X7" i="3"/>
  <c r="X8" i="3"/>
  <c r="X3" i="3"/>
  <c r="X10" i="3"/>
  <c r="O3" i="3"/>
  <c r="Q3" i="3"/>
  <c r="R3" i="3"/>
  <c r="R10" i="3"/>
  <c r="Y3" i="3"/>
  <c r="Z3" i="3"/>
  <c r="AD3" i="3"/>
  <c r="P37" i="2"/>
  <c r="K37" i="2"/>
  <c r="O37" i="2"/>
  <c r="N22" i="2"/>
  <c r="N15" i="2"/>
  <c r="O15" i="2"/>
  <c r="N33" i="2"/>
  <c r="N29" i="2"/>
  <c r="O29" i="2"/>
  <c r="O33" i="2"/>
  <c r="O22" i="2"/>
  <c r="O9" i="2"/>
  <c r="O3" i="2"/>
  <c r="N9" i="2"/>
  <c r="N3" i="2"/>
  <c r="M33" i="2"/>
  <c r="M29" i="2"/>
  <c r="M22" i="2"/>
  <c r="M15" i="2"/>
  <c r="M9" i="2"/>
  <c r="M3" i="2"/>
</calcChain>
</file>

<file path=xl/sharedStrings.xml><?xml version="1.0" encoding="utf-8"?>
<sst xmlns="http://schemas.openxmlformats.org/spreadsheetml/2006/main" count="238" uniqueCount="126">
  <si>
    <t>冲孔</t>
    <phoneticPr fontId="1" type="noConversion"/>
  </si>
  <si>
    <t>翻边成型</t>
    <phoneticPr fontId="1" type="noConversion"/>
  </si>
  <si>
    <t>成型</t>
    <phoneticPr fontId="1" type="noConversion"/>
  </si>
  <si>
    <t>落料</t>
    <phoneticPr fontId="1" type="noConversion"/>
  </si>
  <si>
    <t>翻边整形</t>
    <phoneticPr fontId="1" type="noConversion"/>
  </si>
  <si>
    <t>修边冲孔</t>
    <phoneticPr fontId="1" type="noConversion"/>
  </si>
  <si>
    <t>翻边</t>
    <phoneticPr fontId="1" type="noConversion"/>
  </si>
  <si>
    <t>SHT0010245</t>
  </si>
  <si>
    <t>SHT0010070</t>
  </si>
  <si>
    <t>分切冲孔</t>
    <phoneticPr fontId="1" type="noConversion"/>
  </si>
  <si>
    <t>冲压吨位T</t>
    <phoneticPr fontId="1" type="noConversion"/>
  </si>
  <si>
    <t>工序模</t>
    <phoneticPr fontId="1" type="noConversion"/>
  </si>
  <si>
    <t>产品材质</t>
    <phoneticPr fontId="1" type="noConversion"/>
  </si>
  <si>
    <t>产品名称</t>
  </si>
  <si>
    <t>图号</t>
  </si>
  <si>
    <t>序号</t>
  </si>
  <si>
    <t>1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</si>
  <si>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</si>
  <si>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</si>
  <si>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</si>
  <si>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</si>
  <si>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</si>
  <si>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数据点检</t>
    <phoneticPr fontId="1" type="noConversion"/>
  </si>
  <si>
    <t>图纸点检</t>
    <phoneticPr fontId="1" type="noConversion"/>
  </si>
  <si>
    <t>√</t>
    <phoneticPr fontId="1" type="noConversion"/>
  </si>
  <si>
    <t>ASSY</t>
    <phoneticPr fontId="1" type="noConversion"/>
  </si>
  <si>
    <t>——</t>
    <phoneticPr fontId="1" type="noConversion"/>
  </si>
  <si>
    <t>3-1</t>
    <phoneticPr fontId="1" type="noConversion"/>
  </si>
  <si>
    <t>数量</t>
    <phoneticPr fontId="1" type="noConversion"/>
  </si>
  <si>
    <t>Q370C08</t>
    <phoneticPr fontId="1" type="noConversion"/>
  </si>
  <si>
    <t>M8焊接螺母</t>
    <phoneticPr fontId="1" type="noConversion"/>
  </si>
  <si>
    <t>3-2</t>
    <phoneticPr fontId="1" type="noConversion"/>
  </si>
  <si>
    <t>4-1</t>
    <phoneticPr fontId="1" type="noConversion"/>
  </si>
  <si>
    <t>4-2</t>
    <phoneticPr fontId="1" type="noConversion"/>
  </si>
  <si>
    <t>总成形式供货</t>
    <phoneticPr fontId="1" type="noConversion"/>
  </si>
  <si>
    <t>图纸1.5厚</t>
    <phoneticPr fontId="1" type="noConversion"/>
  </si>
  <si>
    <t>数据1.6厚</t>
    <phoneticPr fontId="1" type="noConversion"/>
  </si>
  <si>
    <t>供货状态</t>
    <phoneticPr fontId="1" type="noConversion"/>
  </si>
  <si>
    <t>单件</t>
    <phoneticPr fontId="1" type="noConversion"/>
  </si>
  <si>
    <t>南皮利达-未税</t>
    <phoneticPr fontId="1" type="noConversion"/>
  </si>
  <si>
    <t>不承接</t>
    <phoneticPr fontId="1" type="noConversion"/>
  </si>
  <si>
    <t>泊头捷润-未税</t>
    <phoneticPr fontId="1" type="noConversion"/>
  </si>
  <si>
    <t>航天宏达-未税</t>
    <phoneticPr fontId="1" type="noConversion"/>
  </si>
  <si>
    <t>南皮宇诺-未税</t>
    <phoneticPr fontId="1" type="noConversion"/>
  </si>
  <si>
    <t>6套岳众模具转移事宜-厂家报价汇总</t>
    <phoneticPr fontId="1" type="noConversion"/>
  </si>
  <si>
    <t>航天宏达-含税</t>
    <phoneticPr fontId="1" type="noConversion"/>
  </si>
  <si>
    <t>航天宏达-含税-协商价</t>
    <phoneticPr fontId="1" type="noConversion"/>
  </si>
  <si>
    <t>航天宏达-未税-协商价</t>
    <phoneticPr fontId="1" type="noConversion"/>
  </si>
  <si>
    <t>物料代码</t>
  </si>
  <si>
    <t>名称</t>
  </si>
  <si>
    <t>零件名称</t>
  </si>
  <si>
    <t>耗用量</t>
  </si>
  <si>
    <t>材质</t>
  </si>
  <si>
    <t>长</t>
    <phoneticPr fontId="1" type="noConversion"/>
  </si>
  <si>
    <t>宽</t>
    <phoneticPr fontId="1" type="noConversion"/>
  </si>
  <si>
    <t>厚</t>
    <phoneticPr fontId="1" type="noConversion"/>
  </si>
  <si>
    <t>含税单价</t>
  </si>
  <si>
    <t>重量</t>
  </si>
  <si>
    <t>材料费</t>
  </si>
  <si>
    <t>加工成本</t>
  </si>
  <si>
    <t>含税</t>
  </si>
  <si>
    <t>不含税</t>
  </si>
  <si>
    <t>材料</t>
  </si>
  <si>
    <t>废铁</t>
  </si>
  <si>
    <t>毛重</t>
  </si>
  <si>
    <t>净重</t>
  </si>
  <si>
    <t>工序</t>
  </si>
  <si>
    <t>吨位</t>
  </si>
  <si>
    <t>工序费</t>
  </si>
  <si>
    <t>核算价</t>
  </si>
  <si>
    <t>SPFH590</t>
  </si>
  <si>
    <t>落料</t>
  </si>
  <si>
    <t>冲孔</t>
  </si>
  <si>
    <t>成型</t>
  </si>
  <si>
    <t>自制/外购</t>
    <phoneticPr fontId="1" type="noConversion"/>
  </si>
  <si>
    <t>未税模具费</t>
    <phoneticPr fontId="1" type="noConversion"/>
  </si>
  <si>
    <t>模具分摊数量</t>
    <phoneticPr fontId="1" type="noConversion"/>
  </si>
  <si>
    <t>模摊费</t>
    <phoneticPr fontId="1" type="noConversion"/>
  </si>
  <si>
    <t>含模摊未税价</t>
    <phoneticPr fontId="1" type="noConversion"/>
  </si>
  <si>
    <t>照片</t>
    <phoneticPr fontId="1" type="noConversion"/>
  </si>
  <si>
    <t>工序数</t>
    <phoneticPr fontId="1" type="noConversion"/>
  </si>
  <si>
    <t>出件数</t>
    <phoneticPr fontId="1" type="noConversion"/>
  </si>
  <si>
    <t>工序费合计</t>
    <phoneticPr fontId="1" type="noConversion"/>
  </si>
  <si>
    <t>2020年使用量</t>
    <phoneticPr fontId="1" type="noConversion"/>
  </si>
  <si>
    <t>序号</t>
    <phoneticPr fontId="1" type="noConversion"/>
  </si>
  <si>
    <t>核价时间</t>
    <phoneticPr fontId="1" type="noConversion"/>
  </si>
  <si>
    <t>SHT0010723</t>
    <phoneticPr fontId="1" type="noConversion"/>
  </si>
  <si>
    <t>SHT0010723</t>
    <phoneticPr fontId="1" type="noConversion"/>
  </si>
  <si>
    <t>司机主边调角器下连接板B</t>
    <phoneticPr fontId="1" type="noConversion"/>
  </si>
  <si>
    <t>司机主边调角器下连接板B</t>
    <phoneticPr fontId="1" type="noConversion"/>
  </si>
  <si>
    <t>外购</t>
    <phoneticPr fontId="11" type="noConversion"/>
  </si>
  <si>
    <t>产品净尺寸</t>
    <phoneticPr fontId="1" type="noConversion"/>
  </si>
  <si>
    <t>修边冲孔</t>
  </si>
  <si>
    <t>翻边</t>
  </si>
  <si>
    <t>翻边整形</t>
  </si>
  <si>
    <t>分切冲孔</t>
  </si>
  <si>
    <t>测算未税目标价</t>
    <phoneticPr fontId="1" type="noConversion"/>
  </si>
  <si>
    <t>设备吨位测算</t>
    <phoneticPr fontId="1" type="noConversion"/>
  </si>
  <si>
    <t>SHT0010725</t>
    <phoneticPr fontId="1" type="noConversion"/>
  </si>
  <si>
    <t>SHT0010725</t>
    <phoneticPr fontId="1" type="noConversion"/>
  </si>
  <si>
    <t>司机副边调角器下连接钣B</t>
    <phoneticPr fontId="1" type="noConversion"/>
  </si>
  <si>
    <t>司机副边调角器下连接钣B</t>
    <phoneticPr fontId="1" type="noConversion"/>
  </si>
  <si>
    <t>SHT0011209</t>
    <phoneticPr fontId="1" type="noConversion"/>
  </si>
  <si>
    <t>左侧扶手固定加强板焊接总成</t>
    <phoneticPr fontId="1" type="noConversion"/>
  </si>
  <si>
    <t>扶手固定加强板1</t>
    <phoneticPr fontId="1" type="noConversion"/>
  </si>
  <si>
    <t>扶手固定加强板1</t>
    <phoneticPr fontId="1" type="noConversion"/>
  </si>
  <si>
    <t>焊接</t>
    <phoneticPr fontId="1" type="noConversion"/>
  </si>
  <si>
    <t>M8焊接螺母</t>
  </si>
  <si>
    <t>M8焊接螺母</t>
    <phoneticPr fontId="1" type="noConversion"/>
  </si>
  <si>
    <t>SHT0010068</t>
    <phoneticPr fontId="1" type="noConversion"/>
  </si>
  <si>
    <t>右侧扶手固定加强板焊接总成</t>
    <phoneticPr fontId="1" type="noConversion"/>
  </si>
  <si>
    <t>扶手固定加强板2</t>
    <phoneticPr fontId="1" type="noConversion"/>
  </si>
  <si>
    <t>扶手固定加强板2</t>
    <phoneticPr fontId="1" type="noConversion"/>
  </si>
  <si>
    <t>SHT0010191</t>
    <phoneticPr fontId="1" type="noConversion"/>
  </si>
  <si>
    <t>SHT0010191</t>
    <phoneticPr fontId="1" type="noConversion"/>
  </si>
  <si>
    <t>SPFH590t=1.6</t>
  </si>
  <si>
    <t>SPFH590t=3.0</t>
  </si>
  <si>
    <t>蜗簧固定钣金片1</t>
    <phoneticPr fontId="1" type="noConversion"/>
  </si>
  <si>
    <t>蜗簧固定钣金片1</t>
    <phoneticPr fontId="1" type="noConversion"/>
  </si>
  <si>
    <t>翻边成型</t>
  </si>
  <si>
    <t>合计</t>
    <phoneticPr fontId="1" type="noConversion"/>
  </si>
  <si>
    <t>SHT0010384</t>
    <phoneticPr fontId="1" type="noConversion"/>
  </si>
  <si>
    <t>SHT0010384</t>
    <phoneticPr fontId="1" type="noConversion"/>
  </si>
  <si>
    <t>副驾蜗簧固定钣金片1</t>
    <phoneticPr fontId="1" type="noConversion"/>
  </si>
  <si>
    <t>副驾蜗簧固定钣金片1</t>
    <phoneticPr fontId="1" type="noConversion"/>
  </si>
  <si>
    <t>差异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</si>
</sst>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76" formatCode="0.0000"/>
    <numFmt numFmtId="177" formatCode="0.00_);[Red]\(0.00\)"/>
    <numFmt numFmtId="178" formatCode="0.000_);[Red]\(0.000\)"/>
    <numFmt numFmtId="179" formatCode="0.00_ "/>
    <numFmt numFmtId="180" formatCode="0.0000_ "/>
    <numFmt numFmtId="181" formatCode="0_ "/>
    <numFmt numFmtId="182" formatCode="0_);[Red]\(0\)"/>
  </numFmts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0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2" fillId="0" borderId="0" xfId="1">
      <alignment vertical="center"/>
    </xf>
    <xf numFmtId="0" fontId="4" fillId="0" borderId="1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" fillId="0" borderId="1" xfId="1" applyBorder="1">
      <alignment vertical="center"/>
    </xf>
    <xf numFmtId="0" fontId="5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0" fontId="8" fillId="2" borderId="0" xfId="1" applyFont="1" applyFill="1">
      <alignment vertical="center"/>
    </xf>
    <xf numFmtId="49" fontId="7" fillId="3" borderId="3" xfId="2" applyNumberFormat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10" fillId="0" borderId="1" xfId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177" fontId="10" fillId="0" borderId="1" xfId="1" applyNumberFormat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/>
    </xf>
    <xf numFmtId="179" fontId="10" fillId="0" borderId="1" xfId="1" applyNumberFormat="1" applyFont="1" applyBorder="1" applyAlignment="1">
      <alignment horizontal="center" vertical="center" shrinkToFit="1"/>
    </xf>
    <xf numFmtId="179" fontId="10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1" fontId="8" fillId="0" borderId="1" xfId="1" applyNumberFormat="1" applyFont="1" applyFill="1" applyBorder="1" applyAlignment="1">
      <alignment horizontal="center" vertical="center" shrinkToFit="1"/>
    </xf>
    <xf numFmtId="177" fontId="8" fillId="0" borderId="1" xfId="1" applyNumberFormat="1" applyFont="1" applyFill="1" applyBorder="1">
      <alignment vertical="center"/>
    </xf>
    <xf numFmtId="178" fontId="8" fillId="0" borderId="1" xfId="1" applyNumberFormat="1" applyFont="1" applyFill="1" applyBorder="1" applyAlignment="1">
      <alignment vertical="center" shrinkToFit="1"/>
    </xf>
    <xf numFmtId="177" fontId="8" fillId="0" borderId="1" xfId="1" applyNumberFormat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181" fontId="8" fillId="0" borderId="1" xfId="1" applyNumberFormat="1" applyFont="1" applyFill="1" applyBorder="1" applyAlignment="1">
      <alignment horizontal="center" vertical="center"/>
    </xf>
    <xf numFmtId="0" fontId="8" fillId="0" borderId="0" xfId="1" applyFont="1" applyFill="1">
      <alignment vertical="center"/>
    </xf>
    <xf numFmtId="178" fontId="8" fillId="0" borderId="1" xfId="1" applyNumberFormat="1" applyFont="1" applyFill="1" applyBorder="1" applyAlignment="1">
      <alignment horizontal="center" vertical="center" shrinkToFit="1"/>
    </xf>
    <xf numFmtId="182" fontId="8" fillId="0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shrinkToFit="1"/>
    </xf>
    <xf numFmtId="182" fontId="8" fillId="2" borderId="1" xfId="1" applyNumberFormat="1" applyFont="1" applyFill="1" applyBorder="1" applyAlignment="1">
      <alignment horizontal="center" vertical="center"/>
    </xf>
    <xf numFmtId="177" fontId="8" fillId="2" borderId="1" xfId="1" applyNumberFormat="1" applyFont="1" applyFill="1" applyBorder="1">
      <alignment vertical="center"/>
    </xf>
    <xf numFmtId="178" fontId="8" fillId="2" borderId="1" xfId="1" applyNumberFormat="1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81" fontId="8" fillId="2" borderId="1" xfId="1" applyNumberFormat="1" applyFont="1" applyFill="1" applyBorder="1" applyAlignment="1">
      <alignment horizontal="center" vertical="center"/>
    </xf>
    <xf numFmtId="180" fontId="8" fillId="2" borderId="1" xfId="1" applyNumberFormat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43" fontId="8" fillId="0" borderId="1" xfId="4" applyFont="1" applyFill="1" applyBorder="1" applyAlignment="1">
      <alignment horizontal="center" vertical="center" shrinkToFit="1"/>
    </xf>
    <xf numFmtId="43" fontId="8" fillId="0" borderId="1" xfId="4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2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8" fillId="0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2" fillId="0" borderId="4" xfId="1" applyNumberFormat="1" applyFill="1" applyBorder="1" applyAlignment="1">
      <alignment horizontal="center" vertical="center" wrapText="1"/>
    </xf>
    <xf numFmtId="176" fontId="2" fillId="0" borderId="3" xfId="1" applyNumberFormat="1" applyFill="1" applyBorder="1" applyAlignment="1">
      <alignment horizontal="center" vertical="center" wrapText="1"/>
    </xf>
    <xf numFmtId="176" fontId="2" fillId="0" borderId="2" xfId="1" applyNumberFormat="1" applyFill="1" applyBorder="1" applyAlignment="1">
      <alignment horizontal="center" vertical="center" wrapText="1"/>
    </xf>
    <xf numFmtId="176" fontId="2" fillId="0" borderId="4" xfId="1" applyNumberFormat="1" applyBorder="1" applyAlignment="1">
      <alignment horizontal="center" vertical="center" wrapText="1"/>
    </xf>
    <xf numFmtId="176" fontId="2" fillId="0" borderId="3" xfId="1" applyNumberFormat="1" applyBorder="1" applyAlignment="1">
      <alignment horizontal="center" vertical="center" wrapText="1"/>
    </xf>
    <xf numFmtId="176" fontId="2" fillId="0" borderId="2" xfId="1" applyNumberFormat="1" applyBorder="1" applyAlignment="1">
      <alignment horizontal="center" vertical="center" wrapText="1"/>
    </xf>
    <xf numFmtId="176" fontId="2" fillId="3" borderId="4" xfId="1" applyNumberFormat="1" applyFill="1" applyBorder="1" applyAlignment="1">
      <alignment horizontal="center" vertical="center" wrapText="1"/>
    </xf>
    <xf numFmtId="176" fontId="2" fillId="3" borderId="3" xfId="1" applyNumberFormat="1" applyFill="1" applyBorder="1" applyAlignment="1">
      <alignment horizontal="center" vertical="center" wrapText="1"/>
    </xf>
    <xf numFmtId="176" fontId="2" fillId="3" borderId="2" xfId="1" applyNumberFormat="1" applyFill="1" applyBorder="1" applyAlignment="1">
      <alignment horizontal="center" vertical="center" wrapText="1"/>
    </xf>
    <xf numFmtId="176" fontId="2" fillId="0" borderId="6" xfId="1" applyNumberFormat="1" applyFill="1" applyBorder="1" applyAlignment="1">
      <alignment horizontal="center" vertical="center"/>
    </xf>
    <xf numFmtId="176" fontId="2" fillId="0" borderId="7" xfId="1" applyNumberFormat="1" applyFill="1" applyBorder="1" applyAlignment="1">
      <alignment horizontal="center" vertical="center"/>
    </xf>
    <xf numFmtId="176" fontId="2" fillId="0" borderId="8" xfId="1" applyNumberFormat="1" applyFill="1" applyBorder="1" applyAlignment="1">
      <alignment horizontal="center" vertical="center"/>
    </xf>
    <xf numFmtId="176" fontId="2" fillId="0" borderId="9" xfId="1" applyNumberFormat="1" applyFill="1" applyBorder="1" applyAlignment="1">
      <alignment horizontal="center" vertical="center"/>
    </xf>
    <xf numFmtId="0" fontId="2" fillId="0" borderId="4" xfId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/>
    </xf>
    <xf numFmtId="49" fontId="7" fillId="0" borderId="3" xfId="2" applyNumberFormat="1" applyFont="1" applyBorder="1" applyAlignment="1">
      <alignment horizontal="center" vertical="center"/>
    </xf>
    <xf numFmtId="49" fontId="7" fillId="0" borderId="2" xfId="2" applyNumberFormat="1" applyFont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3" xfId="2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181" fontId="8" fillId="0" borderId="1" xfId="1" applyNumberFormat="1" applyFont="1" applyFill="1" applyBorder="1" applyAlignment="1">
      <alignment horizontal="center" vertical="center"/>
    </xf>
    <xf numFmtId="180" fontId="8" fillId="0" borderId="1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4" xfId="1" applyNumberFormat="1" applyFont="1" applyFill="1" applyBorder="1" applyAlignment="1">
      <alignment horizontal="center" vertical="center"/>
    </xf>
    <xf numFmtId="14" fontId="8" fillId="0" borderId="3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179" fontId="8" fillId="0" borderId="4" xfId="1" applyNumberFormat="1" applyFont="1" applyFill="1" applyBorder="1" applyAlignment="1">
      <alignment horizontal="center" vertical="center"/>
    </xf>
    <xf numFmtId="179" fontId="8" fillId="0" borderId="3" xfId="1" applyNumberFormat="1" applyFont="1" applyFill="1" applyBorder="1" applyAlignment="1">
      <alignment horizontal="center" vertical="center"/>
    </xf>
    <xf numFmtId="179" fontId="8" fillId="0" borderId="2" xfId="1" applyNumberFormat="1" applyFont="1" applyFill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180" fontId="8" fillId="0" borderId="4" xfId="1" applyNumberFormat="1" applyFont="1" applyBorder="1" applyAlignment="1">
      <alignment horizontal="center" vertical="center" wrapText="1"/>
    </xf>
    <xf numFmtId="180" fontId="8" fillId="0" borderId="2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178" fontId="10" fillId="0" borderId="1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 wrapText="1"/>
    </xf>
    <xf numFmtId="179" fontId="10" fillId="0" borderId="1" xfId="1" applyNumberFormat="1" applyFont="1" applyBorder="1" applyAlignment="1">
      <alignment horizontal="center" vertical="center"/>
    </xf>
    <xf numFmtId="180" fontId="8" fillId="0" borderId="1" xfId="1" applyNumberFormat="1" applyFont="1" applyBorder="1" applyAlignment="1">
      <alignment horizontal="center" vertical="center"/>
    </xf>
    <xf numFmtId="180" fontId="8" fillId="0" borderId="4" xfId="1" applyNumberFormat="1" applyFont="1" applyBorder="1" applyAlignment="1">
      <alignment horizontal="center" vertical="center"/>
    </xf>
    <xf numFmtId="180" fontId="8" fillId="0" borderId="2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43" fontId="0" fillId="0" borderId="0" xfId="4" applyFont="1" applyFill="1" applyAlignment="1">
      <alignment horizontal="center" vertical="center"/>
    </xf>
    <xf numFmtId="9" fontId="0" fillId="0" borderId="0" xfId="5" applyFont="1" applyFill="1" applyAlignment="1"/>
    <xf numFmtId="0" fontId="0" fillId="0" borderId="0" xfId="0" applyAlignment="1">
      <alignment horizontal="center" vertical="center" wrapText="1"/>
    </xf>
  </cellXfs>
  <cellStyles count="6">
    <cellStyle name="百分比" xfId="5" builtinId="5"/>
    <cellStyle name="常规" xfId="0" builtinId="0"/>
    <cellStyle name="常规 2" xfId="1"/>
    <cellStyle name="常规 2 2" xfId="3"/>
    <cellStyle name="常规 28" xfId="2"/>
    <cellStyle name="千位分隔" xfId="4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104775</xdr:colOff>
      <xdr:row>2</xdr:row>
      <xdr:rowOff>76200</xdr:rowOff>
    </xdr:from>
    <xdr:to>
      <xdr:col>30</xdr:col>
      <xdr:colOff>1622822</xdr:colOff>
      <xdr:row>8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0" y="438150"/>
          <a:ext cx="1518047" cy="904875"/>
        </a:xfrm>
        <a:prstGeom prst="rect">
          <a:avLst/>
        </a:prstGeom>
      </xdr:spPr>
    </xdr:pic>
    <xdr:clientData/>
  </xdr:twoCellAnchor>
  <xdr:oneCellAnchor>
    <xdr:from>
      <xdr:col>30</xdr:col>
      <xdr:colOff>104775</xdr:colOff>
      <xdr:row>10</xdr:row>
      <xdr:rowOff>76200</xdr:rowOff>
    </xdr:from>
    <xdr:ext cx="1518047" cy="904875"/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78100" y="438150"/>
          <a:ext cx="1518047" cy="904875"/>
        </a:xfrm>
        <a:prstGeom prst="rect">
          <a:avLst/>
        </a:prstGeom>
      </xdr:spPr>
    </xdr:pic>
    <xdr:clientData/>
  </xdr:oneCellAnchor>
  <xdr:twoCellAnchor editAs="oneCell">
    <xdr:from>
      <xdr:col>30</xdr:col>
      <xdr:colOff>133350</xdr:colOff>
      <xdr:row>18</xdr:row>
      <xdr:rowOff>9526</xdr:rowOff>
    </xdr:from>
    <xdr:to>
      <xdr:col>30</xdr:col>
      <xdr:colOff>1619251</xdr:colOff>
      <xdr:row>25</xdr:row>
      <xdr:rowOff>32386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06675" y="2847976"/>
          <a:ext cx="1485901" cy="1089660"/>
        </a:xfrm>
        <a:prstGeom prst="rect">
          <a:avLst/>
        </a:prstGeom>
      </xdr:spPr>
    </xdr:pic>
    <xdr:clientData/>
  </xdr:twoCellAnchor>
  <xdr:oneCellAnchor>
    <xdr:from>
      <xdr:col>30</xdr:col>
      <xdr:colOff>133350</xdr:colOff>
      <xdr:row>26</xdr:row>
      <xdr:rowOff>9526</xdr:rowOff>
    </xdr:from>
    <xdr:ext cx="1485901" cy="108966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06675" y="2847976"/>
          <a:ext cx="1485901" cy="1089660"/>
        </a:xfrm>
        <a:prstGeom prst="rect">
          <a:avLst/>
        </a:prstGeom>
      </xdr:spPr>
    </xdr:pic>
    <xdr:clientData/>
  </xdr:oneCellAnchor>
  <xdr:twoCellAnchor editAs="oneCell">
    <xdr:from>
      <xdr:col>30</xdr:col>
      <xdr:colOff>66675</xdr:colOff>
      <xdr:row>34</xdr:row>
      <xdr:rowOff>57150</xdr:rowOff>
    </xdr:from>
    <xdr:to>
      <xdr:col>30</xdr:col>
      <xdr:colOff>1591190</xdr:colOff>
      <xdr:row>40</xdr:row>
      <xdr:rowOff>85725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0" y="5372100"/>
          <a:ext cx="1524515" cy="942975"/>
        </a:xfrm>
        <a:prstGeom prst="rect">
          <a:avLst/>
        </a:prstGeom>
      </xdr:spPr>
    </xdr:pic>
    <xdr:clientData/>
  </xdr:twoCellAnchor>
  <xdr:oneCellAnchor>
    <xdr:from>
      <xdr:col>30</xdr:col>
      <xdr:colOff>66675</xdr:colOff>
      <xdr:row>42</xdr:row>
      <xdr:rowOff>57150</xdr:rowOff>
    </xdr:from>
    <xdr:ext cx="1524515" cy="942975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0" y="5372100"/>
          <a:ext cx="1524515" cy="9429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abSelected="1" zoomScale="90" zoomScaleNormal="90" workbookViewId="0">
      <pane xSplit="4" ySplit="2" topLeftCell="E24" activePane="bottomRight" state="frozen"/>
      <selection pane="topRight" activeCell="E1" sqref="E1"/>
      <selection pane="bottomLeft" activeCell="A3" sqref="A3"/>
      <selection pane="bottomRight" activeCell="E40" sqref="E40"/>
    </sheetView>
  </sheetViews>
  <sheetFormatPr defaultRowHeight="14.25" x14ac:dyDescent="0.2"/>
  <cols>
    <col min="1" max="1" width="8.625" customWidth="1"/>
    <col min="2" max="2" width="17.25" customWidth="1"/>
    <col min="3" max="3" width="25.625" customWidth="1"/>
    <col min="4" max="4" width="6.625" customWidth="1"/>
    <col min="5" max="5" width="12.875" style="7" customWidth="1"/>
    <col min="6" max="6" width="12.75" customWidth="1"/>
    <col min="7" max="7" width="12.25" customWidth="1"/>
    <col min="8" max="9" width="10.875" hidden="1" customWidth="1"/>
    <col min="10" max="10" width="10.25" style="23" customWidth="1"/>
    <col min="11" max="11" width="11" style="25" hidden="1" customWidth="1"/>
    <col min="12" max="12" width="7.875" style="25" hidden="1" customWidth="1"/>
    <col min="13" max="13" width="8.5" style="25" hidden="1" customWidth="1"/>
    <col min="14" max="14" width="7.5" style="25" hidden="1" customWidth="1"/>
    <col min="15" max="15" width="13" style="53" customWidth="1"/>
    <col min="16" max="16" width="11" style="53" hidden="1" customWidth="1"/>
    <col min="17" max="17" width="0" style="7" hidden="1" customWidth="1"/>
    <col min="18" max="18" width="12.25" style="7" customWidth="1"/>
  </cols>
  <sheetData>
    <row r="1" spans="1:18" ht="21" customHeight="1" x14ac:dyDescent="0.2">
      <c r="A1" s="89" t="s">
        <v>44</v>
      </c>
      <c r="B1" s="89"/>
      <c r="C1" s="89"/>
      <c r="D1" s="89"/>
      <c r="E1" s="89"/>
      <c r="F1" s="89"/>
      <c r="G1" s="89"/>
      <c r="H1" s="89"/>
      <c r="I1" s="89"/>
    </row>
    <row r="2" spans="1:18" s="1" customFormat="1" ht="32.450000000000003" customHeight="1" x14ac:dyDescent="0.2">
      <c r="A2" s="4" t="s">
        <v>15</v>
      </c>
      <c r="B2" s="4" t="s">
        <v>14</v>
      </c>
      <c r="C2" s="4" t="s">
        <v>13</v>
      </c>
      <c r="D2" s="3" t="s">
        <v>28</v>
      </c>
      <c r="E2" s="6" t="s">
        <v>12</v>
      </c>
      <c r="F2" s="2" t="s">
        <v>11</v>
      </c>
      <c r="G2" s="2" t="s">
        <v>10</v>
      </c>
      <c r="H2" s="5" t="s">
        <v>23</v>
      </c>
      <c r="I2" s="5" t="s">
        <v>22</v>
      </c>
      <c r="J2" s="24" t="s">
        <v>37</v>
      </c>
      <c r="K2" s="24" t="s">
        <v>39</v>
      </c>
      <c r="L2" s="24" t="s">
        <v>42</v>
      </c>
      <c r="M2" s="24" t="s">
        <v>45</v>
      </c>
      <c r="N2" s="24" t="s">
        <v>46</v>
      </c>
      <c r="O2" s="54" t="s">
        <v>47</v>
      </c>
      <c r="P2" s="54" t="s">
        <v>41</v>
      </c>
      <c r="Q2" s="54" t="s">
        <v>43</v>
      </c>
      <c r="R2" s="54" t="s">
        <v>96</v>
      </c>
    </row>
    <row r="3" spans="1:18" s="1" customFormat="1" ht="13.9" customHeight="1" x14ac:dyDescent="0.2">
      <c r="A3" s="79" t="s">
        <v>16</v>
      </c>
      <c r="B3" s="79" t="s">
        <v>86</v>
      </c>
      <c r="C3" s="79" t="s">
        <v>88</v>
      </c>
      <c r="D3" s="79" t="s">
        <v>16</v>
      </c>
      <c r="E3" s="82" t="s">
        <v>115</v>
      </c>
      <c r="F3" s="8" t="s">
        <v>2</v>
      </c>
      <c r="G3" s="8">
        <v>250</v>
      </c>
      <c r="H3" s="93" t="s">
        <v>35</v>
      </c>
      <c r="I3" s="93" t="s">
        <v>36</v>
      </c>
      <c r="J3" s="76" t="s">
        <v>38</v>
      </c>
      <c r="K3" s="66">
        <v>8.4454999999999991</v>
      </c>
      <c r="L3" s="69">
        <v>6.1946902654867264</v>
      </c>
      <c r="M3" s="69">
        <f>L3*1.13</f>
        <v>7</v>
      </c>
      <c r="N3" s="69">
        <f>M3-0.3</f>
        <v>6.7</v>
      </c>
      <c r="O3" s="63">
        <f>N3/1.13</f>
        <v>5.9292035398230096</v>
      </c>
      <c r="P3" s="63">
        <v>10.3</v>
      </c>
      <c r="Q3" s="72">
        <v>6.4070796460177002</v>
      </c>
      <c r="R3" s="63">
        <f>核价!Z3</f>
        <v>4.6666836106194696</v>
      </c>
    </row>
    <row r="4" spans="1:18" s="1" customFormat="1" ht="13.9" customHeight="1" x14ac:dyDescent="0.2">
      <c r="A4" s="80"/>
      <c r="B4" s="80"/>
      <c r="C4" s="80"/>
      <c r="D4" s="80"/>
      <c r="E4" s="83"/>
      <c r="F4" s="9" t="s">
        <v>5</v>
      </c>
      <c r="G4" s="8">
        <v>250</v>
      </c>
      <c r="H4" s="91"/>
      <c r="I4" s="91"/>
      <c r="J4" s="77"/>
      <c r="K4" s="67"/>
      <c r="L4" s="70"/>
      <c r="M4" s="70"/>
      <c r="N4" s="70"/>
      <c r="O4" s="64"/>
      <c r="P4" s="64"/>
      <c r="Q4" s="73"/>
      <c r="R4" s="64"/>
    </row>
    <row r="5" spans="1:18" s="1" customFormat="1" ht="13.9" customHeight="1" x14ac:dyDescent="0.2">
      <c r="A5" s="80"/>
      <c r="B5" s="80"/>
      <c r="C5" s="80"/>
      <c r="D5" s="80"/>
      <c r="E5" s="83"/>
      <c r="F5" s="9" t="s">
        <v>6</v>
      </c>
      <c r="G5" s="8">
        <v>250</v>
      </c>
      <c r="H5" s="91"/>
      <c r="I5" s="91"/>
      <c r="J5" s="77"/>
      <c r="K5" s="67"/>
      <c r="L5" s="70"/>
      <c r="M5" s="70"/>
      <c r="N5" s="70"/>
      <c r="O5" s="64"/>
      <c r="P5" s="64"/>
      <c r="Q5" s="73"/>
      <c r="R5" s="64"/>
    </row>
    <row r="6" spans="1:18" s="1" customFormat="1" ht="13.9" customHeight="1" x14ac:dyDescent="0.2">
      <c r="A6" s="80"/>
      <c r="B6" s="80"/>
      <c r="C6" s="80"/>
      <c r="D6" s="80"/>
      <c r="E6" s="83"/>
      <c r="F6" s="9" t="s">
        <v>4</v>
      </c>
      <c r="G6" s="8">
        <v>250</v>
      </c>
      <c r="H6" s="91"/>
      <c r="I6" s="91"/>
      <c r="J6" s="77"/>
      <c r="K6" s="67"/>
      <c r="L6" s="70"/>
      <c r="M6" s="70"/>
      <c r="N6" s="70"/>
      <c r="O6" s="64"/>
      <c r="P6" s="64"/>
      <c r="Q6" s="73"/>
      <c r="R6" s="64"/>
    </row>
    <row r="7" spans="1:18" s="1" customFormat="1" ht="13.9" customHeight="1" x14ac:dyDescent="0.2">
      <c r="A7" s="80"/>
      <c r="B7" s="80"/>
      <c r="C7" s="80"/>
      <c r="D7" s="80"/>
      <c r="E7" s="83"/>
      <c r="F7" s="9" t="s">
        <v>0</v>
      </c>
      <c r="G7" s="8">
        <v>200</v>
      </c>
      <c r="H7" s="91"/>
      <c r="I7" s="91"/>
      <c r="J7" s="77"/>
      <c r="K7" s="67"/>
      <c r="L7" s="70"/>
      <c r="M7" s="70"/>
      <c r="N7" s="70"/>
      <c r="O7" s="64"/>
      <c r="P7" s="64"/>
      <c r="Q7" s="73"/>
      <c r="R7" s="64"/>
    </row>
    <row r="8" spans="1:18" s="1" customFormat="1" ht="13.9" customHeight="1" x14ac:dyDescent="0.2">
      <c r="A8" s="81"/>
      <c r="B8" s="81"/>
      <c r="C8" s="81"/>
      <c r="D8" s="81"/>
      <c r="E8" s="84"/>
      <c r="F8" s="9" t="s">
        <v>9</v>
      </c>
      <c r="G8" s="8">
        <v>200</v>
      </c>
      <c r="H8" s="92"/>
      <c r="I8" s="92"/>
      <c r="J8" s="78"/>
      <c r="K8" s="68"/>
      <c r="L8" s="71"/>
      <c r="M8" s="71"/>
      <c r="N8" s="71"/>
      <c r="O8" s="65"/>
      <c r="P8" s="65"/>
      <c r="Q8" s="74"/>
      <c r="R8" s="65"/>
    </row>
    <row r="9" spans="1:18" s="1" customFormat="1" ht="13.9" customHeight="1" x14ac:dyDescent="0.2">
      <c r="A9" s="79" t="s">
        <v>17</v>
      </c>
      <c r="B9" s="79" t="s">
        <v>98</v>
      </c>
      <c r="C9" s="79" t="s">
        <v>100</v>
      </c>
      <c r="D9" s="79" t="s">
        <v>16</v>
      </c>
      <c r="E9" s="82" t="s">
        <v>115</v>
      </c>
      <c r="F9" s="8" t="s">
        <v>2</v>
      </c>
      <c r="G9" s="8">
        <v>250</v>
      </c>
      <c r="H9" s="93" t="s">
        <v>35</v>
      </c>
      <c r="I9" s="93" t="s">
        <v>36</v>
      </c>
      <c r="J9" s="76" t="s">
        <v>38</v>
      </c>
      <c r="K9" s="66">
        <v>8.4454999999999991</v>
      </c>
      <c r="L9" s="69">
        <v>6.1946902654867264</v>
      </c>
      <c r="M9" s="69">
        <f>L9*1.13</f>
        <v>7</v>
      </c>
      <c r="N9" s="69">
        <f>M9-0.3</f>
        <v>6.7</v>
      </c>
      <c r="O9" s="63">
        <f>N9/1.13</f>
        <v>5.9292035398230096</v>
      </c>
      <c r="P9" s="63">
        <v>10.3</v>
      </c>
      <c r="Q9" s="72">
        <v>6.4070796460177002</v>
      </c>
      <c r="R9" s="63">
        <f>核价!Z11</f>
        <v>4.6666836106194696</v>
      </c>
    </row>
    <row r="10" spans="1:18" s="1" customFormat="1" ht="13.9" customHeight="1" x14ac:dyDescent="0.2">
      <c r="A10" s="80"/>
      <c r="B10" s="80"/>
      <c r="C10" s="80"/>
      <c r="D10" s="80"/>
      <c r="E10" s="83"/>
      <c r="F10" s="9" t="s">
        <v>5</v>
      </c>
      <c r="G10" s="8">
        <v>250</v>
      </c>
      <c r="H10" s="91"/>
      <c r="I10" s="91"/>
      <c r="J10" s="77"/>
      <c r="K10" s="67"/>
      <c r="L10" s="70"/>
      <c r="M10" s="70"/>
      <c r="N10" s="70"/>
      <c r="O10" s="64"/>
      <c r="P10" s="64"/>
      <c r="Q10" s="73"/>
      <c r="R10" s="64"/>
    </row>
    <row r="11" spans="1:18" s="1" customFormat="1" ht="13.9" customHeight="1" x14ac:dyDescent="0.2">
      <c r="A11" s="80"/>
      <c r="B11" s="80"/>
      <c r="C11" s="80"/>
      <c r="D11" s="80"/>
      <c r="E11" s="83"/>
      <c r="F11" s="9" t="s">
        <v>6</v>
      </c>
      <c r="G11" s="8">
        <v>250</v>
      </c>
      <c r="H11" s="91"/>
      <c r="I11" s="91"/>
      <c r="J11" s="77"/>
      <c r="K11" s="67"/>
      <c r="L11" s="70"/>
      <c r="M11" s="70"/>
      <c r="N11" s="70"/>
      <c r="O11" s="64"/>
      <c r="P11" s="64"/>
      <c r="Q11" s="73"/>
      <c r="R11" s="64"/>
    </row>
    <row r="12" spans="1:18" s="1" customFormat="1" ht="13.9" customHeight="1" x14ac:dyDescent="0.2">
      <c r="A12" s="80"/>
      <c r="B12" s="80"/>
      <c r="C12" s="80"/>
      <c r="D12" s="80"/>
      <c r="E12" s="83"/>
      <c r="F12" s="9" t="s">
        <v>4</v>
      </c>
      <c r="G12" s="8">
        <v>250</v>
      </c>
      <c r="H12" s="91"/>
      <c r="I12" s="91"/>
      <c r="J12" s="77"/>
      <c r="K12" s="67"/>
      <c r="L12" s="70"/>
      <c r="M12" s="70"/>
      <c r="N12" s="70"/>
      <c r="O12" s="64"/>
      <c r="P12" s="64"/>
      <c r="Q12" s="73"/>
      <c r="R12" s="64"/>
    </row>
    <row r="13" spans="1:18" s="1" customFormat="1" ht="13.9" customHeight="1" x14ac:dyDescent="0.2">
      <c r="A13" s="80"/>
      <c r="B13" s="80"/>
      <c r="C13" s="80"/>
      <c r="D13" s="80"/>
      <c r="E13" s="83"/>
      <c r="F13" s="9" t="s">
        <v>0</v>
      </c>
      <c r="G13" s="8">
        <v>200</v>
      </c>
      <c r="H13" s="91"/>
      <c r="I13" s="91"/>
      <c r="J13" s="77"/>
      <c r="K13" s="67"/>
      <c r="L13" s="70"/>
      <c r="M13" s="70"/>
      <c r="N13" s="70"/>
      <c r="O13" s="64"/>
      <c r="P13" s="64"/>
      <c r="Q13" s="73"/>
      <c r="R13" s="64"/>
    </row>
    <row r="14" spans="1:18" s="1" customFormat="1" ht="13.9" customHeight="1" x14ac:dyDescent="0.2">
      <c r="A14" s="81"/>
      <c r="B14" s="81"/>
      <c r="C14" s="81"/>
      <c r="D14" s="81"/>
      <c r="E14" s="84"/>
      <c r="F14" s="9" t="s">
        <v>9</v>
      </c>
      <c r="G14" s="8">
        <v>200</v>
      </c>
      <c r="H14" s="92"/>
      <c r="I14" s="92"/>
      <c r="J14" s="78"/>
      <c r="K14" s="68"/>
      <c r="L14" s="71"/>
      <c r="M14" s="71"/>
      <c r="N14" s="71"/>
      <c r="O14" s="65"/>
      <c r="P14" s="65"/>
      <c r="Q14" s="74"/>
      <c r="R14" s="65"/>
    </row>
    <row r="15" spans="1:18" s="1" customFormat="1" ht="16.149999999999999" customHeight="1" x14ac:dyDescent="0.2">
      <c r="A15" s="16" t="s">
        <v>18</v>
      </c>
      <c r="B15" s="16" t="s">
        <v>102</v>
      </c>
      <c r="C15" s="16" t="s">
        <v>103</v>
      </c>
      <c r="D15" s="16" t="s">
        <v>16</v>
      </c>
      <c r="E15" s="16" t="s">
        <v>25</v>
      </c>
      <c r="F15" s="17" t="s">
        <v>26</v>
      </c>
      <c r="G15" s="18" t="s">
        <v>26</v>
      </c>
      <c r="H15" s="19" t="s">
        <v>24</v>
      </c>
      <c r="I15" s="20" t="s">
        <v>24</v>
      </c>
      <c r="J15" s="76" t="s">
        <v>34</v>
      </c>
      <c r="K15" s="66">
        <v>5.9105999999999996</v>
      </c>
      <c r="L15" s="63">
        <v>4.6902654867256643</v>
      </c>
      <c r="M15" s="63">
        <f>L15*1.13</f>
        <v>5.3</v>
      </c>
      <c r="N15" s="63">
        <f>M15-0.4</f>
        <v>4.8999999999999995</v>
      </c>
      <c r="O15" s="63">
        <f>N15/1.13</f>
        <v>4.336283185840708</v>
      </c>
      <c r="P15" s="63">
        <v>7.8</v>
      </c>
      <c r="Q15" s="75">
        <v>4.4070796460177002</v>
      </c>
      <c r="R15" s="63">
        <f>核价!Z19</f>
        <v>3.7236920750442479</v>
      </c>
    </row>
    <row r="16" spans="1:18" s="1" customFormat="1" ht="13.9" customHeight="1" x14ac:dyDescent="0.2">
      <c r="A16" s="85" t="s">
        <v>27</v>
      </c>
      <c r="B16" s="85" t="s">
        <v>8</v>
      </c>
      <c r="C16" s="85" t="s">
        <v>104</v>
      </c>
      <c r="D16" s="85" t="s">
        <v>16</v>
      </c>
      <c r="E16" s="85" t="s">
        <v>115</v>
      </c>
      <c r="F16" s="18" t="s">
        <v>2</v>
      </c>
      <c r="G16" s="18">
        <v>250</v>
      </c>
      <c r="H16" s="94" t="s">
        <v>35</v>
      </c>
      <c r="I16" s="94" t="s">
        <v>36</v>
      </c>
      <c r="J16" s="77"/>
      <c r="K16" s="67"/>
      <c r="L16" s="64"/>
      <c r="M16" s="64"/>
      <c r="N16" s="64"/>
      <c r="O16" s="64"/>
      <c r="P16" s="64"/>
      <c r="Q16" s="75"/>
      <c r="R16" s="64"/>
    </row>
    <row r="17" spans="1:18" s="1" customFormat="1" ht="13.9" customHeight="1" x14ac:dyDescent="0.2">
      <c r="A17" s="85"/>
      <c r="B17" s="85"/>
      <c r="C17" s="85"/>
      <c r="D17" s="85"/>
      <c r="E17" s="85"/>
      <c r="F17" s="17" t="s">
        <v>5</v>
      </c>
      <c r="G17" s="18">
        <v>200</v>
      </c>
      <c r="H17" s="95"/>
      <c r="I17" s="95"/>
      <c r="J17" s="77"/>
      <c r="K17" s="67"/>
      <c r="L17" s="64"/>
      <c r="M17" s="64"/>
      <c r="N17" s="64"/>
      <c r="O17" s="64"/>
      <c r="P17" s="64"/>
      <c r="Q17" s="75"/>
      <c r="R17" s="64"/>
    </row>
    <row r="18" spans="1:18" s="1" customFormat="1" ht="13.9" customHeight="1" x14ac:dyDescent="0.2">
      <c r="A18" s="85"/>
      <c r="B18" s="85"/>
      <c r="C18" s="85"/>
      <c r="D18" s="85"/>
      <c r="E18" s="85"/>
      <c r="F18" s="17" t="s">
        <v>6</v>
      </c>
      <c r="G18" s="18">
        <v>200</v>
      </c>
      <c r="H18" s="95"/>
      <c r="I18" s="95"/>
      <c r="J18" s="77"/>
      <c r="K18" s="67"/>
      <c r="L18" s="64"/>
      <c r="M18" s="64"/>
      <c r="N18" s="64"/>
      <c r="O18" s="64"/>
      <c r="P18" s="64"/>
      <c r="Q18" s="75"/>
      <c r="R18" s="64"/>
    </row>
    <row r="19" spans="1:18" s="1" customFormat="1" ht="13.9" customHeight="1" x14ac:dyDescent="0.2">
      <c r="A19" s="85"/>
      <c r="B19" s="85"/>
      <c r="C19" s="85"/>
      <c r="D19" s="85"/>
      <c r="E19" s="85"/>
      <c r="F19" s="18" t="s">
        <v>5</v>
      </c>
      <c r="G19" s="18">
        <v>160</v>
      </c>
      <c r="H19" s="95"/>
      <c r="I19" s="95"/>
      <c r="J19" s="77"/>
      <c r="K19" s="67"/>
      <c r="L19" s="64"/>
      <c r="M19" s="64"/>
      <c r="N19" s="64"/>
      <c r="O19" s="64"/>
      <c r="P19" s="64"/>
      <c r="Q19" s="75"/>
      <c r="R19" s="64"/>
    </row>
    <row r="20" spans="1:18" s="1" customFormat="1" ht="13.9" customHeight="1" x14ac:dyDescent="0.2">
      <c r="A20" s="85"/>
      <c r="B20" s="85"/>
      <c r="C20" s="85"/>
      <c r="D20" s="85"/>
      <c r="E20" s="85"/>
      <c r="F20" s="17" t="s">
        <v>4</v>
      </c>
      <c r="G20" s="18">
        <v>160</v>
      </c>
      <c r="H20" s="96"/>
      <c r="I20" s="96"/>
      <c r="J20" s="77"/>
      <c r="K20" s="67"/>
      <c r="L20" s="64"/>
      <c r="M20" s="64"/>
      <c r="N20" s="64"/>
      <c r="O20" s="64"/>
      <c r="P20" s="64"/>
      <c r="Q20" s="75"/>
      <c r="R20" s="64"/>
    </row>
    <row r="21" spans="1:18" s="1" customFormat="1" ht="13.15" customHeight="1" x14ac:dyDescent="0.2">
      <c r="A21" s="21" t="s">
        <v>31</v>
      </c>
      <c r="B21" s="21" t="s">
        <v>29</v>
      </c>
      <c r="C21" s="21" t="s">
        <v>108</v>
      </c>
      <c r="D21" s="21" t="s">
        <v>17</v>
      </c>
      <c r="E21" s="21" t="s">
        <v>26</v>
      </c>
      <c r="F21" s="17" t="s">
        <v>26</v>
      </c>
      <c r="G21" s="18" t="s">
        <v>26</v>
      </c>
      <c r="H21" s="19" t="s">
        <v>26</v>
      </c>
      <c r="I21" s="19" t="s">
        <v>26</v>
      </c>
      <c r="J21" s="78"/>
      <c r="K21" s="68"/>
      <c r="L21" s="65"/>
      <c r="M21" s="65"/>
      <c r="N21" s="65"/>
      <c r="O21" s="65"/>
      <c r="P21" s="65"/>
      <c r="Q21" s="75"/>
      <c r="R21" s="65"/>
    </row>
    <row r="22" spans="1:18" s="1" customFormat="1" ht="19.149999999999999" customHeight="1" x14ac:dyDescent="0.2">
      <c r="A22" s="14" t="s">
        <v>19</v>
      </c>
      <c r="B22" s="14" t="s">
        <v>109</v>
      </c>
      <c r="C22" s="14" t="s">
        <v>110</v>
      </c>
      <c r="D22" s="14" t="s">
        <v>16</v>
      </c>
      <c r="E22" s="14" t="s">
        <v>25</v>
      </c>
      <c r="F22" s="22" t="s">
        <v>26</v>
      </c>
      <c r="G22" s="10" t="s">
        <v>26</v>
      </c>
      <c r="H22" s="13" t="s">
        <v>24</v>
      </c>
      <c r="I22" s="13" t="s">
        <v>24</v>
      </c>
      <c r="J22" s="76" t="s">
        <v>34</v>
      </c>
      <c r="K22" s="66">
        <v>5.9105999999999996</v>
      </c>
      <c r="L22" s="63">
        <v>4.6902654867256643</v>
      </c>
      <c r="M22" s="63">
        <f>L22*1.13</f>
        <v>5.3</v>
      </c>
      <c r="N22" s="63">
        <f>M22-0.4</f>
        <v>4.8999999999999995</v>
      </c>
      <c r="O22" s="63">
        <f>N22/1.13</f>
        <v>4.336283185840708</v>
      </c>
      <c r="P22" s="63">
        <v>7.8</v>
      </c>
      <c r="Q22" s="75">
        <v>4.4070796460177002</v>
      </c>
      <c r="R22" s="63">
        <f>核价!Z27</f>
        <v>3.7236920750442479</v>
      </c>
    </row>
    <row r="23" spans="1:18" s="1" customFormat="1" ht="13.9" customHeight="1" x14ac:dyDescent="0.2">
      <c r="A23" s="86" t="s">
        <v>32</v>
      </c>
      <c r="B23" s="86" t="s">
        <v>7</v>
      </c>
      <c r="C23" s="86" t="s">
        <v>111</v>
      </c>
      <c r="D23" s="86" t="s">
        <v>16</v>
      </c>
      <c r="E23" s="86" t="s">
        <v>115</v>
      </c>
      <c r="F23" s="10" t="s">
        <v>2</v>
      </c>
      <c r="G23" s="10">
        <v>250</v>
      </c>
      <c r="H23" s="97" t="s">
        <v>35</v>
      </c>
      <c r="I23" s="97" t="s">
        <v>36</v>
      </c>
      <c r="J23" s="77"/>
      <c r="K23" s="67"/>
      <c r="L23" s="64"/>
      <c r="M23" s="64"/>
      <c r="N23" s="64"/>
      <c r="O23" s="64"/>
      <c r="P23" s="64"/>
      <c r="Q23" s="75"/>
      <c r="R23" s="64"/>
    </row>
    <row r="24" spans="1:18" s="1" customFormat="1" ht="13.9" customHeight="1" x14ac:dyDescent="0.2">
      <c r="A24" s="87"/>
      <c r="B24" s="87"/>
      <c r="C24" s="87"/>
      <c r="D24" s="87"/>
      <c r="E24" s="87"/>
      <c r="F24" s="11" t="s">
        <v>5</v>
      </c>
      <c r="G24" s="10">
        <v>200</v>
      </c>
      <c r="H24" s="98"/>
      <c r="I24" s="98"/>
      <c r="J24" s="77"/>
      <c r="K24" s="67"/>
      <c r="L24" s="64"/>
      <c r="M24" s="64"/>
      <c r="N24" s="64"/>
      <c r="O24" s="64"/>
      <c r="P24" s="64"/>
      <c r="Q24" s="75"/>
      <c r="R24" s="64"/>
    </row>
    <row r="25" spans="1:18" s="1" customFormat="1" ht="13.9" customHeight="1" x14ac:dyDescent="0.2">
      <c r="A25" s="87"/>
      <c r="B25" s="87"/>
      <c r="C25" s="87"/>
      <c r="D25" s="87"/>
      <c r="E25" s="87"/>
      <c r="F25" s="11" t="s">
        <v>6</v>
      </c>
      <c r="G25" s="10">
        <v>200</v>
      </c>
      <c r="H25" s="98"/>
      <c r="I25" s="98"/>
      <c r="J25" s="77"/>
      <c r="K25" s="67"/>
      <c r="L25" s="64"/>
      <c r="M25" s="64"/>
      <c r="N25" s="64"/>
      <c r="O25" s="64"/>
      <c r="P25" s="64"/>
      <c r="Q25" s="75"/>
      <c r="R25" s="64"/>
    </row>
    <row r="26" spans="1:18" s="1" customFormat="1" ht="13.9" customHeight="1" x14ac:dyDescent="0.2">
      <c r="A26" s="87"/>
      <c r="B26" s="87"/>
      <c r="C26" s="87"/>
      <c r="D26" s="87"/>
      <c r="E26" s="87"/>
      <c r="F26" s="15" t="s">
        <v>5</v>
      </c>
      <c r="G26" s="10">
        <v>160</v>
      </c>
      <c r="H26" s="98"/>
      <c r="I26" s="98"/>
      <c r="J26" s="77"/>
      <c r="K26" s="67"/>
      <c r="L26" s="64"/>
      <c r="M26" s="64"/>
      <c r="N26" s="64"/>
      <c r="O26" s="64"/>
      <c r="P26" s="64"/>
      <c r="Q26" s="75"/>
      <c r="R26" s="64"/>
    </row>
    <row r="27" spans="1:18" s="1" customFormat="1" ht="13.9" customHeight="1" x14ac:dyDescent="0.2">
      <c r="A27" s="88"/>
      <c r="B27" s="88"/>
      <c r="C27" s="88"/>
      <c r="D27" s="88"/>
      <c r="E27" s="88"/>
      <c r="F27" s="11" t="s">
        <v>4</v>
      </c>
      <c r="G27" s="10">
        <v>160</v>
      </c>
      <c r="H27" s="99"/>
      <c r="I27" s="99"/>
      <c r="J27" s="77"/>
      <c r="K27" s="67"/>
      <c r="L27" s="64"/>
      <c r="M27" s="64"/>
      <c r="N27" s="64"/>
      <c r="O27" s="64"/>
      <c r="P27" s="64"/>
      <c r="Q27" s="75"/>
      <c r="R27" s="64"/>
    </row>
    <row r="28" spans="1:18" s="1" customFormat="1" ht="13.15" customHeight="1" x14ac:dyDescent="0.2">
      <c r="A28" s="12" t="s">
        <v>33</v>
      </c>
      <c r="B28" s="12" t="s">
        <v>29</v>
      </c>
      <c r="C28" s="12" t="s">
        <v>30</v>
      </c>
      <c r="D28" s="12" t="s">
        <v>17</v>
      </c>
      <c r="E28" s="12" t="s">
        <v>26</v>
      </c>
      <c r="F28" s="11" t="s">
        <v>26</v>
      </c>
      <c r="G28" s="10" t="s">
        <v>26</v>
      </c>
      <c r="H28" s="13" t="s">
        <v>26</v>
      </c>
      <c r="I28" s="13" t="s">
        <v>26</v>
      </c>
      <c r="J28" s="78"/>
      <c r="K28" s="68"/>
      <c r="L28" s="65"/>
      <c r="M28" s="65"/>
      <c r="N28" s="65"/>
      <c r="O28" s="65"/>
      <c r="P28" s="65"/>
      <c r="Q28" s="75"/>
      <c r="R28" s="65"/>
    </row>
    <row r="29" spans="1:18" s="1" customFormat="1" ht="13.9" customHeight="1" x14ac:dyDescent="0.2">
      <c r="A29" s="79" t="s">
        <v>20</v>
      </c>
      <c r="B29" s="79" t="s">
        <v>113</v>
      </c>
      <c r="C29" s="79" t="s">
        <v>117</v>
      </c>
      <c r="D29" s="79" t="s">
        <v>16</v>
      </c>
      <c r="E29" s="82" t="s">
        <v>116</v>
      </c>
      <c r="F29" s="9" t="s">
        <v>3</v>
      </c>
      <c r="G29" s="8">
        <v>200</v>
      </c>
      <c r="H29" s="90" t="s">
        <v>24</v>
      </c>
      <c r="I29" s="90" t="s">
        <v>24</v>
      </c>
      <c r="J29" s="76" t="s">
        <v>38</v>
      </c>
      <c r="K29" s="66">
        <v>4.8170000000000002</v>
      </c>
      <c r="L29" s="69">
        <v>2.7610619469026552</v>
      </c>
      <c r="M29" s="69">
        <f>L29*1.13</f>
        <v>3.12</v>
      </c>
      <c r="N29" s="69">
        <f>M29-0.2</f>
        <v>2.92</v>
      </c>
      <c r="O29" s="63">
        <f>N29/1.13</f>
        <v>2.584070796460177</v>
      </c>
      <c r="P29" s="63">
        <v>4.9000000000000004</v>
      </c>
      <c r="Q29" s="63" t="s">
        <v>40</v>
      </c>
      <c r="R29" s="63">
        <f>核价!Z35</f>
        <v>2.1315839575221238</v>
      </c>
    </row>
    <row r="30" spans="1:18" s="1" customFormat="1" ht="13.9" customHeight="1" x14ac:dyDescent="0.2">
      <c r="A30" s="80"/>
      <c r="B30" s="80"/>
      <c r="C30" s="80"/>
      <c r="D30" s="80"/>
      <c r="E30" s="83"/>
      <c r="F30" s="9" t="s">
        <v>2</v>
      </c>
      <c r="G30" s="8">
        <v>200</v>
      </c>
      <c r="H30" s="91"/>
      <c r="I30" s="91"/>
      <c r="J30" s="77"/>
      <c r="K30" s="67"/>
      <c r="L30" s="70"/>
      <c r="M30" s="70"/>
      <c r="N30" s="70"/>
      <c r="O30" s="64"/>
      <c r="P30" s="64"/>
      <c r="Q30" s="64"/>
      <c r="R30" s="64"/>
    </row>
    <row r="31" spans="1:18" s="1" customFormat="1" ht="13.9" customHeight="1" x14ac:dyDescent="0.2">
      <c r="A31" s="80"/>
      <c r="B31" s="80"/>
      <c r="C31" s="80"/>
      <c r="D31" s="80"/>
      <c r="E31" s="83"/>
      <c r="F31" s="9" t="s">
        <v>1</v>
      </c>
      <c r="G31" s="8">
        <v>160</v>
      </c>
      <c r="H31" s="91"/>
      <c r="I31" s="91"/>
      <c r="J31" s="77"/>
      <c r="K31" s="67"/>
      <c r="L31" s="70"/>
      <c r="M31" s="70"/>
      <c r="N31" s="70"/>
      <c r="O31" s="64"/>
      <c r="P31" s="64"/>
      <c r="Q31" s="64"/>
      <c r="R31" s="64"/>
    </row>
    <row r="32" spans="1:18" s="1" customFormat="1" ht="13.9" customHeight="1" x14ac:dyDescent="0.2">
      <c r="A32" s="81"/>
      <c r="B32" s="81"/>
      <c r="C32" s="81"/>
      <c r="D32" s="81"/>
      <c r="E32" s="84"/>
      <c r="F32" s="9" t="s">
        <v>0</v>
      </c>
      <c r="G32" s="8">
        <v>110</v>
      </c>
      <c r="H32" s="92"/>
      <c r="I32" s="92"/>
      <c r="J32" s="78"/>
      <c r="K32" s="68"/>
      <c r="L32" s="71"/>
      <c r="M32" s="71"/>
      <c r="N32" s="71"/>
      <c r="O32" s="65"/>
      <c r="P32" s="65"/>
      <c r="Q32" s="65"/>
      <c r="R32" s="65"/>
    </row>
    <row r="33" spans="1:18" s="1" customFormat="1" ht="13.9" customHeight="1" x14ac:dyDescent="0.2">
      <c r="A33" s="79" t="s">
        <v>21</v>
      </c>
      <c r="B33" s="79" t="s">
        <v>121</v>
      </c>
      <c r="C33" s="79" t="s">
        <v>123</v>
      </c>
      <c r="D33" s="79" t="s">
        <v>16</v>
      </c>
      <c r="E33" s="82" t="s">
        <v>116</v>
      </c>
      <c r="F33" s="9" t="s">
        <v>3</v>
      </c>
      <c r="G33" s="8">
        <v>200</v>
      </c>
      <c r="H33" s="90" t="s">
        <v>24</v>
      </c>
      <c r="I33" s="90" t="s">
        <v>24</v>
      </c>
      <c r="J33" s="76" t="s">
        <v>38</v>
      </c>
      <c r="K33" s="66">
        <v>3.4849999999999999</v>
      </c>
      <c r="L33" s="69">
        <v>2.7610619469026552</v>
      </c>
      <c r="M33" s="69">
        <f>L33*1.13</f>
        <v>3.12</v>
      </c>
      <c r="N33" s="69">
        <f>M33-0.2</f>
        <v>2.92</v>
      </c>
      <c r="O33" s="63">
        <f>N33/1.13</f>
        <v>2.584070796460177</v>
      </c>
      <c r="P33" s="63">
        <v>4.9000000000000004</v>
      </c>
      <c r="Q33" s="63" t="s">
        <v>40</v>
      </c>
      <c r="R33" s="63">
        <f>核价!Z43</f>
        <v>2.1315839575221238</v>
      </c>
    </row>
    <row r="34" spans="1:18" s="1" customFormat="1" ht="13.9" customHeight="1" x14ac:dyDescent="0.2">
      <c r="A34" s="80"/>
      <c r="B34" s="80"/>
      <c r="C34" s="80"/>
      <c r="D34" s="80"/>
      <c r="E34" s="83"/>
      <c r="F34" s="9" t="s">
        <v>2</v>
      </c>
      <c r="G34" s="8">
        <v>200</v>
      </c>
      <c r="H34" s="91"/>
      <c r="I34" s="91"/>
      <c r="J34" s="77"/>
      <c r="K34" s="67"/>
      <c r="L34" s="70"/>
      <c r="M34" s="70"/>
      <c r="N34" s="70"/>
      <c r="O34" s="64"/>
      <c r="P34" s="64"/>
      <c r="Q34" s="64"/>
      <c r="R34" s="64"/>
    </row>
    <row r="35" spans="1:18" s="1" customFormat="1" ht="13.9" customHeight="1" x14ac:dyDescent="0.2">
      <c r="A35" s="80"/>
      <c r="B35" s="80"/>
      <c r="C35" s="80"/>
      <c r="D35" s="80"/>
      <c r="E35" s="83"/>
      <c r="F35" s="9" t="s">
        <v>1</v>
      </c>
      <c r="G35" s="8">
        <v>160</v>
      </c>
      <c r="H35" s="91"/>
      <c r="I35" s="91"/>
      <c r="J35" s="77"/>
      <c r="K35" s="67"/>
      <c r="L35" s="70"/>
      <c r="M35" s="70"/>
      <c r="N35" s="70"/>
      <c r="O35" s="64"/>
      <c r="P35" s="64"/>
      <c r="Q35" s="64"/>
      <c r="R35" s="64"/>
    </row>
    <row r="36" spans="1:18" s="1" customFormat="1" ht="13.9" customHeight="1" x14ac:dyDescent="0.2">
      <c r="A36" s="81"/>
      <c r="B36" s="81"/>
      <c r="C36" s="81"/>
      <c r="D36" s="81"/>
      <c r="E36" s="84"/>
      <c r="F36" s="9" t="s">
        <v>0</v>
      </c>
      <c r="G36" s="8">
        <v>110</v>
      </c>
      <c r="H36" s="92"/>
      <c r="I36" s="92"/>
      <c r="J36" s="78"/>
      <c r="K36" s="68"/>
      <c r="L36" s="71"/>
      <c r="M36" s="71"/>
      <c r="N36" s="71"/>
      <c r="O36" s="65"/>
      <c r="P36" s="65"/>
      <c r="Q36" s="65"/>
      <c r="R36" s="65"/>
    </row>
    <row r="37" spans="1:18" ht="29.25" customHeight="1" x14ac:dyDescent="0.2">
      <c r="J37" s="55" t="s">
        <v>120</v>
      </c>
      <c r="K37" s="56">
        <f>SUM(K3:K36)</f>
        <v>37.014199999999995</v>
      </c>
      <c r="L37" s="57"/>
      <c r="M37" s="57"/>
      <c r="N37" s="57"/>
      <c r="O37" s="58">
        <f>SUM(O3:O36)</f>
        <v>25.69911504424779</v>
      </c>
      <c r="P37" s="58">
        <f>SUM(P3:P36)</f>
        <v>46</v>
      </c>
      <c r="Q37" s="59"/>
      <c r="R37" s="58">
        <f>SUM(R3:R36)</f>
        <v>21.043919286371683</v>
      </c>
    </row>
    <row r="38" spans="1:18" x14ac:dyDescent="0.2">
      <c r="J38" s="134" t="s">
        <v>125</v>
      </c>
      <c r="O38" s="132">
        <f>O37-R37</f>
        <v>4.6551957578761076</v>
      </c>
      <c r="R38" s="133">
        <f>O38/R37</f>
        <v>0.22121334407944024</v>
      </c>
    </row>
    <row r="40" spans="1:18" ht="26.45" customHeight="1" x14ac:dyDescent="0.2"/>
  </sheetData>
  <mergeCells count="97">
    <mergeCell ref="O3:O8"/>
    <mergeCell ref="O9:O14"/>
    <mergeCell ref="O15:O21"/>
    <mergeCell ref="O22:O28"/>
    <mergeCell ref="O29:O32"/>
    <mergeCell ref="M9:M14"/>
    <mergeCell ref="M15:M21"/>
    <mergeCell ref="M22:M28"/>
    <mergeCell ref="M29:M32"/>
    <mergeCell ref="O33:O36"/>
    <mergeCell ref="A1:I1"/>
    <mergeCell ref="H29:H32"/>
    <mergeCell ref="H33:H36"/>
    <mergeCell ref="I9:I14"/>
    <mergeCell ref="I16:I20"/>
    <mergeCell ref="I23:I27"/>
    <mergeCell ref="I29:I32"/>
    <mergeCell ref="I33:I36"/>
    <mergeCell ref="H3:H8"/>
    <mergeCell ref="I3:I8"/>
    <mergeCell ref="H9:H14"/>
    <mergeCell ref="H16:H20"/>
    <mergeCell ref="H23:H27"/>
    <mergeCell ref="A3:A8"/>
    <mergeCell ref="B3:B8"/>
    <mergeCell ref="C3:C8"/>
    <mergeCell ref="E3:E8"/>
    <mergeCell ref="A9:A14"/>
    <mergeCell ref="B9:B14"/>
    <mergeCell ref="C9:C14"/>
    <mergeCell ref="E9:E14"/>
    <mergeCell ref="D3:D8"/>
    <mergeCell ref="D9:D14"/>
    <mergeCell ref="A16:A20"/>
    <mergeCell ref="B16:B20"/>
    <mergeCell ref="C16:C20"/>
    <mergeCell ref="E16:E20"/>
    <mergeCell ref="A23:A27"/>
    <mergeCell ref="B23:B27"/>
    <mergeCell ref="C23:C27"/>
    <mergeCell ref="E23:E27"/>
    <mergeCell ref="D16:D20"/>
    <mergeCell ref="D23:D27"/>
    <mergeCell ref="A29:A32"/>
    <mergeCell ref="B29:B32"/>
    <mergeCell ref="C29:C32"/>
    <mergeCell ref="E29:E32"/>
    <mergeCell ref="A33:A36"/>
    <mergeCell ref="B33:B36"/>
    <mergeCell ref="C33:C36"/>
    <mergeCell ref="E33:E36"/>
    <mergeCell ref="D29:D32"/>
    <mergeCell ref="D33:D36"/>
    <mergeCell ref="J33:J36"/>
    <mergeCell ref="K3:K8"/>
    <mergeCell ref="P3:P8"/>
    <mergeCell ref="K9:K14"/>
    <mergeCell ref="P9:P14"/>
    <mergeCell ref="K15:K21"/>
    <mergeCell ref="P15:P21"/>
    <mergeCell ref="K22:K28"/>
    <mergeCell ref="P22:P28"/>
    <mergeCell ref="K29:K32"/>
    <mergeCell ref="P29:P32"/>
    <mergeCell ref="J3:J8"/>
    <mergeCell ref="J9:J14"/>
    <mergeCell ref="J15:J21"/>
    <mergeCell ref="J22:J28"/>
    <mergeCell ref="J29:J32"/>
    <mergeCell ref="Q33:Q36"/>
    <mergeCell ref="Q3:Q8"/>
    <mergeCell ref="Q9:Q14"/>
    <mergeCell ref="Q15:Q21"/>
    <mergeCell ref="Q22:Q28"/>
    <mergeCell ref="Q29:Q32"/>
    <mergeCell ref="K33:K36"/>
    <mergeCell ref="P33:P36"/>
    <mergeCell ref="L3:L8"/>
    <mergeCell ref="L9:L14"/>
    <mergeCell ref="L15:L21"/>
    <mergeCell ref="L22:L28"/>
    <mergeCell ref="L29:L32"/>
    <mergeCell ref="L33:L36"/>
    <mergeCell ref="M33:M36"/>
    <mergeCell ref="N3:N8"/>
    <mergeCell ref="N9:N14"/>
    <mergeCell ref="N15:N21"/>
    <mergeCell ref="N22:N28"/>
    <mergeCell ref="N29:N32"/>
    <mergeCell ref="N33:N36"/>
    <mergeCell ref="M3:M8"/>
    <mergeCell ref="R33:R36"/>
    <mergeCell ref="R3:R8"/>
    <mergeCell ref="R9:R14"/>
    <mergeCell ref="R15:R21"/>
    <mergeCell ref="R22:R28"/>
    <mergeCell ref="R29:R32"/>
  </mergeCells>
  <phoneticPr fontId="1" type="noConversion"/>
  <pageMargins left="0.7" right="0.7" top="0.75" bottom="0.75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workbookViewId="0">
      <pane xSplit="5" ySplit="2" topLeftCell="F33" activePane="bottomRight" state="frozen"/>
      <selection pane="topRight" activeCell="F1" sqref="F1"/>
      <selection pane="bottomLeft" activeCell="A3" sqref="A3"/>
      <selection pane="bottomRight" activeCell="H48" sqref="H48"/>
    </sheetView>
  </sheetViews>
  <sheetFormatPr defaultRowHeight="14.25" x14ac:dyDescent="0.2"/>
  <cols>
    <col min="1" max="1" width="4.5" customWidth="1"/>
    <col min="2" max="2" width="9.75" bestFit="1" customWidth="1"/>
    <col min="3" max="3" width="11" customWidth="1"/>
    <col min="5" max="5" width="16.125" customWidth="1"/>
    <col min="7" max="7" width="5.75" customWidth="1"/>
    <col min="8" max="8" width="9" style="62"/>
    <col min="9" max="11" width="5.875" customWidth="1"/>
    <col min="12" max="12" width="6" customWidth="1"/>
    <col min="13" max="13" width="6.75" customWidth="1"/>
    <col min="14" max="14" width="5.875" customWidth="1"/>
    <col min="15" max="15" width="6.5" customWidth="1"/>
    <col min="16" max="16" width="6.125" customWidth="1"/>
    <col min="17" max="17" width="7.25" customWidth="1"/>
    <col min="20" max="20" width="6.625" customWidth="1"/>
    <col min="21" max="21" width="6" customWidth="1"/>
    <col min="22" max="22" width="5.875" customWidth="1"/>
    <col min="23" max="23" width="6.875" customWidth="1"/>
    <col min="24" max="24" width="7.5" customWidth="1"/>
    <col min="27" max="30" width="0" hidden="1" customWidth="1"/>
    <col min="31" max="31" width="22.125" customWidth="1"/>
    <col min="32" max="32" width="13.25" hidden="1" customWidth="1"/>
  </cols>
  <sheetData>
    <row r="1" spans="1:32" s="27" customFormat="1" ht="15.95" customHeight="1" x14ac:dyDescent="0.2">
      <c r="A1" s="114" t="s">
        <v>84</v>
      </c>
      <c r="B1" s="90" t="s">
        <v>85</v>
      </c>
      <c r="C1" s="129" t="s">
        <v>48</v>
      </c>
      <c r="D1" s="129" t="s">
        <v>49</v>
      </c>
      <c r="E1" s="129" t="s">
        <v>50</v>
      </c>
      <c r="F1" s="130" t="s">
        <v>74</v>
      </c>
      <c r="G1" s="129" t="s">
        <v>51</v>
      </c>
      <c r="H1" s="129" t="s">
        <v>52</v>
      </c>
      <c r="I1" s="116" t="s">
        <v>91</v>
      </c>
      <c r="J1" s="117"/>
      <c r="K1" s="118"/>
      <c r="L1" s="130" t="s">
        <v>97</v>
      </c>
      <c r="M1" s="122" t="s">
        <v>56</v>
      </c>
      <c r="N1" s="122"/>
      <c r="O1" s="123" t="s">
        <v>57</v>
      </c>
      <c r="P1" s="123"/>
      <c r="Q1" s="123"/>
      <c r="R1" s="124" t="s">
        <v>58</v>
      </c>
      <c r="S1" s="125" t="s">
        <v>59</v>
      </c>
      <c r="T1" s="125"/>
      <c r="U1" s="125"/>
      <c r="V1" s="125"/>
      <c r="W1" s="125"/>
      <c r="X1" s="125"/>
      <c r="Y1" s="26" t="s">
        <v>60</v>
      </c>
      <c r="Z1" s="126" t="s">
        <v>61</v>
      </c>
      <c r="AA1" s="127" t="s">
        <v>75</v>
      </c>
      <c r="AB1" s="119" t="s">
        <v>76</v>
      </c>
      <c r="AC1" s="119" t="s">
        <v>77</v>
      </c>
      <c r="AD1" s="119" t="s">
        <v>78</v>
      </c>
      <c r="AE1" s="121" t="s">
        <v>79</v>
      </c>
    </row>
    <row r="2" spans="1:32" s="27" customFormat="1" ht="25.5" x14ac:dyDescent="0.2">
      <c r="A2" s="115"/>
      <c r="B2" s="92"/>
      <c r="C2" s="129"/>
      <c r="D2" s="129"/>
      <c r="E2" s="129"/>
      <c r="F2" s="131"/>
      <c r="G2" s="129"/>
      <c r="H2" s="129"/>
      <c r="I2" s="50" t="s">
        <v>53</v>
      </c>
      <c r="J2" s="50" t="s">
        <v>54</v>
      </c>
      <c r="K2" s="50" t="s">
        <v>55</v>
      </c>
      <c r="L2" s="131"/>
      <c r="M2" s="28" t="s">
        <v>62</v>
      </c>
      <c r="N2" s="28" t="s">
        <v>63</v>
      </c>
      <c r="O2" s="29" t="s">
        <v>64</v>
      </c>
      <c r="P2" s="29" t="s">
        <v>65</v>
      </c>
      <c r="Q2" s="29" t="s">
        <v>63</v>
      </c>
      <c r="R2" s="124"/>
      <c r="S2" s="30" t="s">
        <v>66</v>
      </c>
      <c r="T2" s="26" t="s">
        <v>67</v>
      </c>
      <c r="U2" s="31" t="s">
        <v>80</v>
      </c>
      <c r="V2" s="31" t="s">
        <v>81</v>
      </c>
      <c r="W2" s="26" t="s">
        <v>68</v>
      </c>
      <c r="X2" s="31" t="s">
        <v>82</v>
      </c>
      <c r="Y2" s="26" t="s">
        <v>69</v>
      </c>
      <c r="Z2" s="126"/>
      <c r="AA2" s="128"/>
      <c r="AB2" s="120"/>
      <c r="AC2" s="120"/>
      <c r="AD2" s="120"/>
      <c r="AE2" s="121"/>
      <c r="AF2" s="27" t="s">
        <v>83</v>
      </c>
    </row>
    <row r="3" spans="1:32" s="39" customFormat="1" ht="12" customHeight="1" x14ac:dyDescent="0.2">
      <c r="A3" s="103">
        <v>1</v>
      </c>
      <c r="B3" s="106">
        <v>44518</v>
      </c>
      <c r="C3" s="103" t="s">
        <v>87</v>
      </c>
      <c r="D3" s="108" t="s">
        <v>89</v>
      </c>
      <c r="E3" s="32" t="s">
        <v>89</v>
      </c>
      <c r="F3" s="32" t="s">
        <v>90</v>
      </c>
      <c r="G3" s="32">
        <v>1</v>
      </c>
      <c r="H3" s="60" t="s">
        <v>70</v>
      </c>
      <c r="I3" s="33">
        <v>234</v>
      </c>
      <c r="J3" s="33">
        <v>225</v>
      </c>
      <c r="K3" s="32">
        <v>1.6</v>
      </c>
      <c r="L3" s="32"/>
      <c r="M3" s="34">
        <v>6.3</v>
      </c>
      <c r="N3" s="34">
        <v>3.2</v>
      </c>
      <c r="O3" s="35">
        <f>I3*J3*K3*7.85/1000000</f>
        <v>0.66128399999999998</v>
      </c>
      <c r="P3" s="35">
        <v>0.38890000000000002</v>
      </c>
      <c r="Q3" s="35">
        <f>O3-P3</f>
        <v>0.27238399999999996</v>
      </c>
      <c r="R3" s="36">
        <f>(M3*O3-N3*Q3)*G3</f>
        <v>3.2944604000000002</v>
      </c>
      <c r="S3" s="37" t="s">
        <v>73</v>
      </c>
      <c r="T3" s="38">
        <v>250</v>
      </c>
      <c r="U3" s="38">
        <v>1</v>
      </c>
      <c r="V3" s="38">
        <v>1</v>
      </c>
      <c r="W3" s="37">
        <v>0.2</v>
      </c>
      <c r="X3" s="37">
        <f>U3*W3/V3</f>
        <v>0.2</v>
      </c>
      <c r="Y3" s="111">
        <f>(R10+X10)*1.2</f>
        <v>5.2733524799999998</v>
      </c>
      <c r="Z3" s="102">
        <f>Y3/1.13</f>
        <v>4.6666836106194696</v>
      </c>
      <c r="AA3" s="100">
        <v>0</v>
      </c>
      <c r="AB3" s="101">
        <v>0</v>
      </c>
      <c r="AC3" s="100">
        <v>0</v>
      </c>
      <c r="AD3" s="102">
        <f>Z3+AC3</f>
        <v>4.6666836106194696</v>
      </c>
      <c r="AE3" s="102"/>
      <c r="AF3" s="100">
        <v>0</v>
      </c>
    </row>
    <row r="4" spans="1:32" s="39" customFormat="1" ht="12" customHeight="1" x14ac:dyDescent="0.2">
      <c r="A4" s="104"/>
      <c r="B4" s="107"/>
      <c r="C4" s="104"/>
      <c r="D4" s="109"/>
      <c r="E4" s="32"/>
      <c r="F4" s="32"/>
      <c r="G4" s="32"/>
      <c r="H4" s="60"/>
      <c r="I4" s="33"/>
      <c r="J4" s="33"/>
      <c r="K4" s="32"/>
      <c r="L4" s="32"/>
      <c r="M4" s="34"/>
      <c r="N4" s="34"/>
      <c r="O4" s="35"/>
      <c r="P4" s="35"/>
      <c r="Q4" s="35"/>
      <c r="R4" s="36"/>
      <c r="S4" s="37" t="s">
        <v>92</v>
      </c>
      <c r="T4" s="38">
        <v>250</v>
      </c>
      <c r="U4" s="38">
        <v>1</v>
      </c>
      <c r="V4" s="38">
        <v>1</v>
      </c>
      <c r="W4" s="37">
        <v>0.2</v>
      </c>
      <c r="X4" s="37">
        <f t="shared" ref="X4:X8" si="0">U4*W4/V4</f>
        <v>0.2</v>
      </c>
      <c r="Y4" s="112"/>
      <c r="Z4" s="102"/>
      <c r="AA4" s="100"/>
      <c r="AB4" s="101"/>
      <c r="AC4" s="100"/>
      <c r="AD4" s="102"/>
      <c r="AE4" s="102"/>
      <c r="AF4" s="100"/>
    </row>
    <row r="5" spans="1:32" s="39" customFormat="1" ht="12" customHeight="1" x14ac:dyDescent="0.2">
      <c r="A5" s="104"/>
      <c r="B5" s="107"/>
      <c r="C5" s="104"/>
      <c r="D5" s="109"/>
      <c r="E5" s="32"/>
      <c r="F5" s="32"/>
      <c r="G5" s="32"/>
      <c r="H5" s="60"/>
      <c r="I5" s="33">
        <v>234</v>
      </c>
      <c r="J5" s="33">
        <v>225</v>
      </c>
      <c r="K5" s="32">
        <v>1.6</v>
      </c>
      <c r="L5" s="51">
        <f>(I5+J5)*2*K5*440/9800</f>
        <v>65.946122448979608</v>
      </c>
      <c r="M5" s="34"/>
      <c r="N5" s="34"/>
      <c r="O5" s="35"/>
      <c r="P5" s="35"/>
      <c r="Q5" s="35"/>
      <c r="R5" s="36"/>
      <c r="S5" s="37" t="s">
        <v>93</v>
      </c>
      <c r="T5" s="38">
        <v>250</v>
      </c>
      <c r="U5" s="38">
        <v>1</v>
      </c>
      <c r="V5" s="38">
        <v>1</v>
      </c>
      <c r="W5" s="37">
        <v>0.2</v>
      </c>
      <c r="X5" s="37">
        <f t="shared" si="0"/>
        <v>0.2</v>
      </c>
      <c r="Y5" s="112"/>
      <c r="Z5" s="102"/>
      <c r="AA5" s="100"/>
      <c r="AB5" s="101"/>
      <c r="AC5" s="100"/>
      <c r="AD5" s="102"/>
      <c r="AE5" s="102"/>
      <c r="AF5" s="100"/>
    </row>
    <row r="6" spans="1:32" s="39" customFormat="1" ht="12" customHeight="1" x14ac:dyDescent="0.2">
      <c r="A6" s="104"/>
      <c r="B6" s="107"/>
      <c r="C6" s="104"/>
      <c r="D6" s="109"/>
      <c r="E6" s="32"/>
      <c r="F6" s="32"/>
      <c r="G6" s="32"/>
      <c r="H6" s="60"/>
      <c r="I6" s="33"/>
      <c r="J6" s="33"/>
      <c r="K6" s="32"/>
      <c r="L6" s="51">
        <f t="shared" ref="L6:L9" si="1">(I6+J6)*2*K6*440/9800</f>
        <v>0</v>
      </c>
      <c r="M6" s="34"/>
      <c r="N6" s="34"/>
      <c r="O6" s="35"/>
      <c r="P6" s="35"/>
      <c r="Q6" s="35"/>
      <c r="R6" s="36"/>
      <c r="S6" s="37" t="s">
        <v>94</v>
      </c>
      <c r="T6" s="38">
        <v>250</v>
      </c>
      <c r="U6" s="38">
        <v>1</v>
      </c>
      <c r="V6" s="38">
        <v>1</v>
      </c>
      <c r="W6" s="37">
        <v>0.2</v>
      </c>
      <c r="X6" s="37">
        <f t="shared" si="0"/>
        <v>0.2</v>
      </c>
      <c r="Y6" s="112"/>
      <c r="Z6" s="102"/>
      <c r="AA6" s="100"/>
      <c r="AB6" s="101"/>
      <c r="AC6" s="100"/>
      <c r="AD6" s="102"/>
      <c r="AE6" s="102"/>
      <c r="AF6" s="100"/>
    </row>
    <row r="7" spans="1:32" s="39" customFormat="1" ht="12" customHeight="1" x14ac:dyDescent="0.2">
      <c r="A7" s="104"/>
      <c r="B7" s="104"/>
      <c r="C7" s="104"/>
      <c r="D7" s="109"/>
      <c r="E7" s="32"/>
      <c r="F7" s="32"/>
      <c r="G7" s="32"/>
      <c r="H7" s="60"/>
      <c r="I7" s="33"/>
      <c r="J7" s="33"/>
      <c r="K7" s="32"/>
      <c r="L7" s="52">
        <f t="shared" si="1"/>
        <v>0</v>
      </c>
      <c r="M7" s="34"/>
      <c r="N7" s="34"/>
      <c r="O7" s="35"/>
      <c r="P7" s="35"/>
      <c r="Q7" s="35"/>
      <c r="R7" s="36"/>
      <c r="S7" s="37" t="s">
        <v>72</v>
      </c>
      <c r="T7" s="38">
        <v>200</v>
      </c>
      <c r="U7" s="38">
        <v>1</v>
      </c>
      <c r="V7" s="38">
        <v>1</v>
      </c>
      <c r="W7" s="37">
        <v>0.15</v>
      </c>
      <c r="X7" s="37">
        <f t="shared" si="0"/>
        <v>0.15</v>
      </c>
      <c r="Y7" s="112"/>
      <c r="Z7" s="102"/>
      <c r="AA7" s="100"/>
      <c r="AB7" s="101"/>
      <c r="AC7" s="100"/>
      <c r="AD7" s="102"/>
      <c r="AE7" s="102"/>
      <c r="AF7" s="100"/>
    </row>
    <row r="8" spans="1:32" s="39" customFormat="1" ht="12" customHeight="1" x14ac:dyDescent="0.2">
      <c r="A8" s="104"/>
      <c r="B8" s="104"/>
      <c r="C8" s="104"/>
      <c r="D8" s="109"/>
      <c r="E8" s="32"/>
      <c r="F8" s="32"/>
      <c r="G8" s="32"/>
      <c r="H8" s="60"/>
      <c r="I8" s="32"/>
      <c r="J8" s="32"/>
      <c r="K8" s="32"/>
      <c r="L8" s="51">
        <f t="shared" si="1"/>
        <v>0</v>
      </c>
      <c r="M8" s="36"/>
      <c r="N8" s="36"/>
      <c r="O8" s="40"/>
      <c r="P8" s="40"/>
      <c r="Q8" s="40"/>
      <c r="R8" s="36"/>
      <c r="S8" s="37" t="s">
        <v>95</v>
      </c>
      <c r="T8" s="38">
        <v>200</v>
      </c>
      <c r="U8" s="38">
        <v>1</v>
      </c>
      <c r="V8" s="38">
        <v>1</v>
      </c>
      <c r="W8" s="37">
        <v>0.15</v>
      </c>
      <c r="X8" s="37">
        <f t="shared" si="0"/>
        <v>0.15</v>
      </c>
      <c r="Y8" s="112"/>
      <c r="Z8" s="102"/>
      <c r="AA8" s="100"/>
      <c r="AB8" s="101"/>
      <c r="AC8" s="100"/>
      <c r="AD8" s="102"/>
      <c r="AE8" s="102"/>
      <c r="AF8" s="100"/>
    </row>
    <row r="9" spans="1:32" s="39" customFormat="1" ht="12" customHeight="1" x14ac:dyDescent="0.2">
      <c r="A9" s="104"/>
      <c r="B9" s="104"/>
      <c r="C9" s="104"/>
      <c r="D9" s="109"/>
      <c r="E9" s="32"/>
      <c r="F9" s="32"/>
      <c r="G9" s="32"/>
      <c r="H9" s="60"/>
      <c r="I9" s="32"/>
      <c r="J9" s="32"/>
      <c r="K9" s="32"/>
      <c r="L9" s="51">
        <f t="shared" si="1"/>
        <v>0</v>
      </c>
      <c r="M9" s="41"/>
      <c r="N9" s="34"/>
      <c r="O9" s="35"/>
      <c r="P9" s="35"/>
      <c r="Q9" s="35"/>
      <c r="R9" s="36"/>
      <c r="S9" s="37"/>
      <c r="T9" s="38"/>
      <c r="U9" s="38"/>
      <c r="V9" s="38"/>
      <c r="W9" s="37"/>
      <c r="X9" s="37"/>
      <c r="Y9" s="113"/>
      <c r="Z9" s="102"/>
      <c r="AA9" s="100"/>
      <c r="AB9" s="101"/>
      <c r="AC9" s="100"/>
      <c r="AD9" s="102"/>
      <c r="AE9" s="102"/>
      <c r="AF9" s="100"/>
    </row>
    <row r="10" spans="1:32" s="15" customFormat="1" ht="14.1" customHeight="1" x14ac:dyDescent="0.2">
      <c r="A10" s="105"/>
      <c r="B10" s="105"/>
      <c r="C10" s="105"/>
      <c r="D10" s="110"/>
      <c r="E10" s="42"/>
      <c r="F10" s="42"/>
      <c r="G10" s="10"/>
      <c r="H10" s="61"/>
      <c r="I10" s="42"/>
      <c r="J10" s="42"/>
      <c r="K10" s="42"/>
      <c r="L10" s="42"/>
      <c r="M10" s="43"/>
      <c r="N10" s="44"/>
      <c r="O10" s="45"/>
      <c r="P10" s="45"/>
      <c r="Q10" s="45"/>
      <c r="R10" s="46">
        <f>SUM(R3:R9)</f>
        <v>3.2944604000000002</v>
      </c>
      <c r="S10" s="47"/>
      <c r="T10" s="48"/>
      <c r="U10" s="48"/>
      <c r="V10" s="48"/>
      <c r="W10" s="47"/>
      <c r="X10" s="47">
        <f>SUM(X3:X9)</f>
        <v>1.1000000000000001</v>
      </c>
      <c r="Y10" s="47"/>
      <c r="Z10" s="49"/>
      <c r="AA10" s="49"/>
      <c r="AB10" s="49"/>
      <c r="AC10" s="49"/>
      <c r="AD10" s="49"/>
      <c r="AE10" s="49"/>
      <c r="AF10" s="49"/>
    </row>
    <row r="11" spans="1:32" s="39" customFormat="1" ht="12" customHeight="1" x14ac:dyDescent="0.2">
      <c r="A11" s="103">
        <v>2</v>
      </c>
      <c r="B11" s="106">
        <v>44518</v>
      </c>
      <c r="C11" s="103" t="s">
        <v>99</v>
      </c>
      <c r="D11" s="108" t="s">
        <v>101</v>
      </c>
      <c r="E11" s="32" t="s">
        <v>101</v>
      </c>
      <c r="F11" s="32" t="s">
        <v>90</v>
      </c>
      <c r="G11" s="32">
        <v>1</v>
      </c>
      <c r="H11" s="60" t="s">
        <v>70</v>
      </c>
      <c r="I11" s="33">
        <v>234</v>
      </c>
      <c r="J11" s="33">
        <v>225</v>
      </c>
      <c r="K11" s="32">
        <v>1.6</v>
      </c>
      <c r="L11" s="32"/>
      <c r="M11" s="34">
        <v>6.3</v>
      </c>
      <c r="N11" s="34">
        <v>3.2</v>
      </c>
      <c r="O11" s="35">
        <f>I11*J11*K11*7.85/1000000</f>
        <v>0.66128399999999998</v>
      </c>
      <c r="P11" s="35">
        <v>0.38890000000000002</v>
      </c>
      <c r="Q11" s="35">
        <f>O11-P11</f>
        <v>0.27238399999999996</v>
      </c>
      <c r="R11" s="36">
        <f>(M11*O11-N11*Q11)*G11</f>
        <v>3.2944604000000002</v>
      </c>
      <c r="S11" s="37" t="s">
        <v>73</v>
      </c>
      <c r="T11" s="38">
        <v>250</v>
      </c>
      <c r="U11" s="38">
        <v>1</v>
      </c>
      <c r="V11" s="38">
        <v>1</v>
      </c>
      <c r="W11" s="37">
        <v>0.2</v>
      </c>
      <c r="X11" s="37">
        <f>U11*W11/V11</f>
        <v>0.2</v>
      </c>
      <c r="Y11" s="111">
        <f>(R18+X18)*1.2</f>
        <v>5.2733524799999998</v>
      </c>
      <c r="Z11" s="102">
        <f>Y11/1.13</f>
        <v>4.6666836106194696</v>
      </c>
      <c r="AA11" s="100">
        <v>0</v>
      </c>
      <c r="AB11" s="101">
        <v>0</v>
      </c>
      <c r="AC11" s="100">
        <v>0</v>
      </c>
      <c r="AD11" s="102">
        <f>Z11+AC11</f>
        <v>4.6666836106194696</v>
      </c>
      <c r="AE11" s="102"/>
      <c r="AF11" s="100">
        <v>0</v>
      </c>
    </row>
    <row r="12" spans="1:32" s="39" customFormat="1" ht="12" customHeight="1" x14ac:dyDescent="0.2">
      <c r="A12" s="104"/>
      <c r="B12" s="107"/>
      <c r="C12" s="104"/>
      <c r="D12" s="109"/>
      <c r="E12" s="32"/>
      <c r="F12" s="32"/>
      <c r="G12" s="32"/>
      <c r="H12" s="60"/>
      <c r="I12" s="33"/>
      <c r="J12" s="33"/>
      <c r="K12" s="32"/>
      <c r="L12" s="32"/>
      <c r="M12" s="34"/>
      <c r="N12" s="34"/>
      <c r="O12" s="35"/>
      <c r="P12" s="35"/>
      <c r="Q12" s="35"/>
      <c r="R12" s="36"/>
      <c r="S12" s="37" t="s">
        <v>92</v>
      </c>
      <c r="T12" s="38">
        <v>250</v>
      </c>
      <c r="U12" s="38">
        <v>1</v>
      </c>
      <c r="V12" s="38">
        <v>1</v>
      </c>
      <c r="W12" s="37">
        <v>0.2</v>
      </c>
      <c r="X12" s="37">
        <f t="shared" ref="X12:X16" si="2">U12*W12/V12</f>
        <v>0.2</v>
      </c>
      <c r="Y12" s="112"/>
      <c r="Z12" s="102"/>
      <c r="AA12" s="100"/>
      <c r="AB12" s="101"/>
      <c r="AC12" s="100"/>
      <c r="AD12" s="102"/>
      <c r="AE12" s="102"/>
      <c r="AF12" s="100"/>
    </row>
    <row r="13" spans="1:32" s="39" customFormat="1" ht="12" customHeight="1" x14ac:dyDescent="0.2">
      <c r="A13" s="104"/>
      <c r="B13" s="107"/>
      <c r="C13" s="104"/>
      <c r="D13" s="109"/>
      <c r="E13" s="32"/>
      <c r="F13" s="32"/>
      <c r="G13" s="32"/>
      <c r="H13" s="60"/>
      <c r="I13" s="33">
        <v>234</v>
      </c>
      <c r="J13" s="33">
        <v>225</v>
      </c>
      <c r="K13" s="32">
        <v>1.6</v>
      </c>
      <c r="L13" s="51">
        <f>(I13+J13)*2*K13*440/9800</f>
        <v>65.946122448979608</v>
      </c>
      <c r="M13" s="34"/>
      <c r="N13" s="34"/>
      <c r="O13" s="35"/>
      <c r="P13" s="35"/>
      <c r="Q13" s="35"/>
      <c r="R13" s="36"/>
      <c r="S13" s="37" t="s">
        <v>93</v>
      </c>
      <c r="T13" s="38">
        <v>250</v>
      </c>
      <c r="U13" s="38">
        <v>1</v>
      </c>
      <c r="V13" s="38">
        <v>1</v>
      </c>
      <c r="W13" s="37">
        <v>0.2</v>
      </c>
      <c r="X13" s="37">
        <f t="shared" si="2"/>
        <v>0.2</v>
      </c>
      <c r="Y13" s="112"/>
      <c r="Z13" s="102"/>
      <c r="AA13" s="100"/>
      <c r="AB13" s="101"/>
      <c r="AC13" s="100"/>
      <c r="AD13" s="102"/>
      <c r="AE13" s="102"/>
      <c r="AF13" s="100"/>
    </row>
    <row r="14" spans="1:32" s="39" customFormat="1" ht="12" customHeight="1" x14ac:dyDescent="0.2">
      <c r="A14" s="104"/>
      <c r="B14" s="107"/>
      <c r="C14" s="104"/>
      <c r="D14" s="109"/>
      <c r="E14" s="32"/>
      <c r="F14" s="32"/>
      <c r="G14" s="32"/>
      <c r="H14" s="60"/>
      <c r="I14" s="33"/>
      <c r="J14" s="33"/>
      <c r="K14" s="32"/>
      <c r="L14" s="51">
        <f t="shared" ref="L14:L17" si="3">(I14+J14)*2*K14*440/9800</f>
        <v>0</v>
      </c>
      <c r="M14" s="34"/>
      <c r="N14" s="34"/>
      <c r="O14" s="35"/>
      <c r="P14" s="35"/>
      <c r="Q14" s="35"/>
      <c r="R14" s="36"/>
      <c r="S14" s="37" t="s">
        <v>94</v>
      </c>
      <c r="T14" s="38">
        <v>250</v>
      </c>
      <c r="U14" s="38">
        <v>1</v>
      </c>
      <c r="V14" s="38">
        <v>1</v>
      </c>
      <c r="W14" s="37">
        <v>0.2</v>
      </c>
      <c r="X14" s="37">
        <f t="shared" si="2"/>
        <v>0.2</v>
      </c>
      <c r="Y14" s="112"/>
      <c r="Z14" s="102"/>
      <c r="AA14" s="100"/>
      <c r="AB14" s="101"/>
      <c r="AC14" s="100"/>
      <c r="AD14" s="102"/>
      <c r="AE14" s="102"/>
      <c r="AF14" s="100"/>
    </row>
    <row r="15" spans="1:32" s="39" customFormat="1" ht="12" customHeight="1" x14ac:dyDescent="0.2">
      <c r="A15" s="104"/>
      <c r="B15" s="104"/>
      <c r="C15" s="104"/>
      <c r="D15" s="109"/>
      <c r="E15" s="32"/>
      <c r="F15" s="32"/>
      <c r="G15" s="32"/>
      <c r="H15" s="60"/>
      <c r="I15" s="33"/>
      <c r="J15" s="33"/>
      <c r="K15" s="32"/>
      <c r="L15" s="52">
        <f t="shared" si="3"/>
        <v>0</v>
      </c>
      <c r="M15" s="34"/>
      <c r="N15" s="34"/>
      <c r="O15" s="35"/>
      <c r="P15" s="35"/>
      <c r="Q15" s="35"/>
      <c r="R15" s="36"/>
      <c r="S15" s="37" t="s">
        <v>72</v>
      </c>
      <c r="T15" s="38">
        <v>200</v>
      </c>
      <c r="U15" s="38">
        <v>1</v>
      </c>
      <c r="V15" s="38">
        <v>1</v>
      </c>
      <c r="W15" s="37">
        <v>0.15</v>
      </c>
      <c r="X15" s="37">
        <f t="shared" si="2"/>
        <v>0.15</v>
      </c>
      <c r="Y15" s="112"/>
      <c r="Z15" s="102"/>
      <c r="AA15" s="100"/>
      <c r="AB15" s="101"/>
      <c r="AC15" s="100"/>
      <c r="AD15" s="102"/>
      <c r="AE15" s="102"/>
      <c r="AF15" s="100"/>
    </row>
    <row r="16" spans="1:32" s="39" customFormat="1" ht="12" customHeight="1" x14ac:dyDescent="0.2">
      <c r="A16" s="104"/>
      <c r="B16" s="104"/>
      <c r="C16" s="104"/>
      <c r="D16" s="109"/>
      <c r="E16" s="32"/>
      <c r="F16" s="32"/>
      <c r="G16" s="32"/>
      <c r="H16" s="60"/>
      <c r="I16" s="32"/>
      <c r="J16" s="32"/>
      <c r="K16" s="32"/>
      <c r="L16" s="51">
        <f t="shared" si="3"/>
        <v>0</v>
      </c>
      <c r="M16" s="36"/>
      <c r="N16" s="36"/>
      <c r="O16" s="40"/>
      <c r="P16" s="40"/>
      <c r="Q16" s="40"/>
      <c r="R16" s="36"/>
      <c r="S16" s="37" t="s">
        <v>95</v>
      </c>
      <c r="T16" s="38">
        <v>200</v>
      </c>
      <c r="U16" s="38">
        <v>1</v>
      </c>
      <c r="V16" s="38">
        <v>1</v>
      </c>
      <c r="W16" s="37">
        <v>0.15</v>
      </c>
      <c r="X16" s="37">
        <f t="shared" si="2"/>
        <v>0.15</v>
      </c>
      <c r="Y16" s="112"/>
      <c r="Z16" s="102"/>
      <c r="AA16" s="100"/>
      <c r="AB16" s="101"/>
      <c r="AC16" s="100"/>
      <c r="AD16" s="102"/>
      <c r="AE16" s="102"/>
      <c r="AF16" s="100"/>
    </row>
    <row r="17" spans="1:32" s="39" customFormat="1" ht="12" customHeight="1" x14ac:dyDescent="0.2">
      <c r="A17" s="104"/>
      <c r="B17" s="104"/>
      <c r="C17" s="104"/>
      <c r="D17" s="109"/>
      <c r="E17" s="32"/>
      <c r="F17" s="32"/>
      <c r="G17" s="32"/>
      <c r="H17" s="60"/>
      <c r="I17" s="32"/>
      <c r="J17" s="32"/>
      <c r="K17" s="32"/>
      <c r="L17" s="51">
        <f t="shared" si="3"/>
        <v>0</v>
      </c>
      <c r="M17" s="41"/>
      <c r="N17" s="34"/>
      <c r="O17" s="35"/>
      <c r="P17" s="35"/>
      <c r="Q17" s="35"/>
      <c r="R17" s="36"/>
      <c r="S17" s="37"/>
      <c r="T17" s="38"/>
      <c r="U17" s="38"/>
      <c r="V17" s="38"/>
      <c r="W17" s="37"/>
      <c r="X17" s="37"/>
      <c r="Y17" s="113"/>
      <c r="Z17" s="102"/>
      <c r="AA17" s="100"/>
      <c r="AB17" s="101"/>
      <c r="AC17" s="100"/>
      <c r="AD17" s="102"/>
      <c r="AE17" s="102"/>
      <c r="AF17" s="100"/>
    </row>
    <row r="18" spans="1:32" s="15" customFormat="1" ht="14.1" customHeight="1" x14ac:dyDescent="0.2">
      <c r="A18" s="105"/>
      <c r="B18" s="105"/>
      <c r="C18" s="105"/>
      <c r="D18" s="110"/>
      <c r="E18" s="42"/>
      <c r="F18" s="42"/>
      <c r="G18" s="10"/>
      <c r="H18" s="61"/>
      <c r="I18" s="42"/>
      <c r="J18" s="42"/>
      <c r="K18" s="42"/>
      <c r="L18" s="42"/>
      <c r="M18" s="43"/>
      <c r="N18" s="44"/>
      <c r="O18" s="45"/>
      <c r="P18" s="45"/>
      <c r="Q18" s="45"/>
      <c r="R18" s="46">
        <f>SUM(R11:R17)</f>
        <v>3.2944604000000002</v>
      </c>
      <c r="S18" s="47"/>
      <c r="T18" s="48"/>
      <c r="U18" s="48"/>
      <c r="V18" s="48"/>
      <c r="W18" s="47"/>
      <c r="X18" s="47">
        <f>SUM(X11:X17)</f>
        <v>1.1000000000000001</v>
      </c>
      <c r="Y18" s="47"/>
      <c r="Z18" s="49"/>
      <c r="AA18" s="49"/>
      <c r="AB18" s="49"/>
      <c r="AC18" s="49"/>
      <c r="AD18" s="49"/>
      <c r="AE18" s="49"/>
      <c r="AF18" s="49"/>
    </row>
    <row r="19" spans="1:32" s="39" customFormat="1" ht="12" customHeight="1" x14ac:dyDescent="0.2">
      <c r="A19" s="103">
        <v>3</v>
      </c>
      <c r="B19" s="106">
        <v>44518</v>
      </c>
      <c r="C19" s="103" t="s">
        <v>102</v>
      </c>
      <c r="D19" s="108" t="s">
        <v>103</v>
      </c>
      <c r="E19" s="32" t="s">
        <v>105</v>
      </c>
      <c r="F19" s="32" t="s">
        <v>90</v>
      </c>
      <c r="G19" s="32">
        <v>1</v>
      </c>
      <c r="H19" s="60" t="s">
        <v>70</v>
      </c>
      <c r="I19" s="33">
        <v>242</v>
      </c>
      <c r="J19" s="33">
        <v>142</v>
      </c>
      <c r="K19" s="32">
        <v>1.6</v>
      </c>
      <c r="L19" s="32"/>
      <c r="M19" s="34">
        <v>6.3</v>
      </c>
      <c r="N19" s="34">
        <v>3.2</v>
      </c>
      <c r="O19" s="35">
        <f>I19*J19*K19*7.85/1000000</f>
        <v>0.43161183999999997</v>
      </c>
      <c r="P19" s="35">
        <v>0.38890000000000002</v>
      </c>
      <c r="Q19" s="35">
        <f>O19-P19</f>
        <v>4.2711839999999945E-2</v>
      </c>
      <c r="R19" s="36">
        <f>(M19*O19-N19*Q19)*G19</f>
        <v>2.5824767039999998</v>
      </c>
      <c r="S19" s="18" t="s">
        <v>2</v>
      </c>
      <c r="T19" s="18">
        <v>250</v>
      </c>
      <c r="U19" s="38">
        <v>1</v>
      </c>
      <c r="V19" s="38">
        <v>1</v>
      </c>
      <c r="W19" s="37">
        <v>0.2</v>
      </c>
      <c r="X19" s="37">
        <f>U19*W19/V19</f>
        <v>0.2</v>
      </c>
      <c r="Y19" s="111">
        <f>(R26+X26)*1.2</f>
        <v>4.2077720447999996</v>
      </c>
      <c r="Z19" s="102">
        <f>Y19/1.13</f>
        <v>3.7236920750442479</v>
      </c>
      <c r="AA19" s="100">
        <v>0</v>
      </c>
      <c r="AB19" s="101">
        <v>0</v>
      </c>
      <c r="AC19" s="100">
        <v>0</v>
      </c>
      <c r="AD19" s="102">
        <f>Z19+AC19</f>
        <v>3.7236920750442479</v>
      </c>
      <c r="AE19" s="102"/>
      <c r="AF19" s="100">
        <v>0</v>
      </c>
    </row>
    <row r="20" spans="1:32" s="39" customFormat="1" ht="12" customHeight="1" x14ac:dyDescent="0.2">
      <c r="A20" s="104"/>
      <c r="B20" s="107"/>
      <c r="C20" s="104"/>
      <c r="D20" s="109"/>
      <c r="E20" s="32"/>
      <c r="F20" s="32"/>
      <c r="G20" s="32"/>
      <c r="H20" s="60"/>
      <c r="I20" s="33"/>
      <c r="J20" s="33"/>
      <c r="K20" s="32"/>
      <c r="L20" s="32"/>
      <c r="M20" s="34"/>
      <c r="N20" s="34"/>
      <c r="O20" s="35"/>
      <c r="P20" s="35"/>
      <c r="Q20" s="35"/>
      <c r="R20" s="36"/>
      <c r="S20" s="17" t="s">
        <v>5</v>
      </c>
      <c r="T20" s="18">
        <v>200</v>
      </c>
      <c r="U20" s="38">
        <v>1</v>
      </c>
      <c r="V20" s="38">
        <v>1</v>
      </c>
      <c r="W20" s="37">
        <v>0.15</v>
      </c>
      <c r="X20" s="37">
        <f t="shared" ref="X20:X24" si="4">U20*W20/V20</f>
        <v>0.15</v>
      </c>
      <c r="Y20" s="112"/>
      <c r="Z20" s="102"/>
      <c r="AA20" s="100"/>
      <c r="AB20" s="101"/>
      <c r="AC20" s="100"/>
      <c r="AD20" s="102"/>
      <c r="AE20" s="102"/>
      <c r="AF20" s="100"/>
    </row>
    <row r="21" spans="1:32" s="39" customFormat="1" ht="12" customHeight="1" x14ac:dyDescent="0.2">
      <c r="A21" s="104"/>
      <c r="B21" s="107"/>
      <c r="C21" s="104"/>
      <c r="D21" s="109"/>
      <c r="E21" s="32"/>
      <c r="F21" s="32"/>
      <c r="G21" s="32"/>
      <c r="H21" s="60"/>
      <c r="I21" s="33">
        <v>242</v>
      </c>
      <c r="J21" s="33">
        <v>142</v>
      </c>
      <c r="K21" s="32">
        <v>1.6</v>
      </c>
      <c r="L21" s="51">
        <f>(I21+J21)*2*K21*440/9800</f>
        <v>55.170612244897974</v>
      </c>
      <c r="M21" s="34"/>
      <c r="N21" s="34"/>
      <c r="O21" s="35"/>
      <c r="P21" s="35"/>
      <c r="Q21" s="35"/>
      <c r="R21" s="36"/>
      <c r="S21" s="17" t="s">
        <v>6</v>
      </c>
      <c r="T21" s="18">
        <v>200</v>
      </c>
      <c r="U21" s="38">
        <v>1</v>
      </c>
      <c r="V21" s="38">
        <v>1</v>
      </c>
      <c r="W21" s="37">
        <v>0.15</v>
      </c>
      <c r="X21" s="37">
        <f t="shared" si="4"/>
        <v>0.15</v>
      </c>
      <c r="Y21" s="112"/>
      <c r="Z21" s="102"/>
      <c r="AA21" s="100"/>
      <c r="AB21" s="101"/>
      <c r="AC21" s="100"/>
      <c r="AD21" s="102"/>
      <c r="AE21" s="102"/>
      <c r="AF21" s="100"/>
    </row>
    <row r="22" spans="1:32" s="39" customFormat="1" ht="12" customHeight="1" x14ac:dyDescent="0.2">
      <c r="A22" s="104"/>
      <c r="B22" s="107"/>
      <c r="C22" s="104"/>
      <c r="D22" s="109"/>
      <c r="E22" s="32"/>
      <c r="F22" s="32"/>
      <c r="G22" s="32"/>
      <c r="H22" s="60"/>
      <c r="I22" s="33"/>
      <c r="J22" s="33"/>
      <c r="K22" s="32"/>
      <c r="L22" s="51">
        <f t="shared" ref="L22:L25" si="5">(I22+J22)*2*K22*440/9800</f>
        <v>0</v>
      </c>
      <c r="M22" s="34"/>
      <c r="N22" s="34"/>
      <c r="O22" s="35"/>
      <c r="P22" s="35"/>
      <c r="Q22" s="35"/>
      <c r="R22" s="36"/>
      <c r="S22" s="18" t="s">
        <v>5</v>
      </c>
      <c r="T22" s="18">
        <v>160</v>
      </c>
      <c r="U22" s="38">
        <v>1</v>
      </c>
      <c r="V22" s="38">
        <v>1</v>
      </c>
      <c r="W22" s="37">
        <v>0.1</v>
      </c>
      <c r="X22" s="37">
        <f t="shared" si="4"/>
        <v>0.1</v>
      </c>
      <c r="Y22" s="112"/>
      <c r="Z22" s="102"/>
      <c r="AA22" s="100"/>
      <c r="AB22" s="101"/>
      <c r="AC22" s="100"/>
      <c r="AD22" s="102"/>
      <c r="AE22" s="102"/>
      <c r="AF22" s="100"/>
    </row>
    <row r="23" spans="1:32" s="39" customFormat="1" ht="12" customHeight="1" x14ac:dyDescent="0.2">
      <c r="A23" s="104"/>
      <c r="B23" s="104"/>
      <c r="C23" s="104"/>
      <c r="D23" s="109"/>
      <c r="E23" s="32"/>
      <c r="F23" s="32"/>
      <c r="G23" s="32"/>
      <c r="H23" s="60"/>
      <c r="I23" s="33"/>
      <c r="J23" s="33"/>
      <c r="K23" s="32"/>
      <c r="L23" s="52">
        <f t="shared" si="5"/>
        <v>0</v>
      </c>
      <c r="M23" s="34"/>
      <c r="N23" s="34"/>
      <c r="O23" s="35"/>
      <c r="P23" s="35"/>
      <c r="Q23" s="35"/>
      <c r="R23" s="36"/>
      <c r="S23" s="17" t="s">
        <v>4</v>
      </c>
      <c r="T23" s="18">
        <v>160</v>
      </c>
      <c r="U23" s="38">
        <v>1</v>
      </c>
      <c r="V23" s="38">
        <v>1</v>
      </c>
      <c r="W23" s="37">
        <v>0.1</v>
      </c>
      <c r="X23" s="37">
        <f t="shared" si="4"/>
        <v>0.1</v>
      </c>
      <c r="Y23" s="112"/>
      <c r="Z23" s="102"/>
      <c r="AA23" s="100"/>
      <c r="AB23" s="101"/>
      <c r="AC23" s="100"/>
      <c r="AD23" s="102"/>
      <c r="AE23" s="102"/>
      <c r="AF23" s="100"/>
    </row>
    <row r="24" spans="1:32" s="39" customFormat="1" ht="12" customHeight="1" x14ac:dyDescent="0.2">
      <c r="A24" s="104"/>
      <c r="B24" s="104"/>
      <c r="C24" s="104"/>
      <c r="D24" s="109"/>
      <c r="E24" s="32" t="s">
        <v>107</v>
      </c>
      <c r="F24" s="32"/>
      <c r="G24" s="32">
        <v>2</v>
      </c>
      <c r="H24" s="60"/>
      <c r="I24" s="32"/>
      <c r="J24" s="32"/>
      <c r="K24" s="32"/>
      <c r="L24" s="51">
        <f t="shared" si="5"/>
        <v>0</v>
      </c>
      <c r="M24" s="36"/>
      <c r="N24" s="36"/>
      <c r="O24" s="40"/>
      <c r="P24" s="40"/>
      <c r="Q24" s="40"/>
      <c r="R24" s="36">
        <f>0.042*G24</f>
        <v>8.4000000000000005E-2</v>
      </c>
      <c r="S24" s="37" t="s">
        <v>106</v>
      </c>
      <c r="T24" s="38"/>
      <c r="U24" s="38">
        <v>1</v>
      </c>
      <c r="V24" s="38">
        <v>1</v>
      </c>
      <c r="W24" s="37">
        <f>2*0.07</f>
        <v>0.14000000000000001</v>
      </c>
      <c r="X24" s="37">
        <f t="shared" si="4"/>
        <v>0.14000000000000001</v>
      </c>
      <c r="Y24" s="112"/>
      <c r="Z24" s="102"/>
      <c r="AA24" s="100"/>
      <c r="AB24" s="101"/>
      <c r="AC24" s="100"/>
      <c r="AD24" s="102"/>
      <c r="AE24" s="102"/>
      <c r="AF24" s="100"/>
    </row>
    <row r="25" spans="1:32" s="39" customFormat="1" ht="12" customHeight="1" x14ac:dyDescent="0.2">
      <c r="A25" s="104"/>
      <c r="B25" s="104"/>
      <c r="C25" s="104"/>
      <c r="D25" s="109"/>
      <c r="E25" s="32"/>
      <c r="F25" s="32"/>
      <c r="G25" s="32"/>
      <c r="H25" s="60"/>
      <c r="I25" s="32"/>
      <c r="J25" s="32"/>
      <c r="K25" s="32"/>
      <c r="L25" s="51">
        <f t="shared" si="5"/>
        <v>0</v>
      </c>
      <c r="M25" s="41"/>
      <c r="N25" s="34"/>
      <c r="O25" s="35"/>
      <c r="P25" s="35"/>
      <c r="Q25" s="35"/>
      <c r="R25" s="36"/>
      <c r="S25" s="37"/>
      <c r="T25" s="38"/>
      <c r="U25" s="38"/>
      <c r="V25" s="38"/>
      <c r="W25" s="37"/>
      <c r="X25" s="37"/>
      <c r="Y25" s="113"/>
      <c r="Z25" s="102"/>
      <c r="AA25" s="100"/>
      <c r="AB25" s="101"/>
      <c r="AC25" s="100"/>
      <c r="AD25" s="102"/>
      <c r="AE25" s="102"/>
      <c r="AF25" s="100"/>
    </row>
    <row r="26" spans="1:32" s="15" customFormat="1" ht="14.1" customHeight="1" x14ac:dyDescent="0.2">
      <c r="A26" s="105"/>
      <c r="B26" s="105"/>
      <c r="C26" s="105"/>
      <c r="D26" s="110"/>
      <c r="E26" s="42"/>
      <c r="F26" s="42"/>
      <c r="G26" s="10"/>
      <c r="H26" s="61"/>
      <c r="I26" s="42"/>
      <c r="J26" s="42"/>
      <c r="K26" s="42"/>
      <c r="L26" s="42"/>
      <c r="M26" s="43"/>
      <c r="N26" s="44"/>
      <c r="O26" s="45"/>
      <c r="P26" s="45"/>
      <c r="Q26" s="45"/>
      <c r="R26" s="46">
        <f>SUM(R19:R25)</f>
        <v>2.6664767039999999</v>
      </c>
      <c r="S26" s="47"/>
      <c r="T26" s="48"/>
      <c r="U26" s="48"/>
      <c r="V26" s="48"/>
      <c r="W26" s="47"/>
      <c r="X26" s="47">
        <f>SUM(X19:X25)</f>
        <v>0.84</v>
      </c>
      <c r="Y26" s="47"/>
      <c r="Z26" s="49"/>
      <c r="AA26" s="49"/>
      <c r="AB26" s="49"/>
      <c r="AC26" s="49"/>
      <c r="AD26" s="49"/>
      <c r="AE26" s="49"/>
      <c r="AF26" s="49"/>
    </row>
    <row r="27" spans="1:32" s="39" customFormat="1" ht="12" customHeight="1" x14ac:dyDescent="0.2">
      <c r="A27" s="103">
        <v>4</v>
      </c>
      <c r="B27" s="106">
        <v>44518</v>
      </c>
      <c r="C27" s="103" t="s">
        <v>109</v>
      </c>
      <c r="D27" s="108" t="s">
        <v>110</v>
      </c>
      <c r="E27" s="32" t="s">
        <v>112</v>
      </c>
      <c r="F27" s="32" t="s">
        <v>90</v>
      </c>
      <c r="G27" s="32">
        <v>1</v>
      </c>
      <c r="H27" s="60" t="s">
        <v>70</v>
      </c>
      <c r="I27" s="33">
        <v>242</v>
      </c>
      <c r="J27" s="33">
        <v>142</v>
      </c>
      <c r="K27" s="32">
        <v>1.6</v>
      </c>
      <c r="L27" s="32"/>
      <c r="M27" s="34">
        <v>6.3</v>
      </c>
      <c r="N27" s="34">
        <v>3.2</v>
      </c>
      <c r="O27" s="35">
        <f>I27*J27*K27*7.85/1000000</f>
        <v>0.43161183999999997</v>
      </c>
      <c r="P27" s="35">
        <v>0.38890000000000002</v>
      </c>
      <c r="Q27" s="35">
        <f>O27-P27</f>
        <v>4.2711839999999945E-2</v>
      </c>
      <c r="R27" s="36">
        <f>(M27*O27-N27*Q27)*G27</f>
        <v>2.5824767039999998</v>
      </c>
      <c r="S27" s="18" t="s">
        <v>2</v>
      </c>
      <c r="T27" s="18">
        <v>250</v>
      </c>
      <c r="U27" s="38">
        <v>1</v>
      </c>
      <c r="V27" s="38">
        <v>1</v>
      </c>
      <c r="W27" s="37">
        <v>0.2</v>
      </c>
      <c r="X27" s="37">
        <f>U27*W27/V27</f>
        <v>0.2</v>
      </c>
      <c r="Y27" s="111">
        <f>(R34+X34)*1.2</f>
        <v>4.2077720447999996</v>
      </c>
      <c r="Z27" s="102">
        <f>Y27/1.13</f>
        <v>3.7236920750442479</v>
      </c>
      <c r="AA27" s="100">
        <v>0</v>
      </c>
      <c r="AB27" s="101">
        <v>0</v>
      </c>
      <c r="AC27" s="100">
        <v>0</v>
      </c>
      <c r="AD27" s="102">
        <f>Z27+AC27</f>
        <v>3.7236920750442479</v>
      </c>
      <c r="AE27" s="102"/>
      <c r="AF27" s="100">
        <v>0</v>
      </c>
    </row>
    <row r="28" spans="1:32" s="39" customFormat="1" ht="12" customHeight="1" x14ac:dyDescent="0.2">
      <c r="A28" s="104"/>
      <c r="B28" s="107"/>
      <c r="C28" s="104"/>
      <c r="D28" s="109"/>
      <c r="E28" s="32"/>
      <c r="F28" s="32"/>
      <c r="G28" s="32"/>
      <c r="H28" s="60"/>
      <c r="I28" s="33"/>
      <c r="J28" s="33"/>
      <c r="K28" s="32"/>
      <c r="L28" s="32"/>
      <c r="M28" s="34"/>
      <c r="N28" s="34"/>
      <c r="O28" s="35"/>
      <c r="P28" s="35"/>
      <c r="Q28" s="35"/>
      <c r="R28" s="36"/>
      <c r="S28" s="17" t="s">
        <v>5</v>
      </c>
      <c r="T28" s="18">
        <v>200</v>
      </c>
      <c r="U28" s="38">
        <v>1</v>
      </c>
      <c r="V28" s="38">
        <v>1</v>
      </c>
      <c r="W28" s="37">
        <v>0.15</v>
      </c>
      <c r="X28" s="37">
        <f t="shared" ref="X28:X32" si="6">U28*W28/V28</f>
        <v>0.15</v>
      </c>
      <c r="Y28" s="112"/>
      <c r="Z28" s="102"/>
      <c r="AA28" s="100"/>
      <c r="AB28" s="101"/>
      <c r="AC28" s="100"/>
      <c r="AD28" s="102"/>
      <c r="AE28" s="102"/>
      <c r="AF28" s="100"/>
    </row>
    <row r="29" spans="1:32" s="39" customFormat="1" ht="12" customHeight="1" x14ac:dyDescent="0.2">
      <c r="A29" s="104"/>
      <c r="B29" s="107"/>
      <c r="C29" s="104"/>
      <c r="D29" s="109"/>
      <c r="E29" s="32"/>
      <c r="F29" s="32"/>
      <c r="G29" s="32"/>
      <c r="H29" s="60"/>
      <c r="I29" s="33">
        <v>242</v>
      </c>
      <c r="J29" s="33">
        <v>142</v>
      </c>
      <c r="K29" s="32">
        <v>1.6</v>
      </c>
      <c r="L29" s="51">
        <f>(I29+J29)*2*K29*440/9800</f>
        <v>55.170612244897974</v>
      </c>
      <c r="M29" s="34"/>
      <c r="N29" s="34"/>
      <c r="O29" s="35"/>
      <c r="P29" s="35"/>
      <c r="Q29" s="35"/>
      <c r="R29" s="36"/>
      <c r="S29" s="17" t="s">
        <v>6</v>
      </c>
      <c r="T29" s="18">
        <v>200</v>
      </c>
      <c r="U29" s="38">
        <v>1</v>
      </c>
      <c r="V29" s="38">
        <v>1</v>
      </c>
      <c r="W29" s="37">
        <v>0.15</v>
      </c>
      <c r="X29" s="37">
        <f t="shared" si="6"/>
        <v>0.15</v>
      </c>
      <c r="Y29" s="112"/>
      <c r="Z29" s="102"/>
      <c r="AA29" s="100"/>
      <c r="AB29" s="101"/>
      <c r="AC29" s="100"/>
      <c r="AD29" s="102"/>
      <c r="AE29" s="102"/>
      <c r="AF29" s="100"/>
    </row>
    <row r="30" spans="1:32" s="39" customFormat="1" ht="12" customHeight="1" x14ac:dyDescent="0.2">
      <c r="A30" s="104"/>
      <c r="B30" s="107"/>
      <c r="C30" s="104"/>
      <c r="D30" s="109"/>
      <c r="E30" s="32"/>
      <c r="F30" s="32"/>
      <c r="G30" s="32"/>
      <c r="H30" s="60"/>
      <c r="I30" s="33"/>
      <c r="J30" s="33"/>
      <c r="K30" s="32"/>
      <c r="L30" s="51">
        <f t="shared" ref="L30:L33" si="7">(I30+J30)*2*K30*440/9800</f>
        <v>0</v>
      </c>
      <c r="M30" s="34"/>
      <c r="N30" s="34"/>
      <c r="O30" s="35"/>
      <c r="P30" s="35"/>
      <c r="Q30" s="35"/>
      <c r="R30" s="36"/>
      <c r="S30" s="18" t="s">
        <v>5</v>
      </c>
      <c r="T30" s="18">
        <v>160</v>
      </c>
      <c r="U30" s="38">
        <v>1</v>
      </c>
      <c r="V30" s="38">
        <v>1</v>
      </c>
      <c r="W30" s="37">
        <v>0.1</v>
      </c>
      <c r="X30" s="37">
        <f t="shared" si="6"/>
        <v>0.1</v>
      </c>
      <c r="Y30" s="112"/>
      <c r="Z30" s="102"/>
      <c r="AA30" s="100"/>
      <c r="AB30" s="101"/>
      <c r="AC30" s="100"/>
      <c r="AD30" s="102"/>
      <c r="AE30" s="102"/>
      <c r="AF30" s="100"/>
    </row>
    <row r="31" spans="1:32" s="39" customFormat="1" ht="12" customHeight="1" x14ac:dyDescent="0.2">
      <c r="A31" s="104"/>
      <c r="B31" s="104"/>
      <c r="C31" s="104"/>
      <c r="D31" s="109"/>
      <c r="E31" s="32"/>
      <c r="F31" s="32"/>
      <c r="G31" s="32"/>
      <c r="H31" s="60"/>
      <c r="I31" s="33"/>
      <c r="J31" s="33"/>
      <c r="K31" s="32"/>
      <c r="L31" s="52">
        <f t="shared" si="7"/>
        <v>0</v>
      </c>
      <c r="M31" s="34"/>
      <c r="N31" s="34"/>
      <c r="O31" s="35"/>
      <c r="P31" s="35"/>
      <c r="Q31" s="35"/>
      <c r="R31" s="36"/>
      <c r="S31" s="17" t="s">
        <v>4</v>
      </c>
      <c r="T31" s="18">
        <v>160</v>
      </c>
      <c r="U31" s="38">
        <v>1</v>
      </c>
      <c r="V31" s="38">
        <v>1</v>
      </c>
      <c r="W31" s="37">
        <v>0.1</v>
      </c>
      <c r="X31" s="37">
        <f t="shared" si="6"/>
        <v>0.1</v>
      </c>
      <c r="Y31" s="112"/>
      <c r="Z31" s="102"/>
      <c r="AA31" s="100"/>
      <c r="AB31" s="101"/>
      <c r="AC31" s="100"/>
      <c r="AD31" s="102"/>
      <c r="AE31" s="102"/>
      <c r="AF31" s="100"/>
    </row>
    <row r="32" spans="1:32" s="39" customFormat="1" ht="12" customHeight="1" x14ac:dyDescent="0.2">
      <c r="A32" s="104"/>
      <c r="B32" s="104"/>
      <c r="C32" s="104"/>
      <c r="D32" s="109"/>
      <c r="E32" s="32" t="s">
        <v>107</v>
      </c>
      <c r="F32" s="32"/>
      <c r="G32" s="32">
        <v>2</v>
      </c>
      <c r="H32" s="60"/>
      <c r="I32" s="32"/>
      <c r="J32" s="32"/>
      <c r="K32" s="32"/>
      <c r="L32" s="51">
        <f t="shared" si="7"/>
        <v>0</v>
      </c>
      <c r="M32" s="36"/>
      <c r="N32" s="36"/>
      <c r="O32" s="40"/>
      <c r="P32" s="40"/>
      <c r="Q32" s="40"/>
      <c r="R32" s="36">
        <f>0.042*G32</f>
        <v>8.4000000000000005E-2</v>
      </c>
      <c r="S32" s="37" t="s">
        <v>106</v>
      </c>
      <c r="T32" s="38"/>
      <c r="U32" s="38">
        <v>1</v>
      </c>
      <c r="V32" s="38">
        <v>1</v>
      </c>
      <c r="W32" s="37">
        <f>2*0.07</f>
        <v>0.14000000000000001</v>
      </c>
      <c r="X32" s="37">
        <f t="shared" si="6"/>
        <v>0.14000000000000001</v>
      </c>
      <c r="Y32" s="112"/>
      <c r="Z32" s="102"/>
      <c r="AA32" s="100"/>
      <c r="AB32" s="101"/>
      <c r="AC32" s="100"/>
      <c r="AD32" s="102"/>
      <c r="AE32" s="102"/>
      <c r="AF32" s="100"/>
    </row>
    <row r="33" spans="1:32" s="39" customFormat="1" ht="12" customHeight="1" x14ac:dyDescent="0.2">
      <c r="A33" s="104"/>
      <c r="B33" s="104"/>
      <c r="C33" s="104"/>
      <c r="D33" s="109"/>
      <c r="E33" s="32"/>
      <c r="F33" s="32"/>
      <c r="G33" s="32"/>
      <c r="H33" s="60"/>
      <c r="I33" s="32"/>
      <c r="J33" s="32"/>
      <c r="K33" s="32"/>
      <c r="L33" s="51">
        <f t="shared" si="7"/>
        <v>0</v>
      </c>
      <c r="M33" s="41"/>
      <c r="N33" s="34"/>
      <c r="O33" s="35"/>
      <c r="P33" s="35"/>
      <c r="Q33" s="35"/>
      <c r="R33" s="36"/>
      <c r="S33" s="37"/>
      <c r="T33" s="38"/>
      <c r="U33" s="38"/>
      <c r="V33" s="38"/>
      <c r="W33" s="37"/>
      <c r="X33" s="37"/>
      <c r="Y33" s="113"/>
      <c r="Z33" s="102"/>
      <c r="AA33" s="100"/>
      <c r="AB33" s="101"/>
      <c r="AC33" s="100"/>
      <c r="AD33" s="102"/>
      <c r="AE33" s="102"/>
      <c r="AF33" s="100"/>
    </row>
    <row r="34" spans="1:32" s="15" customFormat="1" ht="14.1" customHeight="1" x14ac:dyDescent="0.2">
      <c r="A34" s="105"/>
      <c r="B34" s="105"/>
      <c r="C34" s="105"/>
      <c r="D34" s="110"/>
      <c r="E34" s="42"/>
      <c r="F34" s="42"/>
      <c r="G34" s="10"/>
      <c r="H34" s="61"/>
      <c r="I34" s="42"/>
      <c r="J34" s="42"/>
      <c r="K34" s="42"/>
      <c r="L34" s="42"/>
      <c r="M34" s="43"/>
      <c r="N34" s="44"/>
      <c r="O34" s="45"/>
      <c r="P34" s="45"/>
      <c r="Q34" s="45"/>
      <c r="R34" s="46">
        <f>SUM(R27:R33)</f>
        <v>2.6664767039999999</v>
      </c>
      <c r="S34" s="47"/>
      <c r="T34" s="48"/>
      <c r="U34" s="48"/>
      <c r="V34" s="48"/>
      <c r="W34" s="47"/>
      <c r="X34" s="47">
        <f>SUM(X27:X33)</f>
        <v>0.84</v>
      </c>
      <c r="Y34" s="47"/>
      <c r="Z34" s="49"/>
      <c r="AA34" s="49"/>
      <c r="AB34" s="49"/>
      <c r="AC34" s="49"/>
      <c r="AD34" s="49"/>
      <c r="AE34" s="49"/>
      <c r="AF34" s="49"/>
    </row>
    <row r="35" spans="1:32" s="39" customFormat="1" ht="12" customHeight="1" x14ac:dyDescent="0.2">
      <c r="A35" s="103">
        <v>5</v>
      </c>
      <c r="B35" s="106">
        <v>44518</v>
      </c>
      <c r="C35" s="103" t="s">
        <v>114</v>
      </c>
      <c r="D35" s="108" t="s">
        <v>118</v>
      </c>
      <c r="E35" s="32" t="s">
        <v>118</v>
      </c>
      <c r="F35" s="32" t="s">
        <v>90</v>
      </c>
      <c r="G35" s="32">
        <v>1</v>
      </c>
      <c r="H35" s="60" t="s">
        <v>70</v>
      </c>
      <c r="I35" s="33">
        <v>149</v>
      </c>
      <c r="J35" s="33">
        <v>88</v>
      </c>
      <c r="K35" s="32">
        <v>3</v>
      </c>
      <c r="L35" s="32"/>
      <c r="M35" s="34">
        <v>6.3</v>
      </c>
      <c r="N35" s="34">
        <v>3.2</v>
      </c>
      <c r="O35" s="35">
        <f>I35*J35*K35*7.85/1000000</f>
        <v>0.3087876</v>
      </c>
      <c r="P35" s="35">
        <v>0.17499999999999999</v>
      </c>
      <c r="Q35" s="35">
        <f>O35-P35</f>
        <v>0.13378760000000001</v>
      </c>
      <c r="R35" s="36">
        <f>(M35*O35-N35*Q35)*G35</f>
        <v>1.5172415599999998</v>
      </c>
      <c r="S35" s="37" t="s">
        <v>71</v>
      </c>
      <c r="T35" s="38">
        <v>200</v>
      </c>
      <c r="U35" s="38">
        <v>1</v>
      </c>
      <c r="V35" s="38">
        <v>1</v>
      </c>
      <c r="W35" s="37">
        <v>0.15</v>
      </c>
      <c r="X35" s="37">
        <f>U35*W35/V35</f>
        <v>0.15</v>
      </c>
      <c r="Y35" s="111">
        <f>(R42+X42)*1.2</f>
        <v>2.4086898719999996</v>
      </c>
      <c r="Z35" s="102">
        <f>Y35/1.13</f>
        <v>2.1315839575221238</v>
      </c>
      <c r="AA35" s="100">
        <v>0</v>
      </c>
      <c r="AB35" s="101">
        <v>0</v>
      </c>
      <c r="AC35" s="100">
        <v>0</v>
      </c>
      <c r="AD35" s="102">
        <f>Z35+AC35</f>
        <v>2.1315839575221238</v>
      </c>
      <c r="AE35" s="102"/>
      <c r="AF35" s="100">
        <v>0</v>
      </c>
    </row>
    <row r="36" spans="1:32" s="39" customFormat="1" ht="12" customHeight="1" x14ac:dyDescent="0.2">
      <c r="A36" s="104"/>
      <c r="B36" s="107"/>
      <c r="C36" s="104"/>
      <c r="D36" s="109"/>
      <c r="E36" s="32"/>
      <c r="F36" s="32"/>
      <c r="G36" s="32"/>
      <c r="H36" s="60"/>
      <c r="I36" s="33"/>
      <c r="J36" s="33"/>
      <c r="K36" s="32"/>
      <c r="L36" s="32"/>
      <c r="M36" s="34"/>
      <c r="N36" s="34"/>
      <c r="O36" s="35"/>
      <c r="P36" s="35"/>
      <c r="Q36" s="35"/>
      <c r="R36" s="36"/>
      <c r="S36" s="37" t="s">
        <v>73</v>
      </c>
      <c r="T36" s="38">
        <v>200</v>
      </c>
      <c r="U36" s="38">
        <v>1</v>
      </c>
      <c r="V36" s="38">
        <v>1</v>
      </c>
      <c r="W36" s="37">
        <v>0.15</v>
      </c>
      <c r="X36" s="37">
        <f t="shared" ref="X36:X38" si="8">U36*W36/V36</f>
        <v>0.15</v>
      </c>
      <c r="Y36" s="112"/>
      <c r="Z36" s="102"/>
      <c r="AA36" s="100"/>
      <c r="AB36" s="101"/>
      <c r="AC36" s="100"/>
      <c r="AD36" s="102"/>
      <c r="AE36" s="102"/>
      <c r="AF36" s="100"/>
    </row>
    <row r="37" spans="1:32" s="39" customFormat="1" ht="12" customHeight="1" x14ac:dyDescent="0.2">
      <c r="A37" s="104"/>
      <c r="B37" s="107"/>
      <c r="C37" s="104"/>
      <c r="D37" s="109"/>
      <c r="E37" s="32"/>
      <c r="F37" s="32"/>
      <c r="G37" s="32"/>
      <c r="H37" s="60"/>
      <c r="I37" s="33">
        <v>149</v>
      </c>
      <c r="J37" s="33">
        <v>88</v>
      </c>
      <c r="K37" s="32">
        <v>3</v>
      </c>
      <c r="L37" s="51">
        <f>(I37+J37)*2*K37*440/9800</f>
        <v>63.844897959183676</v>
      </c>
      <c r="M37" s="34"/>
      <c r="N37" s="34"/>
      <c r="O37" s="35"/>
      <c r="P37" s="35"/>
      <c r="Q37" s="35"/>
      <c r="R37" s="36"/>
      <c r="S37" s="37" t="s">
        <v>119</v>
      </c>
      <c r="T37" s="38">
        <v>160</v>
      </c>
      <c r="U37" s="38">
        <v>1</v>
      </c>
      <c r="V37" s="38">
        <v>1</v>
      </c>
      <c r="W37" s="37">
        <v>0.1</v>
      </c>
      <c r="X37" s="37">
        <f t="shared" si="8"/>
        <v>0.1</v>
      </c>
      <c r="Y37" s="112"/>
      <c r="Z37" s="102"/>
      <c r="AA37" s="100"/>
      <c r="AB37" s="101"/>
      <c r="AC37" s="100"/>
      <c r="AD37" s="102"/>
      <c r="AE37" s="102"/>
      <c r="AF37" s="100"/>
    </row>
    <row r="38" spans="1:32" s="39" customFormat="1" ht="12" customHeight="1" x14ac:dyDescent="0.2">
      <c r="A38" s="104"/>
      <c r="B38" s="107"/>
      <c r="C38" s="104"/>
      <c r="D38" s="109"/>
      <c r="E38" s="32"/>
      <c r="F38" s="32"/>
      <c r="G38" s="32"/>
      <c r="H38" s="60"/>
      <c r="I38" s="33"/>
      <c r="J38" s="33"/>
      <c r="K38" s="32"/>
      <c r="L38" s="51">
        <f t="shared" ref="L38:L41" si="9">(I38+J38)*2*K38*440/9800</f>
        <v>0</v>
      </c>
      <c r="M38" s="34"/>
      <c r="N38" s="34"/>
      <c r="O38" s="35"/>
      <c r="P38" s="35"/>
      <c r="Q38" s="35"/>
      <c r="R38" s="36"/>
      <c r="S38" s="37" t="s">
        <v>72</v>
      </c>
      <c r="T38" s="38">
        <v>110</v>
      </c>
      <c r="U38" s="38">
        <v>1</v>
      </c>
      <c r="V38" s="38">
        <v>1</v>
      </c>
      <c r="W38" s="37">
        <v>0.09</v>
      </c>
      <c r="X38" s="37">
        <f t="shared" si="8"/>
        <v>0.09</v>
      </c>
      <c r="Y38" s="112"/>
      <c r="Z38" s="102"/>
      <c r="AA38" s="100"/>
      <c r="AB38" s="101"/>
      <c r="AC38" s="100"/>
      <c r="AD38" s="102"/>
      <c r="AE38" s="102"/>
      <c r="AF38" s="100"/>
    </row>
    <row r="39" spans="1:32" s="39" customFormat="1" ht="12" customHeight="1" x14ac:dyDescent="0.2">
      <c r="A39" s="104"/>
      <c r="B39" s="104"/>
      <c r="C39" s="104"/>
      <c r="D39" s="109"/>
      <c r="E39" s="32"/>
      <c r="F39" s="32"/>
      <c r="G39" s="32"/>
      <c r="H39" s="60"/>
      <c r="I39" s="33"/>
      <c r="J39" s="33"/>
      <c r="K39" s="32"/>
      <c r="L39" s="52">
        <f t="shared" si="9"/>
        <v>0</v>
      </c>
      <c r="M39" s="34"/>
      <c r="N39" s="34"/>
      <c r="O39" s="35"/>
      <c r="P39" s="35"/>
      <c r="Q39" s="35"/>
      <c r="R39" s="36"/>
      <c r="S39" s="37"/>
      <c r="T39" s="38"/>
      <c r="U39" s="38"/>
      <c r="V39" s="38"/>
      <c r="W39" s="37"/>
      <c r="X39" s="37"/>
      <c r="Y39" s="112"/>
      <c r="Z39" s="102"/>
      <c r="AA39" s="100"/>
      <c r="AB39" s="101"/>
      <c r="AC39" s="100"/>
      <c r="AD39" s="102"/>
      <c r="AE39" s="102"/>
      <c r="AF39" s="100"/>
    </row>
    <row r="40" spans="1:32" s="39" customFormat="1" ht="12" customHeight="1" x14ac:dyDescent="0.2">
      <c r="A40" s="104"/>
      <c r="B40" s="104"/>
      <c r="C40" s="104"/>
      <c r="D40" s="109"/>
      <c r="E40" s="32"/>
      <c r="F40" s="32"/>
      <c r="G40" s="32"/>
      <c r="H40" s="60"/>
      <c r="I40" s="32"/>
      <c r="J40" s="32"/>
      <c r="K40" s="32"/>
      <c r="L40" s="51">
        <f t="shared" si="9"/>
        <v>0</v>
      </c>
      <c r="M40" s="36"/>
      <c r="N40" s="36"/>
      <c r="O40" s="40"/>
      <c r="P40" s="40"/>
      <c r="Q40" s="40"/>
      <c r="R40" s="36"/>
      <c r="S40" s="37"/>
      <c r="T40" s="38"/>
      <c r="U40" s="38"/>
      <c r="V40" s="38"/>
      <c r="W40" s="37"/>
      <c r="X40" s="37"/>
      <c r="Y40" s="112"/>
      <c r="Z40" s="102"/>
      <c r="AA40" s="100"/>
      <c r="AB40" s="101"/>
      <c r="AC40" s="100"/>
      <c r="AD40" s="102"/>
      <c r="AE40" s="102"/>
      <c r="AF40" s="100"/>
    </row>
    <row r="41" spans="1:32" s="39" customFormat="1" ht="12" customHeight="1" x14ac:dyDescent="0.2">
      <c r="A41" s="104"/>
      <c r="B41" s="104"/>
      <c r="C41" s="104"/>
      <c r="D41" s="109"/>
      <c r="E41" s="32"/>
      <c r="F41" s="32"/>
      <c r="G41" s="32"/>
      <c r="H41" s="60"/>
      <c r="I41" s="32"/>
      <c r="J41" s="32"/>
      <c r="K41" s="32"/>
      <c r="L41" s="51">
        <f t="shared" si="9"/>
        <v>0</v>
      </c>
      <c r="M41" s="41"/>
      <c r="N41" s="34"/>
      <c r="O41" s="35"/>
      <c r="P41" s="35"/>
      <c r="Q41" s="35"/>
      <c r="R41" s="36"/>
      <c r="S41" s="37"/>
      <c r="T41" s="38"/>
      <c r="U41" s="38"/>
      <c r="V41" s="38"/>
      <c r="W41" s="37"/>
      <c r="X41" s="37"/>
      <c r="Y41" s="113"/>
      <c r="Z41" s="102"/>
      <c r="AA41" s="100"/>
      <c r="AB41" s="101"/>
      <c r="AC41" s="100"/>
      <c r="AD41" s="102"/>
      <c r="AE41" s="102"/>
      <c r="AF41" s="100"/>
    </row>
    <row r="42" spans="1:32" s="15" customFormat="1" ht="14.1" customHeight="1" x14ac:dyDescent="0.2">
      <c r="A42" s="105"/>
      <c r="B42" s="105"/>
      <c r="C42" s="105"/>
      <c r="D42" s="110"/>
      <c r="E42" s="42"/>
      <c r="F42" s="42"/>
      <c r="G42" s="10"/>
      <c r="H42" s="61"/>
      <c r="I42" s="42"/>
      <c r="J42" s="42"/>
      <c r="K42" s="42"/>
      <c r="L42" s="42"/>
      <c r="M42" s="43"/>
      <c r="N42" s="44"/>
      <c r="O42" s="45"/>
      <c r="P42" s="45"/>
      <c r="Q42" s="45"/>
      <c r="R42" s="46">
        <f>SUM(R35:R41)</f>
        <v>1.5172415599999998</v>
      </c>
      <c r="S42" s="47"/>
      <c r="T42" s="48"/>
      <c r="U42" s="48"/>
      <c r="V42" s="48"/>
      <c r="W42" s="47"/>
      <c r="X42" s="47">
        <f>SUM(X35:X41)</f>
        <v>0.49</v>
      </c>
      <c r="Y42" s="47"/>
      <c r="Z42" s="49"/>
      <c r="AA42" s="49"/>
      <c r="AB42" s="49"/>
      <c r="AC42" s="49"/>
      <c r="AD42" s="49"/>
      <c r="AE42" s="49"/>
      <c r="AF42" s="49"/>
    </row>
    <row r="43" spans="1:32" s="39" customFormat="1" ht="12" customHeight="1" x14ac:dyDescent="0.2">
      <c r="A43" s="103">
        <v>6</v>
      </c>
      <c r="B43" s="106">
        <v>44518</v>
      </c>
      <c r="C43" s="103" t="s">
        <v>122</v>
      </c>
      <c r="D43" s="108" t="s">
        <v>124</v>
      </c>
      <c r="E43" s="32" t="s">
        <v>124</v>
      </c>
      <c r="F43" s="32" t="s">
        <v>90</v>
      </c>
      <c r="G43" s="32">
        <v>1</v>
      </c>
      <c r="H43" s="60" t="s">
        <v>70</v>
      </c>
      <c r="I43" s="33">
        <v>149</v>
      </c>
      <c r="J43" s="33">
        <v>88</v>
      </c>
      <c r="K43" s="32">
        <v>3</v>
      </c>
      <c r="L43" s="32"/>
      <c r="M43" s="34">
        <v>6.3</v>
      </c>
      <c r="N43" s="34">
        <v>3.2</v>
      </c>
      <c r="O43" s="35">
        <f>I43*J43*K43*7.85/1000000</f>
        <v>0.3087876</v>
      </c>
      <c r="P43" s="35">
        <v>0.17499999999999999</v>
      </c>
      <c r="Q43" s="35">
        <f>O43-P43</f>
        <v>0.13378760000000001</v>
      </c>
      <c r="R43" s="36">
        <f>(M43*O43-N43*Q43)*G43</f>
        <v>1.5172415599999998</v>
      </c>
      <c r="S43" s="37" t="s">
        <v>71</v>
      </c>
      <c r="T43" s="38">
        <v>200</v>
      </c>
      <c r="U43" s="38">
        <v>1</v>
      </c>
      <c r="V43" s="38">
        <v>1</v>
      </c>
      <c r="W43" s="37">
        <v>0.15</v>
      </c>
      <c r="X43" s="37">
        <f>U43*W43/V43</f>
        <v>0.15</v>
      </c>
      <c r="Y43" s="111">
        <f>(R50+X50)*1.2</f>
        <v>2.4086898719999996</v>
      </c>
      <c r="Z43" s="102">
        <f>Y43/1.13</f>
        <v>2.1315839575221238</v>
      </c>
      <c r="AA43" s="100">
        <v>0</v>
      </c>
      <c r="AB43" s="101">
        <v>0</v>
      </c>
      <c r="AC43" s="100">
        <v>0</v>
      </c>
      <c r="AD43" s="102">
        <f>Z43+AC43</f>
        <v>2.1315839575221238</v>
      </c>
      <c r="AE43" s="102"/>
      <c r="AF43" s="100">
        <v>0</v>
      </c>
    </row>
    <row r="44" spans="1:32" s="39" customFormat="1" ht="12" customHeight="1" x14ac:dyDescent="0.2">
      <c r="A44" s="104"/>
      <c r="B44" s="107"/>
      <c r="C44" s="104"/>
      <c r="D44" s="109"/>
      <c r="E44" s="32"/>
      <c r="F44" s="32"/>
      <c r="G44" s="32"/>
      <c r="H44" s="60"/>
      <c r="I44" s="33"/>
      <c r="J44" s="33"/>
      <c r="K44" s="32"/>
      <c r="L44" s="32"/>
      <c r="M44" s="34"/>
      <c r="N44" s="34"/>
      <c r="O44" s="35"/>
      <c r="P44" s="35"/>
      <c r="Q44" s="35"/>
      <c r="R44" s="36"/>
      <c r="S44" s="37" t="s">
        <v>73</v>
      </c>
      <c r="T44" s="38">
        <v>200</v>
      </c>
      <c r="U44" s="38">
        <v>1</v>
      </c>
      <c r="V44" s="38">
        <v>1</v>
      </c>
      <c r="W44" s="37">
        <v>0.15</v>
      </c>
      <c r="X44" s="37">
        <f t="shared" ref="X44:X46" si="10">U44*W44/V44</f>
        <v>0.15</v>
      </c>
      <c r="Y44" s="112"/>
      <c r="Z44" s="102"/>
      <c r="AA44" s="100"/>
      <c r="AB44" s="101"/>
      <c r="AC44" s="100"/>
      <c r="AD44" s="102"/>
      <c r="AE44" s="102"/>
      <c r="AF44" s="100"/>
    </row>
    <row r="45" spans="1:32" s="39" customFormat="1" ht="12" customHeight="1" x14ac:dyDescent="0.2">
      <c r="A45" s="104"/>
      <c r="B45" s="107"/>
      <c r="C45" s="104"/>
      <c r="D45" s="109"/>
      <c r="E45" s="32"/>
      <c r="F45" s="32"/>
      <c r="G45" s="32"/>
      <c r="H45" s="60"/>
      <c r="I45" s="33">
        <v>149</v>
      </c>
      <c r="J45" s="33">
        <v>88</v>
      </c>
      <c r="K45" s="32">
        <v>3</v>
      </c>
      <c r="L45" s="51">
        <f>(I45+J45)*2*K45*440/9800</f>
        <v>63.844897959183676</v>
      </c>
      <c r="M45" s="34"/>
      <c r="N45" s="34"/>
      <c r="O45" s="35"/>
      <c r="P45" s="35"/>
      <c r="Q45" s="35"/>
      <c r="R45" s="36"/>
      <c r="S45" s="37" t="s">
        <v>119</v>
      </c>
      <c r="T45" s="38">
        <v>160</v>
      </c>
      <c r="U45" s="38">
        <v>1</v>
      </c>
      <c r="V45" s="38">
        <v>1</v>
      </c>
      <c r="W45" s="37">
        <v>0.1</v>
      </c>
      <c r="X45" s="37">
        <f t="shared" si="10"/>
        <v>0.1</v>
      </c>
      <c r="Y45" s="112"/>
      <c r="Z45" s="102"/>
      <c r="AA45" s="100"/>
      <c r="AB45" s="101"/>
      <c r="AC45" s="100"/>
      <c r="AD45" s="102"/>
      <c r="AE45" s="102"/>
      <c r="AF45" s="100"/>
    </row>
    <row r="46" spans="1:32" s="39" customFormat="1" ht="12" customHeight="1" x14ac:dyDescent="0.2">
      <c r="A46" s="104"/>
      <c r="B46" s="107"/>
      <c r="C46" s="104"/>
      <c r="D46" s="109"/>
      <c r="E46" s="32"/>
      <c r="F46" s="32"/>
      <c r="G46" s="32"/>
      <c r="H46" s="60"/>
      <c r="I46" s="33"/>
      <c r="J46" s="33"/>
      <c r="K46" s="32"/>
      <c r="L46" s="51">
        <f t="shared" ref="L46:L49" si="11">(I46+J46)*2*K46*440/9800</f>
        <v>0</v>
      </c>
      <c r="M46" s="34"/>
      <c r="N46" s="34"/>
      <c r="O46" s="35"/>
      <c r="P46" s="35"/>
      <c r="Q46" s="35"/>
      <c r="R46" s="36"/>
      <c r="S46" s="37" t="s">
        <v>72</v>
      </c>
      <c r="T46" s="38">
        <v>110</v>
      </c>
      <c r="U46" s="38">
        <v>1</v>
      </c>
      <c r="V46" s="38">
        <v>1</v>
      </c>
      <c r="W46" s="37">
        <v>0.09</v>
      </c>
      <c r="X46" s="37">
        <f t="shared" si="10"/>
        <v>0.09</v>
      </c>
      <c r="Y46" s="112"/>
      <c r="Z46" s="102"/>
      <c r="AA46" s="100"/>
      <c r="AB46" s="101"/>
      <c r="AC46" s="100"/>
      <c r="AD46" s="102"/>
      <c r="AE46" s="102"/>
      <c r="AF46" s="100"/>
    </row>
    <row r="47" spans="1:32" s="39" customFormat="1" ht="12" customHeight="1" x14ac:dyDescent="0.2">
      <c r="A47" s="104"/>
      <c r="B47" s="104"/>
      <c r="C47" s="104"/>
      <c r="D47" s="109"/>
      <c r="E47" s="32"/>
      <c r="F47" s="32"/>
      <c r="G47" s="32"/>
      <c r="H47" s="60"/>
      <c r="I47" s="33"/>
      <c r="J47" s="33"/>
      <c r="K47" s="32"/>
      <c r="L47" s="52">
        <f t="shared" si="11"/>
        <v>0</v>
      </c>
      <c r="M47" s="34"/>
      <c r="N47" s="34"/>
      <c r="O47" s="35"/>
      <c r="P47" s="35"/>
      <c r="Q47" s="35"/>
      <c r="R47" s="36"/>
      <c r="S47" s="37"/>
      <c r="T47" s="38"/>
      <c r="U47" s="38"/>
      <c r="V47" s="38"/>
      <c r="W47" s="37"/>
      <c r="X47" s="37"/>
      <c r="Y47" s="112"/>
      <c r="Z47" s="102"/>
      <c r="AA47" s="100"/>
      <c r="AB47" s="101"/>
      <c r="AC47" s="100"/>
      <c r="AD47" s="102"/>
      <c r="AE47" s="102"/>
      <c r="AF47" s="100"/>
    </row>
    <row r="48" spans="1:32" s="39" customFormat="1" ht="12" customHeight="1" x14ac:dyDescent="0.2">
      <c r="A48" s="104"/>
      <c r="B48" s="104"/>
      <c r="C48" s="104"/>
      <c r="D48" s="109"/>
      <c r="E48" s="32"/>
      <c r="F48" s="32"/>
      <c r="G48" s="32"/>
      <c r="H48" s="60"/>
      <c r="I48" s="32"/>
      <c r="J48" s="32"/>
      <c r="K48" s="32"/>
      <c r="L48" s="51">
        <f t="shared" si="11"/>
        <v>0</v>
      </c>
      <c r="M48" s="36"/>
      <c r="N48" s="36"/>
      <c r="O48" s="40"/>
      <c r="P48" s="40"/>
      <c r="Q48" s="40"/>
      <c r="R48" s="36"/>
      <c r="S48" s="37"/>
      <c r="T48" s="38"/>
      <c r="U48" s="38"/>
      <c r="V48" s="38"/>
      <c r="W48" s="37"/>
      <c r="X48" s="37"/>
      <c r="Y48" s="112"/>
      <c r="Z48" s="102"/>
      <c r="AA48" s="100"/>
      <c r="AB48" s="101"/>
      <c r="AC48" s="100"/>
      <c r="AD48" s="102"/>
      <c r="AE48" s="102"/>
      <c r="AF48" s="100"/>
    </row>
    <row r="49" spans="1:32" s="39" customFormat="1" ht="12" customHeight="1" x14ac:dyDescent="0.2">
      <c r="A49" s="104"/>
      <c r="B49" s="104"/>
      <c r="C49" s="104"/>
      <c r="D49" s="109"/>
      <c r="E49" s="32"/>
      <c r="F49" s="32"/>
      <c r="G49" s="32"/>
      <c r="H49" s="60"/>
      <c r="I49" s="32"/>
      <c r="J49" s="32"/>
      <c r="K49" s="32"/>
      <c r="L49" s="51">
        <f t="shared" si="11"/>
        <v>0</v>
      </c>
      <c r="M49" s="41"/>
      <c r="N49" s="34"/>
      <c r="O49" s="35"/>
      <c r="P49" s="35"/>
      <c r="Q49" s="35"/>
      <c r="R49" s="36"/>
      <c r="S49" s="37"/>
      <c r="T49" s="38"/>
      <c r="U49" s="38"/>
      <c r="V49" s="38"/>
      <c r="W49" s="37"/>
      <c r="X49" s="37"/>
      <c r="Y49" s="113"/>
      <c r="Z49" s="102"/>
      <c r="AA49" s="100"/>
      <c r="AB49" s="101"/>
      <c r="AC49" s="100"/>
      <c r="AD49" s="102"/>
      <c r="AE49" s="102"/>
      <c r="AF49" s="100"/>
    </row>
    <row r="50" spans="1:32" s="15" customFormat="1" ht="14.1" customHeight="1" x14ac:dyDescent="0.2">
      <c r="A50" s="105"/>
      <c r="B50" s="105"/>
      <c r="C50" s="105"/>
      <c r="D50" s="110"/>
      <c r="E50" s="42"/>
      <c r="F50" s="42"/>
      <c r="G50" s="10"/>
      <c r="H50" s="61"/>
      <c r="I50" s="42"/>
      <c r="J50" s="42"/>
      <c r="K50" s="42"/>
      <c r="L50" s="42"/>
      <c r="M50" s="43"/>
      <c r="N50" s="44"/>
      <c r="O50" s="45"/>
      <c r="P50" s="45"/>
      <c r="Q50" s="45"/>
      <c r="R50" s="46">
        <f>SUM(R43:R49)</f>
        <v>1.5172415599999998</v>
      </c>
      <c r="S50" s="47"/>
      <c r="T50" s="48"/>
      <c r="U50" s="48"/>
      <c r="V50" s="48"/>
      <c r="W50" s="47"/>
      <c r="X50" s="47">
        <f>SUM(X43:X49)</f>
        <v>0.49</v>
      </c>
      <c r="Y50" s="47"/>
      <c r="Z50" s="49"/>
      <c r="AA50" s="49"/>
      <c r="AB50" s="49"/>
      <c r="AC50" s="49"/>
      <c r="AD50" s="49"/>
      <c r="AE50" s="49"/>
      <c r="AF50" s="49"/>
    </row>
  </sheetData>
  <mergeCells count="92">
    <mergeCell ref="AA1:AA2"/>
    <mergeCell ref="H1:H2"/>
    <mergeCell ref="L1:L2"/>
    <mergeCell ref="B1:B2"/>
    <mergeCell ref="C1:C2"/>
    <mergeCell ref="D1:D2"/>
    <mergeCell ref="E1:E2"/>
    <mergeCell ref="F1:F2"/>
    <mergeCell ref="G1:G2"/>
    <mergeCell ref="Z3:Z9"/>
    <mergeCell ref="M1:N1"/>
    <mergeCell ref="O1:Q1"/>
    <mergeCell ref="R1:R2"/>
    <mergeCell ref="S1:X1"/>
    <mergeCell ref="Z1:Z2"/>
    <mergeCell ref="AE3:AE9"/>
    <mergeCell ref="AF3:AF9"/>
    <mergeCell ref="AB1:AB2"/>
    <mergeCell ref="AC1:AC2"/>
    <mergeCell ref="AD1:AD2"/>
    <mergeCell ref="AE1:AE2"/>
    <mergeCell ref="AD11:AD17"/>
    <mergeCell ref="A1:A2"/>
    <mergeCell ref="I1:K1"/>
    <mergeCell ref="A11:A18"/>
    <mergeCell ref="B11:B18"/>
    <mergeCell ref="C11:C18"/>
    <mergeCell ref="D11:D18"/>
    <mergeCell ref="AA3:AA9"/>
    <mergeCell ref="AB3:AB9"/>
    <mergeCell ref="AC3:AC9"/>
    <mergeCell ref="AD3:AD9"/>
    <mergeCell ref="A3:A10"/>
    <mergeCell ref="B3:B10"/>
    <mergeCell ref="C3:C10"/>
    <mergeCell ref="D3:D10"/>
    <mergeCell ref="Y3:Y9"/>
    <mergeCell ref="Z27:Z33"/>
    <mergeCell ref="AE11:AE17"/>
    <mergeCell ref="AF11:AF17"/>
    <mergeCell ref="A19:A26"/>
    <mergeCell ref="B19:B26"/>
    <mergeCell ref="C19:C26"/>
    <mergeCell ref="D19:D26"/>
    <mergeCell ref="Y19:Y25"/>
    <mergeCell ref="Z19:Z25"/>
    <mergeCell ref="AA19:AA25"/>
    <mergeCell ref="AB19:AB25"/>
    <mergeCell ref="Y11:Y17"/>
    <mergeCell ref="Z11:Z17"/>
    <mergeCell ref="AA11:AA17"/>
    <mergeCell ref="AB11:AB17"/>
    <mergeCell ref="AC11:AC17"/>
    <mergeCell ref="A27:A34"/>
    <mergeCell ref="B27:B34"/>
    <mergeCell ref="C27:C34"/>
    <mergeCell ref="D27:D34"/>
    <mergeCell ref="Y27:Y33"/>
    <mergeCell ref="AF27:AF33"/>
    <mergeCell ref="AC19:AC25"/>
    <mergeCell ref="AD19:AD25"/>
    <mergeCell ref="AE19:AE25"/>
    <mergeCell ref="AF19:AF25"/>
    <mergeCell ref="AA27:AA33"/>
    <mergeCell ref="AB27:AB33"/>
    <mergeCell ref="AC27:AC33"/>
    <mergeCell ref="AD27:AD33"/>
    <mergeCell ref="AE27:AE33"/>
    <mergeCell ref="AF35:AF41"/>
    <mergeCell ref="A35:A42"/>
    <mergeCell ref="B35:B42"/>
    <mergeCell ref="C35:C42"/>
    <mergeCell ref="D35:D42"/>
    <mergeCell ref="Y35:Y41"/>
    <mergeCell ref="Z35:Z41"/>
    <mergeCell ref="AA35:AA41"/>
    <mergeCell ref="AB35:AB41"/>
    <mergeCell ref="AC35:AC41"/>
    <mergeCell ref="AD35:AD41"/>
    <mergeCell ref="AE35:AE41"/>
    <mergeCell ref="AF43:AF49"/>
    <mergeCell ref="A43:A50"/>
    <mergeCell ref="B43:B50"/>
    <mergeCell ref="C43:C50"/>
    <mergeCell ref="D43:D50"/>
    <mergeCell ref="Y43:Y49"/>
    <mergeCell ref="Z43:Z49"/>
    <mergeCell ref="AA43:AA49"/>
    <mergeCell ref="AB43:AB49"/>
    <mergeCell ref="AC43:AC49"/>
    <mergeCell ref="AD43:AD49"/>
    <mergeCell ref="AE43:AE49"/>
  </mergeCells>
  <phoneticPr fontId="1" type="noConversion"/>
  <conditionalFormatting sqref="C1:C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河北提报</vt:lpstr>
      <vt:lpstr>核价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2021-11-18T07:42:30Z</dcterms:modified>
</cp:coreProperties>
</file>