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长生\2021.12\"/>
    </mc:Choice>
  </mc:AlternateContent>
  <bookViews>
    <workbookView xWindow="-105" yWindow="-105" windowWidth="23250" windowHeight="12570"/>
  </bookViews>
  <sheets>
    <sheet name="初步复核" sheetId="2" r:id="rId1"/>
    <sheet name="北京网站价格统计" sheetId="3" r:id="rId2"/>
    <sheet name="黄骅钢管采购价格趋势图" sheetId="4" r:id="rId3"/>
  </sheets>
  <externalReferences>
    <externalReference r:id="rId4"/>
    <externalReference r:id="rId5"/>
  </externalReferences>
  <definedNames>
    <definedName name="_xlnm._FilterDatabase" localSheetId="0" hidden="1">初步复核!$A$2:$P$88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E39" i="4"/>
  <c r="G39" i="4"/>
  <c r="H39" i="4"/>
  <c r="I39" i="4"/>
  <c r="P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D37" i="4"/>
  <c r="E37" i="4"/>
  <c r="I37" i="4"/>
  <c r="P37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D8" i="4"/>
  <c r="E8" i="4"/>
  <c r="F8" i="4"/>
  <c r="G8" i="4"/>
  <c r="H8" i="4"/>
  <c r="I8" i="4"/>
  <c r="P8" i="4"/>
  <c r="D7" i="4"/>
  <c r="E7" i="4"/>
  <c r="F7" i="4"/>
  <c r="G7" i="4"/>
  <c r="H7" i="4"/>
  <c r="I7" i="4"/>
  <c r="J7" i="4"/>
  <c r="K7" i="4"/>
  <c r="L7" i="4"/>
  <c r="M7" i="4"/>
  <c r="N7" i="4"/>
  <c r="O7" i="4"/>
  <c r="P7" i="4"/>
  <c r="Q8" i="4"/>
  <c r="D6" i="4"/>
  <c r="E6" i="4"/>
  <c r="F6" i="4"/>
  <c r="G6" i="4"/>
  <c r="H6" i="4"/>
  <c r="I6" i="4"/>
  <c r="P6" i="4"/>
  <c r="D5" i="4"/>
  <c r="E5" i="4"/>
  <c r="F5" i="4"/>
  <c r="G5" i="4"/>
  <c r="H5" i="4"/>
  <c r="I5" i="4"/>
  <c r="J5" i="4"/>
  <c r="K5" i="4"/>
  <c r="L5" i="4"/>
  <c r="M5" i="4"/>
  <c r="N5" i="4"/>
  <c r="O5" i="4"/>
  <c r="P5" i="4"/>
  <c r="Q6" i="4"/>
  <c r="D4" i="4"/>
  <c r="E4" i="4"/>
  <c r="F4" i="4"/>
  <c r="G4" i="4"/>
  <c r="H4" i="4"/>
  <c r="I4" i="4"/>
  <c r="P4" i="4"/>
  <c r="D3" i="4"/>
  <c r="E3" i="4"/>
  <c r="F3" i="4"/>
  <c r="G3" i="4"/>
  <c r="H3" i="4"/>
  <c r="I3" i="4"/>
  <c r="J3" i="4"/>
  <c r="K3" i="4"/>
  <c r="L3" i="4"/>
  <c r="M3" i="4"/>
  <c r="N3" i="4"/>
  <c r="O3" i="4"/>
  <c r="P3" i="4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3" i="2"/>
  <c r="L74" i="2"/>
  <c r="M74" i="2"/>
  <c r="E17" i="3"/>
  <c r="F17" i="3"/>
  <c r="G17" i="3"/>
  <c r="H17" i="3"/>
  <c r="I17" i="3"/>
  <c r="J17" i="3"/>
  <c r="K17" i="3"/>
  <c r="Q17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7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6" i="3"/>
  <c r="E13" i="3"/>
  <c r="F13" i="3"/>
  <c r="G13" i="3"/>
  <c r="H13" i="3"/>
  <c r="I13" i="3"/>
  <c r="J13" i="3"/>
  <c r="K13" i="3"/>
  <c r="Q13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3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2" i="3"/>
  <c r="E9" i="3"/>
  <c r="F9" i="3"/>
  <c r="G9" i="3"/>
  <c r="H9" i="3"/>
  <c r="I9" i="3"/>
  <c r="J9" i="3"/>
  <c r="K9" i="3"/>
  <c r="Q9" i="3"/>
  <c r="E8" i="3"/>
  <c r="F8" i="3"/>
  <c r="G8" i="3"/>
  <c r="H8" i="3"/>
  <c r="I8" i="3"/>
  <c r="J8" i="3"/>
  <c r="K8" i="3"/>
  <c r="L8" i="3"/>
  <c r="M8" i="3"/>
  <c r="N8" i="3"/>
  <c r="O8" i="3"/>
  <c r="P8" i="3"/>
  <c r="Q8" i="3"/>
  <c r="Q10" i="3"/>
  <c r="R9" i="3"/>
  <c r="E7" i="3"/>
  <c r="F7" i="3"/>
  <c r="G7" i="3"/>
  <c r="H7" i="3"/>
  <c r="I7" i="3"/>
  <c r="J7" i="3"/>
  <c r="K7" i="3"/>
  <c r="L7" i="3"/>
  <c r="M7" i="3"/>
  <c r="N7" i="3"/>
  <c r="O7" i="3"/>
  <c r="P7" i="3"/>
  <c r="Q7" i="3"/>
  <c r="R8" i="3"/>
  <c r="E4" i="3"/>
  <c r="F4" i="3"/>
  <c r="G4" i="3"/>
  <c r="H4" i="3"/>
  <c r="I4" i="3"/>
  <c r="J4" i="3"/>
  <c r="K4" i="3"/>
  <c r="Q4" i="3"/>
  <c r="E3" i="3"/>
  <c r="F3" i="3"/>
  <c r="G3" i="3"/>
  <c r="H3" i="3"/>
  <c r="I3" i="3"/>
  <c r="J3" i="3"/>
  <c r="K3" i="3"/>
  <c r="L3" i="3"/>
  <c r="M3" i="3"/>
  <c r="N3" i="3"/>
  <c r="O3" i="3"/>
  <c r="P3" i="3"/>
  <c r="Q3" i="3"/>
  <c r="R4" i="3"/>
  <c r="E2" i="3"/>
  <c r="F2" i="3"/>
  <c r="G2" i="3"/>
  <c r="H2" i="3"/>
  <c r="I2" i="3"/>
  <c r="J2" i="3"/>
  <c r="K2" i="3"/>
  <c r="L2" i="3"/>
  <c r="M2" i="3"/>
  <c r="N2" i="3"/>
  <c r="O2" i="3"/>
  <c r="P2" i="3"/>
  <c r="Q2" i="3"/>
  <c r="R3" i="3"/>
  <c r="P4" i="2"/>
  <c r="P5" i="2"/>
  <c r="I6" i="2"/>
  <c r="K6" i="2"/>
  <c r="L6" i="2"/>
  <c r="M6" i="2"/>
  <c r="P6" i="2"/>
  <c r="I7" i="2"/>
  <c r="K7" i="2"/>
  <c r="L7" i="2"/>
  <c r="M7" i="2"/>
  <c r="P7" i="2"/>
  <c r="I8" i="2"/>
  <c r="K8" i="2"/>
  <c r="L8" i="2"/>
  <c r="M8" i="2"/>
  <c r="P8" i="2"/>
  <c r="I9" i="2"/>
  <c r="K9" i="2"/>
  <c r="L9" i="2"/>
  <c r="M9" i="2"/>
  <c r="P9" i="2"/>
  <c r="I10" i="2"/>
  <c r="K10" i="2"/>
  <c r="L10" i="2"/>
  <c r="M10" i="2"/>
  <c r="P10" i="2"/>
  <c r="I11" i="2"/>
  <c r="K11" i="2"/>
  <c r="L11" i="2"/>
  <c r="M11" i="2"/>
  <c r="P11" i="2"/>
  <c r="I12" i="2"/>
  <c r="K12" i="2"/>
  <c r="L12" i="2"/>
  <c r="M12" i="2"/>
  <c r="P12" i="2"/>
  <c r="I13" i="2"/>
  <c r="K13" i="2"/>
  <c r="L13" i="2"/>
  <c r="M13" i="2"/>
  <c r="P13" i="2"/>
  <c r="I14" i="2"/>
  <c r="K14" i="2"/>
  <c r="L14" i="2"/>
  <c r="M14" i="2"/>
  <c r="P14" i="2"/>
  <c r="I15" i="2"/>
  <c r="K15" i="2"/>
  <c r="L15" i="2"/>
  <c r="M15" i="2"/>
  <c r="P15" i="2"/>
  <c r="I16" i="2"/>
  <c r="K16" i="2"/>
  <c r="L16" i="2"/>
  <c r="M16" i="2"/>
  <c r="P16" i="2"/>
  <c r="I17" i="2"/>
  <c r="K17" i="2"/>
  <c r="L17" i="2"/>
  <c r="M17" i="2"/>
  <c r="P17" i="2"/>
  <c r="I18" i="2"/>
  <c r="K18" i="2"/>
  <c r="L18" i="2"/>
  <c r="M18" i="2"/>
  <c r="P18" i="2"/>
  <c r="I19" i="2"/>
  <c r="K19" i="2"/>
  <c r="L19" i="2"/>
  <c r="M19" i="2"/>
  <c r="P19" i="2"/>
  <c r="I20" i="2"/>
  <c r="K20" i="2"/>
  <c r="L20" i="2"/>
  <c r="M20" i="2"/>
  <c r="P20" i="2"/>
  <c r="I21" i="2"/>
  <c r="K21" i="2"/>
  <c r="L21" i="2"/>
  <c r="M21" i="2"/>
  <c r="P21" i="2"/>
  <c r="I22" i="2"/>
  <c r="K22" i="2"/>
  <c r="L22" i="2"/>
  <c r="M22" i="2"/>
  <c r="P22" i="2"/>
  <c r="I23" i="2"/>
  <c r="K23" i="2"/>
  <c r="L23" i="2"/>
  <c r="M23" i="2"/>
  <c r="P23" i="2"/>
  <c r="I24" i="2"/>
  <c r="K24" i="2"/>
  <c r="L24" i="2"/>
  <c r="M24" i="2"/>
  <c r="P24" i="2"/>
  <c r="I25" i="2"/>
  <c r="K25" i="2"/>
  <c r="L25" i="2"/>
  <c r="M25" i="2"/>
  <c r="P25" i="2"/>
  <c r="I26" i="2"/>
  <c r="K26" i="2"/>
  <c r="L26" i="2"/>
  <c r="M26" i="2"/>
  <c r="P26" i="2"/>
  <c r="I27" i="2"/>
  <c r="K27" i="2"/>
  <c r="L27" i="2"/>
  <c r="M27" i="2"/>
  <c r="P27" i="2"/>
  <c r="I28" i="2"/>
  <c r="K28" i="2"/>
  <c r="L28" i="2"/>
  <c r="M28" i="2"/>
  <c r="P28" i="2"/>
  <c r="I29" i="2"/>
  <c r="K29" i="2"/>
  <c r="L29" i="2"/>
  <c r="M29" i="2"/>
  <c r="P29" i="2"/>
  <c r="I30" i="2"/>
  <c r="K30" i="2"/>
  <c r="L30" i="2"/>
  <c r="M30" i="2"/>
  <c r="P30" i="2"/>
  <c r="I31" i="2"/>
  <c r="K31" i="2"/>
  <c r="L31" i="2"/>
  <c r="M31" i="2"/>
  <c r="P31" i="2"/>
  <c r="I32" i="2"/>
  <c r="K32" i="2"/>
  <c r="L32" i="2"/>
  <c r="M32" i="2"/>
  <c r="P32" i="2"/>
  <c r="I33" i="2"/>
  <c r="K33" i="2"/>
  <c r="L33" i="2"/>
  <c r="M33" i="2"/>
  <c r="P33" i="2"/>
  <c r="I34" i="2"/>
  <c r="K34" i="2"/>
  <c r="L34" i="2"/>
  <c r="M34" i="2"/>
  <c r="P34" i="2"/>
  <c r="I35" i="2"/>
  <c r="K35" i="2"/>
  <c r="L35" i="2"/>
  <c r="M35" i="2"/>
  <c r="P35" i="2"/>
  <c r="I36" i="2"/>
  <c r="K36" i="2"/>
  <c r="L36" i="2"/>
  <c r="M36" i="2"/>
  <c r="P36" i="2"/>
  <c r="I37" i="2"/>
  <c r="K37" i="2"/>
  <c r="L37" i="2"/>
  <c r="M37" i="2"/>
  <c r="P37" i="2"/>
  <c r="I38" i="2"/>
  <c r="K38" i="2"/>
  <c r="L38" i="2"/>
  <c r="M38" i="2"/>
  <c r="P38" i="2"/>
  <c r="I39" i="2"/>
  <c r="K39" i="2"/>
  <c r="L39" i="2"/>
  <c r="M39" i="2"/>
  <c r="P39" i="2"/>
  <c r="I40" i="2"/>
  <c r="K40" i="2"/>
  <c r="L40" i="2"/>
  <c r="M40" i="2"/>
  <c r="P40" i="2"/>
  <c r="I41" i="2"/>
  <c r="K41" i="2"/>
  <c r="L41" i="2"/>
  <c r="M41" i="2"/>
  <c r="P41" i="2"/>
  <c r="I42" i="2"/>
  <c r="K42" i="2"/>
  <c r="L42" i="2"/>
  <c r="M42" i="2"/>
  <c r="P42" i="2"/>
  <c r="I43" i="2"/>
  <c r="K43" i="2"/>
  <c r="L43" i="2"/>
  <c r="M43" i="2"/>
  <c r="P43" i="2"/>
  <c r="I44" i="2"/>
  <c r="K44" i="2"/>
  <c r="L44" i="2"/>
  <c r="M44" i="2"/>
  <c r="P44" i="2"/>
  <c r="I45" i="2"/>
  <c r="K45" i="2"/>
  <c r="L45" i="2"/>
  <c r="M45" i="2"/>
  <c r="P45" i="2"/>
  <c r="I46" i="2"/>
  <c r="K46" i="2"/>
  <c r="L46" i="2"/>
  <c r="M46" i="2"/>
  <c r="P46" i="2"/>
  <c r="I47" i="2"/>
  <c r="K47" i="2"/>
  <c r="L47" i="2"/>
  <c r="M47" i="2"/>
  <c r="P47" i="2"/>
  <c r="I48" i="2"/>
  <c r="K48" i="2"/>
  <c r="L48" i="2"/>
  <c r="M48" i="2"/>
  <c r="P48" i="2"/>
  <c r="I49" i="2"/>
  <c r="K49" i="2"/>
  <c r="L49" i="2"/>
  <c r="M49" i="2"/>
  <c r="P49" i="2"/>
  <c r="I50" i="2"/>
  <c r="K50" i="2"/>
  <c r="L50" i="2"/>
  <c r="M50" i="2"/>
  <c r="P50" i="2"/>
  <c r="I51" i="2"/>
  <c r="K51" i="2"/>
  <c r="L51" i="2"/>
  <c r="M51" i="2"/>
  <c r="P51" i="2"/>
  <c r="I52" i="2"/>
  <c r="K52" i="2"/>
  <c r="L52" i="2"/>
  <c r="M52" i="2"/>
  <c r="P52" i="2"/>
  <c r="I53" i="2"/>
  <c r="K53" i="2"/>
  <c r="L53" i="2"/>
  <c r="M53" i="2"/>
  <c r="P53" i="2"/>
  <c r="I54" i="2"/>
  <c r="K54" i="2"/>
  <c r="L54" i="2"/>
  <c r="M54" i="2"/>
  <c r="P54" i="2"/>
  <c r="I55" i="2"/>
  <c r="K55" i="2"/>
  <c r="L55" i="2"/>
  <c r="M55" i="2"/>
  <c r="P55" i="2"/>
  <c r="I56" i="2"/>
  <c r="K56" i="2"/>
  <c r="L56" i="2"/>
  <c r="M56" i="2"/>
  <c r="P56" i="2"/>
  <c r="I57" i="2"/>
  <c r="K57" i="2"/>
  <c r="L57" i="2"/>
  <c r="M57" i="2"/>
  <c r="P57" i="2"/>
  <c r="I58" i="2"/>
  <c r="K58" i="2"/>
  <c r="L58" i="2"/>
  <c r="M58" i="2"/>
  <c r="P58" i="2"/>
  <c r="I59" i="2"/>
  <c r="K59" i="2"/>
  <c r="L59" i="2"/>
  <c r="M59" i="2"/>
  <c r="P59" i="2"/>
  <c r="I60" i="2"/>
  <c r="K60" i="2"/>
  <c r="L60" i="2"/>
  <c r="M60" i="2"/>
  <c r="P60" i="2"/>
  <c r="I61" i="2"/>
  <c r="K61" i="2"/>
  <c r="L61" i="2"/>
  <c r="M61" i="2"/>
  <c r="P61" i="2"/>
  <c r="I62" i="2"/>
  <c r="K62" i="2"/>
  <c r="L62" i="2"/>
  <c r="M62" i="2"/>
  <c r="P62" i="2"/>
  <c r="I63" i="2"/>
  <c r="K63" i="2"/>
  <c r="L63" i="2"/>
  <c r="M63" i="2"/>
  <c r="P63" i="2"/>
  <c r="I64" i="2"/>
  <c r="K64" i="2"/>
  <c r="L64" i="2"/>
  <c r="M64" i="2"/>
  <c r="P64" i="2"/>
  <c r="I65" i="2"/>
  <c r="K65" i="2"/>
  <c r="L65" i="2"/>
  <c r="M65" i="2"/>
  <c r="P65" i="2"/>
  <c r="I66" i="2"/>
  <c r="K66" i="2"/>
  <c r="L66" i="2"/>
  <c r="M66" i="2"/>
  <c r="P66" i="2"/>
  <c r="I67" i="2"/>
  <c r="K67" i="2"/>
  <c r="L67" i="2"/>
  <c r="M67" i="2"/>
  <c r="P67" i="2"/>
  <c r="I68" i="2"/>
  <c r="K68" i="2"/>
  <c r="L68" i="2"/>
  <c r="M68" i="2"/>
  <c r="P68" i="2"/>
  <c r="I69" i="2"/>
  <c r="K69" i="2"/>
  <c r="L69" i="2"/>
  <c r="M69" i="2"/>
  <c r="P69" i="2"/>
  <c r="I70" i="2"/>
  <c r="K70" i="2"/>
  <c r="L70" i="2"/>
  <c r="M70" i="2"/>
  <c r="P70" i="2"/>
  <c r="I71" i="2"/>
  <c r="K71" i="2"/>
  <c r="L71" i="2"/>
  <c r="M71" i="2"/>
  <c r="P71" i="2"/>
  <c r="I72" i="2"/>
  <c r="K72" i="2"/>
  <c r="L72" i="2"/>
  <c r="M72" i="2"/>
  <c r="P72" i="2"/>
  <c r="I73" i="2"/>
  <c r="K73" i="2"/>
  <c r="L73" i="2"/>
  <c r="M73" i="2"/>
  <c r="P73" i="2"/>
  <c r="I74" i="2"/>
  <c r="K74" i="2"/>
  <c r="P74" i="2"/>
  <c r="I75" i="2"/>
  <c r="K75" i="2"/>
  <c r="L75" i="2"/>
  <c r="M75" i="2"/>
  <c r="P75" i="2"/>
  <c r="I76" i="2"/>
  <c r="K76" i="2"/>
  <c r="L76" i="2"/>
  <c r="M76" i="2"/>
  <c r="P76" i="2"/>
  <c r="I77" i="2"/>
  <c r="K77" i="2"/>
  <c r="L77" i="2"/>
  <c r="M77" i="2"/>
  <c r="P77" i="2"/>
  <c r="I78" i="2"/>
  <c r="K78" i="2"/>
  <c r="L78" i="2"/>
  <c r="M78" i="2"/>
  <c r="P78" i="2"/>
  <c r="I79" i="2"/>
  <c r="K79" i="2"/>
  <c r="L79" i="2"/>
  <c r="M79" i="2"/>
  <c r="P79" i="2"/>
  <c r="I80" i="2"/>
  <c r="K80" i="2"/>
  <c r="L80" i="2"/>
  <c r="M80" i="2"/>
  <c r="P80" i="2"/>
  <c r="I81" i="2"/>
  <c r="K81" i="2"/>
  <c r="L81" i="2"/>
  <c r="M81" i="2"/>
  <c r="P81" i="2"/>
  <c r="I82" i="2"/>
  <c r="K82" i="2"/>
  <c r="L82" i="2"/>
  <c r="M82" i="2"/>
  <c r="P82" i="2"/>
  <c r="I83" i="2"/>
  <c r="K83" i="2"/>
  <c r="L83" i="2"/>
  <c r="M83" i="2"/>
  <c r="P83" i="2"/>
  <c r="I84" i="2"/>
  <c r="K84" i="2"/>
  <c r="L84" i="2"/>
  <c r="M84" i="2"/>
  <c r="P84" i="2"/>
  <c r="I85" i="2"/>
  <c r="K85" i="2"/>
  <c r="L85" i="2"/>
  <c r="M85" i="2"/>
  <c r="P85" i="2"/>
  <c r="I86" i="2"/>
  <c r="K86" i="2"/>
  <c r="L86" i="2"/>
  <c r="M86" i="2"/>
  <c r="P86" i="2"/>
  <c r="I87" i="2"/>
  <c r="K87" i="2"/>
  <c r="L87" i="2"/>
  <c r="M87" i="2"/>
  <c r="P87" i="2"/>
  <c r="I88" i="2"/>
  <c r="K88" i="2"/>
  <c r="L88" i="2"/>
  <c r="M88" i="2"/>
  <c r="P88" i="2"/>
  <c r="I3" i="2"/>
  <c r="K3" i="2"/>
  <c r="L3" i="2"/>
  <c r="M3" i="2"/>
  <c r="P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3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3" i="2"/>
</calcChain>
</file>

<file path=xl/comments1.xml><?xml version="1.0" encoding="utf-8"?>
<comments xmlns="http://schemas.openxmlformats.org/spreadsheetml/2006/main">
  <authors>
    <author>zzf</author>
  </authors>
  <commentList>
    <comment ref="E1" authorId="0" shapeId="0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采用每月天津第一次价格</t>
        </r>
      </text>
    </comment>
  </commentList>
</comments>
</file>

<file path=xl/sharedStrings.xml><?xml version="1.0" encoding="utf-8"?>
<sst xmlns="http://schemas.openxmlformats.org/spreadsheetml/2006/main" count="319" uniqueCount="235">
  <si>
    <t>序号</t>
  </si>
  <si>
    <t>产品代码</t>
  </si>
  <si>
    <t>产品名称</t>
  </si>
  <si>
    <r>
      <rPr>
        <sz val="11"/>
        <color theme="1"/>
        <rFont val="宋体"/>
        <family val="3"/>
        <charset val="134"/>
        <scheme val="minor"/>
      </rPr>
      <t xml:space="preserve">产品重量
</t>
    </r>
    <r>
      <rPr>
        <sz val="11"/>
        <color theme="1"/>
        <rFont val="SimSun"/>
        <charset val="134"/>
      </rPr>
      <t>㎏</t>
    </r>
  </si>
  <si>
    <t>材质</t>
  </si>
  <si>
    <t>差价</t>
  </si>
  <si>
    <t>SLT0000325</t>
  </si>
  <si>
    <t>K1宽车座盆</t>
  </si>
  <si>
    <t>SLT0000409</t>
  </si>
  <si>
    <t>K1左舵第二排单人座垫骨架焊接总成</t>
  </si>
  <si>
    <t>SLT0000412</t>
  </si>
  <si>
    <t>K1左舵第三排单人座垫骨架焊接总成</t>
  </si>
  <si>
    <t>SLT0000413</t>
  </si>
  <si>
    <t>K1左舵第四排单人座垫骨架焊接总成</t>
  </si>
  <si>
    <t>SLT0000393</t>
  </si>
  <si>
    <t>SLT0001038</t>
  </si>
  <si>
    <t>K1左舵第二排双人联体座骨架总成
（联体靠背无头枕）</t>
  </si>
  <si>
    <t>SLT0000463</t>
  </si>
  <si>
    <t>K1左舵第四排双人座垫骨架焊接总成
（三点式）</t>
  </si>
  <si>
    <t>SLT0000508</t>
  </si>
  <si>
    <t>K1左舵侧翻座椅左折叠支撑总成</t>
  </si>
  <si>
    <t>SLT0000509</t>
  </si>
  <si>
    <t>K1左舵左前旋转支架总成</t>
  </si>
  <si>
    <t>SLT0000524</t>
  </si>
  <si>
    <t>K1左舵左后旋转支架总成</t>
  </si>
  <si>
    <t>BSP0000002</t>
  </si>
  <si>
    <t>K1左舵折叠板拉簧</t>
  </si>
  <si>
    <t>SLT0000530</t>
  </si>
  <si>
    <t>K1左舵侧翻座椅右折叠支撑总成</t>
  </si>
  <si>
    <t>SLT0000531</t>
  </si>
  <si>
    <t>K1左舵右前旋转支架总成</t>
  </si>
  <si>
    <t>SLT0000537</t>
  </si>
  <si>
    <t>K1左舵右后旋转支架总成</t>
  </si>
  <si>
    <t>SLT0001032</t>
  </si>
  <si>
    <t>K1左舵第一排三人联体座垫骨架焊接总成</t>
  </si>
  <si>
    <t>SLT0000348</t>
  </si>
  <si>
    <t>K1窄车座盆</t>
  </si>
  <si>
    <t>SLT0000448</t>
  </si>
  <si>
    <t>K1左舵第四排四人联体左座骨架总成
（三点式）</t>
  </si>
  <si>
    <t>SLT0000461</t>
  </si>
  <si>
    <t>K1左舵第四排四人联体右座骨架总成
（三点式）</t>
  </si>
  <si>
    <t>SLT0000647</t>
  </si>
  <si>
    <t>K1窄车左舵乘客第三排单人座垫骨架总成</t>
  </si>
  <si>
    <t>SLT0000653</t>
  </si>
  <si>
    <t>K1窄车左舵乘客第四排单人座垫骨架总成</t>
  </si>
  <si>
    <t>SLT0000637</t>
  </si>
  <si>
    <t>K1窄车左舵乘客第三排双人联体座垫
骨架总成</t>
  </si>
  <si>
    <t>SLT0000635</t>
  </si>
  <si>
    <t>K1窄车左舵乘客第一排三人联体座垫
骨架总成</t>
  </si>
  <si>
    <t>SLT0000636</t>
  </si>
  <si>
    <t>K1窄车左舵乘客二排三人座垫骨架总成</t>
  </si>
  <si>
    <t>SLT0000563</t>
  </si>
  <si>
    <t>K1右舵第二排单人座垫骨架焊接总成</t>
  </si>
  <si>
    <t>SLT0000582</t>
  </si>
  <si>
    <t>K1右舵第二排双人座垫骨架焊接总成
（三点式）</t>
  </si>
  <si>
    <t>SLT0000566</t>
  </si>
  <si>
    <t>K1右舵单人三排座骨架总成</t>
  </si>
  <si>
    <t>SLT0000579</t>
  </si>
  <si>
    <t>K1右舵第一排双人座垫骨架焊接总成
（三点式）</t>
  </si>
  <si>
    <t>SLT0000576</t>
  </si>
  <si>
    <t>K1右舵第一排三人联体座垫骨架焊接总成</t>
  </si>
  <si>
    <t>SLT0000648</t>
  </si>
  <si>
    <t>K1窄车左舵座椅前旋转支架左</t>
  </si>
  <si>
    <t>SLT0000597</t>
  </si>
  <si>
    <t>K1窄车左后旋转支架</t>
  </si>
  <si>
    <t>SLT0000606</t>
  </si>
  <si>
    <t>K1窄车右后旋转支架</t>
  </si>
  <si>
    <t>SLT0002353</t>
  </si>
  <si>
    <t>K1窄车左舵右前旋转支架总成</t>
  </si>
  <si>
    <t>SLT0000607</t>
  </si>
  <si>
    <t>K1窄车左舵双人座垫骨架总成(带折叠座）</t>
  </si>
  <si>
    <t>SLT0000473</t>
  </si>
  <si>
    <t>K1窄车左舵第一排双人座垫骨架焊接总成</t>
  </si>
  <si>
    <t>SLT0000496</t>
  </si>
  <si>
    <t>K1窄车左舵第二排双人座垫骨架焊接总成</t>
  </si>
  <si>
    <t>SLT0000498</t>
  </si>
  <si>
    <t>K1窄车左舵第三排双人座垫骨架焊接总成</t>
  </si>
  <si>
    <t>SLT0001061</t>
  </si>
  <si>
    <t>K1窄车左舵乘客二排双人连体座骨架总成</t>
  </si>
  <si>
    <t>SLT0000639</t>
  </si>
  <si>
    <t>K1窄车左舵长轴14人二排双人联体座骨架
总成（三点式）</t>
  </si>
  <si>
    <t>SLT0000640</t>
  </si>
  <si>
    <t>K1窄车左舵长轴14人三排双人联体座
骨架总成</t>
  </si>
  <si>
    <t>SLT0000654</t>
  </si>
  <si>
    <t>K1窄车左舵长轴14人第二排单人座垫骨架
焊接总成</t>
  </si>
  <si>
    <t>SLT0001600</t>
  </si>
  <si>
    <t>K1窄车左舵长轴14人第三排单人座垫骨架
焊接总成</t>
  </si>
  <si>
    <t>SLT0000631</t>
  </si>
  <si>
    <t>K1窄车左舵长轴14人乘客第三排三人联体座垫骨架
总成（三点式）</t>
  </si>
  <si>
    <t>SLT0000483</t>
  </si>
  <si>
    <t>K1窄车左舵长轴15人乘客第一排三人联体座垫
骨架总成</t>
  </si>
  <si>
    <t>SLT0000612</t>
  </si>
  <si>
    <t>K1窄车左舵长轴15人乘客二排三人座垫
骨架总成</t>
  </si>
  <si>
    <t>SLT0001611</t>
  </si>
  <si>
    <t>K1宽车右舵四排单人座骨架</t>
  </si>
  <si>
    <t>SLT0001596</t>
  </si>
  <si>
    <t>K1窄车右舵第四排单人座垫骨架总成</t>
  </si>
  <si>
    <t>SLT0001595</t>
  </si>
  <si>
    <t>K1窄车右舵乘客第二排单人座垫骨架总成</t>
  </si>
  <si>
    <t>SLT0001594</t>
  </si>
  <si>
    <t>K1窄车右舵11人乘客第三排双人联体座垫
骨架总成</t>
  </si>
  <si>
    <t>SLT0000599</t>
  </si>
  <si>
    <t>K1窄车左舵右前旋转支架总成（1.5人）</t>
  </si>
  <si>
    <t>SLT0000588</t>
  </si>
  <si>
    <t>K1窄车左前旋转支架总成（1.5人）</t>
  </si>
  <si>
    <t>SLT0001593</t>
  </si>
  <si>
    <t>K1窄车右舵11人乘客第二排双人联体座垫
骨架总成</t>
  </si>
  <si>
    <t>SLT0001592</t>
  </si>
  <si>
    <t>K1窄车右舵乘客第一排三人联体座垫
骨架总成B</t>
  </si>
  <si>
    <t>SLT0000553</t>
  </si>
  <si>
    <t>K1右舵第一排四人联体座垫骨架焊接总成</t>
  </si>
  <si>
    <t>SLT0001597</t>
  </si>
  <si>
    <t>K1窄车左舵全包15座乘客第四排单人座垫
骨架总成</t>
  </si>
  <si>
    <t>SLT0000470</t>
  </si>
  <si>
    <t>K1宽车左舵一排三人座垫骨架总成
（新状态）</t>
  </si>
  <si>
    <t>SLT0000487</t>
  </si>
  <si>
    <t>K1一排三人座骨架总成（5990）</t>
  </si>
  <si>
    <t>SLT0000497</t>
  </si>
  <si>
    <t>K1二排双人座总成（5990）</t>
  </si>
  <si>
    <t>SLT0000493</t>
  </si>
  <si>
    <t>K1二排单人座骨架总成（5990）</t>
  </si>
  <si>
    <t>SLT0000495</t>
  </si>
  <si>
    <t>K1三排单人座骨架总成（5990）</t>
  </si>
  <si>
    <t>SLT0000471</t>
  </si>
  <si>
    <t>K1右背左调角器连接板</t>
  </si>
  <si>
    <t>K1窄车左舵长轴14人第一排三人座骨架</t>
  </si>
  <si>
    <t>SLT0000474</t>
  </si>
  <si>
    <t>K1一排双人座骨架（5990）
FTK1-7261100</t>
  </si>
  <si>
    <t>SLT0000613</t>
  </si>
  <si>
    <t>K1乘客第三排双人联体(5990)
FTK1-7281100</t>
  </si>
  <si>
    <t>SLT0000657</t>
  </si>
  <si>
    <t>长轴15座海外秘鲁15座改装一排双人
FTK1Z-7231100-1</t>
  </si>
  <si>
    <t>SLT0000658</t>
  </si>
  <si>
    <t>长轴15座海外秘鲁15座改装二排双人
FTK1Z-7241100-1</t>
  </si>
  <si>
    <t>SLT0000659</t>
  </si>
  <si>
    <t>长轴15座海外秘鲁15座改装三排双人
FTK1Z-7251100-1</t>
  </si>
  <si>
    <t>SLT0000559</t>
  </si>
  <si>
    <t>K1宽车右舵二排双人座骨架7251</t>
  </si>
  <si>
    <t>SLT0000577</t>
  </si>
  <si>
    <t>K1连接板（右舵）</t>
  </si>
  <si>
    <t>SHT0000089</t>
  </si>
  <si>
    <t>M4座盆</t>
  </si>
  <si>
    <t>SHT0000103</t>
  </si>
  <si>
    <t>M4副司机底座</t>
  </si>
  <si>
    <t>SLT0001063</t>
  </si>
  <si>
    <t>K1出口马来二排双人</t>
  </si>
  <si>
    <t>SLT0001040</t>
  </si>
  <si>
    <t>K1出口马来一排双人</t>
  </si>
  <si>
    <t>SLT0001052</t>
  </si>
  <si>
    <t>K1出口马来二排单人</t>
  </si>
  <si>
    <t>SLT0001058</t>
  </si>
  <si>
    <t>K1出口马来三排单人</t>
  </si>
  <si>
    <t>SHT0000104</t>
  </si>
  <si>
    <t>M4右舵骨架</t>
  </si>
  <si>
    <t>SLT0000055</t>
  </si>
  <si>
    <t>1033座垫（欧马可右舵座盆）</t>
  </si>
  <si>
    <t>SLT0001076</t>
  </si>
  <si>
    <t>5990右舵三排双人</t>
  </si>
  <si>
    <t>SLT0001062</t>
  </si>
  <si>
    <t>5990右舵二排双人</t>
  </si>
  <si>
    <t>SLT0001057</t>
  </si>
  <si>
    <t>5990右舵二排单人</t>
  </si>
  <si>
    <t>SLT0001060</t>
  </si>
  <si>
    <t>5990右舵三排单人</t>
  </si>
  <si>
    <t>SLT0001816</t>
  </si>
  <si>
    <t>K1窄车右舵三排单人座</t>
  </si>
  <si>
    <t>SLT0001598</t>
  </si>
  <si>
    <t>5990右舵一排三人</t>
  </si>
  <si>
    <t>SLT0001591</t>
  </si>
  <si>
    <t>K1右舵第一排四人联体座垫</t>
  </si>
  <si>
    <t>固定14人一排三人</t>
  </si>
  <si>
    <t>固定宽车二排双人</t>
  </si>
  <si>
    <t>潍坊转黄骅产品核算（未税）</t>
  </si>
  <si>
    <t>2020年
未税价格</t>
  </si>
  <si>
    <t>材料增价</t>
  </si>
  <si>
    <r>
      <rPr>
        <sz val="11"/>
        <color theme="1"/>
        <rFont val="宋体"/>
        <family val="3"/>
        <charset val="134"/>
        <scheme val="minor"/>
      </rPr>
      <t>运费差价
3</t>
    </r>
    <r>
      <rPr>
        <sz val="11"/>
        <color theme="1"/>
        <rFont val="SimSun"/>
        <charset val="134"/>
      </rPr>
      <t>％</t>
    </r>
  </si>
  <si>
    <t>补差价
合计</t>
  </si>
  <si>
    <t>本年产品
价格</t>
  </si>
  <si>
    <t>普材</t>
  </si>
  <si>
    <t>ST12</t>
  </si>
  <si>
    <t>K1左舵第一排双人座垫骨架焊接
总成（三点式）</t>
  </si>
  <si>
    <t>K1左舵第二排双人座垫骨架焊接
总成（三点式）</t>
  </si>
  <si>
    <t>长生公司</t>
  </si>
  <si>
    <t>2021.11.26</t>
  </si>
  <si>
    <t>SLT0000401</t>
    <phoneticPr fontId="8" type="noConversion"/>
  </si>
  <si>
    <t>SLT0000656</t>
    <phoneticPr fontId="8" type="noConversion"/>
  </si>
  <si>
    <t>2021年6月设变，按照新产品定价</t>
    <phoneticPr fontId="8" type="noConversion"/>
  </si>
  <si>
    <t>SBS0010148</t>
    <phoneticPr fontId="8" type="noConversion"/>
  </si>
  <si>
    <t>涨幅</t>
    <phoneticPr fontId="8" type="noConversion"/>
  </si>
  <si>
    <t>SBS0010150</t>
    <phoneticPr fontId="8" type="noConversion"/>
  </si>
  <si>
    <t>备注</t>
    <phoneticPr fontId="8" type="noConversion"/>
  </si>
  <si>
    <t>每公斤价格</t>
    <phoneticPr fontId="8" type="noConversion"/>
  </si>
  <si>
    <t>补充重量后，河北出具初步核价建议</t>
    <phoneticPr fontId="8" type="noConversion"/>
  </si>
  <si>
    <t>要求</t>
    <phoneticPr fontId="8" type="noConversion"/>
  </si>
  <si>
    <t>建议河北重新核价</t>
    <phoneticPr fontId="8" type="noConversion"/>
  </si>
  <si>
    <t>材料类别</t>
  </si>
  <si>
    <t>规格型号</t>
  </si>
  <si>
    <t>单位</t>
  </si>
  <si>
    <t>年度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</si>
  <si>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</si>
  <si>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</si>
  <si>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</si>
  <si>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</si>
  <si>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</si>
  <si>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</si>
  <si>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</si>
  <si>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</si>
  <si>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</si>
  <si>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</si>
  <si>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</si>
  <si>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</si>
  <si>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均价</t>
  </si>
  <si>
    <t>同比涨幅</t>
  </si>
  <si>
    <t>钢板 热</t>
  </si>
  <si>
    <t>Q235  5.0</t>
  </si>
  <si>
    <t>吨</t>
  </si>
  <si>
    <t>2.0的含税高300元/吨，+265.49元；3.0的含税高200元/吨，+176.99元</t>
  </si>
  <si>
    <t>焊管</t>
  </si>
  <si>
    <t>Q195-225  1寸*3.25mm</t>
  </si>
  <si>
    <t>天津友发</t>
  </si>
  <si>
    <t>钢板 冷</t>
  </si>
  <si>
    <t>ST12  1.0*1250*C</t>
  </si>
  <si>
    <t>鞍钢</t>
  </si>
  <si>
    <t>SPCC  1.0*1250*C</t>
  </si>
  <si>
    <r>
      <rPr>
        <sz val="11"/>
        <color theme="1"/>
        <rFont val="宋体"/>
        <family val="3"/>
        <charset val="134"/>
        <scheme val="minor"/>
      </rPr>
      <t>含6</t>
    </r>
    <r>
      <rPr>
        <sz val="11"/>
        <color theme="1"/>
        <rFont val="SimSun"/>
        <charset val="134"/>
      </rPr>
      <t>％</t>
    </r>
    <r>
      <rPr>
        <sz val="11"/>
        <color theme="1"/>
        <rFont val="宋体"/>
        <family val="3"/>
        <charset val="134"/>
        <scheme val="minor"/>
      </rPr>
      <t>利</t>
    </r>
    <phoneticPr fontId="8" type="noConversion"/>
  </si>
  <si>
    <t>2021年1-12月钢管不含税采购价格（元/kg)</t>
  </si>
  <si>
    <t>项目</t>
  </si>
  <si>
    <t>2020年平均单价</t>
  </si>
  <si>
    <t>SPCC ≥φ20</t>
  </si>
  <si>
    <t xml:space="preserve"> 2020年均价</t>
  </si>
  <si>
    <t>2021年</t>
  </si>
  <si>
    <t>光亮管Q195  ≥φ20</t>
  </si>
  <si>
    <t>焊管管Q235  ≥φ20</t>
  </si>
  <si>
    <t>Q345 25*25*1.5方管</t>
  </si>
  <si>
    <t>Q345 30*40*3.0方管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</si>
</sst>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00_ "/>
    <numFmt numFmtId="177" formatCode="0.00_ "/>
    <numFmt numFmtId="178" formatCode="0.0%"/>
  </numFmts>
  <fonts count="17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0" fontId="0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10" fillId="2" borderId="1" xfId="2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43" fontId="11" fillId="0" borderId="1" xfId="4" applyFont="1" applyBorder="1" applyAlignment="1">
      <alignment horizontal="center" vertical="center"/>
    </xf>
    <xf numFmtId="0" fontId="11" fillId="0" borderId="1" xfId="3" applyFont="1" applyBorder="1">
      <alignment vertical="center"/>
    </xf>
    <xf numFmtId="0" fontId="11" fillId="0" borderId="0" xfId="3" applyFont="1">
      <alignment vertical="center"/>
    </xf>
    <xf numFmtId="0" fontId="5" fillId="0" borderId="1" xfId="3" applyBorder="1" applyAlignment="1">
      <alignment horizontal="center" vertical="center"/>
    </xf>
    <xf numFmtId="0" fontId="5" fillId="0" borderId="1" xfId="3" applyBorder="1">
      <alignment vertical="center"/>
    </xf>
    <xf numFmtId="43" fontId="0" fillId="0" borderId="1" xfId="4" applyFont="1" applyBorder="1">
      <alignment vertical="center"/>
    </xf>
    <xf numFmtId="0" fontId="5" fillId="0" borderId="0" xfId="3">
      <alignment vertical="center"/>
    </xf>
    <xf numFmtId="178" fontId="0" fillId="0" borderId="1" xfId="5" applyNumberFormat="1" applyFont="1" applyBorder="1">
      <alignment vertical="center"/>
    </xf>
    <xf numFmtId="0" fontId="12" fillId="0" borderId="3" xfId="2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43" fontId="0" fillId="0" borderId="0" xfId="4" applyFont="1">
      <alignment vertical="center"/>
    </xf>
    <xf numFmtId="43" fontId="0" fillId="4" borderId="0" xfId="4" applyFont="1" applyFill="1">
      <alignment vertical="center"/>
    </xf>
    <xf numFmtId="0" fontId="15" fillId="0" borderId="0" xfId="2" applyFont="1" applyAlignment="1">
      <alignment horizontal="center" vertical="center"/>
    </xf>
    <xf numFmtId="0" fontId="9" fillId="0" borderId="0" xfId="2">
      <alignment vertical="center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vertical="center"/>
    </xf>
    <xf numFmtId="0" fontId="16" fillId="0" borderId="1" xfId="2" applyFont="1" applyBorder="1" applyAlignment="1">
      <alignment horizontal="center" vertical="center" shrinkToFit="1"/>
    </xf>
    <xf numFmtId="177" fontId="16" fillId="0" borderId="1" xfId="2" applyNumberFormat="1" applyFont="1" applyFill="1" applyBorder="1" applyAlignment="1">
      <alignment horizontal="center" vertical="center"/>
    </xf>
    <xf numFmtId="177" fontId="16" fillId="0" borderId="1" xfId="2" applyNumberFormat="1" applyFont="1" applyBorder="1" applyAlignment="1">
      <alignment horizontal="center" vertical="center"/>
    </xf>
    <xf numFmtId="0" fontId="16" fillId="0" borderId="0" xfId="2" applyFont="1">
      <alignment vertical="center"/>
    </xf>
    <xf numFmtId="0" fontId="16" fillId="0" borderId="1" xfId="2" applyFont="1" applyBorder="1" applyAlignment="1">
      <alignment vertical="center"/>
    </xf>
    <xf numFmtId="177" fontId="16" fillId="4" borderId="0" xfId="2" applyNumberFormat="1" applyFont="1" applyFill="1">
      <alignment vertical="center"/>
    </xf>
  </cellXfs>
  <cellStyles count="7">
    <cellStyle name="百分比" xfId="1" builtinId="5"/>
    <cellStyle name="百分比 4" xfId="5"/>
    <cellStyle name="常规" xfId="0" builtinId="0"/>
    <cellStyle name="常规 13 2" xfId="6"/>
    <cellStyle name="常规 2 2 2" xfId="2"/>
    <cellStyle name="常规 4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2021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Calibri"/>
              </a:rPr>
              <a:t>年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/>
                <a:ea typeface="宋体"/>
                <a:cs typeface="Calibri"/>
              </a:rPr>
              <a:t>1-12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Calibri"/>
              </a:rPr>
              <a:t>月钢管不含税价格趋势图</a:t>
            </a:r>
            <a:endParaRPr lang="zh-CN" altLang="en-US"/>
          </a:p>
        </c:rich>
      </c:tx>
      <c:layout>
        <c:manualLayout>
          <c:xMode val="edge"/>
          <c:yMode val="edge"/>
          <c:x val="0.40381733246646923"/>
          <c:y val="4.16665245364185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黄骅钢管采购价格趋势图!$B$36:$C$36</c:f>
              <c:strCache>
                <c:ptCount val="2"/>
                <c:pt idx="0">
                  <c:v>Q345 25*25*1.5方管</c:v>
                </c:pt>
                <c:pt idx="1">
                  <c:v> 2020年均价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黄骅钢管采购价格趋势图!$D$35:$O$35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黄骅钢管采购价格趋势图!$D$36:$O$36</c:f>
              <c:numCache>
                <c:formatCode>0.00_ </c:formatCode>
                <c:ptCount val="12"/>
                <c:pt idx="0">
                  <c:v>5.0442477876106198</c:v>
                </c:pt>
                <c:pt idx="1">
                  <c:v>4.4115044247787614</c:v>
                </c:pt>
                <c:pt idx="2">
                  <c:v>4.4115044247787614</c:v>
                </c:pt>
                <c:pt idx="3">
                  <c:v>4.4115044247787614</c:v>
                </c:pt>
                <c:pt idx="4">
                  <c:v>4.4115044247787614</c:v>
                </c:pt>
                <c:pt idx="5">
                  <c:v>4.4115044247787614</c:v>
                </c:pt>
                <c:pt idx="6">
                  <c:v>4.4115044247787614</c:v>
                </c:pt>
                <c:pt idx="7">
                  <c:v>4.4115044247787614</c:v>
                </c:pt>
                <c:pt idx="8">
                  <c:v>4.4115044247787614</c:v>
                </c:pt>
                <c:pt idx="9">
                  <c:v>4.4115044247787614</c:v>
                </c:pt>
                <c:pt idx="10">
                  <c:v>4.4115044247787614</c:v>
                </c:pt>
                <c:pt idx="11">
                  <c:v>4.4115044247787614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F-489A-92D7-7B250E69A419}"/>
            </c:ext>
          </c:extLst>
        </c:ser>
        <c:ser>
          <c:idx val="1"/>
          <c:order val="1"/>
          <c:tx>
            <c:strRef>
              <c:f>黄骅钢管采购价格趋势图!$B$37:$C$37</c:f>
              <c:strCache>
                <c:ptCount val="2"/>
                <c:pt idx="0">
                  <c:v>Q345 25*25*1.5方管</c:v>
                </c:pt>
                <c:pt idx="1">
                  <c:v>2021年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黄骅钢管采购价格趋势图!$D$35:$O$35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黄骅钢管采购价格趋势图!$D$37:$O$37</c:f>
              <c:numCache>
                <c:formatCode>0.00_ </c:formatCode>
                <c:ptCount val="12"/>
                <c:pt idx="0">
                  <c:v>5.9292035398230096</c:v>
                </c:pt>
                <c:pt idx="1">
                  <c:v>5.9292035398230096</c:v>
                </c:pt>
                <c:pt idx="5">
                  <c:v>6.7699115044247797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F-489A-92D7-7B250E69A419}"/>
            </c:ext>
          </c:extLst>
        </c:ser>
        <c:ser>
          <c:idx val="2"/>
          <c:order val="2"/>
          <c:tx>
            <c:strRef>
              <c:f>黄骅钢管采购价格趋势图!$B$38:$C$38</c:f>
              <c:strCache>
                <c:ptCount val="2"/>
                <c:pt idx="0">
                  <c:v>Q345 30*40*3.0方管</c:v>
                </c:pt>
                <c:pt idx="1">
                  <c:v> 2020年均价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黄骅钢管采购价格趋势图!$D$35:$O$35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黄骅钢管采购价格趋势图!$D$38:$O$38</c:f>
              <c:numCache>
                <c:formatCode>0.00_ </c:formatCode>
                <c:ptCount val="12"/>
                <c:pt idx="0">
                  <c:v>5.6637168141592928</c:v>
                </c:pt>
                <c:pt idx="1">
                  <c:v>4.557522123893806</c:v>
                </c:pt>
                <c:pt idx="2">
                  <c:v>4.557522123893806</c:v>
                </c:pt>
                <c:pt idx="3">
                  <c:v>4.557522123893806</c:v>
                </c:pt>
                <c:pt idx="4">
                  <c:v>4.557522123893806</c:v>
                </c:pt>
                <c:pt idx="5">
                  <c:v>4.557522123893806</c:v>
                </c:pt>
                <c:pt idx="6">
                  <c:v>4.557522123893806</c:v>
                </c:pt>
                <c:pt idx="7">
                  <c:v>4.557522123893806</c:v>
                </c:pt>
                <c:pt idx="8">
                  <c:v>4.557522123893806</c:v>
                </c:pt>
                <c:pt idx="9">
                  <c:v>4.557522123893806</c:v>
                </c:pt>
                <c:pt idx="10">
                  <c:v>4.557522123893806</c:v>
                </c:pt>
                <c:pt idx="11">
                  <c:v>4.557522123893806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FF-489A-92D7-7B250E69A419}"/>
            </c:ext>
          </c:extLst>
        </c:ser>
        <c:ser>
          <c:idx val="3"/>
          <c:order val="3"/>
          <c:tx>
            <c:strRef>
              <c:f>黄骅钢管采购价格趋势图!$B$39:$C$39</c:f>
              <c:strCache>
                <c:ptCount val="2"/>
                <c:pt idx="0">
                  <c:v>Q345 30*40*3.0方管</c:v>
                </c:pt>
                <c:pt idx="1">
                  <c:v>2021年</c:v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黄骅钢管采购价格趋势图!$D$35:$O$35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黄骅钢管采购价格趋势图!$D$39:$O$39</c:f>
              <c:numCache>
                <c:formatCode>0.00_ </c:formatCode>
                <c:ptCount val="12"/>
                <c:pt idx="0">
                  <c:v>6.3274336283185848</c:v>
                </c:pt>
                <c:pt idx="1">
                  <c:v>6.3274336283185848</c:v>
                </c:pt>
                <c:pt idx="3">
                  <c:v>6.3274336283185848</c:v>
                </c:pt>
                <c:pt idx="4">
                  <c:v>6.4601769911504432</c:v>
                </c:pt>
                <c:pt idx="5">
                  <c:v>6.72566371681416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F-489A-92D7-7B250E69A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697888"/>
        <c:axId val="1"/>
      </c:lineChart>
      <c:catAx>
        <c:axId val="39769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97697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2021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Calibri"/>
              </a:rPr>
              <a:t>年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/>
                <a:ea typeface="宋体"/>
                <a:cs typeface="Calibri"/>
              </a:rPr>
              <a:t>1-12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Calibri"/>
              </a:rPr>
              <a:t>月钢管不含税采购价格趋势图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黄骅钢管采购价格趋势图!$B$3:$C$3</c:f>
              <c:strCache>
                <c:ptCount val="2"/>
                <c:pt idx="0">
                  <c:v>SPCC ≥φ20</c:v>
                </c:pt>
                <c:pt idx="1">
                  <c:v> 2020年均价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黄骅钢管采购价格趋势图!$D$2:$O$2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黄骅钢管采购价格趋势图!$D$3:$O$3</c:f>
              <c:numCache>
                <c:formatCode>0.00_ </c:formatCode>
                <c:ptCount val="12"/>
                <c:pt idx="0">
                  <c:v>4.4115044247787614</c:v>
                </c:pt>
                <c:pt idx="1">
                  <c:v>4.4115044247787614</c:v>
                </c:pt>
                <c:pt idx="2">
                  <c:v>4.4115044247787614</c:v>
                </c:pt>
                <c:pt idx="3">
                  <c:v>4.4115044247787614</c:v>
                </c:pt>
                <c:pt idx="4">
                  <c:v>4.4115044247787614</c:v>
                </c:pt>
                <c:pt idx="5">
                  <c:v>4.4115044247787614</c:v>
                </c:pt>
                <c:pt idx="6">
                  <c:v>4.4115044247787614</c:v>
                </c:pt>
                <c:pt idx="7">
                  <c:v>4.4115044247787614</c:v>
                </c:pt>
                <c:pt idx="8">
                  <c:v>4.4115044247787614</c:v>
                </c:pt>
                <c:pt idx="9">
                  <c:v>4.4115044247787614</c:v>
                </c:pt>
                <c:pt idx="10">
                  <c:v>4.4115044247787614</c:v>
                </c:pt>
                <c:pt idx="11">
                  <c:v>4.4115044247787614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5-4A46-AB69-0584F185C61D}"/>
            </c:ext>
          </c:extLst>
        </c:ser>
        <c:ser>
          <c:idx val="1"/>
          <c:order val="1"/>
          <c:tx>
            <c:strRef>
              <c:f>黄骅钢管采购价格趋势图!$B$4:$C$4</c:f>
              <c:strCache>
                <c:ptCount val="2"/>
                <c:pt idx="0">
                  <c:v>SPCC ≥φ20</c:v>
                </c:pt>
                <c:pt idx="1">
                  <c:v>2021年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黄骅钢管采购价格趋势图!$D$2:$O$2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黄骅钢管采购价格趋势图!$D$4:$O$4</c:f>
              <c:numCache>
                <c:formatCode>0.00_ </c:formatCode>
                <c:ptCount val="12"/>
                <c:pt idx="0">
                  <c:v>5.7522123893805315</c:v>
                </c:pt>
                <c:pt idx="1">
                  <c:v>5.2654867256637177</c:v>
                </c:pt>
                <c:pt idx="2">
                  <c:v>5.8849557522123899</c:v>
                </c:pt>
                <c:pt idx="3">
                  <c:v>5.7168141592920358</c:v>
                </c:pt>
                <c:pt idx="4">
                  <c:v>5.8672566371681416</c:v>
                </c:pt>
                <c:pt idx="5">
                  <c:v>5.6283185840707972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5-4A46-AB69-0584F185C61D}"/>
            </c:ext>
          </c:extLst>
        </c:ser>
        <c:ser>
          <c:idx val="2"/>
          <c:order val="2"/>
          <c:tx>
            <c:strRef>
              <c:f>黄骅钢管采购价格趋势图!$B$5:$C$5</c:f>
              <c:strCache>
                <c:ptCount val="2"/>
                <c:pt idx="0">
                  <c:v>光亮管Q195  ≥φ20</c:v>
                </c:pt>
                <c:pt idx="1">
                  <c:v> 2020年均价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黄骅钢管采购价格趋势图!$D$2:$O$2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黄骅钢管采购价格趋势图!$D$5:$O$5</c:f>
              <c:numCache>
                <c:formatCode>0.00_ </c:formatCode>
                <c:ptCount val="12"/>
                <c:pt idx="0">
                  <c:v>4.557522123893806</c:v>
                </c:pt>
                <c:pt idx="1">
                  <c:v>4.557522123893806</c:v>
                </c:pt>
                <c:pt idx="2">
                  <c:v>4.557522123893806</c:v>
                </c:pt>
                <c:pt idx="3">
                  <c:v>4.557522123893806</c:v>
                </c:pt>
                <c:pt idx="4">
                  <c:v>4.557522123893806</c:v>
                </c:pt>
                <c:pt idx="5">
                  <c:v>4.557522123893806</c:v>
                </c:pt>
                <c:pt idx="6">
                  <c:v>4.557522123893806</c:v>
                </c:pt>
                <c:pt idx="7">
                  <c:v>4.557522123893806</c:v>
                </c:pt>
                <c:pt idx="8">
                  <c:v>4.557522123893806</c:v>
                </c:pt>
                <c:pt idx="9">
                  <c:v>4.557522123893806</c:v>
                </c:pt>
                <c:pt idx="10">
                  <c:v>4.557522123893806</c:v>
                </c:pt>
                <c:pt idx="11">
                  <c:v>4.557522123893806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5-4A46-AB69-0584F185C61D}"/>
            </c:ext>
          </c:extLst>
        </c:ser>
        <c:ser>
          <c:idx val="3"/>
          <c:order val="3"/>
          <c:tx>
            <c:strRef>
              <c:f>黄骅钢管采购价格趋势图!$B$6:$C$6</c:f>
              <c:strCache>
                <c:ptCount val="2"/>
                <c:pt idx="0">
                  <c:v>光亮管Q195  ≥φ20</c:v>
                </c:pt>
                <c:pt idx="1">
                  <c:v>2021年</c:v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黄骅钢管采购价格趋势图!$D$2:$O$2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黄骅钢管采购价格趋势图!$D$6:$O$6</c:f>
              <c:numCache>
                <c:formatCode>0.00_ </c:formatCode>
                <c:ptCount val="12"/>
                <c:pt idx="0">
                  <c:v>4.9115044247787614</c:v>
                </c:pt>
                <c:pt idx="1">
                  <c:v>4.9115044247787614</c:v>
                </c:pt>
                <c:pt idx="2">
                  <c:v>5.1769911504424782</c:v>
                </c:pt>
                <c:pt idx="3">
                  <c:v>5.7168141592920358</c:v>
                </c:pt>
                <c:pt idx="4">
                  <c:v>5.8672566371681416</c:v>
                </c:pt>
                <c:pt idx="5">
                  <c:v>5.6283185840707972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B5-4A46-AB69-0584F185C61D}"/>
            </c:ext>
          </c:extLst>
        </c:ser>
        <c:ser>
          <c:idx val="4"/>
          <c:order val="4"/>
          <c:tx>
            <c:strRef>
              <c:f>黄骅钢管采购价格趋势图!$B$7:$C$7</c:f>
              <c:strCache>
                <c:ptCount val="2"/>
                <c:pt idx="0">
                  <c:v>焊管管Q235  ≥φ20</c:v>
                </c:pt>
                <c:pt idx="1">
                  <c:v> 2020年均价</c:v>
                </c:pt>
              </c:strCache>
            </c:strRef>
          </c:tx>
          <c:spPr>
            <a:ln w="28575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黄骅钢管采购价格趋势图!$D$2:$O$2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黄骅钢管采购价格趋势图!$D$7:$O$7</c:f>
              <c:numCache>
                <c:formatCode>0.00_ </c:formatCode>
                <c:ptCount val="12"/>
                <c:pt idx="0">
                  <c:v>4.778761061946903</c:v>
                </c:pt>
                <c:pt idx="1">
                  <c:v>4.778761061946903</c:v>
                </c:pt>
                <c:pt idx="2">
                  <c:v>4.778761061946903</c:v>
                </c:pt>
                <c:pt idx="3">
                  <c:v>4.778761061946903</c:v>
                </c:pt>
                <c:pt idx="4">
                  <c:v>4.778761061946903</c:v>
                </c:pt>
                <c:pt idx="5">
                  <c:v>4.778761061946903</c:v>
                </c:pt>
                <c:pt idx="6">
                  <c:v>4.778761061946903</c:v>
                </c:pt>
                <c:pt idx="7">
                  <c:v>4.778761061946903</c:v>
                </c:pt>
                <c:pt idx="8">
                  <c:v>4.778761061946903</c:v>
                </c:pt>
                <c:pt idx="9">
                  <c:v>4.778761061946903</c:v>
                </c:pt>
                <c:pt idx="10">
                  <c:v>4.778761061946903</c:v>
                </c:pt>
                <c:pt idx="11">
                  <c:v>4.778761061946903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B5-4A46-AB69-0584F185C61D}"/>
            </c:ext>
          </c:extLst>
        </c:ser>
        <c:ser>
          <c:idx val="5"/>
          <c:order val="5"/>
          <c:tx>
            <c:strRef>
              <c:f>黄骅钢管采购价格趋势图!$B$8:$C$8</c:f>
              <c:strCache>
                <c:ptCount val="2"/>
                <c:pt idx="0">
                  <c:v>焊管管Q235  ≥φ20</c:v>
                </c:pt>
                <c:pt idx="1">
                  <c:v>2021年</c:v>
                </c:pt>
              </c:strCache>
            </c:strRef>
          </c:tx>
          <c:spPr>
            <a:ln w="28575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黄骅钢管采购价格趋势图!$D$2:$O$2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黄骅钢管采购价格趋势图!$D$8:$O$8</c:f>
              <c:numCache>
                <c:formatCode>0.00_ </c:formatCode>
                <c:ptCount val="12"/>
                <c:pt idx="0">
                  <c:v>5.0000000000000009</c:v>
                </c:pt>
                <c:pt idx="1">
                  <c:v>4.9115044247787614</c:v>
                </c:pt>
                <c:pt idx="2">
                  <c:v>5.1769911504424782</c:v>
                </c:pt>
                <c:pt idx="3">
                  <c:v>5.7168141592920358</c:v>
                </c:pt>
                <c:pt idx="4">
                  <c:v>6.5044247787610621</c:v>
                </c:pt>
                <c:pt idx="5">
                  <c:v>6.6814159292035402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B5-4A46-AB69-0584F185C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118064"/>
        <c:axId val="1"/>
      </c:lineChart>
      <c:catAx>
        <c:axId val="39311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93118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39</xdr:row>
      <xdr:rowOff>57150</xdr:rowOff>
    </xdr:from>
    <xdr:to>
      <xdr:col>15</xdr:col>
      <xdr:colOff>76200</xdr:colOff>
      <xdr:row>53</xdr:row>
      <xdr:rowOff>161925</xdr:rowOff>
    </xdr:to>
    <xdr:graphicFrame macro="">
      <xdr:nvGraphicFramePr>
        <xdr:cNvPr id="2" name="图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876300</xdr:colOff>
      <xdr:row>9</xdr:row>
      <xdr:rowOff>85725</xdr:rowOff>
    </xdr:from>
    <xdr:to>
      <xdr:col>15</xdr:col>
      <xdr:colOff>95250</xdr:colOff>
      <xdr:row>28</xdr:row>
      <xdr:rowOff>152400</xdr:rowOff>
    </xdr:to>
    <xdr:graphicFrame macro="">
      <xdr:nvGraphicFramePr>
        <xdr:cNvPr id="3" name="图表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28493;&#22346;&#36716;&#31227;/&#20379;&#24212;&#21830;&#20215;&#26684;&#21327;&#35758;&#32479;&#35745;&#34920;-&#28493;&#2234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guangqun\Desktop\&#28014;&#21160;&#20215;&#26684;&#36235;&#21183;&#22270;2021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价格汇总表"/>
      <sheetName val="Sheet1"/>
      <sheetName val="两家供货采购明细表"/>
      <sheetName val="未定价产品明细表"/>
    </sheetNames>
    <sheetDataSet>
      <sheetData sheetId="0">
        <row r="783">
          <cell r="E783" t="str">
            <v>BSP0000002</v>
          </cell>
          <cell r="F783" t="str">
            <v>侧翻折叠板拉簧</v>
          </cell>
          <cell r="H783" t="str">
            <v>EA</v>
          </cell>
          <cell r="I783">
            <v>0.43590000000000001</v>
          </cell>
          <cell r="J783">
            <v>0.43590000000000001</v>
          </cell>
        </row>
        <row r="784">
          <cell r="E784" t="str">
            <v>SHT0000089</v>
          </cell>
          <cell r="F784" t="str">
            <v>M4座盆组件</v>
          </cell>
          <cell r="H784" t="str">
            <v>EA</v>
          </cell>
          <cell r="I784">
            <v>18.965499999999999</v>
          </cell>
          <cell r="J784">
            <v>18.965499999999999</v>
          </cell>
        </row>
        <row r="785">
          <cell r="E785" t="str">
            <v>SHT0000103</v>
          </cell>
          <cell r="F785" t="str">
            <v>M4副司机底座左舵</v>
          </cell>
          <cell r="H785" t="str">
            <v>EA</v>
          </cell>
          <cell r="I785">
            <v>55.051299999999998</v>
          </cell>
          <cell r="J785">
            <v>55.051299999999998</v>
          </cell>
        </row>
        <row r="786">
          <cell r="E786" t="str">
            <v>SHT0000104</v>
          </cell>
          <cell r="F786" t="str">
            <v>M4副司机底座右舵</v>
          </cell>
          <cell r="H786" t="str">
            <v>EA</v>
          </cell>
          <cell r="I786">
            <v>55.051299999999998</v>
          </cell>
          <cell r="J786">
            <v>55.051299999999998</v>
          </cell>
        </row>
        <row r="787">
          <cell r="E787" t="str">
            <v>SLT0000055</v>
          </cell>
          <cell r="F787" t="str">
            <v>M3右舵1033座垫</v>
          </cell>
          <cell r="H787" t="str">
            <v>EA</v>
          </cell>
          <cell r="I787">
            <v>14.6838</v>
          </cell>
          <cell r="J787">
            <v>14.6838</v>
          </cell>
        </row>
        <row r="788">
          <cell r="E788" t="str">
            <v>SLT0000325</v>
          </cell>
          <cell r="F788" t="str">
            <v>K1宽车座盆</v>
          </cell>
          <cell r="H788" t="str">
            <v>EA</v>
          </cell>
          <cell r="I788">
            <v>14.3932</v>
          </cell>
          <cell r="J788">
            <v>14.3932</v>
          </cell>
        </row>
        <row r="789">
          <cell r="E789" t="str">
            <v>SLT0000348</v>
          </cell>
          <cell r="F789" t="str">
            <v>K1窄体座盆</v>
          </cell>
          <cell r="H789" t="str">
            <v>EA</v>
          </cell>
          <cell r="I789">
            <v>17.222200000000001</v>
          </cell>
          <cell r="J789">
            <v>17.222200000000001</v>
          </cell>
        </row>
        <row r="790">
          <cell r="E790" t="str">
            <v>SLT0000393</v>
          </cell>
          <cell r="F790" t="str">
            <v>K1宽车左舵一排双人座（三点式）</v>
          </cell>
          <cell r="H790" t="str">
            <v>EA</v>
          </cell>
          <cell r="I790">
            <v>110.0856</v>
          </cell>
          <cell r="J790">
            <v>110.0856</v>
          </cell>
        </row>
        <row r="791">
          <cell r="E791" t="str">
            <v>SLT0000401</v>
          </cell>
          <cell r="F791" t="str">
            <v>K1宽车左舵二排双人（三点式）</v>
          </cell>
          <cell r="H791" t="str">
            <v>EA</v>
          </cell>
          <cell r="I791">
            <v>110.0855</v>
          </cell>
          <cell r="J791">
            <v>110.0855</v>
          </cell>
        </row>
        <row r="792">
          <cell r="E792" t="str">
            <v>SLT0000409</v>
          </cell>
          <cell r="F792" t="str">
            <v>K1二排单人座（宽车）</v>
          </cell>
          <cell r="H792" t="str">
            <v>EA</v>
          </cell>
          <cell r="I792">
            <v>64.4786</v>
          </cell>
          <cell r="J792">
            <v>64.4786</v>
          </cell>
        </row>
        <row r="793">
          <cell r="E793" t="str">
            <v>SLT0000412</v>
          </cell>
          <cell r="F793" t="str">
            <v>K1三排单人座（宽车）</v>
          </cell>
          <cell r="H793" t="str">
            <v>EA</v>
          </cell>
          <cell r="I793">
            <v>64.4786</v>
          </cell>
          <cell r="J793">
            <v>64.4786</v>
          </cell>
        </row>
        <row r="794">
          <cell r="E794" t="str">
            <v>SLT0000413</v>
          </cell>
          <cell r="F794" t="str">
            <v>K1四排单人座(宽车）</v>
          </cell>
          <cell r="H794" t="str">
            <v>EA</v>
          </cell>
          <cell r="I794">
            <v>64.478700000000003</v>
          </cell>
          <cell r="J794">
            <v>64.478700000000003</v>
          </cell>
        </row>
        <row r="795">
          <cell r="E795" t="str">
            <v>SLT0000448</v>
          </cell>
          <cell r="F795" t="str">
            <v>K1四人联体座左（三点）</v>
          </cell>
          <cell r="H795" t="str">
            <v>EA</v>
          </cell>
          <cell r="I795">
            <v>110.0856</v>
          </cell>
          <cell r="J795">
            <v>110.0856</v>
          </cell>
        </row>
        <row r="796">
          <cell r="E796" t="str">
            <v>SLT0000461</v>
          </cell>
          <cell r="F796" t="str">
            <v>K1四人联体右座（三点式）</v>
          </cell>
          <cell r="H796" t="str">
            <v>EA</v>
          </cell>
          <cell r="I796">
            <v>112.42749999999999</v>
          </cell>
          <cell r="J796">
            <v>112.42749999999999</v>
          </cell>
        </row>
        <row r="797">
          <cell r="E797" t="str">
            <v>SLT0000463</v>
          </cell>
          <cell r="F797" t="str">
            <v>K1四排双人座</v>
          </cell>
          <cell r="H797" t="str">
            <v>EA</v>
          </cell>
          <cell r="I797">
            <v>109.9</v>
          </cell>
          <cell r="J797">
            <v>109.9</v>
          </cell>
        </row>
        <row r="798">
          <cell r="E798" t="str">
            <v>SLT0000470</v>
          </cell>
          <cell r="F798" t="str">
            <v>K1宽车左舵一排三人座（新）</v>
          </cell>
          <cell r="H798" t="str">
            <v>EA</v>
          </cell>
          <cell r="I798">
            <v>159.5829</v>
          </cell>
          <cell r="J798">
            <v>159.5829</v>
          </cell>
        </row>
        <row r="799">
          <cell r="E799" t="str">
            <v>SLT0000471</v>
          </cell>
          <cell r="F799" t="str">
            <v>K1右背左调角器连接板</v>
          </cell>
          <cell r="H799" t="str">
            <v>EA</v>
          </cell>
          <cell r="I799">
            <v>8.0310000000000006</v>
          </cell>
          <cell r="J799">
            <v>8.0310000000000006</v>
          </cell>
        </row>
        <row r="800">
          <cell r="E800" t="str">
            <v>SLT0000473</v>
          </cell>
          <cell r="F800" t="str">
            <v>K1加长11人一排双人座-FTK1Z-7231100</v>
          </cell>
          <cell r="H800" t="str">
            <v>EA</v>
          </cell>
          <cell r="I800">
            <v>112.76049999999999</v>
          </cell>
          <cell r="J800">
            <v>112.76049999999999</v>
          </cell>
        </row>
        <row r="801">
          <cell r="E801" t="str">
            <v>SLT0000474</v>
          </cell>
          <cell r="F801" t="str">
            <v>K1一排双人座骨架（5990）</v>
          </cell>
          <cell r="H801" t="str">
            <v>EA</v>
          </cell>
          <cell r="I801">
            <v>110.09</v>
          </cell>
          <cell r="J801">
            <v>110.09</v>
          </cell>
        </row>
        <row r="802">
          <cell r="E802" t="str">
            <v>SLT0000483</v>
          </cell>
          <cell r="F802" t="str">
            <v>K1窄车长轴一排三人座</v>
          </cell>
          <cell r="H802" t="str">
            <v>EA</v>
          </cell>
          <cell r="I802">
            <v>149.40170940170901</v>
          </cell>
          <cell r="J802">
            <v>149.40170940170901</v>
          </cell>
        </row>
        <row r="803">
          <cell r="E803" t="str">
            <v>SLT0000487</v>
          </cell>
          <cell r="F803" t="str">
            <v>K1一排三人座骨架（5990）</v>
          </cell>
          <cell r="H803" t="str">
            <v>EA</v>
          </cell>
          <cell r="I803">
            <v>122.16419999999999</v>
          </cell>
          <cell r="J803">
            <v>122.16419999999999</v>
          </cell>
        </row>
        <row r="804">
          <cell r="E804" t="str">
            <v>SLT0000493</v>
          </cell>
          <cell r="F804" t="str">
            <v>K1二排单人座（5990）</v>
          </cell>
          <cell r="H804" t="str">
            <v>EA</v>
          </cell>
          <cell r="I804">
            <v>71.555800000000005</v>
          </cell>
          <cell r="J804">
            <v>71.555800000000005</v>
          </cell>
        </row>
        <row r="805">
          <cell r="E805" t="str">
            <v>SLT0000495</v>
          </cell>
          <cell r="F805" t="str">
            <v>K1三排单人座（5990）</v>
          </cell>
          <cell r="H805" t="str">
            <v>EA</v>
          </cell>
          <cell r="I805">
            <v>71.555800000000005</v>
          </cell>
          <cell r="J805">
            <v>71.555800000000005</v>
          </cell>
        </row>
        <row r="806">
          <cell r="E806" t="str">
            <v>SLT0000496</v>
          </cell>
          <cell r="F806" t="str">
            <v>K1加长11人二排双人座-FTK1Z-7241100</v>
          </cell>
          <cell r="H806" t="str">
            <v>EA</v>
          </cell>
          <cell r="I806">
            <v>109.8974</v>
          </cell>
          <cell r="J806">
            <v>109.8974</v>
          </cell>
        </row>
        <row r="807">
          <cell r="E807" t="str">
            <v>SLT0000497</v>
          </cell>
          <cell r="F807" t="str">
            <v>K1二排双人座骨架（5990）</v>
          </cell>
          <cell r="H807" t="str">
            <v>EA</v>
          </cell>
          <cell r="I807">
            <v>129.20330000000001</v>
          </cell>
          <cell r="J807">
            <v>129.20330000000001</v>
          </cell>
        </row>
        <row r="808">
          <cell r="E808" t="str">
            <v>SLT0000498</v>
          </cell>
          <cell r="F808" t="str">
            <v>K1加长11人三排双人座-FTK1Z-7251100</v>
          </cell>
          <cell r="H808" t="str">
            <v>EA</v>
          </cell>
          <cell r="I808">
            <v>108.64109999999999</v>
          </cell>
          <cell r="J808">
            <v>108.64109999999999</v>
          </cell>
        </row>
        <row r="809">
          <cell r="E809" t="str">
            <v>SLT0000508</v>
          </cell>
          <cell r="F809" t="str">
            <v>K1侧翻左折叠板</v>
          </cell>
          <cell r="H809" t="str">
            <v>EA</v>
          </cell>
          <cell r="I809">
            <v>47.880299999999998</v>
          </cell>
          <cell r="J809">
            <v>47.880299999999998</v>
          </cell>
        </row>
        <row r="810">
          <cell r="E810" t="str">
            <v>SLT0000509</v>
          </cell>
          <cell r="F810" t="str">
            <v>K1前悬转支架左宽车</v>
          </cell>
          <cell r="H810" t="str">
            <v>EA</v>
          </cell>
          <cell r="I810">
            <v>10.948700000000001</v>
          </cell>
          <cell r="J810">
            <v>10.948700000000001</v>
          </cell>
        </row>
        <row r="811">
          <cell r="E811" t="str">
            <v>SLT0000524</v>
          </cell>
          <cell r="F811" t="str">
            <v>K1宽车左后旋转支架总成</v>
          </cell>
          <cell r="H811" t="str">
            <v>EA</v>
          </cell>
          <cell r="I811">
            <v>19.820499999999999</v>
          </cell>
          <cell r="J811">
            <v>19.820499999999999</v>
          </cell>
        </row>
        <row r="812">
          <cell r="E812" t="str">
            <v>SLT0000530</v>
          </cell>
          <cell r="F812" t="str">
            <v>K1侧翻右折叠板</v>
          </cell>
          <cell r="H812" t="str">
            <v>EA</v>
          </cell>
          <cell r="I812">
            <v>47.880299999999998</v>
          </cell>
          <cell r="J812">
            <v>47.880299999999998</v>
          </cell>
        </row>
        <row r="813">
          <cell r="E813" t="str">
            <v>SLT0000531</v>
          </cell>
          <cell r="F813" t="str">
            <v>K1前悬转支架右宽车</v>
          </cell>
          <cell r="H813" t="str">
            <v>EA</v>
          </cell>
          <cell r="I813">
            <v>10.948700000000001</v>
          </cell>
          <cell r="J813">
            <v>10.948700000000001</v>
          </cell>
        </row>
        <row r="814">
          <cell r="E814" t="str">
            <v>SLT0000537</v>
          </cell>
          <cell r="F814" t="str">
            <v>K1宽车右后旋转支架总成</v>
          </cell>
          <cell r="H814" t="str">
            <v>EA</v>
          </cell>
          <cell r="I814">
            <v>19.820499999999999</v>
          </cell>
          <cell r="J814">
            <v>19.820499999999999</v>
          </cell>
        </row>
        <row r="815">
          <cell r="E815" t="str">
            <v>SLT0000553</v>
          </cell>
          <cell r="F815" t="str">
            <v>K1一排四人联体坐垫（右舵）</v>
          </cell>
          <cell r="H815" t="str">
            <v>EA</v>
          </cell>
          <cell r="I815">
            <v>185.30330000000001</v>
          </cell>
          <cell r="J815">
            <v>185.30330000000001</v>
          </cell>
        </row>
        <row r="816">
          <cell r="E816" t="str">
            <v>SLT0000559</v>
          </cell>
          <cell r="F816" t="str">
            <v>K1宽车右舵二排双人（7251）</v>
          </cell>
          <cell r="H816" t="str">
            <v>EA</v>
          </cell>
          <cell r="I816">
            <v>119.7265</v>
          </cell>
          <cell r="J816">
            <v>119.7265</v>
          </cell>
        </row>
        <row r="817">
          <cell r="E817" t="str">
            <v>SLT0000563</v>
          </cell>
          <cell r="F817" t="str">
            <v>K1宽车右舵二排单人座</v>
          </cell>
          <cell r="H817" t="str">
            <v>EA</v>
          </cell>
          <cell r="I817">
            <v>71.557199999999995</v>
          </cell>
          <cell r="J817">
            <v>71.557199999999995</v>
          </cell>
        </row>
        <row r="818">
          <cell r="E818" t="str">
            <v>SLT0000566</v>
          </cell>
          <cell r="F818" t="str">
            <v>K1宽车右舵三排单人座</v>
          </cell>
          <cell r="H818" t="str">
            <v>EA</v>
          </cell>
          <cell r="I818">
            <v>64.478800000000007</v>
          </cell>
          <cell r="J818">
            <v>64.478800000000007</v>
          </cell>
        </row>
        <row r="819">
          <cell r="E819" t="str">
            <v>SLT0000576</v>
          </cell>
          <cell r="F819" t="str">
            <v>K1宽车右舵一排三人座（新）</v>
          </cell>
          <cell r="H819" t="str">
            <v>EA</v>
          </cell>
          <cell r="I819">
            <v>122.27</v>
          </cell>
          <cell r="J819">
            <v>122.27</v>
          </cell>
        </row>
        <row r="820">
          <cell r="E820" t="str">
            <v>SLT0000577</v>
          </cell>
          <cell r="F820" t="str">
            <v>K1连接板（右舵）</v>
          </cell>
          <cell r="H820" t="str">
            <v>EA</v>
          </cell>
          <cell r="I820">
            <v>8.0310000000000006</v>
          </cell>
          <cell r="J820">
            <v>8.0310000000000006</v>
          </cell>
        </row>
        <row r="821">
          <cell r="E821" t="str">
            <v>SLT0000579</v>
          </cell>
          <cell r="F821" t="str">
            <v>K1宽车右舵一排双人座骨架（三点式）</v>
          </cell>
          <cell r="H821" t="str">
            <v>EA</v>
          </cell>
          <cell r="I821">
            <v>111.48</v>
          </cell>
          <cell r="J821">
            <v>111.48</v>
          </cell>
        </row>
        <row r="822">
          <cell r="E822" t="str">
            <v>SLT0000582</v>
          </cell>
          <cell r="F822" t="str">
            <v>K1宽车右舵二排双人座（三点式）</v>
          </cell>
          <cell r="H822" t="str">
            <v>EA</v>
          </cell>
          <cell r="I822">
            <v>110.08499999999999</v>
          </cell>
          <cell r="J822">
            <v>110.08499999999999</v>
          </cell>
        </row>
        <row r="823">
          <cell r="E823" t="str">
            <v>SLT0000588</v>
          </cell>
          <cell r="F823" t="str">
            <v>1.5小侧翻窄车9人座左前支架</v>
          </cell>
          <cell r="H823" t="str">
            <v>EA</v>
          </cell>
          <cell r="I823">
            <v>10.948700000000001</v>
          </cell>
          <cell r="J823">
            <v>10.948700000000001</v>
          </cell>
        </row>
        <row r="824">
          <cell r="E824" t="str">
            <v>SLT0000597</v>
          </cell>
          <cell r="F824" t="str">
            <v>K1窄车左后旋转支架</v>
          </cell>
          <cell r="H824" t="str">
            <v>EA</v>
          </cell>
          <cell r="I824">
            <v>19.820499999999999</v>
          </cell>
          <cell r="J824">
            <v>19.820499999999999</v>
          </cell>
        </row>
        <row r="825">
          <cell r="E825" t="str">
            <v>SLT0000599</v>
          </cell>
          <cell r="F825" t="str">
            <v>1.5小侧翻窄车9人座右前支架</v>
          </cell>
          <cell r="H825" t="str">
            <v>EA</v>
          </cell>
          <cell r="I825">
            <v>10.948700000000001</v>
          </cell>
          <cell r="J825">
            <v>10.948700000000001</v>
          </cell>
        </row>
        <row r="826">
          <cell r="E826" t="str">
            <v>SLT0000606</v>
          </cell>
          <cell r="F826" t="str">
            <v>K1窄车右后旋转支架</v>
          </cell>
          <cell r="H826" t="str">
            <v>EA</v>
          </cell>
          <cell r="I826">
            <v>19.820499999999999</v>
          </cell>
          <cell r="J826">
            <v>19.820499999999999</v>
          </cell>
        </row>
        <row r="827">
          <cell r="E827" t="str">
            <v>SLT0000607</v>
          </cell>
          <cell r="F827" t="str">
            <v>K1双人座骨架总成带折叠座</v>
          </cell>
          <cell r="H827" t="str">
            <v>EA</v>
          </cell>
          <cell r="I827">
            <v>108.64100000000001</v>
          </cell>
          <cell r="J827">
            <v>108.64100000000001</v>
          </cell>
        </row>
        <row r="828">
          <cell r="E828" t="str">
            <v>SLT0000612</v>
          </cell>
          <cell r="F828" t="str">
            <v>K1窄车长轴二排三人</v>
          </cell>
          <cell r="H828" t="str">
            <v>EA</v>
          </cell>
          <cell r="I828">
            <v>109.897435897436</v>
          </cell>
          <cell r="J828">
            <v>109.897435897436</v>
          </cell>
        </row>
        <row r="829">
          <cell r="E829" t="str">
            <v>SLT0000613</v>
          </cell>
          <cell r="F829" t="str">
            <v>K1乘客第三排双人联体5990</v>
          </cell>
          <cell r="H829" t="str">
            <v>EA</v>
          </cell>
          <cell r="I829">
            <v>127.44670000000001</v>
          </cell>
          <cell r="J829">
            <v>127.44670000000001</v>
          </cell>
        </row>
        <row r="830">
          <cell r="E830" t="str">
            <v>SLT0000631</v>
          </cell>
          <cell r="F830" t="str">
            <v>K1窄体三排三人座(三点式）</v>
          </cell>
          <cell r="H830" t="str">
            <v>EA</v>
          </cell>
          <cell r="I830">
            <v>185.44239999999999</v>
          </cell>
          <cell r="J830">
            <v>185.44239999999999</v>
          </cell>
        </row>
        <row r="831">
          <cell r="E831" t="str">
            <v>SLT0000635</v>
          </cell>
          <cell r="F831" t="str">
            <v>K1窄车左舵一排三人座骨架</v>
          </cell>
          <cell r="H831" t="str">
            <v>EA</v>
          </cell>
          <cell r="I831">
            <v>120.8973</v>
          </cell>
          <cell r="J831">
            <v>120.8973</v>
          </cell>
        </row>
        <row r="832">
          <cell r="E832" t="str">
            <v>SLT0000636</v>
          </cell>
          <cell r="F832" t="str">
            <v>K1窄车左舵二排三人座骨架</v>
          </cell>
          <cell r="H832" t="str">
            <v>EA</v>
          </cell>
          <cell r="I832">
            <v>119.1027</v>
          </cell>
          <cell r="J832">
            <v>119.1027</v>
          </cell>
        </row>
        <row r="833">
          <cell r="E833" t="str">
            <v>SLT0000637</v>
          </cell>
          <cell r="F833" t="str">
            <v>K1窄车三排双人座</v>
          </cell>
          <cell r="H833" t="str">
            <v>EA</v>
          </cell>
          <cell r="I833">
            <v>110.0853</v>
          </cell>
          <cell r="J833">
            <v>110.0853</v>
          </cell>
        </row>
        <row r="834">
          <cell r="E834" t="str">
            <v>SLT0000639</v>
          </cell>
          <cell r="F834" t="str">
            <v>K1窄车加长14人二排双人座</v>
          </cell>
          <cell r="H834" t="str">
            <v>EA</v>
          </cell>
          <cell r="I834">
            <v>111.82899999999999</v>
          </cell>
          <cell r="J834">
            <v>111.82899999999999</v>
          </cell>
        </row>
        <row r="835">
          <cell r="E835" t="str">
            <v>SLT0000640</v>
          </cell>
          <cell r="F835" t="str">
            <v>K1窄车加长14人三排双人座</v>
          </cell>
          <cell r="H835" t="str">
            <v>EA</v>
          </cell>
          <cell r="I835">
            <v>112.90430000000001</v>
          </cell>
          <cell r="J835">
            <v>112.90430000000001</v>
          </cell>
        </row>
        <row r="836">
          <cell r="E836" t="str">
            <v>SLT0000647</v>
          </cell>
          <cell r="F836" t="str">
            <v>K1窄车三排单人座</v>
          </cell>
          <cell r="H836" t="str">
            <v>EA</v>
          </cell>
          <cell r="I836">
            <v>64.478499999999997</v>
          </cell>
          <cell r="J836">
            <v>64.478499999999997</v>
          </cell>
        </row>
        <row r="837">
          <cell r="E837" t="str">
            <v>SLT0000648</v>
          </cell>
          <cell r="F837" t="str">
            <v>K1窄车前旋转支架左（无头枕）</v>
          </cell>
          <cell r="H837" t="str">
            <v>EA</v>
          </cell>
          <cell r="I837">
            <v>17.547000000000001</v>
          </cell>
          <cell r="J837">
            <v>17.547000000000001</v>
          </cell>
        </row>
        <row r="838">
          <cell r="E838" t="str">
            <v>SLT0000653</v>
          </cell>
          <cell r="F838" t="str">
            <v>K1窄车四排单人座</v>
          </cell>
          <cell r="H838" t="str">
            <v>EA</v>
          </cell>
          <cell r="I838">
            <v>64.478700000000003</v>
          </cell>
          <cell r="J838">
            <v>64.478700000000003</v>
          </cell>
        </row>
        <row r="839">
          <cell r="E839" t="str">
            <v>SLT0000654</v>
          </cell>
          <cell r="F839" t="str">
            <v>k1窄车加长14人二排单人座</v>
          </cell>
          <cell r="H839" t="str">
            <v>EA</v>
          </cell>
          <cell r="I839">
            <v>71.555499999999995</v>
          </cell>
          <cell r="J839">
            <v>71.555499999999995</v>
          </cell>
        </row>
        <row r="840">
          <cell r="E840" t="str">
            <v>SLT0000656</v>
          </cell>
          <cell r="F840" t="str">
            <v>K1窄车加长14人一排三人座-FTK1Z-731200L</v>
          </cell>
          <cell r="H840" t="str">
            <v>EA</v>
          </cell>
          <cell r="I840">
            <v>159.583</v>
          </cell>
          <cell r="J840">
            <v>159.583</v>
          </cell>
        </row>
        <row r="841">
          <cell r="E841" t="str">
            <v>SLT0000657</v>
          </cell>
          <cell r="F841" t="str">
            <v>K1窄车长轴15座一排双人</v>
          </cell>
          <cell r="H841" t="str">
            <v>EA</v>
          </cell>
          <cell r="I841">
            <v>123.82559999999999</v>
          </cell>
          <cell r="J841">
            <v>123.82559999999999</v>
          </cell>
        </row>
        <row r="842">
          <cell r="E842" t="str">
            <v>SLT0000658</v>
          </cell>
          <cell r="F842" t="str">
            <v>K1窄车长轴15座二排双人</v>
          </cell>
          <cell r="H842" t="str">
            <v>EA</v>
          </cell>
          <cell r="I842">
            <v>121.0051</v>
          </cell>
          <cell r="J842">
            <v>121.0051</v>
          </cell>
        </row>
        <row r="843">
          <cell r="E843" t="str">
            <v>SLT0000659</v>
          </cell>
          <cell r="F843" t="str">
            <v>K1窄车长轴15座三排双人</v>
          </cell>
          <cell r="H843" t="str">
            <v>EA</v>
          </cell>
          <cell r="I843">
            <v>119.7231</v>
          </cell>
          <cell r="J843">
            <v>119.7231</v>
          </cell>
        </row>
        <row r="844">
          <cell r="E844" t="str">
            <v>SLT0001032</v>
          </cell>
          <cell r="F844" t="str">
            <v>K1一排三人联体座(老)</v>
          </cell>
          <cell r="H844" t="str">
            <v>EA</v>
          </cell>
          <cell r="I844">
            <v>150.18799999999999</v>
          </cell>
          <cell r="J844">
            <v>150.18799999999999</v>
          </cell>
        </row>
        <row r="845">
          <cell r="E845" t="str">
            <v>SLT0001038</v>
          </cell>
          <cell r="F845" t="str">
            <v>K1宽车左舵二排双人四不像7251</v>
          </cell>
          <cell r="H845" t="str">
            <v>EA</v>
          </cell>
          <cell r="I845">
            <v>110.0855</v>
          </cell>
          <cell r="J845">
            <v>110.0855</v>
          </cell>
        </row>
        <row r="846">
          <cell r="E846" t="str">
            <v>SLT0001040</v>
          </cell>
          <cell r="F846" t="str">
            <v>K1出口马来一排双人</v>
          </cell>
          <cell r="H846" t="str">
            <v>EA</v>
          </cell>
          <cell r="I846">
            <v>105.9044</v>
          </cell>
          <cell r="J846">
            <v>105.9044</v>
          </cell>
        </row>
        <row r="847">
          <cell r="E847" t="str">
            <v>SLT0001052</v>
          </cell>
          <cell r="F847" t="str">
            <v>K1出口马来二排单人</v>
          </cell>
          <cell r="H847" t="str">
            <v>EA</v>
          </cell>
          <cell r="I847">
            <v>76.830399999999997</v>
          </cell>
          <cell r="J847">
            <v>76.830399999999997</v>
          </cell>
        </row>
        <row r="848">
          <cell r="E848" t="str">
            <v>SLT0001057</v>
          </cell>
          <cell r="F848" t="str">
            <v>K1二排单人座右舵（5990）</v>
          </cell>
          <cell r="H848" t="str">
            <v>EA</v>
          </cell>
          <cell r="I848">
            <v>71.555000000000007</v>
          </cell>
          <cell r="J848">
            <v>71.555000000000007</v>
          </cell>
        </row>
        <row r="849">
          <cell r="E849" t="str">
            <v>SLT0001058</v>
          </cell>
          <cell r="F849" t="str">
            <v>K1出口马来三排单人</v>
          </cell>
          <cell r="H849" t="str">
            <v>EA</v>
          </cell>
          <cell r="I849">
            <v>72.5608</v>
          </cell>
          <cell r="J849">
            <v>72.5608</v>
          </cell>
        </row>
        <row r="850">
          <cell r="E850" t="str">
            <v>SLT0001060</v>
          </cell>
          <cell r="F850" t="str">
            <v>K1三排单人座右舵（5990）</v>
          </cell>
          <cell r="H850" t="str">
            <v>EA</v>
          </cell>
          <cell r="I850">
            <v>71.555000000000007</v>
          </cell>
          <cell r="J850">
            <v>71.555000000000007</v>
          </cell>
        </row>
        <row r="851">
          <cell r="E851" t="str">
            <v>SLT0001061</v>
          </cell>
          <cell r="F851" t="str">
            <v>K1加长9座二排双人座</v>
          </cell>
          <cell r="H851" t="str">
            <v>EA</v>
          </cell>
          <cell r="I851">
            <v>109.897435897436</v>
          </cell>
          <cell r="J851">
            <v>109.897435897436</v>
          </cell>
        </row>
        <row r="852">
          <cell r="E852" t="str">
            <v>SLT0001062</v>
          </cell>
          <cell r="F852" t="str">
            <v>K1二排双人座骨架右舵5990</v>
          </cell>
          <cell r="H852" t="str">
            <v>EA</v>
          </cell>
          <cell r="I852">
            <v>129.20249999999999</v>
          </cell>
          <cell r="J852">
            <v>129.20249999999999</v>
          </cell>
        </row>
        <row r="853">
          <cell r="E853" t="str">
            <v>SLT0001063</v>
          </cell>
          <cell r="F853" t="str">
            <v>K1出口马来二排双人</v>
          </cell>
          <cell r="H853" t="str">
            <v>EA</v>
          </cell>
          <cell r="I853">
            <v>105.9046</v>
          </cell>
          <cell r="J853">
            <v>105.9046</v>
          </cell>
        </row>
        <row r="854">
          <cell r="E854" t="str">
            <v>SLT0001076</v>
          </cell>
          <cell r="F854" t="str">
            <v>K1三排双人座骨架右舵5990</v>
          </cell>
          <cell r="H854" t="str">
            <v>EA</v>
          </cell>
          <cell r="I854">
            <v>128.20500000000001</v>
          </cell>
          <cell r="J854">
            <v>128.20500000000001</v>
          </cell>
        </row>
        <row r="855">
          <cell r="E855" t="str">
            <v>SLT0001591</v>
          </cell>
          <cell r="F855" t="str">
            <v>K1一排四人联体坐垫（右舵）5990</v>
          </cell>
          <cell r="H855" t="str">
            <v>EA</v>
          </cell>
          <cell r="I855">
            <v>153.84615384615401</v>
          </cell>
          <cell r="J855">
            <v>153.84615384615401</v>
          </cell>
        </row>
        <row r="856">
          <cell r="E856" t="str">
            <v>SLT0001592</v>
          </cell>
          <cell r="F856" t="str">
            <v>K1窄车右舵一排三人座</v>
          </cell>
          <cell r="H856" t="str">
            <v>EA</v>
          </cell>
          <cell r="I856">
            <v>150.1875</v>
          </cell>
          <cell r="J856">
            <v>150.1875</v>
          </cell>
        </row>
        <row r="857">
          <cell r="E857" t="str">
            <v>SLT0001593</v>
          </cell>
          <cell r="F857" t="str">
            <v>K1窄车右舵二排双人座</v>
          </cell>
          <cell r="H857" t="str">
            <v>EA</v>
          </cell>
          <cell r="I857">
            <v>100.0809</v>
          </cell>
          <cell r="J857">
            <v>100.0809</v>
          </cell>
        </row>
        <row r="858">
          <cell r="E858" t="str">
            <v>SLT0001594</v>
          </cell>
          <cell r="F858" t="str">
            <v>K1窄车右舵三排双人座</v>
          </cell>
          <cell r="H858" t="str">
            <v>EA</v>
          </cell>
          <cell r="I858">
            <v>100.08</v>
          </cell>
          <cell r="J858">
            <v>100.08</v>
          </cell>
        </row>
        <row r="859">
          <cell r="E859" t="str">
            <v>SLT0001595</v>
          </cell>
          <cell r="F859" t="str">
            <v>K1窄车右舵二排单人座</v>
          </cell>
          <cell r="H859" t="str">
            <v>EA</v>
          </cell>
          <cell r="I859">
            <v>71.5555555555556</v>
          </cell>
          <cell r="J859">
            <v>71.5555555555556</v>
          </cell>
        </row>
        <row r="860">
          <cell r="E860" t="str">
            <v>SLT0001596</v>
          </cell>
          <cell r="F860" t="str">
            <v>K1窄车右舵四排单人座</v>
          </cell>
          <cell r="H860" t="str">
            <v>EA</v>
          </cell>
          <cell r="I860">
            <v>71.555000000000007</v>
          </cell>
          <cell r="J860">
            <v>71.555000000000007</v>
          </cell>
        </row>
        <row r="861">
          <cell r="E861" t="str">
            <v>SLT0001597</v>
          </cell>
          <cell r="F861" t="str">
            <v>K1窄车15人座全包四排单人</v>
          </cell>
          <cell r="H861" t="str">
            <v>EA</v>
          </cell>
          <cell r="I861">
            <v>67.965811965811994</v>
          </cell>
          <cell r="J861">
            <v>67.965811965811994</v>
          </cell>
        </row>
        <row r="862">
          <cell r="E862" t="str">
            <v>SLT0001598</v>
          </cell>
          <cell r="F862" t="str">
            <v>K1一排三人座骨架右舵5990</v>
          </cell>
          <cell r="H862" t="str">
            <v>EA</v>
          </cell>
          <cell r="I862">
            <v>122.16500000000001</v>
          </cell>
          <cell r="J862">
            <v>122.16500000000001</v>
          </cell>
        </row>
        <row r="863">
          <cell r="E863" t="str">
            <v>SLT0001600</v>
          </cell>
          <cell r="F863" t="str">
            <v>k1窄车加长14人三排单人座</v>
          </cell>
          <cell r="H863" t="str">
            <v>EA</v>
          </cell>
          <cell r="I863">
            <v>71.555499999999995</v>
          </cell>
          <cell r="J863">
            <v>71.555499999999995</v>
          </cell>
        </row>
        <row r="864">
          <cell r="E864" t="str">
            <v>SLT0001611</v>
          </cell>
          <cell r="F864" t="str">
            <v>K1宽车右舵四排单人座</v>
          </cell>
          <cell r="H864" t="str">
            <v>EA</v>
          </cell>
          <cell r="I864">
            <v>64.48</v>
          </cell>
          <cell r="J864">
            <v>64.48</v>
          </cell>
        </row>
        <row r="865">
          <cell r="E865" t="str">
            <v>SLT0001816</v>
          </cell>
          <cell r="F865" t="str">
            <v>K1窄车右舵三排单人座</v>
          </cell>
          <cell r="H865" t="str">
            <v>EA</v>
          </cell>
          <cell r="I865">
            <v>64.48</v>
          </cell>
          <cell r="J865">
            <v>64.48</v>
          </cell>
        </row>
        <row r="866">
          <cell r="E866" t="str">
            <v>SLT0002353</v>
          </cell>
          <cell r="F866" t="str">
            <v>K1窄车前旋转支架右（无头枕）</v>
          </cell>
          <cell r="H866" t="str">
            <v>EA</v>
          </cell>
          <cell r="I866">
            <v>17.547000000000001</v>
          </cell>
          <cell r="J866">
            <v>17.547000000000001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塑料采购价格趋势"/>
      <sheetName val="钢板采购价格趋势图"/>
      <sheetName val="化工原料趋势图"/>
      <sheetName val="钢管采购价格趋势图"/>
      <sheetName val="注塑料价格明细"/>
      <sheetName val="钢板价格明细"/>
      <sheetName val="钢管价格明细"/>
      <sheetName val="分析"/>
    </sheetNames>
    <sheetDataSet>
      <sheetData sheetId="0"/>
      <sheetData sheetId="1"/>
      <sheetData sheetId="2"/>
      <sheetData sheetId="3">
        <row r="2">
          <cell r="D2" t="str">
            <v>1月</v>
          </cell>
          <cell r="E2" t="str">
            <v>2月</v>
          </cell>
          <cell r="F2" t="str">
            <v>3月</v>
          </cell>
          <cell r="G2" t="str">
            <v>4月</v>
          </cell>
          <cell r="H2" t="str">
            <v>5月</v>
          </cell>
          <cell r="I2" t="str">
            <v>6月</v>
          </cell>
          <cell r="J2" t="str">
            <v>7月</v>
          </cell>
          <cell r="K2" t="str">
            <v>8月</v>
          </cell>
          <cell r="L2" t="str">
            <v>9月</v>
          </cell>
          <cell r="M2" t="str">
            <v>10月</v>
          </cell>
          <cell r="N2" t="str">
            <v>11月</v>
          </cell>
          <cell r="O2" t="str">
            <v>12月</v>
          </cell>
        </row>
        <row r="3">
          <cell r="B3" t="str">
            <v>SPCC ≥φ20</v>
          </cell>
          <cell r="C3" t="str">
            <v xml:space="preserve"> 2020年均价</v>
          </cell>
          <cell r="D3">
            <v>4.4115044247787614</v>
          </cell>
          <cell r="E3">
            <v>4.4115044247787614</v>
          </cell>
          <cell r="F3">
            <v>4.4115044247787614</v>
          </cell>
          <cell r="G3">
            <v>4.4115044247787614</v>
          </cell>
          <cell r="H3">
            <v>4.4115044247787614</v>
          </cell>
          <cell r="I3">
            <v>4.4115044247787614</v>
          </cell>
          <cell r="J3">
            <v>4.4115044247787614</v>
          </cell>
          <cell r="K3">
            <v>4.4115044247787614</v>
          </cell>
          <cell r="L3">
            <v>4.4115044247787614</v>
          </cell>
          <cell r="M3">
            <v>4.4115044247787614</v>
          </cell>
          <cell r="N3">
            <v>4.4115044247787614</v>
          </cell>
          <cell r="O3">
            <v>4.4115044247787614</v>
          </cell>
        </row>
        <row r="4">
          <cell r="B4" t="str">
            <v>SPCC ≥φ20</v>
          </cell>
          <cell r="C4" t="str">
            <v>2021年</v>
          </cell>
          <cell r="D4">
            <v>5.7522123893805315</v>
          </cell>
          <cell r="E4">
            <v>5.2654867256637177</v>
          </cell>
          <cell r="F4">
            <v>5.8849557522123899</v>
          </cell>
          <cell r="G4">
            <v>5.7168141592920358</v>
          </cell>
          <cell r="H4">
            <v>5.8672566371681416</v>
          </cell>
          <cell r="I4">
            <v>5.6283185840707972</v>
          </cell>
        </row>
        <row r="5">
          <cell r="B5" t="str">
            <v>光亮管Q195  ≥φ20</v>
          </cell>
          <cell r="C5" t="str">
            <v xml:space="preserve"> 2020年均价</v>
          </cell>
          <cell r="D5">
            <v>4.557522123893806</v>
          </cell>
          <cell r="E5">
            <v>4.557522123893806</v>
          </cell>
          <cell r="F5">
            <v>4.557522123893806</v>
          </cell>
          <cell r="G5">
            <v>4.557522123893806</v>
          </cell>
          <cell r="H5">
            <v>4.557522123893806</v>
          </cell>
          <cell r="I5">
            <v>4.557522123893806</v>
          </cell>
          <cell r="J5">
            <v>4.557522123893806</v>
          </cell>
          <cell r="K5">
            <v>4.557522123893806</v>
          </cell>
          <cell r="L5">
            <v>4.557522123893806</v>
          </cell>
          <cell r="M5">
            <v>4.557522123893806</v>
          </cell>
          <cell r="N5">
            <v>4.557522123893806</v>
          </cell>
          <cell r="O5">
            <v>4.557522123893806</v>
          </cell>
        </row>
        <row r="6">
          <cell r="B6" t="str">
            <v>光亮管Q195  ≥φ20</v>
          </cell>
          <cell r="C6" t="str">
            <v>2021年</v>
          </cell>
          <cell r="D6">
            <v>4.9115044247787614</v>
          </cell>
          <cell r="E6">
            <v>4.9115044247787614</v>
          </cell>
          <cell r="F6">
            <v>5.1769911504424782</v>
          </cell>
          <cell r="G6">
            <v>5.7168141592920358</v>
          </cell>
          <cell r="H6">
            <v>5.8672566371681416</v>
          </cell>
          <cell r="I6">
            <v>5.6283185840707972</v>
          </cell>
        </row>
        <row r="7">
          <cell r="B7" t="str">
            <v>焊管管Q235  ≥φ20</v>
          </cell>
          <cell r="C7" t="str">
            <v xml:space="preserve"> 2020年均价</v>
          </cell>
          <cell r="D7">
            <v>4.778761061946903</v>
          </cell>
          <cell r="E7">
            <v>4.778761061946903</v>
          </cell>
          <cell r="F7">
            <v>4.778761061946903</v>
          </cell>
          <cell r="G7">
            <v>4.778761061946903</v>
          </cell>
          <cell r="H7">
            <v>4.778761061946903</v>
          </cell>
          <cell r="I7">
            <v>4.778761061946903</v>
          </cell>
          <cell r="J7">
            <v>4.778761061946903</v>
          </cell>
          <cell r="K7">
            <v>4.778761061946903</v>
          </cell>
          <cell r="L7">
            <v>4.778761061946903</v>
          </cell>
          <cell r="M7">
            <v>4.778761061946903</v>
          </cell>
          <cell r="N7">
            <v>4.778761061946903</v>
          </cell>
          <cell r="O7">
            <v>4.778761061946903</v>
          </cell>
        </row>
        <row r="8">
          <cell r="B8" t="str">
            <v>焊管管Q235  ≥φ20</v>
          </cell>
          <cell r="C8" t="str">
            <v>2021年</v>
          </cell>
          <cell r="D8">
            <v>5.0000000000000009</v>
          </cell>
          <cell r="E8">
            <v>4.9115044247787614</v>
          </cell>
          <cell r="F8">
            <v>5.1769911504424782</v>
          </cell>
          <cell r="G8">
            <v>5.7168141592920358</v>
          </cell>
          <cell r="H8">
            <v>6.5044247787610621</v>
          </cell>
          <cell r="I8">
            <v>6.6814159292035402</v>
          </cell>
        </row>
        <row r="35">
          <cell r="D35" t="str">
            <v>1月</v>
          </cell>
          <cell r="E35" t="str">
            <v>2月</v>
          </cell>
          <cell r="F35" t="str">
            <v>3月</v>
          </cell>
          <cell r="G35" t="str">
            <v>4月</v>
          </cell>
          <cell r="H35" t="str">
            <v>5月</v>
          </cell>
          <cell r="I35" t="str">
            <v>6月</v>
          </cell>
          <cell r="J35" t="str">
            <v>7月</v>
          </cell>
          <cell r="K35" t="str">
            <v>8月</v>
          </cell>
          <cell r="L35" t="str">
            <v>9月</v>
          </cell>
          <cell r="M35" t="str">
            <v>10月</v>
          </cell>
          <cell r="N35" t="str">
            <v>11月</v>
          </cell>
          <cell r="O35" t="str">
            <v>12月</v>
          </cell>
        </row>
        <row r="36">
          <cell r="B36" t="str">
            <v>Q345 25*25*1.5方管</v>
          </cell>
          <cell r="C36" t="str">
            <v xml:space="preserve"> 2020年均价</v>
          </cell>
          <cell r="D36">
            <v>5.0442477876106198</v>
          </cell>
          <cell r="E36">
            <v>4.4115044247787614</v>
          </cell>
          <cell r="F36">
            <v>4.4115044247787614</v>
          </cell>
          <cell r="G36">
            <v>4.4115044247787614</v>
          </cell>
          <cell r="H36">
            <v>4.4115044247787614</v>
          </cell>
          <cell r="I36">
            <v>4.4115044247787614</v>
          </cell>
          <cell r="J36">
            <v>4.4115044247787614</v>
          </cell>
          <cell r="K36">
            <v>4.4115044247787614</v>
          </cell>
          <cell r="L36">
            <v>4.4115044247787614</v>
          </cell>
          <cell r="M36">
            <v>4.4115044247787614</v>
          </cell>
          <cell r="N36">
            <v>4.4115044247787614</v>
          </cell>
          <cell r="O36">
            <v>4.4115044247787614</v>
          </cell>
        </row>
        <row r="37">
          <cell r="B37" t="str">
            <v>Q345 25*25*1.5方管</v>
          </cell>
          <cell r="C37" t="str">
            <v>2021年</v>
          </cell>
          <cell r="D37">
            <v>5.9292035398230096</v>
          </cell>
          <cell r="E37">
            <v>5.9292035398230096</v>
          </cell>
          <cell r="I37">
            <v>6.7699115044247797</v>
          </cell>
        </row>
        <row r="38">
          <cell r="B38" t="str">
            <v>Q345 30*40*3.0方管</v>
          </cell>
          <cell r="C38" t="str">
            <v xml:space="preserve"> 2020年均价</v>
          </cell>
          <cell r="D38">
            <v>5.6637168141592928</v>
          </cell>
          <cell r="E38">
            <v>4.557522123893806</v>
          </cell>
          <cell r="F38">
            <v>4.557522123893806</v>
          </cell>
          <cell r="G38">
            <v>4.557522123893806</v>
          </cell>
          <cell r="H38">
            <v>4.557522123893806</v>
          </cell>
          <cell r="I38">
            <v>4.557522123893806</v>
          </cell>
          <cell r="J38">
            <v>4.557522123893806</v>
          </cell>
          <cell r="K38">
            <v>4.557522123893806</v>
          </cell>
          <cell r="L38">
            <v>4.557522123893806</v>
          </cell>
          <cell r="M38">
            <v>4.557522123893806</v>
          </cell>
          <cell r="N38">
            <v>4.557522123893806</v>
          </cell>
          <cell r="O38">
            <v>4.557522123893806</v>
          </cell>
        </row>
        <row r="39">
          <cell r="B39" t="str">
            <v>Q345 30*40*3.0方管</v>
          </cell>
          <cell r="C39" t="str">
            <v>2021年</v>
          </cell>
          <cell r="D39">
            <v>6.3274336283185848</v>
          </cell>
          <cell r="E39">
            <v>6.3274336283185848</v>
          </cell>
          <cell r="G39">
            <v>6.3274336283185848</v>
          </cell>
          <cell r="H39">
            <v>6.4601769911504432</v>
          </cell>
          <cell r="I39">
            <v>6.72566371681416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abSelected="1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H4" sqref="H4"/>
    </sheetView>
  </sheetViews>
  <sheetFormatPr defaultColWidth="9" defaultRowHeight="13.5"/>
  <cols>
    <col min="1" max="1" width="6.375" customWidth="1"/>
    <col min="2" max="2" width="13.125" customWidth="1"/>
    <col min="3" max="3" width="22.875" customWidth="1"/>
    <col min="4" max="4" width="10.875" customWidth="1"/>
    <col min="5" max="5" width="10.875" hidden="1" customWidth="1"/>
    <col min="7" max="7" width="7.625" customWidth="1"/>
    <col min="9" max="9" width="10" customWidth="1"/>
    <col min="10" max="10" width="9.875" customWidth="1"/>
    <col min="11" max="11" width="9.375"/>
    <col min="12" max="12" width="10.25" customWidth="1"/>
    <col min="13" max="13" width="10.625" customWidth="1"/>
    <col min="14" max="14" width="16.375" style="21" customWidth="1"/>
    <col min="16" max="16" width="9" style="15"/>
    <col min="17" max="17" width="21" customWidth="1"/>
  </cols>
  <sheetData>
    <row r="1" spans="1:17" ht="34.9" customHeight="1">
      <c r="A1" s="37" t="s">
        <v>172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ht="36" customHeight="1">
      <c r="A2" s="1" t="s">
        <v>0</v>
      </c>
      <c r="B2" s="1" t="s">
        <v>1</v>
      </c>
      <c r="C2" s="1" t="s">
        <v>2</v>
      </c>
      <c r="D2" s="2" t="s">
        <v>173</v>
      </c>
      <c r="E2" s="2"/>
      <c r="F2" s="3" t="s">
        <v>3</v>
      </c>
      <c r="G2" s="1" t="s">
        <v>4</v>
      </c>
      <c r="H2" s="26" t="s">
        <v>5</v>
      </c>
      <c r="I2" s="1" t="s">
        <v>174</v>
      </c>
      <c r="J2" s="41" t="s">
        <v>224</v>
      </c>
      <c r="K2" s="3" t="s">
        <v>175</v>
      </c>
      <c r="L2" s="2" t="s">
        <v>176</v>
      </c>
      <c r="M2" s="2" t="s">
        <v>177</v>
      </c>
      <c r="N2" s="22" t="s">
        <v>190</v>
      </c>
      <c r="O2" s="18" t="s">
        <v>188</v>
      </c>
      <c r="P2" s="35" t="s">
        <v>191</v>
      </c>
      <c r="Q2" s="18" t="s">
        <v>193</v>
      </c>
    </row>
    <row r="3" spans="1:17">
      <c r="A3" s="27">
        <v>1</v>
      </c>
      <c r="B3" s="27" t="s">
        <v>25</v>
      </c>
      <c r="C3" s="28" t="s">
        <v>26</v>
      </c>
      <c r="D3" s="27">
        <v>0.43590000000000001</v>
      </c>
      <c r="E3" s="27">
        <f>VLOOKUP(B3,[1]采购价格汇总表!$E$783:$J$866,6,0)</f>
        <v>0.43590000000000001</v>
      </c>
      <c r="F3" s="27">
        <v>1.4999999999999999E-2</v>
      </c>
      <c r="G3" s="27" t="s">
        <v>178</v>
      </c>
      <c r="H3" s="27">
        <v>1.35</v>
      </c>
      <c r="I3" s="27">
        <f>F3*H3</f>
        <v>2.0250000000000001E-2</v>
      </c>
      <c r="J3" s="27">
        <f>I3</f>
        <v>2.0250000000000001E-2</v>
      </c>
      <c r="K3" s="27">
        <f>D3*0.03</f>
        <v>1.3077E-2</v>
      </c>
      <c r="L3" s="29">
        <f>J3-K3</f>
        <v>7.1730000000000006E-3</v>
      </c>
      <c r="M3" s="30">
        <f>D3+L3</f>
        <v>0.44307299999999999</v>
      </c>
      <c r="N3" s="31"/>
      <c r="O3" s="32">
        <f>(M3-D3)/D3</f>
        <v>1.645560908465241E-2</v>
      </c>
      <c r="P3" s="44">
        <f t="shared" ref="P3:P34" si="0">M3/F3</f>
        <v>29.5382</v>
      </c>
      <c r="Q3" s="45"/>
    </row>
    <row r="4" spans="1:17" ht="27">
      <c r="A4" s="1">
        <v>2</v>
      </c>
      <c r="B4" s="41" t="s">
        <v>187</v>
      </c>
      <c r="C4" s="42" t="s">
        <v>170</v>
      </c>
      <c r="D4" s="1"/>
      <c r="E4" s="1" t="e">
        <f>VLOOKUP(B4,[1]采购价格汇总表!$E$783:$J$866,6,0)</f>
        <v>#N/A</v>
      </c>
      <c r="F4" s="26"/>
      <c r="G4" s="1"/>
      <c r="H4" s="1"/>
      <c r="I4" s="1"/>
      <c r="J4" s="1"/>
      <c r="K4" s="1"/>
      <c r="L4" s="9"/>
      <c r="M4" s="10">
        <v>180.6283</v>
      </c>
      <c r="N4" s="24" t="s">
        <v>186</v>
      </c>
      <c r="O4" s="19"/>
      <c r="P4" s="36" t="e">
        <f t="shared" si="0"/>
        <v>#DIV/0!</v>
      </c>
      <c r="Q4" s="40" t="s">
        <v>192</v>
      </c>
    </row>
    <row r="5" spans="1:17" ht="27">
      <c r="A5" s="1">
        <v>3</v>
      </c>
      <c r="B5" s="41" t="s">
        <v>189</v>
      </c>
      <c r="C5" s="42" t="s">
        <v>171</v>
      </c>
      <c r="D5" s="1"/>
      <c r="E5" s="1" t="e">
        <f>VLOOKUP(B5,[1]采购价格汇总表!$E$783:$J$866,6,0)</f>
        <v>#N/A</v>
      </c>
      <c r="F5" s="26"/>
      <c r="G5" s="1"/>
      <c r="H5" s="1"/>
      <c r="I5" s="1"/>
      <c r="J5" s="1"/>
      <c r="K5" s="1"/>
      <c r="L5" s="9"/>
      <c r="M5" s="10">
        <v>155.6283</v>
      </c>
      <c r="N5" s="24" t="s">
        <v>186</v>
      </c>
      <c r="O5" s="19"/>
      <c r="P5" s="36" t="e">
        <f t="shared" si="0"/>
        <v>#DIV/0!</v>
      </c>
      <c r="Q5" s="40"/>
    </row>
    <row r="6" spans="1:17">
      <c r="A6" s="27">
        <v>4</v>
      </c>
      <c r="B6" s="27" t="s">
        <v>140</v>
      </c>
      <c r="C6" s="28" t="s">
        <v>141</v>
      </c>
      <c r="D6" s="27">
        <v>18.965499999999999</v>
      </c>
      <c r="E6" s="27">
        <f>VLOOKUP(B6,[1]采购价格汇总表!$E$783:$J$866,6,0)</f>
        <v>18.965499999999999</v>
      </c>
      <c r="F6" s="27">
        <v>1.7</v>
      </c>
      <c r="G6" s="27" t="s">
        <v>179</v>
      </c>
      <c r="H6" s="27">
        <v>1.35</v>
      </c>
      <c r="I6" s="27">
        <f t="shared" ref="I6:I37" si="1">F6*H6</f>
        <v>2.2949999999999999</v>
      </c>
      <c r="J6" s="27">
        <f t="shared" ref="J6:J69" si="2">I6</f>
        <v>2.2949999999999999</v>
      </c>
      <c r="K6" s="27">
        <f t="shared" ref="K6:K37" si="3">D6*0.03</f>
        <v>0.56896499999999994</v>
      </c>
      <c r="L6" s="29">
        <f t="shared" ref="L6:L37" si="4">J6-K6</f>
        <v>1.726035</v>
      </c>
      <c r="M6" s="30">
        <f t="shared" ref="M6:M37" si="5">D6+L6</f>
        <v>20.691534999999998</v>
      </c>
      <c r="N6" s="31"/>
      <c r="O6" s="32">
        <f t="shared" ref="O6:O37" si="6">(M6-D6)/D6</f>
        <v>9.100920091745536E-2</v>
      </c>
      <c r="P6" s="44">
        <f t="shared" si="0"/>
        <v>12.171491176470587</v>
      </c>
      <c r="Q6" s="45"/>
    </row>
    <row r="7" spans="1:17">
      <c r="A7" s="1">
        <v>5</v>
      </c>
      <c r="B7" s="1" t="s">
        <v>142</v>
      </c>
      <c r="C7" s="4" t="s">
        <v>143</v>
      </c>
      <c r="D7" s="1">
        <v>55.051299999999998</v>
      </c>
      <c r="E7" s="1">
        <f>VLOOKUP(B7,[1]采购价格汇总表!$E$783:$J$866,6,0)</f>
        <v>55.051299999999998</v>
      </c>
      <c r="F7" s="1">
        <v>5.55</v>
      </c>
      <c r="G7" s="1"/>
      <c r="H7" s="1">
        <v>1.35</v>
      </c>
      <c r="I7" s="1">
        <f t="shared" si="1"/>
        <v>7.4925000000000006</v>
      </c>
      <c r="J7" s="1">
        <f t="shared" si="2"/>
        <v>7.4925000000000006</v>
      </c>
      <c r="K7" s="1">
        <f t="shared" si="3"/>
        <v>1.6515389999999999</v>
      </c>
      <c r="L7" s="9">
        <f t="shared" si="4"/>
        <v>5.840961000000001</v>
      </c>
      <c r="M7" s="10">
        <f t="shared" si="5"/>
        <v>60.892260999999998</v>
      </c>
      <c r="N7" s="23"/>
      <c r="O7" s="19">
        <f t="shared" si="6"/>
        <v>0.10610032823929681</v>
      </c>
      <c r="P7" s="44">
        <f t="shared" si="0"/>
        <v>10.971578558558559</v>
      </c>
      <c r="Q7" s="45"/>
    </row>
    <row r="8" spans="1:17">
      <c r="A8" s="1">
        <v>6</v>
      </c>
      <c r="B8" s="1" t="s">
        <v>152</v>
      </c>
      <c r="C8" s="4" t="s">
        <v>153</v>
      </c>
      <c r="D8" s="1">
        <v>55.051299999999998</v>
      </c>
      <c r="E8" s="1">
        <f>VLOOKUP(B8,[1]采购价格汇总表!$E$783:$J$866,6,0)</f>
        <v>55.051299999999998</v>
      </c>
      <c r="F8" s="1">
        <v>5.55</v>
      </c>
      <c r="G8" s="1"/>
      <c r="H8" s="1">
        <v>1.35</v>
      </c>
      <c r="I8" s="1">
        <f t="shared" si="1"/>
        <v>7.4925000000000006</v>
      </c>
      <c r="J8" s="1">
        <f t="shared" si="2"/>
        <v>7.4925000000000006</v>
      </c>
      <c r="K8" s="1">
        <f t="shared" si="3"/>
        <v>1.6515389999999999</v>
      </c>
      <c r="L8" s="9">
        <f t="shared" si="4"/>
        <v>5.840961000000001</v>
      </c>
      <c r="M8" s="10">
        <f t="shared" si="5"/>
        <v>60.892260999999998</v>
      </c>
      <c r="N8" s="23"/>
      <c r="O8" s="19">
        <f t="shared" si="6"/>
        <v>0.10610032823929681</v>
      </c>
      <c r="P8" s="44">
        <f t="shared" si="0"/>
        <v>10.971578558558559</v>
      </c>
      <c r="Q8" s="45"/>
    </row>
    <row r="9" spans="1:17">
      <c r="A9" s="1">
        <v>7</v>
      </c>
      <c r="B9" s="1" t="s">
        <v>154</v>
      </c>
      <c r="C9" s="4" t="s">
        <v>155</v>
      </c>
      <c r="D9" s="1">
        <v>14.6838</v>
      </c>
      <c r="E9" s="1">
        <f>VLOOKUP(B9,[1]采购价格汇总表!$E$783:$J$866,6,0)</f>
        <v>14.6838</v>
      </c>
      <c r="F9" s="1">
        <v>1.55</v>
      </c>
      <c r="G9" s="1" t="s">
        <v>179</v>
      </c>
      <c r="H9" s="1">
        <v>1.35</v>
      </c>
      <c r="I9" s="1">
        <f t="shared" si="1"/>
        <v>2.0925000000000002</v>
      </c>
      <c r="J9" s="1">
        <f t="shared" si="2"/>
        <v>2.0925000000000002</v>
      </c>
      <c r="K9" s="1">
        <f t="shared" si="3"/>
        <v>0.44051399999999996</v>
      </c>
      <c r="L9" s="9">
        <f t="shared" si="4"/>
        <v>1.6519860000000004</v>
      </c>
      <c r="M9" s="10">
        <f t="shared" si="5"/>
        <v>16.335785999999999</v>
      </c>
      <c r="N9" s="23"/>
      <c r="O9" s="19">
        <f t="shared" si="6"/>
        <v>0.11250398398234783</v>
      </c>
      <c r="P9" s="44">
        <f t="shared" si="0"/>
        <v>10.539216774193548</v>
      </c>
      <c r="Q9" s="45"/>
    </row>
    <row r="10" spans="1:17">
      <c r="A10" s="1">
        <v>8</v>
      </c>
      <c r="B10" s="1" t="s">
        <v>6</v>
      </c>
      <c r="C10" s="4" t="s">
        <v>7</v>
      </c>
      <c r="D10" s="1">
        <v>14.3932</v>
      </c>
      <c r="E10" s="1">
        <f>VLOOKUP(B10,[1]采购价格汇总表!$E$783:$J$866,6,0)</f>
        <v>14.3932</v>
      </c>
      <c r="F10" s="1">
        <v>1.59</v>
      </c>
      <c r="G10" s="1" t="s">
        <v>179</v>
      </c>
      <c r="H10" s="1">
        <v>1.35</v>
      </c>
      <c r="I10" s="1">
        <f t="shared" si="1"/>
        <v>2.1465000000000001</v>
      </c>
      <c r="J10" s="1">
        <f t="shared" si="2"/>
        <v>2.1465000000000001</v>
      </c>
      <c r="K10" s="1">
        <f t="shared" si="3"/>
        <v>0.43179600000000001</v>
      </c>
      <c r="L10" s="9">
        <f t="shared" si="4"/>
        <v>1.714704</v>
      </c>
      <c r="M10" s="10">
        <f t="shared" si="5"/>
        <v>16.107904000000001</v>
      </c>
      <c r="N10" s="23"/>
      <c r="O10" s="19">
        <f t="shared" si="6"/>
        <v>0.11913292388072153</v>
      </c>
      <c r="P10" s="44">
        <f t="shared" si="0"/>
        <v>10.130757232704402</v>
      </c>
      <c r="Q10" s="45"/>
    </row>
    <row r="11" spans="1:17">
      <c r="A11" s="1">
        <v>9</v>
      </c>
      <c r="B11" s="1" t="s">
        <v>35</v>
      </c>
      <c r="C11" s="4" t="s">
        <v>36</v>
      </c>
      <c r="D11" s="1">
        <v>17.222200000000001</v>
      </c>
      <c r="E11" s="1">
        <f>VLOOKUP(B11,[1]采购价格汇总表!$E$783:$J$866,6,0)</f>
        <v>17.222200000000001</v>
      </c>
      <c r="F11" s="1">
        <v>1.55</v>
      </c>
      <c r="G11" s="1" t="s">
        <v>179</v>
      </c>
      <c r="H11" s="1">
        <v>1.35</v>
      </c>
      <c r="I11" s="1">
        <f t="shared" si="1"/>
        <v>2.0925000000000002</v>
      </c>
      <c r="J11" s="1">
        <f t="shared" si="2"/>
        <v>2.0925000000000002</v>
      </c>
      <c r="K11" s="1">
        <f t="shared" si="3"/>
        <v>0.51666599999999996</v>
      </c>
      <c r="L11" s="9">
        <f t="shared" si="4"/>
        <v>1.5758340000000004</v>
      </c>
      <c r="M11" s="10">
        <f t="shared" si="5"/>
        <v>18.798034000000001</v>
      </c>
      <c r="N11" s="23"/>
      <c r="O11" s="19">
        <f t="shared" si="6"/>
        <v>9.1500156774395852E-2</v>
      </c>
      <c r="P11" s="44">
        <f t="shared" si="0"/>
        <v>12.127763870967742</v>
      </c>
      <c r="Q11" s="45"/>
    </row>
    <row r="12" spans="1:17" ht="36">
      <c r="A12" s="1">
        <v>10</v>
      </c>
      <c r="B12" s="1" t="s">
        <v>14</v>
      </c>
      <c r="C12" s="5" t="s">
        <v>180</v>
      </c>
      <c r="D12" s="1">
        <v>110.0856</v>
      </c>
      <c r="E12" s="1">
        <f>VLOOKUP(B12,[1]采购价格汇总表!$E$783:$J$866,6,0)</f>
        <v>110.0856</v>
      </c>
      <c r="F12" s="1">
        <v>11.1</v>
      </c>
      <c r="G12" s="1"/>
      <c r="H12" s="1">
        <v>1.35</v>
      </c>
      <c r="I12" s="1">
        <f t="shared" si="1"/>
        <v>14.985000000000001</v>
      </c>
      <c r="J12" s="1">
        <f t="shared" si="2"/>
        <v>14.985000000000001</v>
      </c>
      <c r="K12" s="1">
        <f t="shared" si="3"/>
        <v>3.3025679999999999</v>
      </c>
      <c r="L12" s="9">
        <f t="shared" si="4"/>
        <v>11.682432000000002</v>
      </c>
      <c r="M12" s="10">
        <f t="shared" si="5"/>
        <v>121.76803200000001</v>
      </c>
      <c r="N12" s="23"/>
      <c r="O12" s="19">
        <f t="shared" si="6"/>
        <v>0.10612134557108292</v>
      </c>
      <c r="P12" s="44">
        <f t="shared" si="0"/>
        <v>10.970092972972974</v>
      </c>
      <c r="Q12" s="45"/>
    </row>
    <row r="13" spans="1:17" s="15" customFormat="1" ht="36">
      <c r="A13" s="1">
        <v>11</v>
      </c>
      <c r="B13" s="17" t="s">
        <v>184</v>
      </c>
      <c r="C13" s="16" t="s">
        <v>181</v>
      </c>
      <c r="D13" s="11">
        <v>110.0855</v>
      </c>
      <c r="E13" s="1">
        <f>VLOOKUP(B13,[1]采购价格汇总表!$E$783:$J$866,6,0)</f>
        <v>110.0855</v>
      </c>
      <c r="F13" s="11">
        <v>11.25</v>
      </c>
      <c r="G13" s="11"/>
      <c r="H13" s="11">
        <v>1.35</v>
      </c>
      <c r="I13" s="11">
        <f t="shared" si="1"/>
        <v>15.187500000000002</v>
      </c>
      <c r="J13" s="11">
        <f t="shared" si="2"/>
        <v>15.187500000000002</v>
      </c>
      <c r="K13" s="11">
        <f t="shared" si="3"/>
        <v>3.302565</v>
      </c>
      <c r="L13" s="13">
        <f t="shared" si="4"/>
        <v>11.884935000000002</v>
      </c>
      <c r="M13" s="14">
        <f t="shared" si="5"/>
        <v>121.97043499999999</v>
      </c>
      <c r="N13" s="25"/>
      <c r="O13" s="19">
        <f t="shared" si="6"/>
        <v>0.10796094853545653</v>
      </c>
      <c r="P13" s="44">
        <f t="shared" si="0"/>
        <v>10.841816444444444</v>
      </c>
      <c r="Q13" s="44"/>
    </row>
    <row r="14" spans="1:17">
      <c r="A14" s="1">
        <v>12</v>
      </c>
      <c r="B14" s="1" t="s">
        <v>8</v>
      </c>
      <c r="C14" s="6" t="s">
        <v>9</v>
      </c>
      <c r="D14" s="1">
        <v>64.4786</v>
      </c>
      <c r="E14" s="1">
        <f>VLOOKUP(B14,[1]采购价格汇总表!$E$783:$J$866,6,0)</f>
        <v>64.4786</v>
      </c>
      <c r="F14" s="1">
        <v>5.95</v>
      </c>
      <c r="G14" s="1"/>
      <c r="H14" s="1">
        <v>1.35</v>
      </c>
      <c r="I14" s="1">
        <f t="shared" si="1"/>
        <v>8.0325000000000006</v>
      </c>
      <c r="J14" s="1">
        <f t="shared" si="2"/>
        <v>8.0325000000000006</v>
      </c>
      <c r="K14" s="1">
        <f t="shared" si="3"/>
        <v>1.934358</v>
      </c>
      <c r="L14" s="9">
        <f t="shared" si="4"/>
        <v>6.0981420000000011</v>
      </c>
      <c r="M14" s="10">
        <f t="shared" si="5"/>
        <v>70.576741999999996</v>
      </c>
      <c r="N14" s="23"/>
      <c r="O14" s="19">
        <f t="shared" si="6"/>
        <v>9.4576215984838313E-2</v>
      </c>
      <c r="P14" s="44">
        <f t="shared" si="0"/>
        <v>11.861637310924369</v>
      </c>
      <c r="Q14" s="45"/>
    </row>
    <row r="15" spans="1:17">
      <c r="A15" s="1">
        <v>13</v>
      </c>
      <c r="B15" s="1" t="s">
        <v>10</v>
      </c>
      <c r="C15" s="6" t="s">
        <v>11</v>
      </c>
      <c r="D15" s="1">
        <v>64.4786</v>
      </c>
      <c r="E15" s="1">
        <f>VLOOKUP(B15,[1]采购价格汇总表!$E$783:$J$866,6,0)</f>
        <v>64.4786</v>
      </c>
      <c r="F15" s="1">
        <v>5.75</v>
      </c>
      <c r="G15" s="1"/>
      <c r="H15" s="1">
        <v>1.35</v>
      </c>
      <c r="I15" s="1">
        <f t="shared" si="1"/>
        <v>7.7625000000000002</v>
      </c>
      <c r="J15" s="1">
        <f t="shared" si="2"/>
        <v>7.7625000000000002</v>
      </c>
      <c r="K15" s="1">
        <f t="shared" si="3"/>
        <v>1.934358</v>
      </c>
      <c r="L15" s="9">
        <f t="shared" si="4"/>
        <v>5.8281419999999997</v>
      </c>
      <c r="M15" s="10">
        <f t="shared" si="5"/>
        <v>70.306742</v>
      </c>
      <c r="N15" s="23"/>
      <c r="O15" s="19">
        <f t="shared" si="6"/>
        <v>9.0388780153415241E-2</v>
      </c>
      <c r="P15" s="44">
        <f t="shared" si="0"/>
        <v>12.227259478260869</v>
      </c>
      <c r="Q15" s="45"/>
    </row>
    <row r="16" spans="1:17">
      <c r="A16" s="1">
        <v>14</v>
      </c>
      <c r="B16" s="1" t="s">
        <v>12</v>
      </c>
      <c r="C16" s="6" t="s">
        <v>13</v>
      </c>
      <c r="D16" s="1">
        <v>64.4786</v>
      </c>
      <c r="E16" s="1">
        <f>VLOOKUP(B16,[1]采购价格汇总表!$E$783:$J$866,6,0)</f>
        <v>64.478700000000003</v>
      </c>
      <c r="F16" s="1">
        <v>5.75</v>
      </c>
      <c r="G16" s="1"/>
      <c r="H16" s="1">
        <v>1.35</v>
      </c>
      <c r="I16" s="1">
        <f t="shared" si="1"/>
        <v>7.7625000000000002</v>
      </c>
      <c r="J16" s="1">
        <f t="shared" si="2"/>
        <v>7.7625000000000002</v>
      </c>
      <c r="K16" s="1">
        <f t="shared" si="3"/>
        <v>1.934358</v>
      </c>
      <c r="L16" s="9">
        <f t="shared" si="4"/>
        <v>5.8281419999999997</v>
      </c>
      <c r="M16" s="10">
        <f t="shared" si="5"/>
        <v>70.306742</v>
      </c>
      <c r="N16" s="23"/>
      <c r="O16" s="19">
        <f t="shared" si="6"/>
        <v>9.0388780153415241E-2</v>
      </c>
      <c r="P16" s="44">
        <f t="shared" si="0"/>
        <v>12.227259478260869</v>
      </c>
      <c r="Q16" s="45"/>
    </row>
    <row r="17" spans="1:17" ht="33.75">
      <c r="A17" s="1">
        <v>15</v>
      </c>
      <c r="B17" s="1" t="s">
        <v>17</v>
      </c>
      <c r="C17" s="7" t="s">
        <v>18</v>
      </c>
      <c r="D17" s="1">
        <v>109.9</v>
      </c>
      <c r="E17" s="20">
        <f>VLOOKUP(B17,[1]采购价格汇总表!$E$783:$J$866,6,0)</f>
        <v>109.9</v>
      </c>
      <c r="F17" s="1">
        <v>10.85</v>
      </c>
      <c r="G17" s="1"/>
      <c r="H17" s="1">
        <v>1.35</v>
      </c>
      <c r="I17" s="1">
        <f t="shared" si="1"/>
        <v>14.647500000000001</v>
      </c>
      <c r="J17" s="1">
        <f t="shared" si="2"/>
        <v>14.647500000000001</v>
      </c>
      <c r="K17" s="1">
        <f t="shared" si="3"/>
        <v>3.2970000000000002</v>
      </c>
      <c r="L17" s="9">
        <f t="shared" si="4"/>
        <v>11.3505</v>
      </c>
      <c r="M17" s="10">
        <f t="shared" si="5"/>
        <v>121.2505</v>
      </c>
      <c r="N17" s="23"/>
      <c r="O17" s="19">
        <f t="shared" si="6"/>
        <v>0.10328025477707004</v>
      </c>
      <c r="P17" s="44">
        <f t="shared" si="0"/>
        <v>11.175161290322581</v>
      </c>
      <c r="Q17" s="45"/>
    </row>
    <row r="18" spans="1:17" ht="33.75">
      <c r="A18" s="1">
        <v>16</v>
      </c>
      <c r="B18" s="1" t="s">
        <v>37</v>
      </c>
      <c r="C18" s="7" t="s">
        <v>38</v>
      </c>
      <c r="D18" s="1">
        <v>110.0856</v>
      </c>
      <c r="E18" s="1">
        <f>VLOOKUP(B18,[1]采购价格汇总表!$E$783:$J$866,6,0)</f>
        <v>110.0856</v>
      </c>
      <c r="F18" s="1">
        <v>11</v>
      </c>
      <c r="G18" s="1"/>
      <c r="H18" s="1">
        <v>1.35</v>
      </c>
      <c r="I18" s="1">
        <f t="shared" si="1"/>
        <v>14.850000000000001</v>
      </c>
      <c r="J18" s="1">
        <f t="shared" si="2"/>
        <v>14.850000000000001</v>
      </c>
      <c r="K18" s="1">
        <f t="shared" si="3"/>
        <v>3.3025679999999999</v>
      </c>
      <c r="L18" s="9">
        <f t="shared" si="4"/>
        <v>11.547432000000001</v>
      </c>
      <c r="M18" s="10">
        <f t="shared" si="5"/>
        <v>121.633032</v>
      </c>
      <c r="N18" s="23"/>
      <c r="O18" s="19">
        <f t="shared" si="6"/>
        <v>0.10489502714251456</v>
      </c>
      <c r="P18" s="44">
        <f t="shared" si="0"/>
        <v>11.057548363636364</v>
      </c>
      <c r="Q18" s="45"/>
    </row>
    <row r="19" spans="1:17" ht="33.75">
      <c r="A19" s="1">
        <v>17</v>
      </c>
      <c r="B19" s="1" t="s">
        <v>39</v>
      </c>
      <c r="C19" s="7" t="s">
        <v>40</v>
      </c>
      <c r="D19" s="1">
        <v>112.42749999999999</v>
      </c>
      <c r="E19" s="1">
        <f>VLOOKUP(B19,[1]采购价格汇总表!$E$783:$J$866,6,0)</f>
        <v>112.42749999999999</v>
      </c>
      <c r="F19" s="1">
        <v>11.05</v>
      </c>
      <c r="G19" s="1"/>
      <c r="H19" s="1">
        <v>1.35</v>
      </c>
      <c r="I19" s="1">
        <f t="shared" si="1"/>
        <v>14.917500000000002</v>
      </c>
      <c r="J19" s="1">
        <f t="shared" si="2"/>
        <v>14.917500000000002</v>
      </c>
      <c r="K19" s="1">
        <f t="shared" si="3"/>
        <v>3.3728249999999997</v>
      </c>
      <c r="L19" s="9">
        <f t="shared" si="4"/>
        <v>11.544675000000002</v>
      </c>
      <c r="M19" s="10">
        <f t="shared" si="5"/>
        <v>123.97217499999999</v>
      </c>
      <c r="N19" s="23"/>
      <c r="O19" s="19">
        <f t="shared" si="6"/>
        <v>0.10268550843877164</v>
      </c>
      <c r="P19" s="44">
        <f t="shared" si="0"/>
        <v>11.219201357466062</v>
      </c>
      <c r="Q19" s="45"/>
    </row>
    <row r="20" spans="1:17">
      <c r="A20" s="1">
        <v>18</v>
      </c>
      <c r="B20" s="1" t="s">
        <v>71</v>
      </c>
      <c r="C20" s="6" t="s">
        <v>72</v>
      </c>
      <c r="D20" s="1">
        <v>112.76049999999999</v>
      </c>
      <c r="E20" s="1">
        <f>VLOOKUP(B20,[1]采购价格汇总表!$E$783:$J$866,6,0)</f>
        <v>112.76049999999999</v>
      </c>
      <c r="F20" s="1">
        <v>11.15</v>
      </c>
      <c r="G20" s="1"/>
      <c r="H20" s="1">
        <v>1.35</v>
      </c>
      <c r="I20" s="1">
        <f t="shared" si="1"/>
        <v>15.052500000000002</v>
      </c>
      <c r="J20" s="1">
        <f t="shared" si="2"/>
        <v>15.052500000000002</v>
      </c>
      <c r="K20" s="1">
        <f t="shared" si="3"/>
        <v>3.3828149999999995</v>
      </c>
      <c r="L20" s="9">
        <f t="shared" si="4"/>
        <v>11.669685000000003</v>
      </c>
      <c r="M20" s="10">
        <f t="shared" si="5"/>
        <v>124.43018499999999</v>
      </c>
      <c r="N20" s="23"/>
      <c r="O20" s="19">
        <f t="shared" si="6"/>
        <v>0.10349089441781477</v>
      </c>
      <c r="P20" s="44">
        <f t="shared" si="0"/>
        <v>11.159657847533632</v>
      </c>
      <c r="Q20" s="45"/>
    </row>
    <row r="21" spans="1:17">
      <c r="A21" s="1">
        <v>19</v>
      </c>
      <c r="B21" s="1" t="s">
        <v>73</v>
      </c>
      <c r="C21" s="6" t="s">
        <v>74</v>
      </c>
      <c r="D21" s="1">
        <v>109.8974</v>
      </c>
      <c r="E21" s="1">
        <f>VLOOKUP(B21,[1]采购价格汇总表!$E$783:$J$866,6,0)</f>
        <v>109.8974</v>
      </c>
      <c r="F21" s="1">
        <v>11.3</v>
      </c>
      <c r="G21" s="1"/>
      <c r="H21" s="1">
        <v>1.35</v>
      </c>
      <c r="I21" s="1">
        <f t="shared" si="1"/>
        <v>15.255000000000003</v>
      </c>
      <c r="J21" s="1">
        <f t="shared" si="2"/>
        <v>15.255000000000003</v>
      </c>
      <c r="K21" s="1">
        <f t="shared" si="3"/>
        <v>3.2969219999999999</v>
      </c>
      <c r="L21" s="9">
        <f t="shared" si="4"/>
        <v>11.958078000000002</v>
      </c>
      <c r="M21" s="10">
        <f t="shared" si="5"/>
        <v>121.85547800000001</v>
      </c>
      <c r="N21" s="23"/>
      <c r="O21" s="19">
        <f t="shared" si="6"/>
        <v>0.10881129125893788</v>
      </c>
      <c r="P21" s="44">
        <f t="shared" si="0"/>
        <v>10.783670619469026</v>
      </c>
      <c r="Q21" s="45"/>
    </row>
    <row r="22" spans="1:17">
      <c r="A22" s="1">
        <v>20</v>
      </c>
      <c r="B22" s="1" t="s">
        <v>75</v>
      </c>
      <c r="C22" s="6" t="s">
        <v>76</v>
      </c>
      <c r="D22" s="1">
        <v>108.64109999999999</v>
      </c>
      <c r="E22" s="1">
        <f>VLOOKUP(B22,[1]采购价格汇总表!$E$783:$J$866,6,0)</f>
        <v>108.64109999999999</v>
      </c>
      <c r="F22" s="1">
        <v>11.2</v>
      </c>
      <c r="G22" s="1"/>
      <c r="H22" s="1">
        <v>1.35</v>
      </c>
      <c r="I22" s="1">
        <f t="shared" si="1"/>
        <v>15.12</v>
      </c>
      <c r="J22" s="1">
        <f t="shared" si="2"/>
        <v>15.12</v>
      </c>
      <c r="K22" s="1">
        <f t="shared" si="3"/>
        <v>3.2592329999999996</v>
      </c>
      <c r="L22" s="9">
        <f t="shared" si="4"/>
        <v>11.860766999999999</v>
      </c>
      <c r="M22" s="10">
        <f t="shared" si="5"/>
        <v>120.50186699999999</v>
      </c>
      <c r="N22" s="23"/>
      <c r="O22" s="19">
        <f t="shared" si="6"/>
        <v>0.10917384857112084</v>
      </c>
      <c r="P22" s="44">
        <f t="shared" si="0"/>
        <v>10.759095267857143</v>
      </c>
      <c r="Q22" s="45"/>
    </row>
    <row r="23" spans="1:17" ht="33.75">
      <c r="A23" s="1">
        <v>21</v>
      </c>
      <c r="B23" s="1" t="s">
        <v>89</v>
      </c>
      <c r="C23" s="7" t="s">
        <v>90</v>
      </c>
      <c r="D23" s="1">
        <v>149.40170000000001</v>
      </c>
      <c r="E23" s="1">
        <f>VLOOKUP(B23,[1]采购价格汇总表!$E$783:$J$866,6,0)</f>
        <v>149.40170940170901</v>
      </c>
      <c r="F23" s="1">
        <v>15</v>
      </c>
      <c r="G23" s="1"/>
      <c r="H23" s="1">
        <v>1.35</v>
      </c>
      <c r="I23" s="1">
        <f t="shared" si="1"/>
        <v>20.25</v>
      </c>
      <c r="J23" s="1">
        <f t="shared" si="2"/>
        <v>20.25</v>
      </c>
      <c r="K23" s="1">
        <f t="shared" si="3"/>
        <v>4.4820510000000002</v>
      </c>
      <c r="L23" s="9">
        <f t="shared" si="4"/>
        <v>15.767949</v>
      </c>
      <c r="M23" s="10">
        <f t="shared" si="5"/>
        <v>165.16964899999999</v>
      </c>
      <c r="N23" s="23"/>
      <c r="O23" s="19">
        <f t="shared" si="6"/>
        <v>0.10554062637841462</v>
      </c>
      <c r="P23" s="44">
        <f t="shared" si="0"/>
        <v>11.011309933333333</v>
      </c>
      <c r="Q23" s="45"/>
    </row>
    <row r="24" spans="1:17" ht="33.75">
      <c r="A24" s="1">
        <v>22</v>
      </c>
      <c r="B24" s="1" t="s">
        <v>113</v>
      </c>
      <c r="C24" s="7" t="s">
        <v>114</v>
      </c>
      <c r="D24" s="1">
        <v>159.5829</v>
      </c>
      <c r="E24" s="1">
        <f>VLOOKUP(B24,[1]采购价格汇总表!$E$783:$J$866,6,0)</f>
        <v>159.5829</v>
      </c>
      <c r="F24" s="1">
        <v>16.5</v>
      </c>
      <c r="G24" s="1"/>
      <c r="H24" s="1">
        <v>1.35</v>
      </c>
      <c r="I24" s="1">
        <f t="shared" si="1"/>
        <v>22.275000000000002</v>
      </c>
      <c r="J24" s="1">
        <f t="shared" si="2"/>
        <v>22.275000000000002</v>
      </c>
      <c r="K24" s="1">
        <f t="shared" si="3"/>
        <v>4.7874869999999996</v>
      </c>
      <c r="L24" s="9">
        <f t="shared" si="4"/>
        <v>17.487513000000003</v>
      </c>
      <c r="M24" s="10">
        <f t="shared" si="5"/>
        <v>177.070413</v>
      </c>
      <c r="N24" s="23"/>
      <c r="O24" s="19">
        <f t="shared" si="6"/>
        <v>0.10958262445412389</v>
      </c>
      <c r="P24" s="44">
        <f t="shared" si="0"/>
        <v>10.731540181818183</v>
      </c>
      <c r="Q24" s="45"/>
    </row>
    <row r="25" spans="1:17">
      <c r="A25" s="1">
        <v>23</v>
      </c>
      <c r="B25" s="1" t="s">
        <v>115</v>
      </c>
      <c r="C25" s="6" t="s">
        <v>116</v>
      </c>
      <c r="D25" s="1">
        <v>122.16419999999999</v>
      </c>
      <c r="E25" s="1">
        <f>VLOOKUP(B25,[1]采购价格汇总表!$E$783:$J$866,6,0)</f>
        <v>122.16419999999999</v>
      </c>
      <c r="F25" s="1">
        <v>11.8</v>
      </c>
      <c r="G25" s="1"/>
      <c r="H25" s="1">
        <v>1.35</v>
      </c>
      <c r="I25" s="1">
        <f t="shared" si="1"/>
        <v>15.930000000000001</v>
      </c>
      <c r="J25" s="1">
        <f t="shared" si="2"/>
        <v>15.930000000000001</v>
      </c>
      <c r="K25" s="1">
        <f t="shared" si="3"/>
        <v>3.6649259999999995</v>
      </c>
      <c r="L25" s="9">
        <f t="shared" si="4"/>
        <v>12.265074000000002</v>
      </c>
      <c r="M25" s="10">
        <f t="shared" si="5"/>
        <v>134.42927399999999</v>
      </c>
      <c r="N25" s="23"/>
      <c r="O25" s="19">
        <f t="shared" si="6"/>
        <v>0.10039826725014366</v>
      </c>
      <c r="P25" s="44">
        <f t="shared" si="0"/>
        <v>11.392311355932202</v>
      </c>
      <c r="Q25" s="45"/>
    </row>
    <row r="26" spans="1:17">
      <c r="A26" s="1">
        <v>24</v>
      </c>
      <c r="B26" s="1" t="s">
        <v>117</v>
      </c>
      <c r="C26" s="6" t="s">
        <v>118</v>
      </c>
      <c r="D26" s="1">
        <v>129.20330000000001</v>
      </c>
      <c r="E26" s="1">
        <f>VLOOKUP(B26,[1]采购价格汇总表!$E$783:$J$866,6,0)</f>
        <v>129.20330000000001</v>
      </c>
      <c r="F26" s="1">
        <v>13.2</v>
      </c>
      <c r="G26" s="1"/>
      <c r="H26" s="1">
        <v>1.35</v>
      </c>
      <c r="I26" s="1">
        <f t="shared" si="1"/>
        <v>17.82</v>
      </c>
      <c r="J26" s="1">
        <f t="shared" si="2"/>
        <v>17.82</v>
      </c>
      <c r="K26" s="1">
        <f t="shared" si="3"/>
        <v>3.8760990000000004</v>
      </c>
      <c r="L26" s="9">
        <f t="shared" si="4"/>
        <v>13.943901</v>
      </c>
      <c r="M26" s="10">
        <f t="shared" si="5"/>
        <v>143.14720100000002</v>
      </c>
      <c r="N26" s="23"/>
      <c r="O26" s="19">
        <f t="shared" si="6"/>
        <v>0.10792217381444599</v>
      </c>
      <c r="P26" s="44">
        <f t="shared" si="0"/>
        <v>10.844484924242426</v>
      </c>
      <c r="Q26" s="45"/>
    </row>
    <row r="27" spans="1:17">
      <c r="A27" s="1">
        <v>25</v>
      </c>
      <c r="B27" s="1" t="s">
        <v>119</v>
      </c>
      <c r="C27" s="6" t="s">
        <v>120</v>
      </c>
      <c r="D27" s="1">
        <v>71.555800000000005</v>
      </c>
      <c r="E27" s="1">
        <f>VLOOKUP(B27,[1]采购价格汇总表!$E$783:$J$866,6,0)</f>
        <v>71.555800000000005</v>
      </c>
      <c r="F27" s="1">
        <v>5.9</v>
      </c>
      <c r="G27" s="1"/>
      <c r="H27" s="1">
        <v>1.35</v>
      </c>
      <c r="I27" s="1">
        <f t="shared" si="1"/>
        <v>7.9650000000000007</v>
      </c>
      <c r="J27" s="1">
        <f t="shared" si="2"/>
        <v>7.9650000000000007</v>
      </c>
      <c r="K27" s="1">
        <f t="shared" si="3"/>
        <v>2.146674</v>
      </c>
      <c r="L27" s="9">
        <f t="shared" si="4"/>
        <v>5.8183260000000008</v>
      </c>
      <c r="M27" s="10">
        <f t="shared" si="5"/>
        <v>77.374126000000004</v>
      </c>
      <c r="N27" s="23"/>
      <c r="O27" s="19">
        <f t="shared" si="6"/>
        <v>8.1311731543774204E-2</v>
      </c>
      <c r="P27" s="44">
        <f t="shared" si="0"/>
        <v>13.114258644067796</v>
      </c>
      <c r="Q27" s="45"/>
    </row>
    <row r="28" spans="1:17">
      <c r="A28" s="1">
        <v>26</v>
      </c>
      <c r="B28" s="1" t="s">
        <v>121</v>
      </c>
      <c r="C28" s="6" t="s">
        <v>122</v>
      </c>
      <c r="D28" s="1">
        <v>71.555800000000005</v>
      </c>
      <c r="E28" s="1">
        <f>VLOOKUP(B28,[1]采购价格汇总表!$E$783:$J$866,6,0)</f>
        <v>71.555800000000005</v>
      </c>
      <c r="F28" s="1">
        <v>5.55</v>
      </c>
      <c r="G28" s="1"/>
      <c r="H28" s="1">
        <v>1.35</v>
      </c>
      <c r="I28" s="1">
        <f t="shared" si="1"/>
        <v>7.4925000000000006</v>
      </c>
      <c r="J28" s="1">
        <f t="shared" si="2"/>
        <v>7.4925000000000006</v>
      </c>
      <c r="K28" s="1">
        <f t="shared" si="3"/>
        <v>2.146674</v>
      </c>
      <c r="L28" s="9">
        <f t="shared" si="4"/>
        <v>5.3458260000000006</v>
      </c>
      <c r="M28" s="10">
        <f t="shared" si="5"/>
        <v>76.901626000000007</v>
      </c>
      <c r="N28" s="23"/>
      <c r="O28" s="19">
        <f t="shared" si="6"/>
        <v>7.4708493231855452E-2</v>
      </c>
      <c r="P28" s="44">
        <f t="shared" si="0"/>
        <v>13.856148828828831</v>
      </c>
      <c r="Q28" s="45"/>
    </row>
    <row r="29" spans="1:17">
      <c r="A29" s="1">
        <v>27</v>
      </c>
      <c r="B29" s="1" t="s">
        <v>123</v>
      </c>
      <c r="C29" s="6" t="s">
        <v>124</v>
      </c>
      <c r="D29" s="1">
        <v>8.0310000000000006</v>
      </c>
      <c r="E29" s="1">
        <f>VLOOKUP(B29,[1]采购价格汇总表!$E$783:$J$866,6,0)</f>
        <v>8.0310000000000006</v>
      </c>
      <c r="F29" s="1">
        <v>0.63500000000000001</v>
      </c>
      <c r="G29" s="1"/>
      <c r="H29" s="1">
        <v>1.35</v>
      </c>
      <c r="I29" s="1">
        <f t="shared" si="1"/>
        <v>0.85725000000000007</v>
      </c>
      <c r="J29" s="1">
        <f t="shared" si="2"/>
        <v>0.85725000000000007</v>
      </c>
      <c r="K29" s="1">
        <f t="shared" si="3"/>
        <v>0.24093000000000001</v>
      </c>
      <c r="L29" s="9">
        <f t="shared" si="4"/>
        <v>0.61632000000000009</v>
      </c>
      <c r="M29" s="10">
        <f t="shared" si="5"/>
        <v>8.6473200000000006</v>
      </c>
      <c r="N29" s="23"/>
      <c r="O29" s="19">
        <f t="shared" si="6"/>
        <v>7.6742622338438538E-2</v>
      </c>
      <c r="P29" s="44">
        <f t="shared" si="0"/>
        <v>13.617826771653544</v>
      </c>
      <c r="Q29" s="45"/>
    </row>
    <row r="30" spans="1:17" ht="22.5">
      <c r="A30" s="1">
        <v>28</v>
      </c>
      <c r="B30" s="1" t="s">
        <v>126</v>
      </c>
      <c r="C30" s="7" t="s">
        <v>127</v>
      </c>
      <c r="D30" s="1">
        <v>110.09</v>
      </c>
      <c r="E30" s="1">
        <f>VLOOKUP(B30,[1]采购价格汇总表!$E$783:$J$866,6,0)</f>
        <v>110.09</v>
      </c>
      <c r="F30" s="1">
        <v>11</v>
      </c>
      <c r="G30" s="1"/>
      <c r="H30" s="1">
        <v>1.35</v>
      </c>
      <c r="I30" s="1">
        <f t="shared" si="1"/>
        <v>14.850000000000001</v>
      </c>
      <c r="J30" s="1">
        <f t="shared" si="2"/>
        <v>14.850000000000001</v>
      </c>
      <c r="K30" s="1">
        <f t="shared" si="3"/>
        <v>3.3027000000000002</v>
      </c>
      <c r="L30" s="9">
        <f t="shared" si="4"/>
        <v>11.547300000000002</v>
      </c>
      <c r="M30" s="10">
        <f t="shared" si="5"/>
        <v>121.63730000000001</v>
      </c>
      <c r="N30" s="23"/>
      <c r="O30" s="19">
        <f t="shared" si="6"/>
        <v>0.10488963575256614</v>
      </c>
      <c r="P30" s="44">
        <f t="shared" si="0"/>
        <v>11.057936363636365</v>
      </c>
      <c r="Q30" s="45"/>
    </row>
    <row r="31" spans="1:17" ht="13.5" customHeight="1">
      <c r="A31" s="1">
        <v>29</v>
      </c>
      <c r="B31" s="26" t="s">
        <v>19</v>
      </c>
      <c r="C31" s="43" t="s">
        <v>20</v>
      </c>
      <c r="D31" s="1">
        <v>47.880299999999998</v>
      </c>
      <c r="E31" s="1">
        <f>VLOOKUP(B31,[1]采购价格汇总表!$E$783:$J$866,6,0)</f>
        <v>47.880299999999998</v>
      </c>
      <c r="F31" s="1">
        <v>2.2799999999999998</v>
      </c>
      <c r="G31" s="1"/>
      <c r="H31" s="1">
        <v>1.35</v>
      </c>
      <c r="I31" s="1">
        <f t="shared" si="1"/>
        <v>3.0779999999999998</v>
      </c>
      <c r="J31" s="1">
        <f t="shared" si="2"/>
        <v>3.0779999999999998</v>
      </c>
      <c r="K31" s="1">
        <f t="shared" si="3"/>
        <v>1.4364089999999998</v>
      </c>
      <c r="L31" s="9">
        <f t="shared" si="4"/>
        <v>1.641591</v>
      </c>
      <c r="M31" s="10">
        <f t="shared" si="5"/>
        <v>49.521890999999997</v>
      </c>
      <c r="N31" s="23"/>
      <c r="O31" s="19">
        <f t="shared" si="6"/>
        <v>3.4285311495541974E-2</v>
      </c>
      <c r="P31" s="36">
        <f t="shared" si="0"/>
        <v>21.720127631578947</v>
      </c>
      <c r="Q31" s="24" t="s">
        <v>194</v>
      </c>
    </row>
    <row r="32" spans="1:17">
      <c r="A32" s="1">
        <v>30</v>
      </c>
      <c r="B32" s="26" t="s">
        <v>21</v>
      </c>
      <c r="C32" s="43" t="s">
        <v>22</v>
      </c>
      <c r="D32" s="1">
        <v>10.948700000000001</v>
      </c>
      <c r="E32" s="1">
        <f>VLOOKUP(B32,[1]采购价格汇总表!$E$783:$J$866,6,0)</f>
        <v>10.948700000000001</v>
      </c>
      <c r="F32" s="1">
        <v>0.49</v>
      </c>
      <c r="G32" s="1"/>
      <c r="H32" s="1">
        <v>1.35</v>
      </c>
      <c r="I32" s="1">
        <f t="shared" si="1"/>
        <v>0.66149999999999998</v>
      </c>
      <c r="J32" s="1">
        <f t="shared" si="2"/>
        <v>0.66149999999999998</v>
      </c>
      <c r="K32" s="1">
        <f t="shared" si="3"/>
        <v>0.328461</v>
      </c>
      <c r="L32" s="9">
        <f t="shared" si="4"/>
        <v>0.33303899999999997</v>
      </c>
      <c r="M32" s="10">
        <f t="shared" si="5"/>
        <v>11.281739</v>
      </c>
      <c r="N32" s="23"/>
      <c r="O32" s="19">
        <f t="shared" si="6"/>
        <v>3.0418131833002949E-2</v>
      </c>
      <c r="P32" s="36">
        <f t="shared" si="0"/>
        <v>23.023957142857142</v>
      </c>
      <c r="Q32" s="24" t="s">
        <v>194</v>
      </c>
    </row>
    <row r="33" spans="1:17" ht="13.5" customHeight="1">
      <c r="A33" s="27">
        <v>31</v>
      </c>
      <c r="B33" s="27" t="s">
        <v>23</v>
      </c>
      <c r="C33" s="33" t="s">
        <v>24</v>
      </c>
      <c r="D33" s="27">
        <v>19.820499999999999</v>
      </c>
      <c r="E33" s="27">
        <f>VLOOKUP(B33,[1]采购价格汇总表!$E$783:$J$866,6,0)</f>
        <v>19.820499999999999</v>
      </c>
      <c r="F33" s="27">
        <v>1.35</v>
      </c>
      <c r="G33" s="27"/>
      <c r="H33" s="27">
        <v>1.35</v>
      </c>
      <c r="I33" s="27">
        <f t="shared" si="1"/>
        <v>1.8225000000000002</v>
      </c>
      <c r="J33" s="27">
        <f t="shared" si="2"/>
        <v>1.8225000000000002</v>
      </c>
      <c r="K33" s="27">
        <f t="shared" si="3"/>
        <v>0.594615</v>
      </c>
      <c r="L33" s="29">
        <f t="shared" si="4"/>
        <v>1.2278850000000001</v>
      </c>
      <c r="M33" s="30">
        <f t="shared" si="5"/>
        <v>21.048385</v>
      </c>
      <c r="N33" s="31"/>
      <c r="O33" s="32">
        <f t="shared" si="6"/>
        <v>6.1950253525390409E-2</v>
      </c>
      <c r="P33" s="44">
        <f t="shared" si="0"/>
        <v>15.591396296296296</v>
      </c>
      <c r="Q33" s="46"/>
    </row>
    <row r="34" spans="1:17">
      <c r="A34" s="1">
        <v>32</v>
      </c>
      <c r="B34" s="26" t="s">
        <v>27</v>
      </c>
      <c r="C34" s="43" t="s">
        <v>28</v>
      </c>
      <c r="D34" s="1">
        <v>47.880299999999998</v>
      </c>
      <c r="E34" s="1">
        <f>VLOOKUP(B34,[1]采购价格汇总表!$E$783:$J$866,6,0)</f>
        <v>47.880299999999998</v>
      </c>
      <c r="F34" s="1">
        <v>2.2799999999999998</v>
      </c>
      <c r="G34" s="1"/>
      <c r="H34" s="1">
        <v>1.35</v>
      </c>
      <c r="I34" s="1">
        <f t="shared" si="1"/>
        <v>3.0779999999999998</v>
      </c>
      <c r="J34" s="1">
        <f t="shared" si="2"/>
        <v>3.0779999999999998</v>
      </c>
      <c r="K34" s="1">
        <f t="shared" si="3"/>
        <v>1.4364089999999998</v>
      </c>
      <c r="L34" s="9">
        <f t="shared" si="4"/>
        <v>1.641591</v>
      </c>
      <c r="M34" s="10">
        <f t="shared" si="5"/>
        <v>49.521890999999997</v>
      </c>
      <c r="N34" s="23"/>
      <c r="O34" s="19">
        <f t="shared" si="6"/>
        <v>3.4285311495541974E-2</v>
      </c>
      <c r="P34" s="36">
        <f t="shared" si="0"/>
        <v>21.720127631578947</v>
      </c>
      <c r="Q34" s="24" t="s">
        <v>194</v>
      </c>
    </row>
    <row r="35" spans="1:17">
      <c r="A35" s="1">
        <v>33</v>
      </c>
      <c r="B35" s="26" t="s">
        <v>29</v>
      </c>
      <c r="C35" s="43" t="s">
        <v>30</v>
      </c>
      <c r="D35" s="1">
        <v>10.948700000000001</v>
      </c>
      <c r="E35" s="1">
        <f>VLOOKUP(B35,[1]采购价格汇总表!$E$783:$J$866,6,0)</f>
        <v>10.948700000000001</v>
      </c>
      <c r="F35" s="1">
        <v>0.49</v>
      </c>
      <c r="G35" s="1"/>
      <c r="H35" s="1">
        <v>1.35</v>
      </c>
      <c r="I35" s="1">
        <f t="shared" si="1"/>
        <v>0.66149999999999998</v>
      </c>
      <c r="J35" s="1">
        <f t="shared" si="2"/>
        <v>0.66149999999999998</v>
      </c>
      <c r="K35" s="1">
        <f t="shared" si="3"/>
        <v>0.328461</v>
      </c>
      <c r="L35" s="9">
        <f t="shared" si="4"/>
        <v>0.33303899999999997</v>
      </c>
      <c r="M35" s="10">
        <f t="shared" si="5"/>
        <v>11.281739</v>
      </c>
      <c r="N35" s="23"/>
      <c r="O35" s="19">
        <f t="shared" si="6"/>
        <v>3.0418131833002949E-2</v>
      </c>
      <c r="P35" s="36">
        <f t="shared" ref="P35:P66" si="7">M35/F35</f>
        <v>23.023957142857142</v>
      </c>
      <c r="Q35" s="24" t="s">
        <v>194</v>
      </c>
    </row>
    <row r="36" spans="1:17" ht="13.5" customHeight="1">
      <c r="A36" s="27">
        <v>34</v>
      </c>
      <c r="B36" s="27" t="s">
        <v>31</v>
      </c>
      <c r="C36" s="33" t="s">
        <v>32</v>
      </c>
      <c r="D36" s="27">
        <v>19.820499999999999</v>
      </c>
      <c r="E36" s="27">
        <f>VLOOKUP(B36,[1]采购价格汇总表!$E$783:$J$866,6,0)</f>
        <v>19.820499999999999</v>
      </c>
      <c r="F36" s="27">
        <v>1.35</v>
      </c>
      <c r="G36" s="27"/>
      <c r="H36" s="27">
        <v>1.35</v>
      </c>
      <c r="I36" s="27">
        <f t="shared" si="1"/>
        <v>1.8225000000000002</v>
      </c>
      <c r="J36" s="27">
        <f t="shared" si="2"/>
        <v>1.8225000000000002</v>
      </c>
      <c r="K36" s="27">
        <f t="shared" si="3"/>
        <v>0.594615</v>
      </c>
      <c r="L36" s="29">
        <f t="shared" si="4"/>
        <v>1.2278850000000001</v>
      </c>
      <c r="M36" s="30">
        <f t="shared" si="5"/>
        <v>21.048385</v>
      </c>
      <c r="N36" s="31"/>
      <c r="O36" s="32">
        <f t="shared" si="6"/>
        <v>6.1950253525390409E-2</v>
      </c>
      <c r="P36" s="44">
        <f t="shared" si="7"/>
        <v>15.591396296296296</v>
      </c>
      <c r="Q36" s="46"/>
    </row>
    <row r="37" spans="1:17" ht="13.5" customHeight="1">
      <c r="A37" s="1">
        <v>35</v>
      </c>
      <c r="B37" s="1" t="s">
        <v>51</v>
      </c>
      <c r="C37" s="6" t="s">
        <v>52</v>
      </c>
      <c r="D37" s="1">
        <v>71.557199999999995</v>
      </c>
      <c r="E37" s="1">
        <f>VLOOKUP(B37,[1]采购价格汇总表!$E$783:$J$866,6,0)</f>
        <v>71.557199999999995</v>
      </c>
      <c r="F37" s="1">
        <v>5.95</v>
      </c>
      <c r="G37" s="1"/>
      <c r="H37" s="1">
        <v>1.35</v>
      </c>
      <c r="I37" s="1">
        <f t="shared" si="1"/>
        <v>8.0325000000000006</v>
      </c>
      <c r="J37" s="1">
        <f t="shared" si="2"/>
        <v>8.0325000000000006</v>
      </c>
      <c r="K37" s="1">
        <f t="shared" si="3"/>
        <v>2.1467159999999996</v>
      </c>
      <c r="L37" s="9">
        <f t="shared" si="4"/>
        <v>5.885784000000001</v>
      </c>
      <c r="M37" s="10">
        <f t="shared" si="5"/>
        <v>77.442983999999996</v>
      </c>
      <c r="N37" s="23"/>
      <c r="O37" s="19">
        <f t="shared" si="6"/>
        <v>8.2252855058610477E-2</v>
      </c>
      <c r="P37" s="44">
        <f t="shared" si="7"/>
        <v>13.015627563025209</v>
      </c>
      <c r="Q37" s="46"/>
    </row>
    <row r="38" spans="1:17" ht="33.75" customHeight="1">
      <c r="A38" s="1">
        <v>36</v>
      </c>
      <c r="B38" s="1" t="s">
        <v>53</v>
      </c>
      <c r="C38" s="7" t="s">
        <v>54</v>
      </c>
      <c r="D38" s="1">
        <v>110.08499999999999</v>
      </c>
      <c r="E38" s="1">
        <f>VLOOKUP(B38,[1]采购价格汇总表!$E$783:$J$866,6,0)</f>
        <v>110.08499999999999</v>
      </c>
      <c r="F38" s="1">
        <v>11.25</v>
      </c>
      <c r="G38" s="1"/>
      <c r="H38" s="1">
        <v>1.35</v>
      </c>
      <c r="I38" s="1">
        <f t="shared" ref="I38:I69" si="8">F38*H38</f>
        <v>15.187500000000002</v>
      </c>
      <c r="J38" s="1">
        <f t="shared" si="2"/>
        <v>15.187500000000002</v>
      </c>
      <c r="K38" s="1">
        <f t="shared" ref="K38:K69" si="9">D38*0.03</f>
        <v>3.3025499999999997</v>
      </c>
      <c r="L38" s="9">
        <f t="shared" ref="L38:L69" si="10">J38-K38</f>
        <v>11.884950000000002</v>
      </c>
      <c r="M38" s="10">
        <f t="shared" ref="M38:M69" si="11">D38+L38</f>
        <v>121.96995</v>
      </c>
      <c r="N38" s="23"/>
      <c r="O38" s="19">
        <f t="shared" ref="O38:O69" si="12">(M38-D38)/D38</f>
        <v>0.10796157514647776</v>
      </c>
      <c r="P38" s="44">
        <f t="shared" si="7"/>
        <v>10.841773333333332</v>
      </c>
      <c r="Q38" s="46"/>
    </row>
    <row r="39" spans="1:17" ht="13.5" customHeight="1">
      <c r="A39" s="1">
        <v>37</v>
      </c>
      <c r="B39" s="1" t="s">
        <v>55</v>
      </c>
      <c r="C39" s="6" t="s">
        <v>56</v>
      </c>
      <c r="D39" s="1">
        <v>64.478800000000007</v>
      </c>
      <c r="E39" s="1">
        <f>VLOOKUP(B39,[1]采购价格汇总表!$E$783:$J$866,6,0)</f>
        <v>64.478800000000007</v>
      </c>
      <c r="F39" s="1">
        <v>5.75</v>
      </c>
      <c r="G39" s="1"/>
      <c r="H39" s="1">
        <v>1.35</v>
      </c>
      <c r="I39" s="1">
        <f t="shared" si="8"/>
        <v>7.7625000000000002</v>
      </c>
      <c r="J39" s="1">
        <f t="shared" si="2"/>
        <v>7.7625000000000002</v>
      </c>
      <c r="K39" s="1">
        <f t="shared" si="9"/>
        <v>1.9343640000000002</v>
      </c>
      <c r="L39" s="9">
        <f t="shared" si="10"/>
        <v>5.8281359999999998</v>
      </c>
      <c r="M39" s="10">
        <f t="shared" si="11"/>
        <v>70.306936000000007</v>
      </c>
      <c r="N39" s="23"/>
      <c r="O39" s="19">
        <f t="shared" si="12"/>
        <v>9.0388406732135218E-2</v>
      </c>
      <c r="P39" s="44">
        <f t="shared" si="7"/>
        <v>12.227293217391306</v>
      </c>
      <c r="Q39" s="46"/>
    </row>
    <row r="40" spans="1:17" ht="33.75" customHeight="1">
      <c r="A40" s="1">
        <v>38</v>
      </c>
      <c r="B40" s="1" t="s">
        <v>57</v>
      </c>
      <c r="C40" s="7" t="s">
        <v>58</v>
      </c>
      <c r="D40" s="1">
        <v>111.48</v>
      </c>
      <c r="E40" s="1">
        <f>VLOOKUP(B40,[1]采购价格汇总表!$E$783:$J$866,6,0)</f>
        <v>111.48</v>
      </c>
      <c r="F40" s="1">
        <v>11.1</v>
      </c>
      <c r="G40" s="1"/>
      <c r="H40" s="1">
        <v>1.35</v>
      </c>
      <c r="I40" s="1">
        <f t="shared" si="8"/>
        <v>14.985000000000001</v>
      </c>
      <c r="J40" s="1">
        <f t="shared" si="2"/>
        <v>14.985000000000001</v>
      </c>
      <c r="K40" s="1">
        <f t="shared" si="9"/>
        <v>3.3443999999999998</v>
      </c>
      <c r="L40" s="9">
        <f t="shared" si="10"/>
        <v>11.640600000000001</v>
      </c>
      <c r="M40" s="10">
        <f t="shared" si="11"/>
        <v>123.12060000000001</v>
      </c>
      <c r="N40" s="23"/>
      <c r="O40" s="19">
        <f t="shared" si="12"/>
        <v>0.10441872981700759</v>
      </c>
      <c r="P40" s="44">
        <f t="shared" si="7"/>
        <v>11.091945945945946</v>
      </c>
      <c r="Q40" s="46"/>
    </row>
    <row r="41" spans="1:17" ht="13.5" customHeight="1">
      <c r="A41" s="1">
        <v>39</v>
      </c>
      <c r="B41" s="1" t="s">
        <v>59</v>
      </c>
      <c r="C41" s="6" t="s">
        <v>60</v>
      </c>
      <c r="D41" s="8">
        <v>122.27</v>
      </c>
      <c r="E41" s="1">
        <f>VLOOKUP(B41,[1]采购价格汇总表!$E$783:$J$866,6,0)</f>
        <v>122.27</v>
      </c>
      <c r="F41" s="1">
        <v>15.1</v>
      </c>
      <c r="G41" s="1"/>
      <c r="H41" s="1">
        <v>1.35</v>
      </c>
      <c r="I41" s="1">
        <f t="shared" si="8"/>
        <v>20.385000000000002</v>
      </c>
      <c r="J41" s="1">
        <f t="shared" si="2"/>
        <v>20.385000000000002</v>
      </c>
      <c r="K41" s="1">
        <f t="shared" si="9"/>
        <v>3.6680999999999999</v>
      </c>
      <c r="L41" s="9">
        <f t="shared" si="10"/>
        <v>16.716900000000003</v>
      </c>
      <c r="M41" s="10">
        <f t="shared" si="11"/>
        <v>138.98689999999999</v>
      </c>
      <c r="N41" s="23"/>
      <c r="O41" s="19">
        <f t="shared" si="12"/>
        <v>0.13672119080722986</v>
      </c>
      <c r="P41" s="44">
        <f t="shared" si="7"/>
        <v>9.2044304635761591</v>
      </c>
      <c r="Q41" s="46"/>
    </row>
    <row r="42" spans="1:17" ht="13.5" customHeight="1">
      <c r="A42" s="1">
        <v>40</v>
      </c>
      <c r="B42" s="1" t="s">
        <v>63</v>
      </c>
      <c r="C42" s="6" t="s">
        <v>64</v>
      </c>
      <c r="D42" s="1">
        <v>19.820499999999999</v>
      </c>
      <c r="E42" s="1">
        <f>VLOOKUP(B42,[1]采购价格汇总表!$E$783:$J$866,6,0)</f>
        <v>19.820499999999999</v>
      </c>
      <c r="F42" s="1">
        <v>1.345</v>
      </c>
      <c r="G42" s="1"/>
      <c r="H42" s="1">
        <v>1.35</v>
      </c>
      <c r="I42" s="1">
        <f t="shared" si="8"/>
        <v>1.81575</v>
      </c>
      <c r="J42" s="1">
        <f t="shared" si="2"/>
        <v>1.81575</v>
      </c>
      <c r="K42" s="1">
        <f t="shared" si="9"/>
        <v>0.594615</v>
      </c>
      <c r="L42" s="9">
        <f t="shared" si="10"/>
        <v>1.2211349999999999</v>
      </c>
      <c r="M42" s="10">
        <f t="shared" si="11"/>
        <v>21.041634999999999</v>
      </c>
      <c r="N42" s="23"/>
      <c r="O42" s="19">
        <f t="shared" si="12"/>
        <v>6.1609697030851916E-2</v>
      </c>
      <c r="P42" s="44">
        <f t="shared" si="7"/>
        <v>15.644338289962825</v>
      </c>
      <c r="Q42" s="46"/>
    </row>
    <row r="43" spans="1:17" ht="13.5" customHeight="1">
      <c r="A43" s="1">
        <v>41</v>
      </c>
      <c r="B43" s="1" t="s">
        <v>101</v>
      </c>
      <c r="C43" s="6" t="s">
        <v>102</v>
      </c>
      <c r="D43" s="1">
        <v>10.948700000000001</v>
      </c>
      <c r="E43" s="1">
        <f>VLOOKUP(B43,[1]采购价格汇总表!$E$783:$J$866,6,0)</f>
        <v>10.948700000000001</v>
      </c>
      <c r="F43" s="1">
        <v>0.7</v>
      </c>
      <c r="G43" s="1"/>
      <c r="H43" s="1">
        <v>1.35</v>
      </c>
      <c r="I43" s="1">
        <f t="shared" si="8"/>
        <v>0.94499999999999995</v>
      </c>
      <c r="J43" s="1">
        <f t="shared" si="2"/>
        <v>0.94499999999999995</v>
      </c>
      <c r="K43" s="1">
        <f t="shared" si="9"/>
        <v>0.328461</v>
      </c>
      <c r="L43" s="9">
        <f t="shared" si="10"/>
        <v>0.61653899999999995</v>
      </c>
      <c r="M43" s="10">
        <f t="shared" si="11"/>
        <v>11.565239</v>
      </c>
      <c r="N43" s="23"/>
      <c r="O43" s="19">
        <f t="shared" si="12"/>
        <v>5.6311616904289957E-2</v>
      </c>
      <c r="P43" s="44">
        <f t="shared" si="7"/>
        <v>16.52177</v>
      </c>
      <c r="Q43" s="46"/>
    </row>
    <row r="44" spans="1:17" ht="13.5" customHeight="1">
      <c r="A44" s="1">
        <v>42</v>
      </c>
      <c r="B44" s="1" t="s">
        <v>103</v>
      </c>
      <c r="C44" s="6" t="s">
        <v>104</v>
      </c>
      <c r="D44" s="1">
        <v>10.948700000000001</v>
      </c>
      <c r="E44" s="1">
        <f>VLOOKUP(B44,[1]采购价格汇总表!$E$783:$J$866,6,0)</f>
        <v>10.948700000000001</v>
      </c>
      <c r="F44" s="1">
        <v>0.7</v>
      </c>
      <c r="G44" s="1"/>
      <c r="H44" s="1">
        <v>1.35</v>
      </c>
      <c r="I44" s="1">
        <f t="shared" si="8"/>
        <v>0.94499999999999995</v>
      </c>
      <c r="J44" s="1">
        <f t="shared" si="2"/>
        <v>0.94499999999999995</v>
      </c>
      <c r="K44" s="1">
        <f t="shared" si="9"/>
        <v>0.328461</v>
      </c>
      <c r="L44" s="9">
        <f t="shared" si="10"/>
        <v>0.61653899999999995</v>
      </c>
      <c r="M44" s="10">
        <f t="shared" si="11"/>
        <v>11.565239</v>
      </c>
      <c r="N44" s="23"/>
      <c r="O44" s="19">
        <f t="shared" si="12"/>
        <v>5.6311616904289957E-2</v>
      </c>
      <c r="P44" s="44">
        <f t="shared" si="7"/>
        <v>16.52177</v>
      </c>
      <c r="Q44" s="46"/>
    </row>
    <row r="45" spans="1:17" ht="13.5" customHeight="1">
      <c r="A45" s="1">
        <v>43</v>
      </c>
      <c r="B45" s="1" t="s">
        <v>109</v>
      </c>
      <c r="C45" s="6" t="s">
        <v>110</v>
      </c>
      <c r="D45" s="1">
        <v>185.30330000000001</v>
      </c>
      <c r="E45" s="1">
        <f>VLOOKUP(B45,[1]采购价格汇总表!$E$783:$J$866,6,0)</f>
        <v>185.30330000000001</v>
      </c>
      <c r="F45" s="1">
        <v>16.25</v>
      </c>
      <c r="G45" s="1"/>
      <c r="H45" s="1">
        <v>1.35</v>
      </c>
      <c r="I45" s="1">
        <f t="shared" si="8"/>
        <v>21.9375</v>
      </c>
      <c r="J45" s="1">
        <f t="shared" si="2"/>
        <v>21.9375</v>
      </c>
      <c r="K45" s="1">
        <f t="shared" si="9"/>
        <v>5.5590989999999998</v>
      </c>
      <c r="L45" s="9">
        <f t="shared" si="10"/>
        <v>16.378401</v>
      </c>
      <c r="M45" s="10">
        <f t="shared" si="11"/>
        <v>201.681701</v>
      </c>
      <c r="N45" s="23"/>
      <c r="O45" s="19">
        <f t="shared" si="12"/>
        <v>8.8386990409776808E-2</v>
      </c>
      <c r="P45" s="44">
        <f t="shared" si="7"/>
        <v>12.411181600000001</v>
      </c>
      <c r="Q45" s="46"/>
    </row>
    <row r="46" spans="1:17" ht="13.5" customHeight="1">
      <c r="A46" s="1">
        <v>44</v>
      </c>
      <c r="B46" s="1" t="s">
        <v>136</v>
      </c>
      <c r="C46" s="6" t="s">
        <v>137</v>
      </c>
      <c r="D46" s="1">
        <v>119.7265</v>
      </c>
      <c r="E46" s="1">
        <f>VLOOKUP(B46,[1]采购价格汇总表!$E$783:$J$866,6,0)</f>
        <v>119.7265</v>
      </c>
      <c r="F46" s="1">
        <v>11.85</v>
      </c>
      <c r="G46" s="1"/>
      <c r="H46" s="1">
        <v>1.35</v>
      </c>
      <c r="I46" s="1">
        <f t="shared" si="8"/>
        <v>15.9975</v>
      </c>
      <c r="J46" s="1">
        <f t="shared" si="2"/>
        <v>15.9975</v>
      </c>
      <c r="K46" s="1">
        <f t="shared" si="9"/>
        <v>3.5917949999999998</v>
      </c>
      <c r="L46" s="9">
        <f t="shared" si="10"/>
        <v>12.405705000000001</v>
      </c>
      <c r="M46" s="10">
        <f t="shared" si="11"/>
        <v>132.132205</v>
      </c>
      <c r="N46" s="23"/>
      <c r="O46" s="19">
        <f t="shared" si="12"/>
        <v>0.10361703549339535</v>
      </c>
      <c r="P46" s="44">
        <f t="shared" si="7"/>
        <v>11.150397046413502</v>
      </c>
      <c r="Q46" s="46"/>
    </row>
    <row r="47" spans="1:17" ht="13.5" customHeight="1">
      <c r="A47" s="1">
        <v>45</v>
      </c>
      <c r="B47" s="1" t="s">
        <v>138</v>
      </c>
      <c r="C47" s="6" t="s">
        <v>139</v>
      </c>
      <c r="D47" s="1">
        <v>8.0310000000000006</v>
      </c>
      <c r="E47" s="1">
        <f>VLOOKUP(B47,[1]采购价格汇总表!$E$783:$J$866,6,0)</f>
        <v>8.0310000000000006</v>
      </c>
      <c r="F47" s="1">
        <v>0.63500000000000001</v>
      </c>
      <c r="G47" s="1"/>
      <c r="H47" s="1">
        <v>1.35</v>
      </c>
      <c r="I47" s="1">
        <f t="shared" si="8"/>
        <v>0.85725000000000007</v>
      </c>
      <c r="J47" s="1">
        <f t="shared" si="2"/>
        <v>0.85725000000000007</v>
      </c>
      <c r="K47" s="1">
        <f t="shared" si="9"/>
        <v>0.24093000000000001</v>
      </c>
      <c r="L47" s="9">
        <f t="shared" si="10"/>
        <v>0.61632000000000009</v>
      </c>
      <c r="M47" s="10">
        <f t="shared" si="11"/>
        <v>8.6473200000000006</v>
      </c>
      <c r="N47" s="23"/>
      <c r="O47" s="19">
        <f t="shared" si="12"/>
        <v>7.6742622338438538E-2</v>
      </c>
      <c r="P47" s="44">
        <f t="shared" si="7"/>
        <v>13.617826771653544</v>
      </c>
      <c r="Q47" s="46"/>
    </row>
    <row r="48" spans="1:17" ht="13.5" customHeight="1">
      <c r="A48" s="1">
        <v>46</v>
      </c>
      <c r="B48" s="1" t="s">
        <v>41</v>
      </c>
      <c r="C48" s="6" t="s">
        <v>42</v>
      </c>
      <c r="D48" s="1">
        <v>64.478499999999997</v>
      </c>
      <c r="E48" s="1">
        <f>VLOOKUP(B48,[1]采购价格汇总表!$E$783:$J$866,6,0)</f>
        <v>64.478499999999997</v>
      </c>
      <c r="F48" s="1">
        <v>5.45</v>
      </c>
      <c r="G48" s="1"/>
      <c r="H48" s="1">
        <v>1.35</v>
      </c>
      <c r="I48" s="1">
        <f t="shared" si="8"/>
        <v>7.3575000000000008</v>
      </c>
      <c r="J48" s="1">
        <f t="shared" si="2"/>
        <v>7.3575000000000008</v>
      </c>
      <c r="K48" s="1">
        <f t="shared" si="9"/>
        <v>1.9343549999999998</v>
      </c>
      <c r="L48" s="9">
        <f t="shared" si="10"/>
        <v>5.4231450000000008</v>
      </c>
      <c r="M48" s="10">
        <f t="shared" si="11"/>
        <v>69.901645000000002</v>
      </c>
      <c r="N48" s="23"/>
      <c r="O48" s="19">
        <f t="shared" si="12"/>
        <v>8.4107803376319318E-2</v>
      </c>
      <c r="P48" s="44">
        <f t="shared" si="7"/>
        <v>12.825989908256881</v>
      </c>
      <c r="Q48" s="46"/>
    </row>
    <row r="49" spans="1:17" ht="13.5" customHeight="1">
      <c r="A49" s="1">
        <v>47</v>
      </c>
      <c r="B49" s="1" t="s">
        <v>43</v>
      </c>
      <c r="C49" s="6" t="s">
        <v>44</v>
      </c>
      <c r="D49" s="1">
        <v>64.478700000000003</v>
      </c>
      <c r="E49" s="1">
        <f>VLOOKUP(B49,[1]采购价格汇总表!$E$783:$J$866,6,0)</f>
        <v>64.478700000000003</v>
      </c>
      <c r="F49" s="1">
        <v>5.45</v>
      </c>
      <c r="G49" s="1"/>
      <c r="H49" s="1">
        <v>1.35</v>
      </c>
      <c r="I49" s="1">
        <f t="shared" si="8"/>
        <v>7.3575000000000008</v>
      </c>
      <c r="J49" s="1">
        <f t="shared" si="2"/>
        <v>7.3575000000000008</v>
      </c>
      <c r="K49" s="1">
        <f t="shared" si="9"/>
        <v>1.934361</v>
      </c>
      <c r="L49" s="9">
        <f t="shared" si="10"/>
        <v>5.4231390000000008</v>
      </c>
      <c r="M49" s="10">
        <f t="shared" si="11"/>
        <v>69.90183900000001</v>
      </c>
      <c r="N49" s="23"/>
      <c r="O49" s="19">
        <f t="shared" si="12"/>
        <v>8.410744943679084E-2</v>
      </c>
      <c r="P49" s="44">
        <f t="shared" si="7"/>
        <v>12.826025504587157</v>
      </c>
      <c r="Q49" s="46"/>
    </row>
    <row r="50" spans="1:17" ht="33.75" customHeight="1">
      <c r="A50" s="1">
        <v>48</v>
      </c>
      <c r="B50" s="1" t="s">
        <v>45</v>
      </c>
      <c r="C50" s="7" t="s">
        <v>46</v>
      </c>
      <c r="D50" s="1">
        <v>110.0853</v>
      </c>
      <c r="E50" s="1">
        <f>VLOOKUP(B50,[1]采购价格汇总表!$E$783:$J$866,6,0)</f>
        <v>110.0853</v>
      </c>
      <c r="F50" s="1">
        <v>11</v>
      </c>
      <c r="G50" s="1"/>
      <c r="H50" s="1">
        <v>1.35</v>
      </c>
      <c r="I50" s="1">
        <f t="shared" si="8"/>
        <v>14.850000000000001</v>
      </c>
      <c r="J50" s="1">
        <f t="shared" si="2"/>
        <v>14.850000000000001</v>
      </c>
      <c r="K50" s="1">
        <f t="shared" si="9"/>
        <v>3.302559</v>
      </c>
      <c r="L50" s="9">
        <f t="shared" si="10"/>
        <v>11.547441000000001</v>
      </c>
      <c r="M50" s="10">
        <f t="shared" si="11"/>
        <v>121.63274100000001</v>
      </c>
      <c r="N50" s="23"/>
      <c r="O50" s="19">
        <f t="shared" si="12"/>
        <v>0.10489539475297797</v>
      </c>
      <c r="P50" s="44">
        <f t="shared" si="7"/>
        <v>11.05752190909091</v>
      </c>
      <c r="Q50" s="46"/>
    </row>
    <row r="51" spans="1:17" ht="33.75" customHeight="1">
      <c r="A51" s="1">
        <v>49</v>
      </c>
      <c r="B51" s="1" t="s">
        <v>47</v>
      </c>
      <c r="C51" s="7" t="s">
        <v>48</v>
      </c>
      <c r="D51" s="1">
        <v>120.8973</v>
      </c>
      <c r="E51" s="1">
        <f>VLOOKUP(B51,[1]采购价格汇总表!$E$783:$J$866,6,0)</f>
        <v>120.8973</v>
      </c>
      <c r="F51" s="1">
        <v>11.3</v>
      </c>
      <c r="G51" s="1"/>
      <c r="H51" s="1">
        <v>1.35</v>
      </c>
      <c r="I51" s="1">
        <f t="shared" si="8"/>
        <v>15.255000000000003</v>
      </c>
      <c r="J51" s="1">
        <f t="shared" si="2"/>
        <v>15.255000000000003</v>
      </c>
      <c r="K51" s="1">
        <f t="shared" si="9"/>
        <v>3.626919</v>
      </c>
      <c r="L51" s="9">
        <f t="shared" si="10"/>
        <v>11.628081000000002</v>
      </c>
      <c r="M51" s="10">
        <f t="shared" si="11"/>
        <v>132.52538100000001</v>
      </c>
      <c r="N51" s="23"/>
      <c r="O51" s="19">
        <f t="shared" si="12"/>
        <v>9.6181477998268025E-2</v>
      </c>
      <c r="P51" s="44">
        <f t="shared" si="7"/>
        <v>11.727909823008849</v>
      </c>
      <c r="Q51" s="46"/>
    </row>
    <row r="52" spans="1:17" ht="13.5" customHeight="1">
      <c r="A52" s="1">
        <v>50</v>
      </c>
      <c r="B52" s="1" t="s">
        <v>49</v>
      </c>
      <c r="C52" s="6" t="s">
        <v>50</v>
      </c>
      <c r="D52" s="1">
        <v>119.1027</v>
      </c>
      <c r="E52" s="1">
        <f>VLOOKUP(B52,[1]采购价格汇总表!$E$783:$J$866,6,0)</f>
        <v>119.1027</v>
      </c>
      <c r="F52" s="1">
        <v>11.5</v>
      </c>
      <c r="G52" s="1"/>
      <c r="H52" s="1">
        <v>1.35</v>
      </c>
      <c r="I52" s="1">
        <f t="shared" si="8"/>
        <v>15.525</v>
      </c>
      <c r="J52" s="1">
        <f t="shared" si="2"/>
        <v>15.525</v>
      </c>
      <c r="K52" s="1">
        <f t="shared" si="9"/>
        <v>3.5730809999999997</v>
      </c>
      <c r="L52" s="9">
        <f t="shared" si="10"/>
        <v>11.951919</v>
      </c>
      <c r="M52" s="10">
        <f t="shared" si="11"/>
        <v>131.054619</v>
      </c>
      <c r="N52" s="23"/>
      <c r="O52" s="19">
        <f t="shared" si="12"/>
        <v>0.10034968980552081</v>
      </c>
      <c r="P52" s="44">
        <f t="shared" si="7"/>
        <v>11.396053826086957</v>
      </c>
      <c r="Q52" s="46"/>
    </row>
    <row r="53" spans="1:17">
      <c r="A53" s="1">
        <v>51</v>
      </c>
      <c r="B53" s="26" t="s">
        <v>61</v>
      </c>
      <c r="C53" s="43" t="s">
        <v>62</v>
      </c>
      <c r="D53" s="1">
        <v>17.547000000000001</v>
      </c>
      <c r="E53" s="1">
        <f>VLOOKUP(B53,[1]采购价格汇总表!$E$783:$J$866,6,0)</f>
        <v>17.547000000000001</v>
      </c>
      <c r="F53" s="1">
        <v>0.7</v>
      </c>
      <c r="G53" s="1"/>
      <c r="H53" s="1">
        <v>1.35</v>
      </c>
      <c r="I53" s="1">
        <f t="shared" si="8"/>
        <v>0.94499999999999995</v>
      </c>
      <c r="J53" s="1">
        <f t="shared" si="2"/>
        <v>0.94499999999999995</v>
      </c>
      <c r="K53" s="1">
        <f t="shared" si="9"/>
        <v>0.52641000000000004</v>
      </c>
      <c r="L53" s="9">
        <f t="shared" si="10"/>
        <v>0.41858999999999991</v>
      </c>
      <c r="M53" s="10">
        <f t="shared" si="11"/>
        <v>17.965589999999999</v>
      </c>
      <c r="N53" s="23"/>
      <c r="O53" s="19">
        <f t="shared" si="12"/>
        <v>2.3855359890579485E-2</v>
      </c>
      <c r="P53" s="36">
        <f t="shared" si="7"/>
        <v>25.665128571428571</v>
      </c>
      <c r="Q53" s="24" t="s">
        <v>194</v>
      </c>
    </row>
    <row r="54" spans="1:17" ht="13.5" customHeight="1">
      <c r="A54" s="27">
        <v>52</v>
      </c>
      <c r="B54" s="27" t="s">
        <v>65</v>
      </c>
      <c r="C54" s="33" t="s">
        <v>66</v>
      </c>
      <c r="D54" s="27">
        <v>19.820499999999999</v>
      </c>
      <c r="E54" s="27">
        <f>VLOOKUP(B54,[1]采购价格汇总表!$E$783:$J$866,6,0)</f>
        <v>19.820499999999999</v>
      </c>
      <c r="F54" s="27">
        <v>1.345</v>
      </c>
      <c r="G54" s="27"/>
      <c r="H54" s="27">
        <v>1.35</v>
      </c>
      <c r="I54" s="27">
        <f t="shared" si="8"/>
        <v>1.81575</v>
      </c>
      <c r="J54" s="27">
        <f t="shared" si="2"/>
        <v>1.81575</v>
      </c>
      <c r="K54" s="27">
        <f t="shared" si="9"/>
        <v>0.594615</v>
      </c>
      <c r="L54" s="29">
        <f t="shared" si="10"/>
        <v>1.2211349999999999</v>
      </c>
      <c r="M54" s="30">
        <f t="shared" si="11"/>
        <v>21.041634999999999</v>
      </c>
      <c r="N54" s="31"/>
      <c r="O54" s="32">
        <f t="shared" si="12"/>
        <v>6.1609697030851916E-2</v>
      </c>
      <c r="P54" s="44">
        <f t="shared" si="7"/>
        <v>15.644338289962825</v>
      </c>
      <c r="Q54" s="46"/>
    </row>
    <row r="55" spans="1:17" ht="13.5" customHeight="1">
      <c r="A55" s="1">
        <v>53</v>
      </c>
      <c r="B55" s="1" t="s">
        <v>69</v>
      </c>
      <c r="C55" s="6" t="s">
        <v>70</v>
      </c>
      <c r="D55" s="1">
        <v>108.64100000000001</v>
      </c>
      <c r="E55" s="1">
        <f>VLOOKUP(B55,[1]采购价格汇总表!$E$783:$J$866,6,0)</f>
        <v>108.64100000000001</v>
      </c>
      <c r="F55" s="1">
        <v>11</v>
      </c>
      <c r="G55" s="1"/>
      <c r="H55" s="1">
        <v>1.35</v>
      </c>
      <c r="I55" s="1">
        <f t="shared" si="8"/>
        <v>14.850000000000001</v>
      </c>
      <c r="J55" s="1">
        <f t="shared" si="2"/>
        <v>14.850000000000001</v>
      </c>
      <c r="K55" s="1">
        <f t="shared" si="9"/>
        <v>3.2592300000000001</v>
      </c>
      <c r="L55" s="9">
        <f t="shared" si="10"/>
        <v>11.590770000000001</v>
      </c>
      <c r="M55" s="10">
        <f t="shared" si="11"/>
        <v>120.23177000000001</v>
      </c>
      <c r="N55" s="23"/>
      <c r="O55" s="19">
        <f t="shared" si="12"/>
        <v>0.10668872709198191</v>
      </c>
      <c r="P55" s="44">
        <f t="shared" si="7"/>
        <v>10.93016090909091</v>
      </c>
      <c r="Q55" s="46"/>
    </row>
    <row r="56" spans="1:17" ht="33.75" customHeight="1">
      <c r="A56" s="1">
        <v>54</v>
      </c>
      <c r="B56" s="1" t="s">
        <v>79</v>
      </c>
      <c r="C56" s="7" t="s">
        <v>80</v>
      </c>
      <c r="D56" s="1">
        <v>111.82899999999999</v>
      </c>
      <c r="E56" s="1">
        <f>VLOOKUP(B56,[1]采购价格汇总表!$E$783:$J$866,6,0)</f>
        <v>111.82899999999999</v>
      </c>
      <c r="F56" s="1">
        <v>11.15</v>
      </c>
      <c r="G56" s="1"/>
      <c r="H56" s="1">
        <v>1.35</v>
      </c>
      <c r="I56" s="1">
        <f t="shared" si="8"/>
        <v>15.052500000000002</v>
      </c>
      <c r="J56" s="1">
        <f t="shared" si="2"/>
        <v>15.052500000000002</v>
      </c>
      <c r="K56" s="1">
        <f t="shared" si="9"/>
        <v>3.3548699999999996</v>
      </c>
      <c r="L56" s="9">
        <f t="shared" si="10"/>
        <v>11.697630000000002</v>
      </c>
      <c r="M56" s="10">
        <f t="shared" si="11"/>
        <v>123.52663</v>
      </c>
      <c r="N56" s="23"/>
      <c r="O56" s="19">
        <f t="shared" si="12"/>
        <v>0.10460283110820989</v>
      </c>
      <c r="P56" s="44">
        <f t="shared" si="7"/>
        <v>11.078621524663676</v>
      </c>
      <c r="Q56" s="46"/>
    </row>
    <row r="57" spans="1:17" ht="33.75" customHeight="1">
      <c r="A57" s="1">
        <v>55</v>
      </c>
      <c r="B57" s="1" t="s">
        <v>81</v>
      </c>
      <c r="C57" s="7" t="s">
        <v>82</v>
      </c>
      <c r="D57" s="1">
        <v>112.90430000000001</v>
      </c>
      <c r="E57" s="1">
        <f>VLOOKUP(B57,[1]采购价格汇总表!$E$783:$J$866,6,0)</f>
        <v>112.90430000000001</v>
      </c>
      <c r="F57" s="1">
        <v>11.05</v>
      </c>
      <c r="G57" s="1"/>
      <c r="H57" s="1">
        <v>1.35</v>
      </c>
      <c r="I57" s="1">
        <f t="shared" si="8"/>
        <v>14.917500000000002</v>
      </c>
      <c r="J57" s="1">
        <f t="shared" si="2"/>
        <v>14.917500000000002</v>
      </c>
      <c r="K57" s="1">
        <f t="shared" si="9"/>
        <v>3.3871290000000003</v>
      </c>
      <c r="L57" s="9">
        <f t="shared" si="10"/>
        <v>11.530371000000002</v>
      </c>
      <c r="M57" s="10">
        <f t="shared" si="11"/>
        <v>124.43467100000001</v>
      </c>
      <c r="N57" s="23"/>
      <c r="O57" s="19">
        <f t="shared" si="12"/>
        <v>0.10212517149479694</v>
      </c>
      <c r="P57" s="44">
        <f t="shared" si="7"/>
        <v>11.261056199095023</v>
      </c>
      <c r="Q57" s="46"/>
    </row>
    <row r="58" spans="1:17" ht="33.75" customHeight="1">
      <c r="A58" s="1">
        <v>56</v>
      </c>
      <c r="B58" s="1" t="s">
        <v>83</v>
      </c>
      <c r="C58" s="7" t="s">
        <v>84</v>
      </c>
      <c r="D58" s="1">
        <v>71.555499999999995</v>
      </c>
      <c r="E58" s="1">
        <f>VLOOKUP(B58,[1]采购价格汇总表!$E$783:$J$866,6,0)</f>
        <v>71.555499999999995</v>
      </c>
      <c r="F58" s="1">
        <v>5.55</v>
      </c>
      <c r="G58" s="1"/>
      <c r="H58" s="1">
        <v>1.35</v>
      </c>
      <c r="I58" s="1">
        <f t="shared" si="8"/>
        <v>7.4925000000000006</v>
      </c>
      <c r="J58" s="1">
        <f t="shared" si="2"/>
        <v>7.4925000000000006</v>
      </c>
      <c r="K58" s="1">
        <f t="shared" si="9"/>
        <v>2.1466649999999996</v>
      </c>
      <c r="L58" s="9">
        <f t="shared" si="10"/>
        <v>5.345835000000001</v>
      </c>
      <c r="M58" s="10">
        <f t="shared" si="11"/>
        <v>76.901334999999989</v>
      </c>
      <c r="N58" s="23"/>
      <c r="O58" s="19">
        <f t="shared" si="12"/>
        <v>7.4708932227431774E-2</v>
      </c>
      <c r="P58" s="44">
        <f t="shared" si="7"/>
        <v>13.856096396396396</v>
      </c>
      <c r="Q58" s="46"/>
    </row>
    <row r="59" spans="1:17" ht="33.75" customHeight="1">
      <c r="A59" s="1">
        <v>57</v>
      </c>
      <c r="B59" s="1" t="s">
        <v>87</v>
      </c>
      <c r="C59" s="7" t="s">
        <v>88</v>
      </c>
      <c r="D59" s="1">
        <v>185.44239999999999</v>
      </c>
      <c r="E59" s="1">
        <f>VLOOKUP(B59,[1]采购价格汇总表!$E$783:$J$866,6,0)</f>
        <v>185.44239999999999</v>
      </c>
      <c r="F59" s="1">
        <v>18.100000000000001</v>
      </c>
      <c r="G59" s="1"/>
      <c r="H59" s="1">
        <v>1.35</v>
      </c>
      <c r="I59" s="1">
        <f t="shared" si="8"/>
        <v>24.435000000000002</v>
      </c>
      <c r="J59" s="1">
        <f t="shared" si="2"/>
        <v>24.435000000000002</v>
      </c>
      <c r="K59" s="1">
        <f t="shared" si="9"/>
        <v>5.5632719999999996</v>
      </c>
      <c r="L59" s="9">
        <f t="shared" si="10"/>
        <v>18.871728000000004</v>
      </c>
      <c r="M59" s="10">
        <f t="shared" si="11"/>
        <v>204.31412799999998</v>
      </c>
      <c r="N59" s="23"/>
      <c r="O59" s="19">
        <f t="shared" si="12"/>
        <v>0.1017659823211951</v>
      </c>
      <c r="P59" s="44">
        <f t="shared" si="7"/>
        <v>11.288073370165744</v>
      </c>
      <c r="Q59" s="46"/>
    </row>
    <row r="60" spans="1:17" ht="33.75" customHeight="1">
      <c r="A60" s="1">
        <v>58</v>
      </c>
      <c r="B60" s="1" t="s">
        <v>91</v>
      </c>
      <c r="C60" s="7" t="s">
        <v>92</v>
      </c>
      <c r="D60" s="1">
        <v>109.8974</v>
      </c>
      <c r="E60" s="1">
        <f>VLOOKUP(B60,[1]采购价格汇总表!$E$783:$J$866,6,0)</f>
        <v>109.897435897436</v>
      </c>
      <c r="F60" s="1">
        <v>11</v>
      </c>
      <c r="G60" s="1"/>
      <c r="H60" s="1">
        <v>1.35</v>
      </c>
      <c r="I60" s="1">
        <f t="shared" si="8"/>
        <v>14.850000000000001</v>
      </c>
      <c r="J60" s="1">
        <f t="shared" si="2"/>
        <v>14.850000000000001</v>
      </c>
      <c r="K60" s="1">
        <f t="shared" si="9"/>
        <v>3.2969219999999999</v>
      </c>
      <c r="L60" s="9">
        <f t="shared" si="10"/>
        <v>11.553078000000001</v>
      </c>
      <c r="M60" s="10">
        <f t="shared" si="11"/>
        <v>121.450478</v>
      </c>
      <c r="N60" s="23"/>
      <c r="O60" s="19">
        <f t="shared" si="12"/>
        <v>0.10512603573878908</v>
      </c>
      <c r="P60" s="44">
        <f t="shared" si="7"/>
        <v>11.040952545454546</v>
      </c>
      <c r="Q60" s="46"/>
    </row>
    <row r="61" spans="1:17" ht="22.5" customHeight="1">
      <c r="A61" s="1">
        <v>59</v>
      </c>
      <c r="B61" s="1" t="s">
        <v>128</v>
      </c>
      <c r="C61" s="7" t="s">
        <v>129</v>
      </c>
      <c r="D61" s="1">
        <v>127.44670000000001</v>
      </c>
      <c r="E61" s="1">
        <f>VLOOKUP(B61,[1]采购价格汇总表!$E$783:$J$866,6,0)</f>
        <v>127.44670000000001</v>
      </c>
      <c r="F61" s="1">
        <v>13</v>
      </c>
      <c r="G61" s="1"/>
      <c r="H61" s="1">
        <v>1.35</v>
      </c>
      <c r="I61" s="1">
        <f t="shared" si="8"/>
        <v>17.55</v>
      </c>
      <c r="J61" s="1">
        <f t="shared" si="2"/>
        <v>17.55</v>
      </c>
      <c r="K61" s="1">
        <f t="shared" si="9"/>
        <v>3.823401</v>
      </c>
      <c r="L61" s="9">
        <f t="shared" si="10"/>
        <v>13.726599</v>
      </c>
      <c r="M61" s="10">
        <f t="shared" si="11"/>
        <v>141.17329900000001</v>
      </c>
      <c r="N61" s="23"/>
      <c r="O61" s="19">
        <f t="shared" si="12"/>
        <v>0.1077046247568592</v>
      </c>
      <c r="P61" s="44">
        <f t="shared" si="7"/>
        <v>10.85948453846154</v>
      </c>
      <c r="Q61" s="46"/>
    </row>
    <row r="62" spans="1:17" s="15" customFormat="1" ht="13.5" customHeight="1">
      <c r="A62" s="1">
        <v>60</v>
      </c>
      <c r="B62" s="17" t="s">
        <v>185</v>
      </c>
      <c r="C62" s="12" t="s">
        <v>125</v>
      </c>
      <c r="D62" s="11">
        <v>159.583</v>
      </c>
      <c r="E62" s="1">
        <f>VLOOKUP(B62,[1]采购价格汇总表!$E$783:$J$866,6,0)</f>
        <v>159.583</v>
      </c>
      <c r="F62" s="11">
        <v>14.75</v>
      </c>
      <c r="G62" s="11"/>
      <c r="H62" s="11">
        <v>1.35</v>
      </c>
      <c r="I62" s="11">
        <f t="shared" si="8"/>
        <v>19.912500000000001</v>
      </c>
      <c r="J62" s="11">
        <f t="shared" si="2"/>
        <v>19.912500000000001</v>
      </c>
      <c r="K62" s="11">
        <f t="shared" si="9"/>
        <v>4.78749</v>
      </c>
      <c r="L62" s="13">
        <f t="shared" si="10"/>
        <v>15.125010000000001</v>
      </c>
      <c r="M62" s="14">
        <f t="shared" si="11"/>
        <v>174.70801</v>
      </c>
      <c r="N62" s="25"/>
      <c r="O62" s="19">
        <f t="shared" si="12"/>
        <v>9.4778328518701882E-2</v>
      </c>
      <c r="P62" s="44">
        <f t="shared" si="7"/>
        <v>11.844610847457627</v>
      </c>
      <c r="Q62" s="46"/>
    </row>
    <row r="63" spans="1:17" ht="33.75" customHeight="1">
      <c r="A63" s="1">
        <v>61</v>
      </c>
      <c r="B63" s="1" t="s">
        <v>130</v>
      </c>
      <c r="C63" s="7" t="s">
        <v>131</v>
      </c>
      <c r="D63" s="1">
        <v>123.82559999999999</v>
      </c>
      <c r="E63" s="1">
        <f>VLOOKUP(B63,[1]采购价格汇总表!$E$783:$J$866,6,0)</f>
        <v>123.82559999999999</v>
      </c>
      <c r="F63" s="1">
        <v>12.15</v>
      </c>
      <c r="G63" s="1"/>
      <c r="H63" s="1">
        <v>1.35</v>
      </c>
      <c r="I63" s="1">
        <f t="shared" si="8"/>
        <v>16.4025</v>
      </c>
      <c r="J63" s="1">
        <f t="shared" si="2"/>
        <v>16.4025</v>
      </c>
      <c r="K63" s="1">
        <f t="shared" si="9"/>
        <v>3.7147679999999998</v>
      </c>
      <c r="L63" s="9">
        <f t="shared" si="10"/>
        <v>12.687732</v>
      </c>
      <c r="M63" s="10">
        <f t="shared" si="11"/>
        <v>136.51333199999999</v>
      </c>
      <c r="N63" s="23"/>
      <c r="O63" s="19">
        <f t="shared" si="12"/>
        <v>0.1024645307593906</v>
      </c>
      <c r="P63" s="44">
        <f t="shared" si="7"/>
        <v>11.235665185185184</v>
      </c>
      <c r="Q63" s="46"/>
    </row>
    <row r="64" spans="1:17" ht="33.75" customHeight="1">
      <c r="A64" s="1">
        <v>62</v>
      </c>
      <c r="B64" s="1" t="s">
        <v>132</v>
      </c>
      <c r="C64" s="7" t="s">
        <v>133</v>
      </c>
      <c r="D64" s="1">
        <v>121.0051</v>
      </c>
      <c r="E64" s="1">
        <f>VLOOKUP(B64,[1]采购价格汇总表!$E$783:$J$866,6,0)</f>
        <v>121.0051</v>
      </c>
      <c r="F64" s="1">
        <v>12.25</v>
      </c>
      <c r="G64" s="1"/>
      <c r="H64" s="1">
        <v>1.35</v>
      </c>
      <c r="I64" s="1">
        <f t="shared" si="8"/>
        <v>16.537500000000001</v>
      </c>
      <c r="J64" s="1">
        <f t="shared" si="2"/>
        <v>16.537500000000001</v>
      </c>
      <c r="K64" s="1">
        <f t="shared" si="9"/>
        <v>3.630153</v>
      </c>
      <c r="L64" s="9">
        <f t="shared" si="10"/>
        <v>12.907347000000001</v>
      </c>
      <c r="M64" s="10">
        <f t="shared" si="11"/>
        <v>133.91244699999999</v>
      </c>
      <c r="N64" s="23"/>
      <c r="O64" s="19">
        <f t="shared" si="12"/>
        <v>0.10666779334094173</v>
      </c>
      <c r="P64" s="44">
        <f t="shared" si="7"/>
        <v>10.93162832653061</v>
      </c>
      <c r="Q64" s="46"/>
    </row>
    <row r="65" spans="1:17" ht="33.75" customHeight="1">
      <c r="A65" s="1">
        <v>63</v>
      </c>
      <c r="B65" s="1" t="s">
        <v>134</v>
      </c>
      <c r="C65" s="7" t="s">
        <v>135</v>
      </c>
      <c r="D65" s="1">
        <v>119.7231</v>
      </c>
      <c r="E65" s="1">
        <f>VLOOKUP(B65,[1]采购价格汇总表!$E$783:$J$866,6,0)</f>
        <v>119.7231</v>
      </c>
      <c r="F65" s="1">
        <v>12.1</v>
      </c>
      <c r="G65" s="1"/>
      <c r="H65" s="1">
        <v>1.35</v>
      </c>
      <c r="I65" s="1">
        <f t="shared" si="8"/>
        <v>16.335000000000001</v>
      </c>
      <c r="J65" s="1">
        <f t="shared" si="2"/>
        <v>16.335000000000001</v>
      </c>
      <c r="K65" s="1">
        <f t="shared" si="9"/>
        <v>3.5916929999999998</v>
      </c>
      <c r="L65" s="9">
        <f t="shared" si="10"/>
        <v>12.743307000000001</v>
      </c>
      <c r="M65" s="10">
        <f t="shared" si="11"/>
        <v>132.466407</v>
      </c>
      <c r="N65" s="23"/>
      <c r="O65" s="19">
        <f t="shared" si="12"/>
        <v>0.10643983491907577</v>
      </c>
      <c r="P65" s="44">
        <f t="shared" si="7"/>
        <v>10.947636942148762</v>
      </c>
      <c r="Q65" s="46"/>
    </row>
    <row r="66" spans="1:17" ht="33.75" customHeight="1">
      <c r="A66" s="1">
        <v>64</v>
      </c>
      <c r="B66" s="1" t="s">
        <v>15</v>
      </c>
      <c r="C66" s="7" t="s">
        <v>16</v>
      </c>
      <c r="D66" s="1">
        <v>110.0855</v>
      </c>
      <c r="E66" s="1">
        <f>VLOOKUP(B66,[1]采购价格汇总表!$E$783:$J$866,6,0)</f>
        <v>110.0855</v>
      </c>
      <c r="F66" s="1">
        <v>11</v>
      </c>
      <c r="G66" s="1"/>
      <c r="H66" s="1">
        <v>1.35</v>
      </c>
      <c r="I66" s="1">
        <f t="shared" si="8"/>
        <v>14.850000000000001</v>
      </c>
      <c r="J66" s="1">
        <f t="shared" si="2"/>
        <v>14.850000000000001</v>
      </c>
      <c r="K66" s="1">
        <f t="shared" si="9"/>
        <v>3.302565</v>
      </c>
      <c r="L66" s="9">
        <f t="shared" si="10"/>
        <v>11.547435000000002</v>
      </c>
      <c r="M66" s="10">
        <f t="shared" si="11"/>
        <v>121.632935</v>
      </c>
      <c r="N66" s="23"/>
      <c r="O66" s="19">
        <f t="shared" si="12"/>
        <v>0.10489514967911312</v>
      </c>
      <c r="P66" s="44">
        <f t="shared" si="7"/>
        <v>11.057539545454546</v>
      </c>
      <c r="Q66" s="46"/>
    </row>
    <row r="67" spans="1:17" ht="13.5" customHeight="1">
      <c r="A67" s="1">
        <v>65</v>
      </c>
      <c r="B67" s="1" t="s">
        <v>33</v>
      </c>
      <c r="C67" s="6" t="s">
        <v>34</v>
      </c>
      <c r="D67" s="1">
        <v>150.18799999999999</v>
      </c>
      <c r="E67" s="1">
        <f>VLOOKUP(B67,[1]采购价格汇总表!$E$783:$J$866,6,0)</f>
        <v>150.18799999999999</v>
      </c>
      <c r="F67" s="1">
        <v>11</v>
      </c>
      <c r="G67" s="1"/>
      <c r="H67" s="1">
        <v>1.35</v>
      </c>
      <c r="I67" s="1">
        <f t="shared" si="8"/>
        <v>14.850000000000001</v>
      </c>
      <c r="J67" s="1">
        <f t="shared" si="2"/>
        <v>14.850000000000001</v>
      </c>
      <c r="K67" s="1">
        <f t="shared" si="9"/>
        <v>4.5056399999999996</v>
      </c>
      <c r="L67" s="9">
        <f t="shared" si="10"/>
        <v>10.344360000000002</v>
      </c>
      <c r="M67" s="10">
        <f t="shared" si="11"/>
        <v>160.53235999999998</v>
      </c>
      <c r="N67" s="23"/>
      <c r="O67" s="19">
        <f t="shared" si="12"/>
        <v>6.8876075318933569E-2</v>
      </c>
      <c r="P67" s="44">
        <f t="shared" ref="P67:P88" si="13">M67/F67</f>
        <v>14.593850909090907</v>
      </c>
      <c r="Q67" s="46"/>
    </row>
    <row r="68" spans="1:17" ht="13.5" customHeight="1">
      <c r="A68" s="1">
        <v>66</v>
      </c>
      <c r="B68" s="1" t="s">
        <v>77</v>
      </c>
      <c r="C68" s="6" t="s">
        <v>78</v>
      </c>
      <c r="D68" s="1">
        <v>109.8974</v>
      </c>
      <c r="E68" s="1">
        <f>VLOOKUP(B68,[1]采购价格汇总表!$E$783:$J$866,6,0)</f>
        <v>109.897435897436</v>
      </c>
      <c r="F68" s="1">
        <v>11</v>
      </c>
      <c r="G68" s="1"/>
      <c r="H68" s="1">
        <v>1.35</v>
      </c>
      <c r="I68" s="1">
        <f t="shared" si="8"/>
        <v>14.850000000000001</v>
      </c>
      <c r="J68" s="1">
        <f t="shared" si="2"/>
        <v>14.850000000000001</v>
      </c>
      <c r="K68" s="1">
        <f t="shared" si="9"/>
        <v>3.2969219999999999</v>
      </c>
      <c r="L68" s="9">
        <f t="shared" si="10"/>
        <v>11.553078000000001</v>
      </c>
      <c r="M68" s="10">
        <f t="shared" si="11"/>
        <v>121.450478</v>
      </c>
      <c r="N68" s="23"/>
      <c r="O68" s="19">
        <f t="shared" si="12"/>
        <v>0.10512603573878908</v>
      </c>
      <c r="P68" s="44">
        <f t="shared" si="13"/>
        <v>11.040952545454546</v>
      </c>
      <c r="Q68" s="46"/>
    </row>
    <row r="69" spans="1:17" ht="13.5" customHeight="1">
      <c r="A69" s="1">
        <v>67</v>
      </c>
      <c r="B69" s="1" t="s">
        <v>144</v>
      </c>
      <c r="C69" s="6" t="s">
        <v>145</v>
      </c>
      <c r="D69" s="1">
        <v>105.9046</v>
      </c>
      <c r="E69" s="1">
        <f>VLOOKUP(B69,[1]采购价格汇总表!$E$783:$J$866,6,0)</f>
        <v>105.9046</v>
      </c>
      <c r="F69" s="1">
        <v>11</v>
      </c>
      <c r="G69" s="1"/>
      <c r="H69" s="1">
        <v>1.35</v>
      </c>
      <c r="I69" s="1">
        <f t="shared" si="8"/>
        <v>14.850000000000001</v>
      </c>
      <c r="J69" s="1">
        <f t="shared" si="2"/>
        <v>14.850000000000001</v>
      </c>
      <c r="K69" s="1">
        <f t="shared" si="9"/>
        <v>3.1771379999999998</v>
      </c>
      <c r="L69" s="9">
        <f t="shared" si="10"/>
        <v>11.672862000000002</v>
      </c>
      <c r="M69" s="10">
        <f t="shared" si="11"/>
        <v>117.577462</v>
      </c>
      <c r="N69" s="23"/>
      <c r="O69" s="19">
        <f t="shared" si="12"/>
        <v>0.1102205381069377</v>
      </c>
      <c r="P69" s="44">
        <f t="shared" si="13"/>
        <v>10.688860181818182</v>
      </c>
      <c r="Q69" s="46"/>
    </row>
    <row r="70" spans="1:17" ht="13.5" customHeight="1">
      <c r="A70" s="1">
        <v>68</v>
      </c>
      <c r="B70" s="1" t="s">
        <v>146</v>
      </c>
      <c r="C70" s="6" t="s">
        <v>147</v>
      </c>
      <c r="D70" s="1">
        <v>105.9044</v>
      </c>
      <c r="E70" s="1">
        <f>VLOOKUP(B70,[1]采购价格汇总表!$E$783:$J$866,6,0)</f>
        <v>105.9044</v>
      </c>
      <c r="F70" s="1">
        <v>11</v>
      </c>
      <c r="G70" s="1"/>
      <c r="H70" s="1">
        <v>1.35</v>
      </c>
      <c r="I70" s="1">
        <f t="shared" ref="I70:I101" si="14">F70*H70</f>
        <v>14.850000000000001</v>
      </c>
      <c r="J70" s="1">
        <f t="shared" ref="J70:J88" si="15">I70</f>
        <v>14.850000000000001</v>
      </c>
      <c r="K70" s="1">
        <f t="shared" ref="K70:K88" si="16">D70*0.03</f>
        <v>3.1771319999999998</v>
      </c>
      <c r="L70" s="9">
        <f t="shared" ref="L70:L101" si="17">J70-K70</f>
        <v>11.672868000000001</v>
      </c>
      <c r="M70" s="10">
        <f t="shared" ref="M70:M101" si="18">D70+L70</f>
        <v>117.577268</v>
      </c>
      <c r="N70" s="23"/>
      <c r="O70" s="19">
        <f t="shared" ref="O70:O88" si="19">(M70-D70)/D70</f>
        <v>0.11022080291281579</v>
      </c>
      <c r="P70" s="44">
        <f t="shared" si="13"/>
        <v>10.688842545454547</v>
      </c>
      <c r="Q70" s="46"/>
    </row>
    <row r="71" spans="1:17" ht="13.5" customHeight="1">
      <c r="A71" s="1">
        <v>69</v>
      </c>
      <c r="B71" s="1" t="s">
        <v>148</v>
      </c>
      <c r="C71" s="6" t="s">
        <v>149</v>
      </c>
      <c r="D71" s="1">
        <v>76.830399999999997</v>
      </c>
      <c r="E71" s="1">
        <f>VLOOKUP(B71,[1]采购价格汇总表!$E$783:$J$866,6,0)</f>
        <v>76.830399999999997</v>
      </c>
      <c r="F71" s="1">
        <v>6</v>
      </c>
      <c r="G71" s="1"/>
      <c r="H71" s="1">
        <v>1.35</v>
      </c>
      <c r="I71" s="1">
        <f t="shared" si="14"/>
        <v>8.1000000000000014</v>
      </c>
      <c r="J71" s="1">
        <f t="shared" si="15"/>
        <v>8.1000000000000014</v>
      </c>
      <c r="K71" s="1">
        <f t="shared" si="16"/>
        <v>2.3049119999999998</v>
      </c>
      <c r="L71" s="9">
        <f t="shared" si="17"/>
        <v>5.7950880000000016</v>
      </c>
      <c r="M71" s="10">
        <f t="shared" si="18"/>
        <v>82.625488000000004</v>
      </c>
      <c r="N71" s="23"/>
      <c r="O71" s="19">
        <f t="shared" si="19"/>
        <v>7.5427018471854984E-2</v>
      </c>
      <c r="P71" s="44">
        <f t="shared" si="13"/>
        <v>13.770914666666668</v>
      </c>
      <c r="Q71" s="46"/>
    </row>
    <row r="72" spans="1:17" ht="13.5" customHeight="1">
      <c r="A72" s="1">
        <v>70</v>
      </c>
      <c r="B72" s="1" t="s">
        <v>150</v>
      </c>
      <c r="C72" s="6" t="s">
        <v>151</v>
      </c>
      <c r="D72" s="1">
        <v>72.5608</v>
      </c>
      <c r="E72" s="1">
        <f>VLOOKUP(B72,[1]采购价格汇总表!$E$783:$J$866,6,0)</f>
        <v>72.5608</v>
      </c>
      <c r="F72" s="1">
        <v>6</v>
      </c>
      <c r="G72" s="1"/>
      <c r="H72" s="1">
        <v>1.35</v>
      </c>
      <c r="I72" s="1">
        <f t="shared" si="14"/>
        <v>8.1000000000000014</v>
      </c>
      <c r="J72" s="1">
        <f t="shared" si="15"/>
        <v>8.1000000000000014</v>
      </c>
      <c r="K72" s="1">
        <f t="shared" si="16"/>
        <v>2.1768239999999999</v>
      </c>
      <c r="L72" s="9">
        <f t="shared" si="17"/>
        <v>5.9231760000000016</v>
      </c>
      <c r="M72" s="10">
        <f t="shared" si="18"/>
        <v>78.483975999999998</v>
      </c>
      <c r="N72" s="23"/>
      <c r="O72" s="19">
        <f t="shared" si="19"/>
        <v>8.1630522265465619E-2</v>
      </c>
      <c r="P72" s="44">
        <f t="shared" si="13"/>
        <v>13.080662666666667</v>
      </c>
      <c r="Q72" s="46"/>
    </row>
    <row r="73" spans="1:17" ht="13.5" customHeight="1">
      <c r="A73" s="1">
        <v>71</v>
      </c>
      <c r="B73" s="1" t="s">
        <v>156</v>
      </c>
      <c r="C73" s="6" t="s">
        <v>157</v>
      </c>
      <c r="D73" s="1">
        <v>128.20500000000001</v>
      </c>
      <c r="E73" s="1">
        <f>VLOOKUP(B73,[1]采购价格汇总表!$E$783:$J$866,6,0)</f>
        <v>128.20500000000001</v>
      </c>
      <c r="F73" s="1">
        <v>13</v>
      </c>
      <c r="G73" s="1"/>
      <c r="H73" s="1">
        <v>1.35</v>
      </c>
      <c r="I73" s="1">
        <f t="shared" si="14"/>
        <v>17.55</v>
      </c>
      <c r="J73" s="1">
        <f t="shared" si="15"/>
        <v>17.55</v>
      </c>
      <c r="K73" s="1">
        <f t="shared" si="16"/>
        <v>3.8461500000000002</v>
      </c>
      <c r="L73" s="9">
        <f t="shared" si="17"/>
        <v>13.703850000000001</v>
      </c>
      <c r="M73" s="10">
        <f t="shared" si="18"/>
        <v>141.90885</v>
      </c>
      <c r="N73" s="23"/>
      <c r="O73" s="19">
        <f t="shared" si="19"/>
        <v>0.10689013689013679</v>
      </c>
      <c r="P73" s="44">
        <f t="shared" si="13"/>
        <v>10.916065384615385</v>
      </c>
      <c r="Q73" s="46"/>
    </row>
    <row r="74" spans="1:17" ht="13.5" customHeight="1">
      <c r="A74" s="1">
        <v>72</v>
      </c>
      <c r="B74" s="1" t="s">
        <v>158</v>
      </c>
      <c r="C74" s="6" t="s">
        <v>159</v>
      </c>
      <c r="D74" s="1">
        <v>129.20249999999999</v>
      </c>
      <c r="E74" s="1">
        <f>VLOOKUP(B74,[1]采购价格汇总表!$E$783:$J$866,6,0)</f>
        <v>129.20249999999999</v>
      </c>
      <c r="F74" s="1">
        <v>13.2</v>
      </c>
      <c r="G74" s="1"/>
      <c r="H74" s="1">
        <v>1.35</v>
      </c>
      <c r="I74" s="1">
        <f t="shared" si="14"/>
        <v>17.82</v>
      </c>
      <c r="J74" s="1">
        <f t="shared" si="15"/>
        <v>17.82</v>
      </c>
      <c r="K74" s="1">
        <f t="shared" si="16"/>
        <v>3.8760749999999993</v>
      </c>
      <c r="L74" s="9">
        <f>J74-K74</f>
        <v>13.943925</v>
      </c>
      <c r="M74" s="10">
        <f>D74+L74</f>
        <v>143.14642499999999</v>
      </c>
      <c r="N74" s="23"/>
      <c r="O74" s="19">
        <f t="shared" si="19"/>
        <v>0.1079230278051896</v>
      </c>
      <c r="P74" s="44">
        <f t="shared" si="13"/>
        <v>10.844426136363637</v>
      </c>
      <c r="Q74" s="46"/>
    </row>
    <row r="75" spans="1:17" ht="13.5" customHeight="1">
      <c r="A75" s="1">
        <v>73</v>
      </c>
      <c r="B75" s="1" t="s">
        <v>160</v>
      </c>
      <c r="C75" s="6" t="s">
        <v>161</v>
      </c>
      <c r="D75" s="1">
        <v>71.555000000000007</v>
      </c>
      <c r="E75" s="1">
        <f>VLOOKUP(B75,[1]采购价格汇总表!$E$783:$J$866,6,0)</f>
        <v>71.555000000000007</v>
      </c>
      <c r="F75" s="1">
        <v>5.9</v>
      </c>
      <c r="G75" s="1"/>
      <c r="H75" s="1">
        <v>1.35</v>
      </c>
      <c r="I75" s="1">
        <f t="shared" si="14"/>
        <v>7.9650000000000007</v>
      </c>
      <c r="J75" s="1">
        <f t="shared" si="15"/>
        <v>7.9650000000000007</v>
      </c>
      <c r="K75" s="1">
        <f t="shared" si="16"/>
        <v>2.1466500000000002</v>
      </c>
      <c r="L75" s="9">
        <f t="shared" si="17"/>
        <v>5.8183500000000006</v>
      </c>
      <c r="M75" s="10">
        <f t="shared" si="18"/>
        <v>77.373350000000002</v>
      </c>
      <c r="N75" s="23"/>
      <c r="O75" s="19">
        <f t="shared" si="19"/>
        <v>8.1312976032422532E-2</v>
      </c>
      <c r="P75" s="44">
        <f t="shared" si="13"/>
        <v>13.114127118644067</v>
      </c>
      <c r="Q75" s="46"/>
    </row>
    <row r="76" spans="1:17" ht="13.5" customHeight="1">
      <c r="A76" s="1">
        <v>74</v>
      </c>
      <c r="B76" s="1" t="s">
        <v>162</v>
      </c>
      <c r="C76" s="6" t="s">
        <v>163</v>
      </c>
      <c r="D76" s="1">
        <v>71.555000000000007</v>
      </c>
      <c r="E76" s="1">
        <f>VLOOKUP(B76,[1]采购价格汇总表!$E$783:$J$866,6,0)</f>
        <v>71.555000000000007</v>
      </c>
      <c r="F76" s="1">
        <v>5.55</v>
      </c>
      <c r="G76" s="1"/>
      <c r="H76" s="1">
        <v>1.35</v>
      </c>
      <c r="I76" s="1">
        <f t="shared" si="14"/>
        <v>7.4925000000000006</v>
      </c>
      <c r="J76" s="1">
        <f t="shared" si="15"/>
        <v>7.4925000000000006</v>
      </c>
      <c r="K76" s="1">
        <f t="shared" si="16"/>
        <v>2.1466500000000002</v>
      </c>
      <c r="L76" s="9">
        <f t="shared" si="17"/>
        <v>5.3458500000000004</v>
      </c>
      <c r="M76" s="10">
        <f t="shared" si="18"/>
        <v>76.900850000000005</v>
      </c>
      <c r="N76" s="23"/>
      <c r="O76" s="19">
        <f t="shared" si="19"/>
        <v>7.4709663894905992E-2</v>
      </c>
      <c r="P76" s="44">
        <f t="shared" si="13"/>
        <v>13.856009009009011</v>
      </c>
      <c r="Q76" s="46"/>
    </row>
    <row r="77" spans="1:17" ht="13.5" customHeight="1">
      <c r="A77" s="1">
        <v>75</v>
      </c>
      <c r="B77" s="1" t="s">
        <v>95</v>
      </c>
      <c r="C77" s="6" t="s">
        <v>96</v>
      </c>
      <c r="D77" s="1">
        <v>71.555000000000007</v>
      </c>
      <c r="E77" s="1">
        <f>VLOOKUP(B77,[1]采购价格汇总表!$E$783:$J$866,6,0)</f>
        <v>71.555000000000007</v>
      </c>
      <c r="F77" s="1">
        <v>5.6</v>
      </c>
      <c r="G77" s="1"/>
      <c r="H77" s="1">
        <v>1.35</v>
      </c>
      <c r="I77" s="1">
        <f t="shared" si="14"/>
        <v>7.56</v>
      </c>
      <c r="J77" s="1">
        <f t="shared" si="15"/>
        <v>7.56</v>
      </c>
      <c r="K77" s="1">
        <f t="shared" si="16"/>
        <v>2.1466500000000002</v>
      </c>
      <c r="L77" s="9">
        <f t="shared" si="17"/>
        <v>5.4133499999999994</v>
      </c>
      <c r="M77" s="10">
        <f t="shared" si="18"/>
        <v>76.968350000000001</v>
      </c>
      <c r="N77" s="23"/>
      <c r="O77" s="19">
        <f t="shared" si="19"/>
        <v>7.5652994200265444E-2</v>
      </c>
      <c r="P77" s="44">
        <f t="shared" si="13"/>
        <v>13.744348214285715</v>
      </c>
      <c r="Q77" s="46"/>
    </row>
    <row r="78" spans="1:17" ht="13.5" customHeight="1">
      <c r="A78" s="1">
        <v>76</v>
      </c>
      <c r="B78" s="1" t="s">
        <v>97</v>
      </c>
      <c r="C78" s="6" t="s">
        <v>98</v>
      </c>
      <c r="D78" s="1">
        <v>71.555599999999998</v>
      </c>
      <c r="E78" s="1">
        <f>VLOOKUP(B78,[1]采购价格汇总表!$E$783:$J$866,6,0)</f>
        <v>71.5555555555556</v>
      </c>
      <c r="F78" s="1">
        <v>5.9</v>
      </c>
      <c r="G78" s="1"/>
      <c r="H78" s="1">
        <v>1.35</v>
      </c>
      <c r="I78" s="1">
        <f t="shared" si="14"/>
        <v>7.9650000000000007</v>
      </c>
      <c r="J78" s="1">
        <f t="shared" si="15"/>
        <v>7.9650000000000007</v>
      </c>
      <c r="K78" s="1">
        <f t="shared" si="16"/>
        <v>2.146668</v>
      </c>
      <c r="L78" s="9">
        <f t="shared" si="17"/>
        <v>5.8183320000000007</v>
      </c>
      <c r="M78" s="10">
        <f t="shared" si="18"/>
        <v>77.373931999999996</v>
      </c>
      <c r="N78" s="23"/>
      <c r="O78" s="19">
        <f t="shared" si="19"/>
        <v>8.1312042663327519E-2</v>
      </c>
      <c r="P78" s="44">
        <f t="shared" si="13"/>
        <v>13.114225762711863</v>
      </c>
      <c r="Q78" s="46"/>
    </row>
    <row r="79" spans="1:17" ht="33.75" customHeight="1">
      <c r="A79" s="1">
        <v>77</v>
      </c>
      <c r="B79" s="1" t="s">
        <v>99</v>
      </c>
      <c r="C79" s="7" t="s">
        <v>100</v>
      </c>
      <c r="D79" s="1">
        <v>100.08</v>
      </c>
      <c r="E79" s="1">
        <f>VLOOKUP(B79,[1]采购价格汇总表!$E$783:$J$866,6,0)</f>
        <v>100.08</v>
      </c>
      <c r="F79" s="1">
        <v>10.5</v>
      </c>
      <c r="G79" s="1"/>
      <c r="H79" s="1">
        <v>1.35</v>
      </c>
      <c r="I79" s="1">
        <f t="shared" si="14"/>
        <v>14.175000000000001</v>
      </c>
      <c r="J79" s="1">
        <f t="shared" si="15"/>
        <v>14.175000000000001</v>
      </c>
      <c r="K79" s="1">
        <f t="shared" si="16"/>
        <v>3.0023999999999997</v>
      </c>
      <c r="L79" s="9">
        <f t="shared" si="17"/>
        <v>11.172600000000001</v>
      </c>
      <c r="M79" s="10">
        <f t="shared" si="18"/>
        <v>111.2526</v>
      </c>
      <c r="N79" s="23"/>
      <c r="O79" s="19">
        <f t="shared" si="19"/>
        <v>0.11163669064748204</v>
      </c>
      <c r="P79" s="44">
        <f t="shared" si="13"/>
        <v>10.595485714285715</v>
      </c>
      <c r="Q79" s="46"/>
    </row>
    <row r="80" spans="1:17" ht="33.75" customHeight="1">
      <c r="A80" s="1">
        <v>78</v>
      </c>
      <c r="B80" s="1" t="s">
        <v>105</v>
      </c>
      <c r="C80" s="7" t="s">
        <v>106</v>
      </c>
      <c r="D80" s="1">
        <v>100.0809</v>
      </c>
      <c r="E80" s="1">
        <f>VLOOKUP(B80,[1]采购价格汇总表!$E$783:$J$866,6,0)</f>
        <v>100.0809</v>
      </c>
      <c r="F80" s="1">
        <v>10.5</v>
      </c>
      <c r="G80" s="1"/>
      <c r="H80" s="1">
        <v>1.35</v>
      </c>
      <c r="I80" s="1">
        <f t="shared" si="14"/>
        <v>14.175000000000001</v>
      </c>
      <c r="J80" s="1">
        <f t="shared" si="15"/>
        <v>14.175000000000001</v>
      </c>
      <c r="K80" s="1">
        <f t="shared" si="16"/>
        <v>3.002427</v>
      </c>
      <c r="L80" s="9">
        <f t="shared" si="17"/>
        <v>11.172573</v>
      </c>
      <c r="M80" s="10">
        <f t="shared" si="18"/>
        <v>111.253473</v>
      </c>
      <c r="N80" s="23"/>
      <c r="O80" s="19">
        <f t="shared" si="19"/>
        <v>0.11163541694768932</v>
      </c>
      <c r="P80" s="44">
        <f t="shared" si="13"/>
        <v>10.595568857142856</v>
      </c>
      <c r="Q80" s="46"/>
    </row>
    <row r="81" spans="1:17" ht="33.75" customHeight="1">
      <c r="A81" s="1">
        <v>79</v>
      </c>
      <c r="B81" s="1" t="s">
        <v>107</v>
      </c>
      <c r="C81" s="7" t="s">
        <v>108</v>
      </c>
      <c r="D81" s="1">
        <v>150.1875</v>
      </c>
      <c r="E81" s="1">
        <f>VLOOKUP(B81,[1]采购价格汇总表!$E$783:$J$866,6,0)</f>
        <v>150.1875</v>
      </c>
      <c r="F81" s="1">
        <v>15.2</v>
      </c>
      <c r="G81" s="1"/>
      <c r="H81" s="1">
        <v>1.35</v>
      </c>
      <c r="I81" s="1">
        <f t="shared" si="14"/>
        <v>20.52</v>
      </c>
      <c r="J81" s="1">
        <f t="shared" si="15"/>
        <v>20.52</v>
      </c>
      <c r="K81" s="1">
        <f t="shared" si="16"/>
        <v>4.5056250000000002</v>
      </c>
      <c r="L81" s="9">
        <f t="shared" si="17"/>
        <v>16.014375000000001</v>
      </c>
      <c r="M81" s="10">
        <f t="shared" si="18"/>
        <v>166.201875</v>
      </c>
      <c r="N81" s="23"/>
      <c r="O81" s="19">
        <f t="shared" si="19"/>
        <v>0.10662921348314608</v>
      </c>
      <c r="P81" s="44">
        <f t="shared" si="13"/>
        <v>10.934333881578947</v>
      </c>
      <c r="Q81" s="46"/>
    </row>
    <row r="82" spans="1:17" ht="45" customHeight="1">
      <c r="A82" s="1">
        <v>80</v>
      </c>
      <c r="B82" s="1" t="s">
        <v>111</v>
      </c>
      <c r="C82" s="7" t="s">
        <v>112</v>
      </c>
      <c r="D82" s="1">
        <v>67.965800000000002</v>
      </c>
      <c r="E82" s="1">
        <f>VLOOKUP(B82,[1]采购价格汇总表!$E$783:$J$866,6,0)</f>
        <v>67.965811965811994</v>
      </c>
      <c r="F82" s="1">
        <v>5.5</v>
      </c>
      <c r="G82" s="1"/>
      <c r="H82" s="1">
        <v>1.35</v>
      </c>
      <c r="I82" s="1">
        <f t="shared" si="14"/>
        <v>7.4250000000000007</v>
      </c>
      <c r="J82" s="1">
        <f t="shared" si="15"/>
        <v>7.4250000000000007</v>
      </c>
      <c r="K82" s="1">
        <f t="shared" si="16"/>
        <v>2.0389740000000001</v>
      </c>
      <c r="L82" s="9">
        <f t="shared" si="17"/>
        <v>5.3860260000000011</v>
      </c>
      <c r="M82" s="10">
        <f t="shared" si="18"/>
        <v>73.351826000000003</v>
      </c>
      <c r="N82" s="23"/>
      <c r="O82" s="19">
        <f t="shared" si="19"/>
        <v>7.9246120843129944E-2</v>
      </c>
      <c r="P82" s="44">
        <f t="shared" si="13"/>
        <v>13.336695636363636</v>
      </c>
      <c r="Q82" s="46"/>
    </row>
    <row r="83" spans="1:17" ht="13.5" customHeight="1">
      <c r="A83" s="1">
        <v>81</v>
      </c>
      <c r="B83" s="1" t="s">
        <v>166</v>
      </c>
      <c r="C83" s="6" t="s">
        <v>167</v>
      </c>
      <c r="D83" s="1">
        <v>122.16500000000001</v>
      </c>
      <c r="E83" s="1">
        <f>VLOOKUP(B83,[1]采购价格汇总表!$E$783:$J$866,6,0)</f>
        <v>122.16500000000001</v>
      </c>
      <c r="F83" s="1">
        <v>11.8</v>
      </c>
      <c r="G83" s="1"/>
      <c r="H83" s="1">
        <v>1.35</v>
      </c>
      <c r="I83" s="1">
        <f t="shared" si="14"/>
        <v>15.930000000000001</v>
      </c>
      <c r="J83" s="1">
        <f t="shared" si="15"/>
        <v>15.930000000000001</v>
      </c>
      <c r="K83" s="1">
        <f t="shared" si="16"/>
        <v>3.6649500000000002</v>
      </c>
      <c r="L83" s="9">
        <f t="shared" si="17"/>
        <v>12.265050000000002</v>
      </c>
      <c r="M83" s="10">
        <f t="shared" si="18"/>
        <v>134.43004999999999</v>
      </c>
      <c r="N83" s="23"/>
      <c r="O83" s="19">
        <f t="shared" si="19"/>
        <v>0.10039741333442465</v>
      </c>
      <c r="P83" s="44">
        <f t="shared" si="13"/>
        <v>11.392377118644067</v>
      </c>
      <c r="Q83" s="46"/>
    </row>
    <row r="84" spans="1:17" ht="13.5" customHeight="1">
      <c r="A84" s="1">
        <v>82</v>
      </c>
      <c r="B84" s="1" t="s">
        <v>168</v>
      </c>
      <c r="C84" s="6" t="s">
        <v>169</v>
      </c>
      <c r="D84" s="1">
        <v>153.84620000000001</v>
      </c>
      <c r="E84" s="1">
        <f>VLOOKUP(B84,[1]采购价格汇总表!$E$783:$J$866,6,0)</f>
        <v>153.84615384615401</v>
      </c>
      <c r="F84" s="1">
        <v>15.5</v>
      </c>
      <c r="G84" s="1"/>
      <c r="H84" s="1">
        <v>1.35</v>
      </c>
      <c r="I84" s="1">
        <f t="shared" si="14"/>
        <v>20.925000000000001</v>
      </c>
      <c r="J84" s="1">
        <f t="shared" si="15"/>
        <v>20.925000000000001</v>
      </c>
      <c r="K84" s="1">
        <f t="shared" si="16"/>
        <v>4.615386</v>
      </c>
      <c r="L84" s="9">
        <f t="shared" si="17"/>
        <v>16.309614</v>
      </c>
      <c r="M84" s="10">
        <f t="shared" si="18"/>
        <v>170.15581400000002</v>
      </c>
      <c r="N84" s="23"/>
      <c r="O84" s="19">
        <f t="shared" si="19"/>
        <v>0.1060124591962623</v>
      </c>
      <c r="P84" s="44">
        <f t="shared" si="13"/>
        <v>10.977794451612905</v>
      </c>
      <c r="Q84" s="46"/>
    </row>
    <row r="85" spans="1:17">
      <c r="A85" s="1">
        <v>83</v>
      </c>
      <c r="B85" s="26" t="s">
        <v>67</v>
      </c>
      <c r="C85" s="43" t="s">
        <v>68</v>
      </c>
      <c r="D85" s="1">
        <v>17.547000000000001</v>
      </c>
      <c r="E85" s="1">
        <f>VLOOKUP(B85,[1]采购价格汇总表!$E$783:$J$866,6,0)</f>
        <v>17.547000000000001</v>
      </c>
      <c r="F85" s="1">
        <v>0.7</v>
      </c>
      <c r="G85" s="1"/>
      <c r="H85" s="1">
        <v>1.35</v>
      </c>
      <c r="I85" s="1">
        <f t="shared" si="14"/>
        <v>0.94499999999999995</v>
      </c>
      <c r="J85" s="1">
        <f t="shared" si="15"/>
        <v>0.94499999999999995</v>
      </c>
      <c r="K85" s="1">
        <f t="shared" si="16"/>
        <v>0.52641000000000004</v>
      </c>
      <c r="L85" s="9">
        <f t="shared" si="17"/>
        <v>0.41858999999999991</v>
      </c>
      <c r="M85" s="10">
        <f t="shared" si="18"/>
        <v>17.965589999999999</v>
      </c>
      <c r="N85" s="23"/>
      <c r="O85" s="19">
        <f t="shared" si="19"/>
        <v>2.3855359890579485E-2</v>
      </c>
      <c r="P85" s="36">
        <f t="shared" si="13"/>
        <v>25.665128571428571</v>
      </c>
      <c r="Q85" s="24" t="s">
        <v>194</v>
      </c>
    </row>
    <row r="86" spans="1:17" ht="33.75">
      <c r="A86" s="27">
        <v>84</v>
      </c>
      <c r="B86" s="27" t="s">
        <v>85</v>
      </c>
      <c r="C86" s="34" t="s">
        <v>86</v>
      </c>
      <c r="D86" s="27">
        <v>71.555499999999995</v>
      </c>
      <c r="E86" s="27">
        <f>VLOOKUP(B86,[1]采购价格汇总表!$E$783:$J$866,6,0)</f>
        <v>71.555499999999995</v>
      </c>
      <c r="F86" s="27">
        <v>5.45</v>
      </c>
      <c r="G86" s="27"/>
      <c r="H86" s="27">
        <v>1.35</v>
      </c>
      <c r="I86" s="27">
        <f t="shared" si="14"/>
        <v>7.3575000000000008</v>
      </c>
      <c r="J86" s="27">
        <f t="shared" si="15"/>
        <v>7.3575000000000008</v>
      </c>
      <c r="K86" s="27">
        <f t="shared" si="16"/>
        <v>2.1466649999999996</v>
      </c>
      <c r="L86" s="29">
        <f t="shared" si="17"/>
        <v>5.2108350000000012</v>
      </c>
      <c r="M86" s="30">
        <f t="shared" si="18"/>
        <v>76.766334999999998</v>
      </c>
      <c r="N86" s="31"/>
      <c r="O86" s="32">
        <f t="shared" si="19"/>
        <v>7.2822284799910611E-2</v>
      </c>
      <c r="P86" s="44">
        <f t="shared" si="13"/>
        <v>14.08556605504587</v>
      </c>
      <c r="Q86" s="45"/>
    </row>
    <row r="87" spans="1:17">
      <c r="A87" s="1">
        <v>85</v>
      </c>
      <c r="B87" s="1" t="s">
        <v>93</v>
      </c>
      <c r="C87" s="6" t="s">
        <v>94</v>
      </c>
      <c r="D87" s="1">
        <v>64.48</v>
      </c>
      <c r="E87" s="1">
        <f>VLOOKUP(B87,[1]采购价格汇总表!$E$783:$J$866,6,0)</f>
        <v>64.48</v>
      </c>
      <c r="F87" s="1">
        <v>5.75</v>
      </c>
      <c r="G87" s="1"/>
      <c r="H87" s="1">
        <v>1.35</v>
      </c>
      <c r="I87" s="1">
        <f t="shared" si="14"/>
        <v>7.7625000000000002</v>
      </c>
      <c r="J87" s="1">
        <f t="shared" si="15"/>
        <v>7.7625000000000002</v>
      </c>
      <c r="K87" s="1">
        <f t="shared" si="16"/>
        <v>1.9344000000000001</v>
      </c>
      <c r="L87" s="9">
        <f t="shared" si="17"/>
        <v>5.8281000000000001</v>
      </c>
      <c r="M87" s="10">
        <f t="shared" si="18"/>
        <v>70.30810000000001</v>
      </c>
      <c r="N87" s="23"/>
      <c r="O87" s="19">
        <f t="shared" si="19"/>
        <v>9.0386166253101835E-2</v>
      </c>
      <c r="P87" s="44">
        <f t="shared" si="13"/>
        <v>12.227495652173914</v>
      </c>
      <c r="Q87" s="45"/>
    </row>
    <row r="88" spans="1:17">
      <c r="A88" s="1">
        <v>86</v>
      </c>
      <c r="B88" s="1" t="s">
        <v>164</v>
      </c>
      <c r="C88" s="6" t="s">
        <v>165</v>
      </c>
      <c r="D88" s="1">
        <v>64.48</v>
      </c>
      <c r="E88" s="1">
        <f>VLOOKUP(B88,[1]采购价格汇总表!$E$783:$J$866,6,0)</f>
        <v>64.48</v>
      </c>
      <c r="F88" s="1">
        <v>5.75</v>
      </c>
      <c r="G88" s="1"/>
      <c r="H88" s="1">
        <v>1.35</v>
      </c>
      <c r="I88" s="1">
        <f t="shared" si="14"/>
        <v>7.7625000000000002</v>
      </c>
      <c r="J88" s="1">
        <f t="shared" si="15"/>
        <v>7.7625000000000002</v>
      </c>
      <c r="K88" s="1">
        <f t="shared" si="16"/>
        <v>1.9344000000000001</v>
      </c>
      <c r="L88" s="9">
        <f t="shared" si="17"/>
        <v>5.8281000000000001</v>
      </c>
      <c r="M88" s="10">
        <f t="shared" si="18"/>
        <v>70.30810000000001</v>
      </c>
      <c r="N88" s="23"/>
      <c r="O88" s="19">
        <f t="shared" si="19"/>
        <v>9.0386166253101835E-2</v>
      </c>
      <c r="P88" s="44">
        <f t="shared" si="13"/>
        <v>12.227495652173914</v>
      </c>
      <c r="Q88" s="45"/>
    </row>
    <row r="89" spans="1:17" ht="24" customHeight="1"/>
    <row r="90" spans="1:17" ht="24" customHeight="1">
      <c r="J90" s="38" t="s">
        <v>182</v>
      </c>
      <c r="K90" s="38"/>
      <c r="L90" s="38"/>
      <c r="M90" s="38"/>
    </row>
    <row r="91" spans="1:17" ht="24" customHeight="1"/>
    <row r="92" spans="1:17" ht="24" customHeight="1">
      <c r="J92" s="39" t="s">
        <v>183</v>
      </c>
      <c r="K92" s="39"/>
      <c r="L92" s="39"/>
      <c r="M92" s="39"/>
    </row>
    <row r="93" spans="1:17" ht="24" customHeight="1"/>
    <row r="94" spans="1:17" ht="24" customHeight="1"/>
    <row r="95" spans="1:17" ht="24" customHeight="1"/>
    <row r="96" spans="1:17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</sheetData>
  <autoFilter ref="A2:P88"/>
  <mergeCells count="4">
    <mergeCell ref="A1:M1"/>
    <mergeCell ref="J90:M90"/>
    <mergeCell ref="J92:M92"/>
    <mergeCell ref="Q4:Q5"/>
  </mergeCells>
  <phoneticPr fontId="8" type="noConversion"/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"/>
  <sheetViews>
    <sheetView workbookViewId="0">
      <selection activeCell="M21" sqref="M21"/>
    </sheetView>
  </sheetViews>
  <sheetFormatPr defaultColWidth="9" defaultRowHeight="13.5"/>
  <cols>
    <col min="1" max="1" width="9" style="55"/>
    <col min="2" max="2" width="20.125" style="55" customWidth="1"/>
    <col min="3" max="3" width="5.125" style="55" customWidth="1"/>
    <col min="4" max="4" width="6.375" style="58" customWidth="1"/>
    <col min="5" max="16" width="7.125" style="55" customWidth="1"/>
    <col min="17" max="17" width="11" style="59" customWidth="1"/>
    <col min="18" max="16384" width="9" style="55"/>
  </cols>
  <sheetData>
    <row r="1" spans="1:19" s="51" customFormat="1" ht="29.25" customHeight="1">
      <c r="A1" s="47" t="s">
        <v>195</v>
      </c>
      <c r="B1" s="47" t="s">
        <v>196</v>
      </c>
      <c r="C1" s="47" t="s">
        <v>197</v>
      </c>
      <c r="D1" s="48" t="s">
        <v>198</v>
      </c>
      <c r="E1" s="48" t="s">
        <v>199</v>
      </c>
      <c r="F1" s="48" t="s">
        <v>200</v>
      </c>
      <c r="G1" s="48" t="s">
        <v>201</v>
      </c>
      <c r="H1" s="48" t="s">
        <v>202</v>
      </c>
      <c r="I1" s="48" t="s">
        <v>203</v>
      </c>
      <c r="J1" s="48" t="s">
        <v>204</v>
      </c>
      <c r="K1" s="48" t="s">
        <v>205</v>
      </c>
      <c r="L1" s="48" t="s">
        <v>206</v>
      </c>
      <c r="M1" s="48" t="s">
        <v>207</v>
      </c>
      <c r="N1" s="48" t="s">
        <v>208</v>
      </c>
      <c r="O1" s="48" t="s">
        <v>209</v>
      </c>
      <c r="P1" s="48" t="s">
        <v>210</v>
      </c>
      <c r="Q1" s="49" t="s">
        <v>211</v>
      </c>
      <c r="R1" s="50" t="s">
        <v>212</v>
      </c>
    </row>
    <row r="2" spans="1:19" ht="14.25" customHeight="1">
      <c r="A2" s="52" t="s">
        <v>213</v>
      </c>
      <c r="B2" s="52" t="s">
        <v>214</v>
      </c>
      <c r="C2" s="52" t="s">
        <v>215</v>
      </c>
      <c r="D2" s="52">
        <v>2019</v>
      </c>
      <c r="E2" s="53">
        <f>3580/1.13</f>
        <v>3168.1415929203545</v>
      </c>
      <c r="F2" s="53">
        <f>3750/1.13</f>
        <v>3318.5840707964603</v>
      </c>
      <c r="G2" s="53">
        <f>3770/1.13</f>
        <v>3336.2831858407085</v>
      </c>
      <c r="H2" s="53">
        <f>3820/1.13</f>
        <v>3380.5309734513276</v>
      </c>
      <c r="I2" s="53">
        <f>3950/1.13</f>
        <v>3495.5752212389384</v>
      </c>
      <c r="J2" s="53">
        <f>3850/1.13</f>
        <v>3407.0796460176994</v>
      </c>
      <c r="K2" s="53">
        <f>3950/1.13</f>
        <v>3495.5752212389384</v>
      </c>
      <c r="L2" s="53">
        <f>3850/1.13</f>
        <v>3407.0796460176994</v>
      </c>
      <c r="M2" s="53">
        <f>3660/1.13</f>
        <v>3238.9380530973453</v>
      </c>
      <c r="N2" s="53">
        <f>3640/1.13</f>
        <v>3221.2389380530976</v>
      </c>
      <c r="O2" s="53">
        <f>3550/1.13</f>
        <v>3141.5929203539827</v>
      </c>
      <c r="P2" s="53">
        <f>3750/1.13</f>
        <v>3318.5840707964603</v>
      </c>
      <c r="Q2" s="54">
        <f t="shared" ref="Q2:Q9" si="0">AVERAGE(E2:P2)</f>
        <v>3327.4336283185844</v>
      </c>
      <c r="R2" s="53"/>
    </row>
    <row r="3" spans="1:19" ht="14.25" customHeight="1">
      <c r="A3" s="52" t="s">
        <v>213</v>
      </c>
      <c r="B3" s="52" t="s">
        <v>214</v>
      </c>
      <c r="C3" s="52" t="s">
        <v>215</v>
      </c>
      <c r="D3" s="52">
        <v>2020</v>
      </c>
      <c r="E3" s="53">
        <f>3750/1.13</f>
        <v>3318.5840707964603</v>
      </c>
      <c r="F3" s="53">
        <f>3750/1.13</f>
        <v>3318.5840707964603</v>
      </c>
      <c r="G3" s="53">
        <f>3350/1.13</f>
        <v>2964.6017699115046</v>
      </c>
      <c r="H3" s="53">
        <f>3270/1.13</f>
        <v>2893.8053097345137</v>
      </c>
      <c r="I3" s="53">
        <f>3370/1.13</f>
        <v>2982.3008849557523</v>
      </c>
      <c r="J3" s="53">
        <f>3700/1.13</f>
        <v>3274.3362831858412</v>
      </c>
      <c r="K3" s="53">
        <f>3730/1.13</f>
        <v>3300.8849557522126</v>
      </c>
      <c r="L3" s="53">
        <f>3890/1.13</f>
        <v>3442.4778761061948</v>
      </c>
      <c r="M3" s="53">
        <f>3960/1.13</f>
        <v>3504.4247787610625</v>
      </c>
      <c r="N3" s="53">
        <f>3880/1.13</f>
        <v>3433.6283185840712</v>
      </c>
      <c r="O3" s="53">
        <f>3860/1.13</f>
        <v>3415.9292035398234</v>
      </c>
      <c r="P3" s="53">
        <f>4100/1.13</f>
        <v>3628.318584070797</v>
      </c>
      <c r="Q3" s="54">
        <f t="shared" si="0"/>
        <v>3289.8230088495579</v>
      </c>
      <c r="R3" s="56">
        <f t="shared" ref="R3:R9" si="1">(Q3-Q2)/Q2</f>
        <v>-1.1303191489361675E-2</v>
      </c>
    </row>
    <row r="4" spans="1:19" ht="14.25" customHeight="1">
      <c r="A4" s="52" t="s">
        <v>213</v>
      </c>
      <c r="B4" s="52" t="s">
        <v>214</v>
      </c>
      <c r="C4" s="52" t="s">
        <v>215</v>
      </c>
      <c r="D4" s="52">
        <v>2021</v>
      </c>
      <c r="E4" s="53">
        <f>4460/1.13</f>
        <v>3946.9026548672568</v>
      </c>
      <c r="F4" s="53">
        <f>4410/1.13</f>
        <v>3902.6548672566373</v>
      </c>
      <c r="G4" s="53">
        <f>4770/1.13</f>
        <v>4221.2389380530976</v>
      </c>
      <c r="H4" s="53">
        <f>5410/1.13</f>
        <v>4787.6106194690274</v>
      </c>
      <c r="I4" s="53">
        <f>5900/1.13</f>
        <v>5221.2389380530976</v>
      </c>
      <c r="J4" s="53">
        <f>5450/1.13</f>
        <v>4823.0088495575228</v>
      </c>
      <c r="K4" s="53">
        <f>5350/1.13</f>
        <v>4734.5132743362838</v>
      </c>
      <c r="L4" s="53"/>
      <c r="M4" s="53"/>
      <c r="N4" s="53"/>
      <c r="O4" s="53"/>
      <c r="P4" s="53"/>
      <c r="Q4" s="54">
        <f t="shared" si="0"/>
        <v>4519.5954487989893</v>
      </c>
      <c r="R4" s="56">
        <f t="shared" si="1"/>
        <v>0.37381112498799118</v>
      </c>
    </row>
    <row r="5" spans="1:19" ht="14.25" customHeight="1">
      <c r="A5" s="57" t="s">
        <v>216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7" spans="1:19">
      <c r="A7" s="52" t="s">
        <v>217</v>
      </c>
      <c r="B7" s="52" t="s">
        <v>218</v>
      </c>
      <c r="C7" s="52" t="s">
        <v>215</v>
      </c>
      <c r="D7" s="52">
        <v>2019</v>
      </c>
      <c r="E7" s="53">
        <f>4100/1.13</f>
        <v>3628.318584070797</v>
      </c>
      <c r="F7" s="53">
        <f>4120/1.13</f>
        <v>3646.0176991150447</v>
      </c>
      <c r="G7" s="53">
        <f>4180/1.13</f>
        <v>3699.1150442477879</v>
      </c>
      <c r="H7" s="53">
        <f>4170/1.13</f>
        <v>3690.2654867256642</v>
      </c>
      <c r="I7" s="53">
        <f>4310/1.13</f>
        <v>3814.1592920353987</v>
      </c>
      <c r="J7" s="53">
        <f>4290/1.13</f>
        <v>3796.460176991151</v>
      </c>
      <c r="K7" s="53">
        <f>4340/1.13</f>
        <v>3840.7079646017701</v>
      </c>
      <c r="L7" s="53">
        <f>4370/1.13</f>
        <v>3867.2566371681419</v>
      </c>
      <c r="M7" s="53">
        <f>4150/1.13</f>
        <v>3672.5663716814161</v>
      </c>
      <c r="N7" s="53">
        <f>4190/1.13</f>
        <v>3707.964601769912</v>
      </c>
      <c r="O7" s="53">
        <f>4080/1.13</f>
        <v>3610.6194690265488</v>
      </c>
      <c r="P7" s="53">
        <f>4160/1.13</f>
        <v>3681.4159292035401</v>
      </c>
      <c r="Q7" s="54">
        <f t="shared" si="0"/>
        <v>3721.2389380530972</v>
      </c>
      <c r="R7" s="53"/>
      <c r="S7" s="55" t="s">
        <v>219</v>
      </c>
    </row>
    <row r="8" spans="1:19">
      <c r="A8" s="52" t="s">
        <v>217</v>
      </c>
      <c r="B8" s="52" t="s">
        <v>218</v>
      </c>
      <c r="C8" s="52" t="s">
        <v>215</v>
      </c>
      <c r="D8" s="52">
        <v>2020</v>
      </c>
      <c r="E8" s="53">
        <f>4100/1.13</f>
        <v>3628.318584070797</v>
      </c>
      <c r="F8" s="53">
        <f>4050/1.13</f>
        <v>3584.0707964601775</v>
      </c>
      <c r="G8" s="53">
        <f>3820/1.13</f>
        <v>3380.5309734513276</v>
      </c>
      <c r="H8" s="53">
        <f>3800/1.13</f>
        <v>3362.8318584070798</v>
      </c>
      <c r="I8" s="53">
        <f>3840/1.13</f>
        <v>3398.2300884955757</v>
      </c>
      <c r="J8" s="53">
        <f>4130/1.13</f>
        <v>3654.8672566371683</v>
      </c>
      <c r="K8" s="53">
        <f>4130/1.13</f>
        <v>3654.8672566371683</v>
      </c>
      <c r="L8" s="53">
        <f>4210/1.13</f>
        <v>3725.6637168141597</v>
      </c>
      <c r="M8" s="53">
        <f>4290/1.13</f>
        <v>3796.460176991151</v>
      </c>
      <c r="N8" s="53">
        <f>4270/1.13</f>
        <v>3778.7610619469028</v>
      </c>
      <c r="O8" s="53">
        <f>4290/1.13</f>
        <v>3796.460176991151</v>
      </c>
      <c r="P8" s="53">
        <f>4450/1.13</f>
        <v>3938.0530973451332</v>
      </c>
      <c r="Q8" s="54">
        <f t="shared" si="0"/>
        <v>3641.5929203539831</v>
      </c>
      <c r="R8" s="56">
        <f t="shared" si="1"/>
        <v>-2.1403091557669177E-2</v>
      </c>
      <c r="S8" s="55" t="s">
        <v>219</v>
      </c>
    </row>
    <row r="9" spans="1:19">
      <c r="A9" s="52" t="s">
        <v>217</v>
      </c>
      <c r="B9" s="52" t="s">
        <v>218</v>
      </c>
      <c r="C9" s="52" t="s">
        <v>215</v>
      </c>
      <c r="D9" s="52">
        <v>2021</v>
      </c>
      <c r="E9" s="53">
        <f>4690/1.13</f>
        <v>4150.4424778761068</v>
      </c>
      <c r="F9" s="53">
        <f>4710/1.13</f>
        <v>4168.141592920354</v>
      </c>
      <c r="G9" s="53">
        <f>5120/1.13</f>
        <v>4530.9734513274343</v>
      </c>
      <c r="H9" s="53">
        <f>5540/1.13</f>
        <v>4902.6548672566378</v>
      </c>
      <c r="I9" s="53">
        <f>5870/1.13</f>
        <v>5194.6902654867263</v>
      </c>
      <c r="J9" s="53">
        <f>5920/1.13</f>
        <v>5238.9380530973458</v>
      </c>
      <c r="K9" s="53">
        <f>5730/1.13</f>
        <v>5070.7964601769918</v>
      </c>
      <c r="L9" s="53"/>
      <c r="M9" s="53"/>
      <c r="N9" s="53"/>
      <c r="O9" s="53"/>
      <c r="P9" s="53"/>
      <c r="Q9" s="54">
        <f t="shared" si="0"/>
        <v>4750.9481668773715</v>
      </c>
      <c r="R9" s="56">
        <f t="shared" si="1"/>
        <v>0.3046346120465197</v>
      </c>
      <c r="S9" s="55" t="s">
        <v>219</v>
      </c>
    </row>
    <row r="10" spans="1:19">
      <c r="B10" s="58"/>
      <c r="Q10" s="60">
        <f>Q9-Q8</f>
        <v>1109.3552465233884</v>
      </c>
    </row>
    <row r="11" spans="1:19">
      <c r="A11" s="52" t="s">
        <v>220</v>
      </c>
      <c r="B11" s="52" t="s">
        <v>221</v>
      </c>
      <c r="C11" s="52" t="s">
        <v>215</v>
      </c>
      <c r="D11" s="52">
        <v>2019</v>
      </c>
      <c r="E11" s="53">
        <f>4080/1.13</f>
        <v>3610.6194690265488</v>
      </c>
      <c r="F11" s="53">
        <f>4170/1.13</f>
        <v>3690.2654867256642</v>
      </c>
      <c r="G11" s="53">
        <f>4270/1.13</f>
        <v>3778.7610619469028</v>
      </c>
      <c r="H11" s="53">
        <f>4280/1.13</f>
        <v>3787.6106194690269</v>
      </c>
      <c r="I11" s="53">
        <f>4320/1.13</f>
        <v>3823.0088495575224</v>
      </c>
      <c r="J11" s="53">
        <f>4070/1.13</f>
        <v>3601.7699115044252</v>
      </c>
      <c r="K11" s="53">
        <f>4220/1.13</f>
        <v>3734.5132743362838</v>
      </c>
      <c r="L11" s="53">
        <f>4340/1.13</f>
        <v>3840.7079646017701</v>
      </c>
      <c r="M11" s="53">
        <f>4180/1.13</f>
        <v>3699.1150442477879</v>
      </c>
      <c r="N11" s="53">
        <f>4190/1.13</f>
        <v>3707.964601769912</v>
      </c>
      <c r="O11" s="53">
        <f>4040/1.13</f>
        <v>3575.2212389380534</v>
      </c>
      <c r="P11" s="53">
        <f>4200/1.13</f>
        <v>3716.8141592920356</v>
      </c>
      <c r="Q11" s="54">
        <f t="shared" ref="Q11:Q13" si="2">AVERAGE(E11:P11)</f>
        <v>3713.864306784661</v>
      </c>
      <c r="R11" s="53"/>
      <c r="S11" s="55" t="s">
        <v>222</v>
      </c>
    </row>
    <row r="12" spans="1:19">
      <c r="A12" s="52" t="s">
        <v>220</v>
      </c>
      <c r="B12" s="52" t="s">
        <v>221</v>
      </c>
      <c r="C12" s="52" t="s">
        <v>215</v>
      </c>
      <c r="D12" s="52">
        <v>2020</v>
      </c>
      <c r="E12" s="53">
        <f>4230/1.13</f>
        <v>3743.3628318584074</v>
      </c>
      <c r="F12" s="53">
        <f>4250/1.13</f>
        <v>3761.0619469026551</v>
      </c>
      <c r="G12" s="53">
        <f>3990/1.13</f>
        <v>3530.9734513274338</v>
      </c>
      <c r="H12" s="53">
        <f>3730/1.13</f>
        <v>3300.8849557522126</v>
      </c>
      <c r="I12" s="53">
        <f>3700/1.13</f>
        <v>3274.3362831858412</v>
      </c>
      <c r="J12" s="53">
        <f>4030/1.13</f>
        <v>3566.3716814159297</v>
      </c>
      <c r="K12" s="53">
        <f>4070/1.13</f>
        <v>3601.7699115044252</v>
      </c>
      <c r="L12" s="53">
        <f>4050/1.13</f>
        <v>3584.0707964601775</v>
      </c>
      <c r="M12" s="53">
        <f>4330/1.13</f>
        <v>3831.8584070796464</v>
      </c>
      <c r="N12" s="53">
        <f>4500/1.13</f>
        <v>3982.3008849557527</v>
      </c>
      <c r="O12" s="53">
        <f>4570/1.13</f>
        <v>4044.24778761062</v>
      </c>
      <c r="P12" s="53">
        <f>4870/1.13</f>
        <v>4309.7345132743367</v>
      </c>
      <c r="Q12" s="54">
        <f t="shared" si="2"/>
        <v>3710.9144542772865</v>
      </c>
      <c r="R12" s="56">
        <f t="shared" ref="R12:R17" si="3">(Q12-Q11)/Q11</f>
        <v>-7.9428117553611622E-4</v>
      </c>
      <c r="S12" s="55" t="s">
        <v>222</v>
      </c>
    </row>
    <row r="13" spans="1:19">
      <c r="A13" s="52" t="s">
        <v>220</v>
      </c>
      <c r="B13" s="52" t="s">
        <v>221</v>
      </c>
      <c r="C13" s="52" t="s">
        <v>215</v>
      </c>
      <c r="D13" s="52">
        <v>2021</v>
      </c>
      <c r="E13" s="53">
        <f>5500/1.13</f>
        <v>4867.2566371681423</v>
      </c>
      <c r="F13" s="53">
        <f>5220/1.13</f>
        <v>4619.4690265486734</v>
      </c>
      <c r="G13" s="53">
        <f>5400/1.13</f>
        <v>4778.7610619469033</v>
      </c>
      <c r="H13" s="53">
        <f>5750/1.13</f>
        <v>5088.4955752212391</v>
      </c>
      <c r="I13" s="53">
        <f>6250/1.13</f>
        <v>5530.9734513274343</v>
      </c>
      <c r="J13" s="53">
        <f>6150/1.13</f>
        <v>5442.4778761061953</v>
      </c>
      <c r="K13" s="53">
        <f>6020/1.13</f>
        <v>5327.4336283185849</v>
      </c>
      <c r="L13" s="53"/>
      <c r="M13" s="53"/>
      <c r="N13" s="53"/>
      <c r="O13" s="53"/>
      <c r="P13" s="53"/>
      <c r="Q13" s="54">
        <f t="shared" si="2"/>
        <v>5093.5524652338809</v>
      </c>
      <c r="R13" s="56">
        <f t="shared" si="3"/>
        <v>0.3725868725868724</v>
      </c>
      <c r="S13" s="55" t="s">
        <v>222</v>
      </c>
    </row>
    <row r="14" spans="1:19">
      <c r="B14" s="58"/>
    </row>
    <row r="15" spans="1:19">
      <c r="A15" s="52" t="s">
        <v>220</v>
      </c>
      <c r="B15" s="52" t="s">
        <v>223</v>
      </c>
      <c r="C15" s="52" t="s">
        <v>215</v>
      </c>
      <c r="D15" s="52">
        <v>2019</v>
      </c>
      <c r="E15" s="53">
        <f>4060/1.13</f>
        <v>3592.9203539823011</v>
      </c>
      <c r="F15" s="53">
        <f>4150/1.13</f>
        <v>3672.5663716814161</v>
      </c>
      <c r="G15" s="53">
        <f>4250/1.13</f>
        <v>3761.0619469026551</v>
      </c>
      <c r="H15" s="53">
        <f>4260/1.13</f>
        <v>3769.9115044247792</v>
      </c>
      <c r="I15" s="53">
        <f>4300/1.13</f>
        <v>3805.3097345132746</v>
      </c>
      <c r="J15" s="53">
        <f>4050/1.13</f>
        <v>3584.0707964601775</v>
      </c>
      <c r="K15" s="53">
        <f>4200/1.13</f>
        <v>3716.8141592920356</v>
      </c>
      <c r="L15" s="53">
        <f>4330/1.13</f>
        <v>3831.8584070796464</v>
      </c>
      <c r="M15" s="53">
        <f>4170/1.13</f>
        <v>3690.2654867256642</v>
      </c>
      <c r="N15" s="53">
        <f>4180/1.13</f>
        <v>3699.1150442477879</v>
      </c>
      <c r="O15" s="53">
        <f>4030/1.13</f>
        <v>3566.3716814159297</v>
      </c>
      <c r="P15" s="53">
        <f>4190/1.13</f>
        <v>3707.964601769912</v>
      </c>
      <c r="Q15" s="54">
        <f t="shared" ref="Q15:Q17" si="4">AVERAGE(E15:P15)</f>
        <v>3699.8525073746318</v>
      </c>
      <c r="R15" s="53"/>
      <c r="S15" s="55" t="s">
        <v>222</v>
      </c>
    </row>
    <row r="16" spans="1:19">
      <c r="A16" s="52" t="s">
        <v>220</v>
      </c>
      <c r="B16" s="52" t="s">
        <v>223</v>
      </c>
      <c r="C16" s="52" t="s">
        <v>215</v>
      </c>
      <c r="D16" s="52">
        <v>2020</v>
      </c>
      <c r="E16" s="53">
        <f>4220/1.13</f>
        <v>3734.5132743362838</v>
      </c>
      <c r="F16" s="53">
        <f>4240/1.13</f>
        <v>3752.2123893805315</v>
      </c>
      <c r="G16" s="53">
        <f>3980/1.13</f>
        <v>3522.1238938053102</v>
      </c>
      <c r="H16" s="53">
        <f>3720/1.13</f>
        <v>3292.035398230089</v>
      </c>
      <c r="I16" s="53">
        <f>3690/1.13</f>
        <v>3265.4867256637172</v>
      </c>
      <c r="J16" s="53">
        <f>4020/1.13</f>
        <v>3557.5221238938057</v>
      </c>
      <c r="K16" s="53">
        <f>4060/1.13</f>
        <v>3592.9203539823011</v>
      </c>
      <c r="L16" s="53">
        <f>4040/1.13</f>
        <v>3575.2212389380534</v>
      </c>
      <c r="M16" s="53">
        <f>4320/1.13</f>
        <v>3823.0088495575224</v>
      </c>
      <c r="N16" s="53">
        <f>4490/1.13</f>
        <v>3973.4513274336286</v>
      </c>
      <c r="O16" s="53">
        <f>4560/1.13</f>
        <v>4035.3982300884959</v>
      </c>
      <c r="P16" s="53">
        <f>4860/1.13</f>
        <v>4300.8849557522126</v>
      </c>
      <c r="Q16" s="54">
        <f t="shared" si="4"/>
        <v>3702.0648967551629</v>
      </c>
      <c r="R16" s="56">
        <f t="shared" si="3"/>
        <v>5.9796691249752146E-4</v>
      </c>
      <c r="S16" s="55" t="s">
        <v>222</v>
      </c>
    </row>
    <row r="17" spans="1:19">
      <c r="A17" s="52" t="s">
        <v>220</v>
      </c>
      <c r="B17" s="52" t="s">
        <v>223</v>
      </c>
      <c r="C17" s="52" t="s">
        <v>215</v>
      </c>
      <c r="D17" s="52">
        <v>2021</v>
      </c>
      <c r="E17" s="53">
        <f>5490/1.13</f>
        <v>4858.4070796460182</v>
      </c>
      <c r="F17" s="53">
        <f>5210/1.13</f>
        <v>4610.6194690265493</v>
      </c>
      <c r="G17" s="53">
        <f>5390/1.13</f>
        <v>4769.9115044247792</v>
      </c>
      <c r="H17" s="53">
        <f>5740/1.13</f>
        <v>5079.6460176991159</v>
      </c>
      <c r="I17" s="53">
        <f>6240/1.13</f>
        <v>5522.1238938053102</v>
      </c>
      <c r="J17" s="53">
        <f>6140/1.13</f>
        <v>5433.6283185840712</v>
      </c>
      <c r="K17" s="53">
        <f>6010/1.13</f>
        <v>5318.5840707964608</v>
      </c>
      <c r="L17" s="53"/>
      <c r="M17" s="53"/>
      <c r="N17" s="53"/>
      <c r="O17" s="53"/>
      <c r="P17" s="53"/>
      <c r="Q17" s="54">
        <f t="shared" si="4"/>
        <v>5084.7029077117577</v>
      </c>
      <c r="R17" s="56">
        <f t="shared" si="3"/>
        <v>0.37347751849743871</v>
      </c>
      <c r="S17" s="55" t="s">
        <v>222</v>
      </c>
    </row>
  </sheetData>
  <mergeCells count="1">
    <mergeCell ref="A5:R5"/>
  </mergeCells>
  <phoneticPr fontId="8" type="noConversion"/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9"/>
  <sheetViews>
    <sheetView zoomScaleSheetLayoutView="100" workbookViewId="0">
      <pane xSplit="2" ySplit="2" topLeftCell="E3" activePane="bottomRight" state="frozen"/>
      <selection pane="topRight"/>
      <selection pane="bottomLeft"/>
      <selection pane="bottomRight" activeCell="Q10" sqref="Q10"/>
    </sheetView>
  </sheetViews>
  <sheetFormatPr defaultColWidth="9" defaultRowHeight="14.25"/>
  <cols>
    <col min="1" max="1" width="5.25" style="62" customWidth="1"/>
    <col min="2" max="2" width="15.875" style="62" customWidth="1"/>
    <col min="3" max="3" width="11.625" style="62" customWidth="1"/>
    <col min="4" max="256" width="9" style="62"/>
    <col min="257" max="257" width="5.25" style="62" customWidth="1"/>
    <col min="258" max="258" width="15.875" style="62" customWidth="1"/>
    <col min="259" max="259" width="11.625" style="62" customWidth="1"/>
    <col min="260" max="512" width="9" style="62"/>
    <col min="513" max="513" width="5.25" style="62" customWidth="1"/>
    <col min="514" max="514" width="15.875" style="62" customWidth="1"/>
    <col min="515" max="515" width="11.625" style="62" customWidth="1"/>
    <col min="516" max="768" width="9" style="62"/>
    <col min="769" max="769" width="5.25" style="62" customWidth="1"/>
    <col min="770" max="770" width="15.875" style="62" customWidth="1"/>
    <col min="771" max="771" width="11.625" style="62" customWidth="1"/>
    <col min="772" max="1024" width="9" style="62"/>
    <col min="1025" max="1025" width="5.25" style="62" customWidth="1"/>
    <col min="1026" max="1026" width="15.875" style="62" customWidth="1"/>
    <col min="1027" max="1027" width="11.625" style="62" customWidth="1"/>
    <col min="1028" max="1280" width="9" style="62"/>
    <col min="1281" max="1281" width="5.25" style="62" customWidth="1"/>
    <col min="1282" max="1282" width="15.875" style="62" customWidth="1"/>
    <col min="1283" max="1283" width="11.625" style="62" customWidth="1"/>
    <col min="1284" max="1536" width="9" style="62"/>
    <col min="1537" max="1537" width="5.25" style="62" customWidth="1"/>
    <col min="1538" max="1538" width="15.875" style="62" customWidth="1"/>
    <col min="1539" max="1539" width="11.625" style="62" customWidth="1"/>
    <col min="1540" max="1792" width="9" style="62"/>
    <col min="1793" max="1793" width="5.25" style="62" customWidth="1"/>
    <col min="1794" max="1794" width="15.875" style="62" customWidth="1"/>
    <col min="1795" max="1795" width="11.625" style="62" customWidth="1"/>
    <col min="1796" max="2048" width="9" style="62"/>
    <col min="2049" max="2049" width="5.25" style="62" customWidth="1"/>
    <col min="2050" max="2050" width="15.875" style="62" customWidth="1"/>
    <col min="2051" max="2051" width="11.625" style="62" customWidth="1"/>
    <col min="2052" max="2304" width="9" style="62"/>
    <col min="2305" max="2305" width="5.25" style="62" customWidth="1"/>
    <col min="2306" max="2306" width="15.875" style="62" customWidth="1"/>
    <col min="2307" max="2307" width="11.625" style="62" customWidth="1"/>
    <col min="2308" max="2560" width="9" style="62"/>
    <col min="2561" max="2561" width="5.25" style="62" customWidth="1"/>
    <col min="2562" max="2562" width="15.875" style="62" customWidth="1"/>
    <col min="2563" max="2563" width="11.625" style="62" customWidth="1"/>
    <col min="2564" max="2816" width="9" style="62"/>
    <col min="2817" max="2817" width="5.25" style="62" customWidth="1"/>
    <col min="2818" max="2818" width="15.875" style="62" customWidth="1"/>
    <col min="2819" max="2819" width="11.625" style="62" customWidth="1"/>
    <col min="2820" max="3072" width="9" style="62"/>
    <col min="3073" max="3073" width="5.25" style="62" customWidth="1"/>
    <col min="3074" max="3074" width="15.875" style="62" customWidth="1"/>
    <col min="3075" max="3075" width="11.625" style="62" customWidth="1"/>
    <col min="3076" max="3328" width="9" style="62"/>
    <col min="3329" max="3329" width="5.25" style="62" customWidth="1"/>
    <col min="3330" max="3330" width="15.875" style="62" customWidth="1"/>
    <col min="3331" max="3331" width="11.625" style="62" customWidth="1"/>
    <col min="3332" max="3584" width="9" style="62"/>
    <col min="3585" max="3585" width="5.25" style="62" customWidth="1"/>
    <col min="3586" max="3586" width="15.875" style="62" customWidth="1"/>
    <col min="3587" max="3587" width="11.625" style="62" customWidth="1"/>
    <col min="3588" max="3840" width="9" style="62"/>
    <col min="3841" max="3841" width="5.25" style="62" customWidth="1"/>
    <col min="3842" max="3842" width="15.875" style="62" customWidth="1"/>
    <col min="3843" max="3843" width="11.625" style="62" customWidth="1"/>
    <col min="3844" max="4096" width="9" style="62"/>
    <col min="4097" max="4097" width="5.25" style="62" customWidth="1"/>
    <col min="4098" max="4098" width="15.875" style="62" customWidth="1"/>
    <col min="4099" max="4099" width="11.625" style="62" customWidth="1"/>
    <col min="4100" max="4352" width="9" style="62"/>
    <col min="4353" max="4353" width="5.25" style="62" customWidth="1"/>
    <col min="4354" max="4354" width="15.875" style="62" customWidth="1"/>
    <col min="4355" max="4355" width="11.625" style="62" customWidth="1"/>
    <col min="4356" max="4608" width="9" style="62"/>
    <col min="4609" max="4609" width="5.25" style="62" customWidth="1"/>
    <col min="4610" max="4610" width="15.875" style="62" customWidth="1"/>
    <col min="4611" max="4611" width="11.625" style="62" customWidth="1"/>
    <col min="4612" max="4864" width="9" style="62"/>
    <col min="4865" max="4865" width="5.25" style="62" customWidth="1"/>
    <col min="4866" max="4866" width="15.875" style="62" customWidth="1"/>
    <col min="4867" max="4867" width="11.625" style="62" customWidth="1"/>
    <col min="4868" max="5120" width="9" style="62"/>
    <col min="5121" max="5121" width="5.25" style="62" customWidth="1"/>
    <col min="5122" max="5122" width="15.875" style="62" customWidth="1"/>
    <col min="5123" max="5123" width="11.625" style="62" customWidth="1"/>
    <col min="5124" max="5376" width="9" style="62"/>
    <col min="5377" max="5377" width="5.25" style="62" customWidth="1"/>
    <col min="5378" max="5378" width="15.875" style="62" customWidth="1"/>
    <col min="5379" max="5379" width="11.625" style="62" customWidth="1"/>
    <col min="5380" max="5632" width="9" style="62"/>
    <col min="5633" max="5633" width="5.25" style="62" customWidth="1"/>
    <col min="5634" max="5634" width="15.875" style="62" customWidth="1"/>
    <col min="5635" max="5635" width="11.625" style="62" customWidth="1"/>
    <col min="5636" max="5888" width="9" style="62"/>
    <col min="5889" max="5889" width="5.25" style="62" customWidth="1"/>
    <col min="5890" max="5890" width="15.875" style="62" customWidth="1"/>
    <col min="5891" max="5891" width="11.625" style="62" customWidth="1"/>
    <col min="5892" max="6144" width="9" style="62"/>
    <col min="6145" max="6145" width="5.25" style="62" customWidth="1"/>
    <col min="6146" max="6146" width="15.875" style="62" customWidth="1"/>
    <col min="6147" max="6147" width="11.625" style="62" customWidth="1"/>
    <col min="6148" max="6400" width="9" style="62"/>
    <col min="6401" max="6401" width="5.25" style="62" customWidth="1"/>
    <col min="6402" max="6402" width="15.875" style="62" customWidth="1"/>
    <col min="6403" max="6403" width="11.625" style="62" customWidth="1"/>
    <col min="6404" max="6656" width="9" style="62"/>
    <col min="6657" max="6657" width="5.25" style="62" customWidth="1"/>
    <col min="6658" max="6658" width="15.875" style="62" customWidth="1"/>
    <col min="6659" max="6659" width="11.625" style="62" customWidth="1"/>
    <col min="6660" max="6912" width="9" style="62"/>
    <col min="6913" max="6913" width="5.25" style="62" customWidth="1"/>
    <col min="6914" max="6914" width="15.875" style="62" customWidth="1"/>
    <col min="6915" max="6915" width="11.625" style="62" customWidth="1"/>
    <col min="6916" max="7168" width="9" style="62"/>
    <col min="7169" max="7169" width="5.25" style="62" customWidth="1"/>
    <col min="7170" max="7170" width="15.875" style="62" customWidth="1"/>
    <col min="7171" max="7171" width="11.625" style="62" customWidth="1"/>
    <col min="7172" max="7424" width="9" style="62"/>
    <col min="7425" max="7425" width="5.25" style="62" customWidth="1"/>
    <col min="7426" max="7426" width="15.875" style="62" customWidth="1"/>
    <col min="7427" max="7427" width="11.625" style="62" customWidth="1"/>
    <col min="7428" max="7680" width="9" style="62"/>
    <col min="7681" max="7681" width="5.25" style="62" customWidth="1"/>
    <col min="7682" max="7682" width="15.875" style="62" customWidth="1"/>
    <col min="7683" max="7683" width="11.625" style="62" customWidth="1"/>
    <col min="7684" max="7936" width="9" style="62"/>
    <col min="7937" max="7937" width="5.25" style="62" customWidth="1"/>
    <col min="7938" max="7938" width="15.875" style="62" customWidth="1"/>
    <col min="7939" max="7939" width="11.625" style="62" customWidth="1"/>
    <col min="7940" max="8192" width="9" style="62"/>
    <col min="8193" max="8193" width="5.25" style="62" customWidth="1"/>
    <col min="8194" max="8194" width="15.875" style="62" customWidth="1"/>
    <col min="8195" max="8195" width="11.625" style="62" customWidth="1"/>
    <col min="8196" max="8448" width="9" style="62"/>
    <col min="8449" max="8449" width="5.25" style="62" customWidth="1"/>
    <col min="8450" max="8450" width="15.875" style="62" customWidth="1"/>
    <col min="8451" max="8451" width="11.625" style="62" customWidth="1"/>
    <col min="8452" max="8704" width="9" style="62"/>
    <col min="8705" max="8705" width="5.25" style="62" customWidth="1"/>
    <col min="8706" max="8706" width="15.875" style="62" customWidth="1"/>
    <col min="8707" max="8707" width="11.625" style="62" customWidth="1"/>
    <col min="8708" max="8960" width="9" style="62"/>
    <col min="8961" max="8961" width="5.25" style="62" customWidth="1"/>
    <col min="8962" max="8962" width="15.875" style="62" customWidth="1"/>
    <col min="8963" max="8963" width="11.625" style="62" customWidth="1"/>
    <col min="8964" max="9216" width="9" style="62"/>
    <col min="9217" max="9217" width="5.25" style="62" customWidth="1"/>
    <col min="9218" max="9218" width="15.875" style="62" customWidth="1"/>
    <col min="9219" max="9219" width="11.625" style="62" customWidth="1"/>
    <col min="9220" max="9472" width="9" style="62"/>
    <col min="9473" max="9473" width="5.25" style="62" customWidth="1"/>
    <col min="9474" max="9474" width="15.875" style="62" customWidth="1"/>
    <col min="9475" max="9475" width="11.625" style="62" customWidth="1"/>
    <col min="9476" max="9728" width="9" style="62"/>
    <col min="9729" max="9729" width="5.25" style="62" customWidth="1"/>
    <col min="9730" max="9730" width="15.875" style="62" customWidth="1"/>
    <col min="9731" max="9731" width="11.625" style="62" customWidth="1"/>
    <col min="9732" max="9984" width="9" style="62"/>
    <col min="9985" max="9985" width="5.25" style="62" customWidth="1"/>
    <col min="9986" max="9986" width="15.875" style="62" customWidth="1"/>
    <col min="9987" max="9987" width="11.625" style="62" customWidth="1"/>
    <col min="9988" max="10240" width="9" style="62"/>
    <col min="10241" max="10241" width="5.25" style="62" customWidth="1"/>
    <col min="10242" max="10242" width="15.875" style="62" customWidth="1"/>
    <col min="10243" max="10243" width="11.625" style="62" customWidth="1"/>
    <col min="10244" max="10496" width="9" style="62"/>
    <col min="10497" max="10497" width="5.25" style="62" customWidth="1"/>
    <col min="10498" max="10498" width="15.875" style="62" customWidth="1"/>
    <col min="10499" max="10499" width="11.625" style="62" customWidth="1"/>
    <col min="10500" max="10752" width="9" style="62"/>
    <col min="10753" max="10753" width="5.25" style="62" customWidth="1"/>
    <col min="10754" max="10754" width="15.875" style="62" customWidth="1"/>
    <col min="10755" max="10755" width="11.625" style="62" customWidth="1"/>
    <col min="10756" max="11008" width="9" style="62"/>
    <col min="11009" max="11009" width="5.25" style="62" customWidth="1"/>
    <col min="11010" max="11010" width="15.875" style="62" customWidth="1"/>
    <col min="11011" max="11011" width="11.625" style="62" customWidth="1"/>
    <col min="11012" max="11264" width="9" style="62"/>
    <col min="11265" max="11265" width="5.25" style="62" customWidth="1"/>
    <col min="11266" max="11266" width="15.875" style="62" customWidth="1"/>
    <col min="11267" max="11267" width="11.625" style="62" customWidth="1"/>
    <col min="11268" max="11520" width="9" style="62"/>
    <col min="11521" max="11521" width="5.25" style="62" customWidth="1"/>
    <col min="11522" max="11522" width="15.875" style="62" customWidth="1"/>
    <col min="11523" max="11523" width="11.625" style="62" customWidth="1"/>
    <col min="11524" max="11776" width="9" style="62"/>
    <col min="11777" max="11777" width="5.25" style="62" customWidth="1"/>
    <col min="11778" max="11778" width="15.875" style="62" customWidth="1"/>
    <col min="11779" max="11779" width="11.625" style="62" customWidth="1"/>
    <col min="11780" max="12032" width="9" style="62"/>
    <col min="12033" max="12033" width="5.25" style="62" customWidth="1"/>
    <col min="12034" max="12034" width="15.875" style="62" customWidth="1"/>
    <col min="12035" max="12035" width="11.625" style="62" customWidth="1"/>
    <col min="12036" max="12288" width="9" style="62"/>
    <col min="12289" max="12289" width="5.25" style="62" customWidth="1"/>
    <col min="12290" max="12290" width="15.875" style="62" customWidth="1"/>
    <col min="12291" max="12291" width="11.625" style="62" customWidth="1"/>
    <col min="12292" max="12544" width="9" style="62"/>
    <col min="12545" max="12545" width="5.25" style="62" customWidth="1"/>
    <col min="12546" max="12546" width="15.875" style="62" customWidth="1"/>
    <col min="12547" max="12547" width="11.625" style="62" customWidth="1"/>
    <col min="12548" max="12800" width="9" style="62"/>
    <col min="12801" max="12801" width="5.25" style="62" customWidth="1"/>
    <col min="12802" max="12802" width="15.875" style="62" customWidth="1"/>
    <col min="12803" max="12803" width="11.625" style="62" customWidth="1"/>
    <col min="12804" max="13056" width="9" style="62"/>
    <col min="13057" max="13057" width="5.25" style="62" customWidth="1"/>
    <col min="13058" max="13058" width="15.875" style="62" customWidth="1"/>
    <col min="13059" max="13059" width="11.625" style="62" customWidth="1"/>
    <col min="13060" max="13312" width="9" style="62"/>
    <col min="13313" max="13313" width="5.25" style="62" customWidth="1"/>
    <col min="13314" max="13314" width="15.875" style="62" customWidth="1"/>
    <col min="13315" max="13315" width="11.625" style="62" customWidth="1"/>
    <col min="13316" max="13568" width="9" style="62"/>
    <col min="13569" max="13569" width="5.25" style="62" customWidth="1"/>
    <col min="13570" max="13570" width="15.875" style="62" customWidth="1"/>
    <col min="13571" max="13571" width="11.625" style="62" customWidth="1"/>
    <col min="13572" max="13824" width="9" style="62"/>
    <col min="13825" max="13825" width="5.25" style="62" customWidth="1"/>
    <col min="13826" max="13826" width="15.875" style="62" customWidth="1"/>
    <col min="13827" max="13827" width="11.625" style="62" customWidth="1"/>
    <col min="13828" max="14080" width="9" style="62"/>
    <col min="14081" max="14081" width="5.25" style="62" customWidth="1"/>
    <col min="14082" max="14082" width="15.875" style="62" customWidth="1"/>
    <col min="14083" max="14083" width="11.625" style="62" customWidth="1"/>
    <col min="14084" max="14336" width="9" style="62"/>
    <col min="14337" max="14337" width="5.25" style="62" customWidth="1"/>
    <col min="14338" max="14338" width="15.875" style="62" customWidth="1"/>
    <col min="14339" max="14339" width="11.625" style="62" customWidth="1"/>
    <col min="14340" max="14592" width="9" style="62"/>
    <col min="14593" max="14593" width="5.25" style="62" customWidth="1"/>
    <col min="14594" max="14594" width="15.875" style="62" customWidth="1"/>
    <col min="14595" max="14595" width="11.625" style="62" customWidth="1"/>
    <col min="14596" max="14848" width="9" style="62"/>
    <col min="14849" max="14849" width="5.25" style="62" customWidth="1"/>
    <col min="14850" max="14850" width="15.875" style="62" customWidth="1"/>
    <col min="14851" max="14851" width="11.625" style="62" customWidth="1"/>
    <col min="14852" max="15104" width="9" style="62"/>
    <col min="15105" max="15105" width="5.25" style="62" customWidth="1"/>
    <col min="15106" max="15106" width="15.875" style="62" customWidth="1"/>
    <col min="15107" max="15107" width="11.625" style="62" customWidth="1"/>
    <col min="15108" max="15360" width="9" style="62"/>
    <col min="15361" max="15361" width="5.25" style="62" customWidth="1"/>
    <col min="15362" max="15362" width="15.875" style="62" customWidth="1"/>
    <col min="15363" max="15363" width="11.625" style="62" customWidth="1"/>
    <col min="15364" max="15616" width="9" style="62"/>
    <col min="15617" max="15617" width="5.25" style="62" customWidth="1"/>
    <col min="15618" max="15618" width="15.875" style="62" customWidth="1"/>
    <col min="15619" max="15619" width="11.625" style="62" customWidth="1"/>
    <col min="15620" max="15872" width="9" style="62"/>
    <col min="15873" max="15873" width="5.25" style="62" customWidth="1"/>
    <col min="15874" max="15874" width="15.875" style="62" customWidth="1"/>
    <col min="15875" max="15875" width="11.625" style="62" customWidth="1"/>
    <col min="15876" max="16128" width="9" style="62"/>
    <col min="16129" max="16129" width="5.25" style="62" customWidth="1"/>
    <col min="16130" max="16130" width="15.875" style="62" customWidth="1"/>
    <col min="16131" max="16131" width="11.625" style="62" customWidth="1"/>
    <col min="16132" max="16384" width="9" style="62"/>
  </cols>
  <sheetData>
    <row r="1" spans="2:17" ht="39" customHeight="1">
      <c r="B1" s="61" t="s">
        <v>225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2:17" ht="33">
      <c r="B2" s="63" t="s">
        <v>226</v>
      </c>
      <c r="C2" s="64"/>
      <c r="D2" s="65" t="s">
        <v>199</v>
      </c>
      <c r="E2" s="65" t="s">
        <v>200</v>
      </c>
      <c r="F2" s="65" t="s">
        <v>201</v>
      </c>
      <c r="G2" s="65" t="s">
        <v>202</v>
      </c>
      <c r="H2" s="65" t="s">
        <v>203</v>
      </c>
      <c r="I2" s="65" t="s">
        <v>204</v>
      </c>
      <c r="J2" s="65" t="s">
        <v>205</v>
      </c>
      <c r="K2" s="65" t="s">
        <v>206</v>
      </c>
      <c r="L2" s="65" t="s">
        <v>207</v>
      </c>
      <c r="M2" s="65" t="s">
        <v>208</v>
      </c>
      <c r="N2" s="65" t="s">
        <v>209</v>
      </c>
      <c r="O2" s="65" t="s">
        <v>210</v>
      </c>
      <c r="P2" s="66" t="s">
        <v>227</v>
      </c>
    </row>
    <row r="3" spans="2:17" ht="20.100000000000001" customHeight="1">
      <c r="B3" s="67" t="s">
        <v>228</v>
      </c>
      <c r="C3" s="68" t="s">
        <v>229</v>
      </c>
      <c r="D3" s="69">
        <f>4.985/1.13</f>
        <v>4.4115044247787614</v>
      </c>
      <c r="E3" s="69">
        <f t="shared" ref="E3:O3" si="0">4.985/1.13</f>
        <v>4.4115044247787614</v>
      </c>
      <c r="F3" s="69">
        <f t="shared" si="0"/>
        <v>4.4115044247787614</v>
      </c>
      <c r="G3" s="69">
        <f t="shared" si="0"/>
        <v>4.4115044247787614</v>
      </c>
      <c r="H3" s="69">
        <f t="shared" si="0"/>
        <v>4.4115044247787614</v>
      </c>
      <c r="I3" s="69">
        <f t="shared" si="0"/>
        <v>4.4115044247787614</v>
      </c>
      <c r="J3" s="69">
        <f t="shared" si="0"/>
        <v>4.4115044247787614</v>
      </c>
      <c r="K3" s="69">
        <f t="shared" si="0"/>
        <v>4.4115044247787614</v>
      </c>
      <c r="L3" s="69">
        <f t="shared" si="0"/>
        <v>4.4115044247787614</v>
      </c>
      <c r="M3" s="69">
        <f t="shared" si="0"/>
        <v>4.4115044247787614</v>
      </c>
      <c r="N3" s="69">
        <f t="shared" si="0"/>
        <v>4.4115044247787614</v>
      </c>
      <c r="O3" s="69">
        <f t="shared" si="0"/>
        <v>4.4115044247787614</v>
      </c>
      <c r="P3" s="70">
        <f t="shared" ref="P3:P8" si="1">AVERAGE(D3:O3)</f>
        <v>4.4115044247787614</v>
      </c>
    </row>
    <row r="4" spans="2:17" s="71" customFormat="1" ht="20.100000000000001" customHeight="1">
      <c r="B4" s="67" t="s">
        <v>228</v>
      </c>
      <c r="C4" s="68" t="s">
        <v>230</v>
      </c>
      <c r="D4" s="70">
        <f>6.5/1.13</f>
        <v>5.7522123893805315</v>
      </c>
      <c r="E4" s="70">
        <f>5.95/1.13</f>
        <v>5.2654867256637177</v>
      </c>
      <c r="F4" s="70">
        <f>6.65/1.13</f>
        <v>5.8849557522123899</v>
      </c>
      <c r="G4" s="70">
        <f>6.46/1.13</f>
        <v>5.7168141592920358</v>
      </c>
      <c r="H4" s="70">
        <f>6.63/1.13</f>
        <v>5.8672566371681416</v>
      </c>
      <c r="I4" s="70">
        <f>6.36/1.13</f>
        <v>5.6283185840707972</v>
      </c>
      <c r="J4" s="70"/>
      <c r="K4" s="70"/>
      <c r="L4" s="70"/>
      <c r="M4" s="70"/>
      <c r="N4" s="70"/>
      <c r="O4" s="70"/>
      <c r="P4" s="70">
        <f t="shared" si="1"/>
        <v>5.6858407079646014</v>
      </c>
    </row>
    <row r="5" spans="2:17" s="71" customFormat="1" ht="20.100000000000001" customHeight="1">
      <c r="B5" s="67" t="s">
        <v>231</v>
      </c>
      <c r="C5" s="68" t="s">
        <v>229</v>
      </c>
      <c r="D5" s="70">
        <f>5.15/1.13</f>
        <v>4.557522123893806</v>
      </c>
      <c r="E5" s="70">
        <f t="shared" ref="E5:O5" si="2">5.15/1.13</f>
        <v>4.557522123893806</v>
      </c>
      <c r="F5" s="70">
        <f t="shared" si="2"/>
        <v>4.557522123893806</v>
      </c>
      <c r="G5" s="70">
        <f t="shared" si="2"/>
        <v>4.557522123893806</v>
      </c>
      <c r="H5" s="70">
        <f t="shared" si="2"/>
        <v>4.557522123893806</v>
      </c>
      <c r="I5" s="70">
        <f t="shared" si="2"/>
        <v>4.557522123893806</v>
      </c>
      <c r="J5" s="70">
        <f t="shared" si="2"/>
        <v>4.557522123893806</v>
      </c>
      <c r="K5" s="70">
        <f t="shared" si="2"/>
        <v>4.557522123893806</v>
      </c>
      <c r="L5" s="70">
        <f t="shared" si="2"/>
        <v>4.557522123893806</v>
      </c>
      <c r="M5" s="70">
        <f t="shared" si="2"/>
        <v>4.557522123893806</v>
      </c>
      <c r="N5" s="70">
        <f t="shared" si="2"/>
        <v>4.557522123893806</v>
      </c>
      <c r="O5" s="70">
        <f t="shared" si="2"/>
        <v>4.557522123893806</v>
      </c>
      <c r="P5" s="70">
        <f t="shared" si="1"/>
        <v>4.5575221238938051</v>
      </c>
    </row>
    <row r="6" spans="2:17" s="71" customFormat="1" ht="20.100000000000001" customHeight="1">
      <c r="B6" s="67" t="s">
        <v>231</v>
      </c>
      <c r="C6" s="68" t="s">
        <v>230</v>
      </c>
      <c r="D6" s="70">
        <f>5.55/1.13</f>
        <v>4.9115044247787614</v>
      </c>
      <c r="E6" s="70">
        <f>5.55/1.13</f>
        <v>4.9115044247787614</v>
      </c>
      <c r="F6" s="70">
        <f>5.85/1.13</f>
        <v>5.1769911504424782</v>
      </c>
      <c r="G6" s="70">
        <f>6.46/1.13</f>
        <v>5.7168141592920358</v>
      </c>
      <c r="H6" s="70">
        <f>6.63/1.13</f>
        <v>5.8672566371681416</v>
      </c>
      <c r="I6" s="70">
        <f>6.36/1.13</f>
        <v>5.6283185840707972</v>
      </c>
      <c r="J6" s="70"/>
      <c r="K6" s="70"/>
      <c r="L6" s="70"/>
      <c r="M6" s="70"/>
      <c r="N6" s="70"/>
      <c r="O6" s="70"/>
      <c r="P6" s="70">
        <f t="shared" si="1"/>
        <v>5.3687315634218287</v>
      </c>
      <c r="Q6" s="73">
        <f>P6-P5</f>
        <v>0.8112094395280236</v>
      </c>
    </row>
    <row r="7" spans="2:17" s="71" customFormat="1" ht="20.100000000000001" customHeight="1">
      <c r="B7" s="67" t="s">
        <v>232</v>
      </c>
      <c r="C7" s="68" t="s">
        <v>229</v>
      </c>
      <c r="D7" s="70">
        <f>5.4/1.13</f>
        <v>4.778761061946903</v>
      </c>
      <c r="E7" s="70">
        <f t="shared" ref="E7:O7" si="3">5.4/1.13</f>
        <v>4.778761061946903</v>
      </c>
      <c r="F7" s="70">
        <f t="shared" si="3"/>
        <v>4.778761061946903</v>
      </c>
      <c r="G7" s="70">
        <f t="shared" si="3"/>
        <v>4.778761061946903</v>
      </c>
      <c r="H7" s="70">
        <f t="shared" si="3"/>
        <v>4.778761061946903</v>
      </c>
      <c r="I7" s="70">
        <f t="shared" si="3"/>
        <v>4.778761061946903</v>
      </c>
      <c r="J7" s="70">
        <f t="shared" si="3"/>
        <v>4.778761061946903</v>
      </c>
      <c r="K7" s="70">
        <f t="shared" si="3"/>
        <v>4.778761061946903</v>
      </c>
      <c r="L7" s="70">
        <f t="shared" si="3"/>
        <v>4.778761061946903</v>
      </c>
      <c r="M7" s="70">
        <f t="shared" si="3"/>
        <v>4.778761061946903</v>
      </c>
      <c r="N7" s="70">
        <f t="shared" si="3"/>
        <v>4.778761061946903</v>
      </c>
      <c r="O7" s="70">
        <f t="shared" si="3"/>
        <v>4.778761061946903</v>
      </c>
      <c r="P7" s="70">
        <f t="shared" si="1"/>
        <v>4.778761061946903</v>
      </c>
    </row>
    <row r="8" spans="2:17" s="71" customFormat="1" ht="20.100000000000001" customHeight="1">
      <c r="B8" s="67" t="s">
        <v>232</v>
      </c>
      <c r="C8" s="68" t="s">
        <v>230</v>
      </c>
      <c r="D8" s="70">
        <f>5.65/1.13</f>
        <v>5.0000000000000009</v>
      </c>
      <c r="E8" s="70">
        <f>5.55/1.13</f>
        <v>4.9115044247787614</v>
      </c>
      <c r="F8" s="70">
        <f>5.85/1.13</f>
        <v>5.1769911504424782</v>
      </c>
      <c r="G8" s="70">
        <f>6.46/1.13</f>
        <v>5.7168141592920358</v>
      </c>
      <c r="H8" s="70">
        <f>7.35/1.13</f>
        <v>6.5044247787610621</v>
      </c>
      <c r="I8" s="70">
        <f>7.55/1.13</f>
        <v>6.6814159292035402</v>
      </c>
      <c r="J8" s="70"/>
      <c r="K8" s="70"/>
      <c r="L8" s="70"/>
      <c r="M8" s="70"/>
      <c r="N8" s="70"/>
      <c r="O8" s="70"/>
      <c r="P8" s="70">
        <f t="shared" si="1"/>
        <v>5.6651917404129799</v>
      </c>
      <c r="Q8" s="73">
        <f>P8-P7</f>
        <v>0.88643067846607693</v>
      </c>
    </row>
    <row r="34" spans="2:16" ht="20.25">
      <c r="B34" s="61" t="s">
        <v>225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2:16" ht="33">
      <c r="B35" s="63" t="s">
        <v>226</v>
      </c>
      <c r="C35" s="64"/>
      <c r="D35" s="65" t="s">
        <v>199</v>
      </c>
      <c r="E35" s="65" t="s">
        <v>200</v>
      </c>
      <c r="F35" s="65" t="s">
        <v>201</v>
      </c>
      <c r="G35" s="65" t="s">
        <v>202</v>
      </c>
      <c r="H35" s="65" t="s">
        <v>203</v>
      </c>
      <c r="I35" s="65" t="s">
        <v>204</v>
      </c>
      <c r="J35" s="65" t="s">
        <v>205</v>
      </c>
      <c r="K35" s="65" t="s">
        <v>206</v>
      </c>
      <c r="L35" s="65" t="s">
        <v>207</v>
      </c>
      <c r="M35" s="65" t="s">
        <v>208</v>
      </c>
      <c r="N35" s="65" t="s">
        <v>209</v>
      </c>
      <c r="O35" s="65" t="s">
        <v>210</v>
      </c>
      <c r="P35" s="66" t="s">
        <v>227</v>
      </c>
    </row>
    <row r="36" spans="2:16" ht="21" customHeight="1">
      <c r="B36" s="72" t="s">
        <v>233</v>
      </c>
      <c r="C36" s="68" t="s">
        <v>229</v>
      </c>
      <c r="D36" s="69">
        <f>5.7/1.13</f>
        <v>5.0442477876106198</v>
      </c>
      <c r="E36" s="69">
        <f t="shared" ref="E36:O36" si="4">4.985/1.13</f>
        <v>4.4115044247787614</v>
      </c>
      <c r="F36" s="69">
        <f t="shared" si="4"/>
        <v>4.4115044247787614</v>
      </c>
      <c r="G36" s="69">
        <f t="shared" si="4"/>
        <v>4.4115044247787614</v>
      </c>
      <c r="H36" s="69">
        <f t="shared" si="4"/>
        <v>4.4115044247787614</v>
      </c>
      <c r="I36" s="69">
        <f t="shared" si="4"/>
        <v>4.4115044247787614</v>
      </c>
      <c r="J36" s="69">
        <f t="shared" si="4"/>
        <v>4.4115044247787614</v>
      </c>
      <c r="K36" s="69">
        <f t="shared" si="4"/>
        <v>4.4115044247787614</v>
      </c>
      <c r="L36" s="69">
        <f t="shared" si="4"/>
        <v>4.4115044247787614</v>
      </c>
      <c r="M36" s="69">
        <f t="shared" si="4"/>
        <v>4.4115044247787614</v>
      </c>
      <c r="N36" s="69">
        <f t="shared" si="4"/>
        <v>4.4115044247787614</v>
      </c>
      <c r="O36" s="69">
        <f t="shared" si="4"/>
        <v>4.4115044247787614</v>
      </c>
      <c r="P36" s="70">
        <f>AVERAGE(D36:O36)</f>
        <v>4.464233038348083</v>
      </c>
    </row>
    <row r="37" spans="2:16" ht="21" customHeight="1">
      <c r="B37" s="72" t="s">
        <v>233</v>
      </c>
      <c r="C37" s="68" t="s">
        <v>230</v>
      </c>
      <c r="D37" s="70">
        <f>6.7/1.13</f>
        <v>5.9292035398230096</v>
      </c>
      <c r="E37" s="70">
        <f>6.7/1.13</f>
        <v>5.9292035398230096</v>
      </c>
      <c r="F37" s="70"/>
      <c r="G37" s="70"/>
      <c r="H37" s="70"/>
      <c r="I37" s="70">
        <f>7.65/1.13</f>
        <v>6.7699115044247797</v>
      </c>
      <c r="J37" s="70"/>
      <c r="K37" s="70"/>
      <c r="L37" s="70"/>
      <c r="M37" s="70"/>
      <c r="N37" s="70"/>
      <c r="O37" s="70"/>
      <c r="P37" s="70">
        <f>AVERAGE(D37:O37)</f>
        <v>6.2094395280235988</v>
      </c>
    </row>
    <row r="38" spans="2:16" ht="21" customHeight="1">
      <c r="B38" s="67" t="s">
        <v>234</v>
      </c>
      <c r="C38" s="68" t="s">
        <v>229</v>
      </c>
      <c r="D38" s="70">
        <f>6.4/1.13</f>
        <v>5.6637168141592928</v>
      </c>
      <c r="E38" s="70">
        <f t="shared" ref="E38:O38" si="5">5.15/1.13</f>
        <v>4.557522123893806</v>
      </c>
      <c r="F38" s="70">
        <f t="shared" si="5"/>
        <v>4.557522123893806</v>
      </c>
      <c r="G38" s="70">
        <f t="shared" si="5"/>
        <v>4.557522123893806</v>
      </c>
      <c r="H38" s="70">
        <f t="shared" si="5"/>
        <v>4.557522123893806</v>
      </c>
      <c r="I38" s="70">
        <f t="shared" si="5"/>
        <v>4.557522123893806</v>
      </c>
      <c r="J38" s="70">
        <f t="shared" si="5"/>
        <v>4.557522123893806</v>
      </c>
      <c r="K38" s="70">
        <f t="shared" si="5"/>
        <v>4.557522123893806</v>
      </c>
      <c r="L38" s="70">
        <f t="shared" si="5"/>
        <v>4.557522123893806</v>
      </c>
      <c r="M38" s="70">
        <f t="shared" si="5"/>
        <v>4.557522123893806</v>
      </c>
      <c r="N38" s="70">
        <f t="shared" si="5"/>
        <v>4.557522123893806</v>
      </c>
      <c r="O38" s="70">
        <f t="shared" si="5"/>
        <v>4.557522123893806</v>
      </c>
      <c r="P38" s="70">
        <f>AVERAGE(D38:O38)</f>
        <v>4.6497050147492622</v>
      </c>
    </row>
    <row r="39" spans="2:16" ht="21" customHeight="1">
      <c r="B39" s="67" t="s">
        <v>234</v>
      </c>
      <c r="C39" s="68" t="s">
        <v>230</v>
      </c>
      <c r="D39" s="70">
        <f>7.15/1.13</f>
        <v>6.3274336283185848</v>
      </c>
      <c r="E39" s="70">
        <f>7.15/1.13</f>
        <v>6.3274336283185848</v>
      </c>
      <c r="F39" s="70"/>
      <c r="G39" s="70">
        <f>7.15/1.13</f>
        <v>6.3274336283185848</v>
      </c>
      <c r="H39" s="70">
        <f>7.3/1.13</f>
        <v>6.4601769911504432</v>
      </c>
      <c r="I39" s="70">
        <f>7.6/1.13</f>
        <v>6.72566371681416</v>
      </c>
      <c r="J39" s="70"/>
      <c r="K39" s="70"/>
      <c r="L39" s="70"/>
      <c r="M39" s="70"/>
      <c r="N39" s="70"/>
      <c r="O39" s="70"/>
      <c r="P39" s="70">
        <f>AVERAGE(D39:O39)</f>
        <v>6.4336283185840717</v>
      </c>
    </row>
  </sheetData>
  <mergeCells count="4">
    <mergeCell ref="B1:P1"/>
    <mergeCell ref="B2:C2"/>
    <mergeCell ref="B34:P34"/>
    <mergeCell ref="B35:C35"/>
  </mergeCells>
  <phoneticPr fontId="8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初步复核</vt:lpstr>
      <vt:lpstr>北京网站价格统计</vt:lpstr>
      <vt:lpstr>黄骅钢管采购价格趋势图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dcterms:created xsi:type="dcterms:W3CDTF">2021-11-23T00:33:00Z</dcterms:created>
  <dcterms:modified xsi:type="dcterms:W3CDTF">2021-12-07T08:09:07Z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