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M4中期改款\"/>
    </mc:Choice>
  </mc:AlternateContent>
  <bookViews>
    <workbookView xWindow="0" yWindow="180" windowWidth="18525" windowHeight="651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'2022年'!$A$1:$I$48</definedName>
    <definedName name="_xlnm.Print_Area" localSheetId="4">'2023年'!$A$1:$I$48</definedName>
    <definedName name="_xlnm.Print_Area" localSheetId="5">'2024年'!$A$1:$I$48</definedName>
    <definedName name="_xlnm.Print_Area" localSheetId="6">'2025年'!$A$1:$I$48</definedName>
    <definedName name="_xlnm.Print_Area" localSheetId="7">'2026年'!$A$1:$I$48</definedName>
    <definedName name="_xlnm.Print_Area" localSheetId="1">损益表!$A$1:$H$61</definedName>
    <definedName name="_xlnm.Print_Area" localSheetId="8">项目投资!$A$1:$C$35</definedName>
  </definedNames>
  <calcPr calcId="162913" concurrentCalc="0"/>
</workbook>
</file>

<file path=xl/calcChain.xml><?xml version="1.0" encoding="utf-8"?>
<calcChain xmlns="http://schemas.openxmlformats.org/spreadsheetml/2006/main">
  <c r="H31" i="2" l="1"/>
  <c r="F20" i="58"/>
  <c r="G20" i="58"/>
  <c r="H20" i="58"/>
  <c r="D27" i="51"/>
  <c r="D26" i="51"/>
  <c r="E10" i="50"/>
  <c r="C38" i="43"/>
  <c r="C13" i="43"/>
  <c r="C14" i="43"/>
  <c r="C15" i="43"/>
  <c r="E24" i="50"/>
  <c r="D38" i="43"/>
  <c r="D13" i="43"/>
  <c r="D14" i="43"/>
  <c r="D15" i="43"/>
  <c r="E38" i="50"/>
  <c r="E38" i="43"/>
  <c r="E13" i="43"/>
  <c r="E14" i="43"/>
  <c r="E15" i="43"/>
  <c r="E51" i="50"/>
  <c r="F38" i="43"/>
  <c r="F13" i="43"/>
  <c r="F14" i="43"/>
  <c r="F15" i="43"/>
  <c r="E64" i="50"/>
  <c r="G38" i="43"/>
  <c r="G13" i="43"/>
  <c r="G14" i="43"/>
  <c r="G15" i="43"/>
  <c r="E77" i="50"/>
  <c r="H38" i="43"/>
  <c r="H13" i="43"/>
  <c r="H14" i="43"/>
  <c r="H15" i="43"/>
  <c r="I15" i="43"/>
  <c r="I16" i="43"/>
  <c r="C13" i="2"/>
  <c r="I18" i="43"/>
  <c r="C18" i="43"/>
  <c r="C17" i="43"/>
  <c r="D18" i="43"/>
  <c r="D17" i="43"/>
  <c r="E18" i="43"/>
  <c r="E17" i="43"/>
  <c r="F18" i="43"/>
  <c r="F17" i="43"/>
  <c r="G18" i="43"/>
  <c r="G17" i="43"/>
  <c r="H18" i="43"/>
  <c r="H17" i="43"/>
  <c r="I17" i="43"/>
  <c r="C14" i="2"/>
  <c r="E6" i="53"/>
  <c r="F6" i="53"/>
  <c r="D6" i="53"/>
  <c r="E8" i="55"/>
  <c r="D8" i="55"/>
  <c r="C8" i="55"/>
  <c r="D6" i="59"/>
  <c r="E6" i="59"/>
  <c r="F6" i="59"/>
  <c r="F12" i="59"/>
  <c r="G6" i="59"/>
  <c r="G22" i="59"/>
  <c r="H6" i="59"/>
  <c r="C6" i="59"/>
  <c r="I8" i="43"/>
  <c r="I70" i="50"/>
  <c r="E76" i="50"/>
  <c r="I44" i="50"/>
  <c r="E50" i="50"/>
  <c r="I31" i="50"/>
  <c r="E37" i="50"/>
  <c r="I17" i="50"/>
  <c r="E23" i="50"/>
  <c r="E71" i="50"/>
  <c r="H36" i="43"/>
  <c r="E52" i="50"/>
  <c r="F47" i="43"/>
  <c r="E47" i="50"/>
  <c r="F37" i="43"/>
  <c r="E18" i="50"/>
  <c r="D36" i="43"/>
  <c r="E74" i="50"/>
  <c r="H75" i="50"/>
  <c r="E75" i="50"/>
  <c r="I74" i="50"/>
  <c r="H74" i="50"/>
  <c r="I57" i="50"/>
  <c r="E65" i="50"/>
  <c r="G47" i="43"/>
  <c r="H62" i="50"/>
  <c r="E62" i="50"/>
  <c r="I61" i="50"/>
  <c r="H61" i="50"/>
  <c r="H49" i="50"/>
  <c r="E49" i="50"/>
  <c r="I48" i="50"/>
  <c r="H48" i="50"/>
  <c r="E33" i="50"/>
  <c r="H36" i="50"/>
  <c r="E36" i="50"/>
  <c r="I35" i="50"/>
  <c r="H35" i="50"/>
  <c r="E22" i="50"/>
  <c r="H22" i="50"/>
  <c r="I21" i="50"/>
  <c r="H21" i="50"/>
  <c r="I3" i="50"/>
  <c r="E4" i="50"/>
  <c r="D3" i="59"/>
  <c r="E3" i="59"/>
  <c r="F3" i="59"/>
  <c r="G3" i="59"/>
  <c r="H3" i="59"/>
  <c r="D4" i="59"/>
  <c r="E4" i="59"/>
  <c r="F4" i="59"/>
  <c r="G4" i="59"/>
  <c r="H4" i="59"/>
  <c r="D7" i="59"/>
  <c r="E13" i="59"/>
  <c r="H7" i="59"/>
  <c r="E7" i="59"/>
  <c r="D31" i="59"/>
  <c r="E31" i="59"/>
  <c r="F31" i="59"/>
  <c r="G31" i="59"/>
  <c r="H31" i="59"/>
  <c r="D33" i="59"/>
  <c r="E33" i="59"/>
  <c r="F33" i="59"/>
  <c r="G33" i="59"/>
  <c r="H33" i="59"/>
  <c r="D3" i="58"/>
  <c r="E3" i="58"/>
  <c r="F3" i="58"/>
  <c r="G3" i="58"/>
  <c r="H3" i="58"/>
  <c r="D4" i="58"/>
  <c r="E4" i="58"/>
  <c r="F4" i="58"/>
  <c r="G4" i="58"/>
  <c r="H4" i="58"/>
  <c r="D6" i="58"/>
  <c r="D12" i="58"/>
  <c r="E6" i="58"/>
  <c r="F6" i="58"/>
  <c r="F19" i="58"/>
  <c r="G6" i="58"/>
  <c r="G13" i="58"/>
  <c r="H6" i="58"/>
  <c r="D31" i="58"/>
  <c r="E31" i="58"/>
  <c r="F31" i="58"/>
  <c r="G31" i="58"/>
  <c r="H31" i="58"/>
  <c r="F33" i="58"/>
  <c r="G33" i="58"/>
  <c r="H33" i="58"/>
  <c r="D3" i="57"/>
  <c r="E3" i="57"/>
  <c r="F3" i="57"/>
  <c r="G3" i="57"/>
  <c r="H3" i="57"/>
  <c r="D4" i="57"/>
  <c r="E4" i="57"/>
  <c r="F4" i="57"/>
  <c r="G4" i="57"/>
  <c r="H4" i="57"/>
  <c r="D6" i="57"/>
  <c r="D7" i="57"/>
  <c r="E6" i="57"/>
  <c r="E13" i="57"/>
  <c r="F6" i="57"/>
  <c r="F12" i="57"/>
  <c r="G6" i="57"/>
  <c r="G22" i="57"/>
  <c r="H6" i="57"/>
  <c r="E7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D13" i="56"/>
  <c r="E6" i="56"/>
  <c r="E7" i="56"/>
  <c r="F6" i="56"/>
  <c r="F11" i="56"/>
  <c r="G6" i="56"/>
  <c r="H6" i="56"/>
  <c r="H13" i="56"/>
  <c r="I33" i="53"/>
  <c r="E46" i="53"/>
  <c r="I4" i="53"/>
  <c r="I5" i="53"/>
  <c r="E4" i="53"/>
  <c r="F4" i="53"/>
  <c r="G4" i="53"/>
  <c r="H4" i="53"/>
  <c r="E5" i="53"/>
  <c r="F5" i="53"/>
  <c r="G5" i="53"/>
  <c r="H5" i="53"/>
  <c r="D5" i="53"/>
  <c r="D4" i="53"/>
  <c r="H33" i="43"/>
  <c r="F46" i="53"/>
  <c r="E32" i="50"/>
  <c r="E36" i="43"/>
  <c r="I6" i="59"/>
  <c r="F11" i="57"/>
  <c r="E34" i="50"/>
  <c r="E37" i="43"/>
  <c r="E39" i="50"/>
  <c r="E47" i="43"/>
  <c r="E20" i="50"/>
  <c r="D37" i="43"/>
  <c r="E25" i="50"/>
  <c r="D47" i="43"/>
  <c r="E48" i="50"/>
  <c r="E58" i="50"/>
  <c r="G36" i="43"/>
  <c r="E73" i="50"/>
  <c r="H37" i="43"/>
  <c r="E78" i="50"/>
  <c r="H47" i="43"/>
  <c r="E5" i="50"/>
  <c r="E19" i="50"/>
  <c r="E46" i="50"/>
  <c r="E59" i="50"/>
  <c r="E72" i="50"/>
  <c r="E61" i="50"/>
  <c r="E9" i="50"/>
  <c r="E63" i="50"/>
  <c r="F7" i="57"/>
  <c r="E7" i="58"/>
  <c r="E35" i="50"/>
  <c r="E21" i="50"/>
  <c r="E45" i="50"/>
  <c r="F36" i="43"/>
  <c r="E60" i="50"/>
  <c r="G37" i="43"/>
  <c r="F11" i="59"/>
  <c r="D22" i="58"/>
  <c r="H22" i="58"/>
  <c r="E22" i="59"/>
  <c r="H22" i="59"/>
  <c r="D22" i="59"/>
  <c r="H12" i="59"/>
  <c r="D12" i="59"/>
  <c r="E11" i="59"/>
  <c r="F22" i="57"/>
  <c r="G22" i="56"/>
  <c r="F19" i="57"/>
  <c r="E19" i="59"/>
  <c r="G12" i="56"/>
  <c r="E11" i="57"/>
  <c r="H22" i="56"/>
  <c r="H19" i="57"/>
  <c r="D19" i="57"/>
  <c r="H11" i="57"/>
  <c r="D11" i="57"/>
  <c r="G19" i="58"/>
  <c r="G7" i="58"/>
  <c r="D13" i="57"/>
  <c r="G11" i="58"/>
  <c r="G7" i="56"/>
  <c r="H7" i="56"/>
  <c r="G22" i="58"/>
  <c r="H12" i="56"/>
  <c r="E12" i="57"/>
  <c r="F13" i="58"/>
  <c r="D22" i="56"/>
  <c r="H7" i="57"/>
  <c r="G13" i="56"/>
  <c r="D12" i="56"/>
  <c r="D7" i="56"/>
  <c r="H10" i="56"/>
  <c r="E22" i="57"/>
  <c r="E19" i="57"/>
  <c r="E13" i="58"/>
  <c r="F13" i="56"/>
  <c r="H13" i="59"/>
  <c r="D13" i="59"/>
  <c r="H19" i="59"/>
  <c r="D19" i="59"/>
  <c r="H11" i="59"/>
  <c r="D11" i="59"/>
  <c r="F19" i="59"/>
  <c r="F22" i="59"/>
  <c r="E12" i="59"/>
  <c r="F7" i="59"/>
  <c r="E19" i="56"/>
  <c r="F7" i="58"/>
  <c r="D19" i="56"/>
  <c r="F12" i="58"/>
  <c r="H11" i="56"/>
  <c r="D11" i="56"/>
  <c r="F22" i="56"/>
  <c r="G19" i="56"/>
  <c r="H13" i="57"/>
  <c r="E22" i="58"/>
  <c r="E12" i="58"/>
  <c r="F11" i="58"/>
  <c r="E13" i="56"/>
  <c r="F12" i="56"/>
  <c r="G11" i="56"/>
  <c r="F7" i="56"/>
  <c r="E11" i="56"/>
  <c r="H19" i="56"/>
  <c r="F22" i="58"/>
  <c r="E22" i="56"/>
  <c r="F19" i="56"/>
  <c r="H22" i="57"/>
  <c r="D22" i="57"/>
  <c r="H12" i="57"/>
  <c r="D12" i="57"/>
  <c r="E19" i="58"/>
  <c r="E11" i="58"/>
  <c r="E12" i="56"/>
  <c r="H12" i="58"/>
  <c r="G7" i="59"/>
  <c r="G11" i="59"/>
  <c r="G19" i="59"/>
  <c r="G12" i="59"/>
  <c r="G13" i="59"/>
  <c r="F13" i="59"/>
  <c r="F14" i="59"/>
  <c r="D13" i="58"/>
  <c r="H19" i="58"/>
  <c r="D19" i="58"/>
  <c r="G12" i="58"/>
  <c r="H11" i="58"/>
  <c r="D11" i="58"/>
  <c r="H7" i="58"/>
  <c r="D7" i="58"/>
  <c r="H13" i="58"/>
  <c r="G7" i="57"/>
  <c r="G11" i="57"/>
  <c r="G19" i="57"/>
  <c r="G12" i="57"/>
  <c r="G13" i="57"/>
  <c r="F13" i="57"/>
  <c r="G46" i="53"/>
  <c r="H33" i="56"/>
  <c r="F14" i="57"/>
  <c r="E14" i="58"/>
  <c r="D14" i="59"/>
  <c r="H14" i="59"/>
  <c r="E14" i="59"/>
  <c r="F14" i="58"/>
  <c r="E14" i="57"/>
  <c r="D14" i="57"/>
  <c r="H14" i="56"/>
  <c r="H14" i="57"/>
  <c r="G14" i="58"/>
  <c r="G14" i="56"/>
  <c r="F14" i="56"/>
  <c r="E14" i="56"/>
  <c r="D14" i="56"/>
  <c r="D14" i="58"/>
  <c r="H14" i="58"/>
  <c r="G14" i="59"/>
  <c r="G14" i="57"/>
  <c r="H46" i="53"/>
  <c r="H33" i="57"/>
  <c r="H10" i="57"/>
  <c r="I46" i="53"/>
  <c r="J46" i="53"/>
  <c r="H10" i="59"/>
  <c r="H10" i="58"/>
  <c r="D31" i="43"/>
  <c r="E31" i="43"/>
  <c r="E32" i="43"/>
  <c r="F31" i="43"/>
  <c r="F32" i="43"/>
  <c r="F45" i="43"/>
  <c r="G31" i="43"/>
  <c r="H31" i="43"/>
  <c r="D32" i="43"/>
  <c r="D45" i="43"/>
  <c r="G32" i="43"/>
  <c r="H32" i="43"/>
  <c r="H45" i="43"/>
  <c r="G45" i="43"/>
  <c r="D6" i="43"/>
  <c r="E6" i="43"/>
  <c r="F6" i="43"/>
  <c r="G6" i="43"/>
  <c r="H6" i="43"/>
  <c r="H10" i="43"/>
  <c r="E3" i="43"/>
  <c r="F3" i="43"/>
  <c r="G3" i="43"/>
  <c r="H3" i="43"/>
  <c r="E4" i="43"/>
  <c r="F4" i="43"/>
  <c r="G4" i="43"/>
  <c r="H4" i="43"/>
  <c r="D4" i="43"/>
  <c r="D3" i="43"/>
  <c r="K7" i="55"/>
  <c r="K8" i="55"/>
  <c r="I10" i="55"/>
  <c r="I11" i="55"/>
  <c r="I12" i="55"/>
  <c r="I13" i="55"/>
  <c r="I14" i="55"/>
  <c r="C15" i="55"/>
  <c r="D15" i="55"/>
  <c r="E15" i="55"/>
  <c r="F15" i="55"/>
  <c r="G15" i="55"/>
  <c r="H15" i="55"/>
  <c r="G11" i="43"/>
  <c r="E12" i="43"/>
  <c r="E7" i="43"/>
  <c r="E9" i="43"/>
  <c r="G22" i="43"/>
  <c r="E22" i="43"/>
  <c r="G19" i="43"/>
  <c r="G12" i="43"/>
  <c r="F19" i="43"/>
  <c r="F11" i="43"/>
  <c r="D22" i="43"/>
  <c r="G7" i="43"/>
  <c r="G9" i="43"/>
  <c r="D19" i="43"/>
  <c r="D12" i="43"/>
  <c r="D11" i="43"/>
  <c r="D20" i="43"/>
  <c r="H22" i="43"/>
  <c r="F20" i="43"/>
  <c r="F7" i="43"/>
  <c r="F9" i="43"/>
  <c r="G20" i="43"/>
  <c r="H12" i="43"/>
  <c r="H11" i="43"/>
  <c r="H20" i="43"/>
  <c r="F22" i="43"/>
  <c r="E19" i="43"/>
  <c r="H7" i="43"/>
  <c r="H9" i="43"/>
  <c r="D7" i="43"/>
  <c r="D9" i="43"/>
  <c r="H19" i="43"/>
  <c r="F12" i="43"/>
  <c r="E11" i="43"/>
  <c r="E45" i="43"/>
  <c r="E20" i="43"/>
  <c r="H34" i="43"/>
  <c r="H40" i="43"/>
  <c r="H16" i="43"/>
  <c r="C2" i="59"/>
  <c r="C2" i="58"/>
  <c r="C2" i="57"/>
  <c r="C2" i="56"/>
  <c r="H7" i="50"/>
  <c r="C4" i="59"/>
  <c r="C3" i="59"/>
  <c r="C4" i="58"/>
  <c r="C3" i="58"/>
  <c r="C4" i="57"/>
  <c r="C3" i="57"/>
  <c r="C3" i="56"/>
  <c r="C4" i="56"/>
  <c r="C3" i="43"/>
  <c r="C4" i="43"/>
  <c r="B9" i="51"/>
  <c r="C36" i="43"/>
  <c r="L8" i="55"/>
  <c r="K9" i="55"/>
  <c r="L7" i="55"/>
  <c r="E6" i="50"/>
  <c r="E11" i="50"/>
  <c r="C31" i="59"/>
  <c r="C6" i="58"/>
  <c r="C31" i="58"/>
  <c r="C6" i="57"/>
  <c r="C31" i="57"/>
  <c r="C6" i="56"/>
  <c r="I6" i="56"/>
  <c r="C31" i="56"/>
  <c r="E8" i="56"/>
  <c r="E9" i="56"/>
  <c r="D8" i="56"/>
  <c r="D9" i="56"/>
  <c r="G8" i="56"/>
  <c r="G9" i="56"/>
  <c r="H8" i="56"/>
  <c r="H9" i="56"/>
  <c r="F8" i="56"/>
  <c r="F9" i="56"/>
  <c r="E8" i="57"/>
  <c r="E9" i="57"/>
  <c r="D8" i="57"/>
  <c r="D9" i="57"/>
  <c r="F8" i="57"/>
  <c r="F9" i="57"/>
  <c r="H8" i="57"/>
  <c r="H9" i="57"/>
  <c r="G8" i="57"/>
  <c r="G9" i="57"/>
  <c r="I6" i="57"/>
  <c r="I6" i="58"/>
  <c r="D3" i="2"/>
  <c r="C7" i="56"/>
  <c r="C7" i="57"/>
  <c r="I7" i="57"/>
  <c r="C7" i="58"/>
  <c r="I7" i="58"/>
  <c r="C13" i="59"/>
  <c r="I13" i="59"/>
  <c r="C19" i="59"/>
  <c r="I19" i="59"/>
  <c r="C12" i="59"/>
  <c r="I12" i="59"/>
  <c r="C37" i="43"/>
  <c r="C13" i="57"/>
  <c r="I13" i="57"/>
  <c r="L9" i="55"/>
  <c r="K10" i="55"/>
  <c r="L10" i="55"/>
  <c r="C22" i="59"/>
  <c r="I22" i="59"/>
  <c r="C7" i="59"/>
  <c r="I7" i="59"/>
  <c r="G3" i="2"/>
  <c r="C11" i="58"/>
  <c r="I11" i="58"/>
  <c r="C22" i="57"/>
  <c r="I22" i="57"/>
  <c r="E3" i="2"/>
  <c r="C13" i="56"/>
  <c r="I13" i="56"/>
  <c r="C11" i="56"/>
  <c r="I11" i="56"/>
  <c r="E8" i="59"/>
  <c r="E9" i="59"/>
  <c r="H8" i="59"/>
  <c r="H9" i="59"/>
  <c r="D8" i="59"/>
  <c r="D9" i="59"/>
  <c r="F8" i="59"/>
  <c r="F9" i="59"/>
  <c r="G8" i="59"/>
  <c r="G9" i="59"/>
  <c r="H32" i="57"/>
  <c r="H15" i="57"/>
  <c r="H16" i="57"/>
  <c r="E32" i="57"/>
  <c r="G32" i="56"/>
  <c r="F8" i="58"/>
  <c r="F9" i="58"/>
  <c r="H8" i="58"/>
  <c r="H9" i="58"/>
  <c r="G8" i="58"/>
  <c r="G9" i="58"/>
  <c r="D8" i="58"/>
  <c r="D9" i="58"/>
  <c r="E8" i="58"/>
  <c r="E9" i="58"/>
  <c r="F32" i="57"/>
  <c r="F32" i="56"/>
  <c r="D32" i="56"/>
  <c r="G32" i="57"/>
  <c r="D32" i="57"/>
  <c r="H15" i="56"/>
  <c r="H16" i="56"/>
  <c r="H32" i="56"/>
  <c r="E32" i="56"/>
  <c r="C8" i="56"/>
  <c r="I7" i="56"/>
  <c r="D4" i="2"/>
  <c r="E4" i="2"/>
  <c r="C8" i="57"/>
  <c r="C8" i="58"/>
  <c r="C22" i="58"/>
  <c r="I22" i="58"/>
  <c r="C11" i="57"/>
  <c r="D8" i="2"/>
  <c r="C19" i="58"/>
  <c r="I19" i="58"/>
  <c r="C19" i="57"/>
  <c r="C13" i="58"/>
  <c r="I13" i="58"/>
  <c r="C11" i="59"/>
  <c r="C19" i="56"/>
  <c r="C22" i="56"/>
  <c r="I22" i="56"/>
  <c r="C12" i="57"/>
  <c r="I12" i="57"/>
  <c r="C12" i="58"/>
  <c r="I12" i="58"/>
  <c r="C8" i="59"/>
  <c r="F3" i="2"/>
  <c r="E10" i="2"/>
  <c r="E36" i="2"/>
  <c r="C12" i="56"/>
  <c r="G9" i="2"/>
  <c r="G35" i="2"/>
  <c r="G16" i="2"/>
  <c r="G42" i="2"/>
  <c r="G10" i="2"/>
  <c r="G4" i="2"/>
  <c r="G19" i="2"/>
  <c r="F4" i="2"/>
  <c r="C9" i="56"/>
  <c r="G45" i="57"/>
  <c r="F45" i="56"/>
  <c r="E32" i="58"/>
  <c r="H32" i="58"/>
  <c r="H15" i="58"/>
  <c r="H16" i="58"/>
  <c r="G45" i="56"/>
  <c r="F32" i="59"/>
  <c r="E32" i="59"/>
  <c r="I8" i="59"/>
  <c r="G5" i="2"/>
  <c r="I8" i="58"/>
  <c r="E45" i="56"/>
  <c r="E20" i="56"/>
  <c r="D45" i="56"/>
  <c r="D20" i="56"/>
  <c r="D32" i="58"/>
  <c r="F32" i="58"/>
  <c r="H45" i="57"/>
  <c r="H34" i="57"/>
  <c r="H40" i="57"/>
  <c r="D32" i="59"/>
  <c r="H34" i="56"/>
  <c r="H40" i="56"/>
  <c r="H45" i="56"/>
  <c r="D45" i="57"/>
  <c r="D20" i="57"/>
  <c r="F45" i="57"/>
  <c r="G32" i="58"/>
  <c r="E45" i="57"/>
  <c r="E20" i="57"/>
  <c r="G32" i="59"/>
  <c r="H32" i="59"/>
  <c r="H15" i="59"/>
  <c r="H16" i="59"/>
  <c r="C14" i="59"/>
  <c r="I14" i="59"/>
  <c r="I11" i="59"/>
  <c r="G8" i="2"/>
  <c r="G34" i="2"/>
  <c r="C32" i="56"/>
  <c r="C45" i="56"/>
  <c r="C20" i="56"/>
  <c r="I9" i="56"/>
  <c r="D6" i="2"/>
  <c r="C9" i="57"/>
  <c r="I8" i="57"/>
  <c r="E5" i="2"/>
  <c r="I11" i="57"/>
  <c r="E8" i="2"/>
  <c r="E34" i="2"/>
  <c r="I8" i="56"/>
  <c r="D5" i="2"/>
  <c r="C14" i="56"/>
  <c r="I14" i="56"/>
  <c r="I12" i="56"/>
  <c r="C9" i="58"/>
  <c r="I9" i="58"/>
  <c r="E19" i="2"/>
  <c r="C14" i="57"/>
  <c r="I14" i="57"/>
  <c r="C14" i="58"/>
  <c r="I14" i="58"/>
  <c r="I19" i="57"/>
  <c r="E16" i="2"/>
  <c r="E42" i="2"/>
  <c r="F5" i="2"/>
  <c r="F10" i="2"/>
  <c r="F36" i="2"/>
  <c r="D10" i="2"/>
  <c r="D36" i="2"/>
  <c r="I19" i="56"/>
  <c r="D16" i="2"/>
  <c r="D42" i="2"/>
  <c r="C9" i="59"/>
  <c r="I9" i="59"/>
  <c r="G36" i="2"/>
  <c r="F8" i="2"/>
  <c r="F34" i="2"/>
  <c r="G11" i="2"/>
  <c r="D34" i="2"/>
  <c r="G34" i="59"/>
  <c r="G40" i="59"/>
  <c r="G45" i="59"/>
  <c r="G20" i="59"/>
  <c r="D45" i="59"/>
  <c r="D20" i="59"/>
  <c r="D34" i="59"/>
  <c r="D40" i="59"/>
  <c r="F34" i="59"/>
  <c r="F40" i="59"/>
  <c r="F45" i="59"/>
  <c r="F20" i="59"/>
  <c r="E45" i="58"/>
  <c r="E20" i="58"/>
  <c r="I20" i="56"/>
  <c r="D45" i="58"/>
  <c r="D20" i="58"/>
  <c r="E34" i="59"/>
  <c r="E40" i="59"/>
  <c r="E45" i="59"/>
  <c r="E20" i="59"/>
  <c r="H34" i="58"/>
  <c r="H40" i="58"/>
  <c r="H45" i="58"/>
  <c r="H34" i="59"/>
  <c r="H40" i="59"/>
  <c r="H45" i="59"/>
  <c r="H20" i="59"/>
  <c r="G45" i="58"/>
  <c r="G34" i="58"/>
  <c r="G40" i="58"/>
  <c r="F45" i="58"/>
  <c r="F34" i="58"/>
  <c r="F40" i="58"/>
  <c r="C32" i="57"/>
  <c r="C45" i="57"/>
  <c r="C20" i="57"/>
  <c r="I9" i="57"/>
  <c r="E6" i="2"/>
  <c r="E29" i="2"/>
  <c r="C32" i="58"/>
  <c r="C45" i="58"/>
  <c r="C20" i="58"/>
  <c r="F6" i="2"/>
  <c r="F29" i="2"/>
  <c r="C32" i="59"/>
  <c r="C45" i="59"/>
  <c r="G6" i="2"/>
  <c r="D29" i="2"/>
  <c r="D47" i="2"/>
  <c r="F19" i="2"/>
  <c r="I20" i="57"/>
  <c r="E17" i="2"/>
  <c r="F51" i="2"/>
  <c r="E47" i="2"/>
  <c r="E51" i="2"/>
  <c r="F17" i="2"/>
  <c r="D19" i="2"/>
  <c r="F9" i="2"/>
  <c r="F35" i="2"/>
  <c r="C20" i="59"/>
  <c r="F11" i="2"/>
  <c r="G51" i="2"/>
  <c r="G29" i="2"/>
  <c r="G47" i="2"/>
  <c r="D11" i="2"/>
  <c r="D9" i="2"/>
  <c r="D35" i="2"/>
  <c r="E43" i="2"/>
  <c r="E49" i="2"/>
  <c r="D51" i="2"/>
  <c r="F49" i="2"/>
  <c r="F43" i="2"/>
  <c r="E11" i="2"/>
  <c r="E9" i="2"/>
  <c r="E35" i="2"/>
  <c r="F16" i="2"/>
  <c r="D17" i="2"/>
  <c r="F42" i="2"/>
  <c r="F47" i="2"/>
  <c r="D43" i="2"/>
  <c r="D49" i="2"/>
  <c r="G17" i="2"/>
  <c r="B5" i="51"/>
  <c r="G43" i="2"/>
  <c r="G49" i="2"/>
  <c r="H8" i="50"/>
  <c r="E8" i="50"/>
  <c r="I7" i="50"/>
  <c r="E7" i="50"/>
  <c r="H33" i="53"/>
  <c r="E45" i="53"/>
  <c r="G33" i="53"/>
  <c r="E44" i="53"/>
  <c r="F33" i="53"/>
  <c r="E43" i="53"/>
  <c r="E33" i="53"/>
  <c r="E42" i="53"/>
  <c r="D33" i="53"/>
  <c r="E41" i="53"/>
  <c r="I9" i="55"/>
  <c r="G22" i="51"/>
  <c r="B27" i="51"/>
  <c r="C56" i="2"/>
  <c r="B8" i="51"/>
  <c r="B7" i="51"/>
  <c r="C47" i="43"/>
  <c r="C31" i="43"/>
  <c r="C32" i="43"/>
  <c r="C45" i="43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H6" i="36"/>
  <c r="G6" i="36"/>
  <c r="E6" i="36"/>
  <c r="E5" i="36"/>
  <c r="K5" i="36"/>
  <c r="J5" i="36"/>
  <c r="I5" i="36"/>
  <c r="D5" i="36"/>
  <c r="C5" i="36"/>
  <c r="E4" i="36"/>
  <c r="F4" i="36"/>
  <c r="G4" i="36"/>
  <c r="H4" i="36"/>
  <c r="I4" i="36"/>
  <c r="J4" i="36"/>
  <c r="K4" i="36"/>
  <c r="L4" i="36"/>
  <c r="D4" i="36"/>
  <c r="C5" i="2"/>
  <c r="H5" i="2"/>
  <c r="F43" i="53"/>
  <c r="E33" i="43"/>
  <c r="E10" i="43"/>
  <c r="K10" i="36"/>
  <c r="F33" i="43"/>
  <c r="F44" i="53"/>
  <c r="F10" i="43"/>
  <c r="D33" i="43"/>
  <c r="F42" i="53"/>
  <c r="D10" i="43"/>
  <c r="G33" i="43"/>
  <c r="F45" i="53"/>
  <c r="G10" i="43"/>
  <c r="C22" i="43"/>
  <c r="I22" i="43"/>
  <c r="I6" i="43"/>
  <c r="C3" i="2"/>
  <c r="H3" i="2"/>
  <c r="C19" i="43"/>
  <c r="F41" i="53"/>
  <c r="C10" i="56"/>
  <c r="C33" i="43"/>
  <c r="C34" i="43"/>
  <c r="C40" i="43"/>
  <c r="C7" i="43"/>
  <c r="C10" i="43"/>
  <c r="B26" i="51"/>
  <c r="I18" i="56"/>
  <c r="G5" i="36"/>
  <c r="M6" i="36"/>
  <c r="G10" i="36"/>
  <c r="J10" i="36"/>
  <c r="J17" i="36"/>
  <c r="J19" i="36"/>
  <c r="C10" i="36"/>
  <c r="M15" i="36"/>
  <c r="H5" i="36"/>
  <c r="B10" i="51"/>
  <c r="I15" i="55"/>
  <c r="C17" i="36"/>
  <c r="M7" i="36"/>
  <c r="M12" i="36"/>
  <c r="H10" i="36"/>
  <c r="D10" i="36"/>
  <c r="D17" i="36"/>
  <c r="M5" i="36"/>
  <c r="M11" i="36"/>
  <c r="F10" i="36"/>
  <c r="I10" i="36"/>
  <c r="I17" i="36"/>
  <c r="I19" i="36"/>
  <c r="L10" i="36"/>
  <c r="M13" i="36"/>
  <c r="E17" i="36"/>
  <c r="E19" i="36"/>
  <c r="K17" i="36"/>
  <c r="K19" i="36"/>
  <c r="M14" i="36"/>
  <c r="C11" i="43"/>
  <c r="I11" i="43"/>
  <c r="C12" i="43"/>
  <c r="I12" i="43"/>
  <c r="I13" i="43"/>
  <c r="C20" i="43"/>
  <c r="I20" i="43"/>
  <c r="G45" i="53"/>
  <c r="G33" i="56"/>
  <c r="G34" i="56"/>
  <c r="G40" i="56"/>
  <c r="G10" i="56"/>
  <c r="G15" i="56"/>
  <c r="G16" i="56"/>
  <c r="G44" i="53"/>
  <c r="F33" i="56"/>
  <c r="F34" i="56"/>
  <c r="F40" i="56"/>
  <c r="F10" i="56"/>
  <c r="F15" i="56"/>
  <c r="F16" i="56"/>
  <c r="I10" i="43"/>
  <c r="G42" i="53"/>
  <c r="D33" i="56"/>
  <c r="D34" i="56"/>
  <c r="D40" i="56"/>
  <c r="D10" i="56"/>
  <c r="D15" i="56"/>
  <c r="D16" i="56"/>
  <c r="G43" i="53"/>
  <c r="E33" i="56"/>
  <c r="E34" i="56"/>
  <c r="E40" i="56"/>
  <c r="E10" i="56"/>
  <c r="E15" i="56"/>
  <c r="E16" i="56"/>
  <c r="C9" i="43"/>
  <c r="I9" i="43"/>
  <c r="I7" i="43"/>
  <c r="C4" i="2"/>
  <c r="E21" i="58"/>
  <c r="F21" i="58"/>
  <c r="G21" i="58"/>
  <c r="H21" i="58"/>
  <c r="D21" i="58"/>
  <c r="D34" i="43"/>
  <c r="D40" i="43"/>
  <c r="C33" i="56"/>
  <c r="C34" i="56"/>
  <c r="C40" i="56"/>
  <c r="G41" i="53"/>
  <c r="I14" i="43"/>
  <c r="C57" i="2"/>
  <c r="C55" i="2"/>
  <c r="G17" i="36"/>
  <c r="G19" i="36"/>
  <c r="G60" i="2"/>
  <c r="I18" i="57"/>
  <c r="E60" i="2"/>
  <c r="E26" i="51"/>
  <c r="F60" i="2"/>
  <c r="J26" i="51"/>
  <c r="E23" i="36"/>
  <c r="C18" i="36"/>
  <c r="D18" i="36"/>
  <c r="E18" i="36"/>
  <c r="C19" i="36"/>
  <c r="M19" i="36"/>
  <c r="M10" i="36"/>
  <c r="D19" i="36"/>
  <c r="E22" i="36"/>
  <c r="H17" i="36"/>
  <c r="H19" i="36"/>
  <c r="I21" i="56"/>
  <c r="I21" i="57"/>
  <c r="C7" i="2"/>
  <c r="C17" i="2"/>
  <c r="C9" i="2"/>
  <c r="I21" i="43"/>
  <c r="E27" i="51"/>
  <c r="F27" i="51"/>
  <c r="D28" i="51"/>
  <c r="F26" i="51"/>
  <c r="M17" i="36"/>
  <c r="C33" i="57"/>
  <c r="C10" i="57"/>
  <c r="H42" i="53"/>
  <c r="I42" i="53"/>
  <c r="J42" i="53"/>
  <c r="D10" i="59"/>
  <c r="D15" i="59"/>
  <c r="D16" i="59"/>
  <c r="D10" i="58"/>
  <c r="D15" i="58"/>
  <c r="D16" i="58"/>
  <c r="D33" i="57"/>
  <c r="D34" i="57"/>
  <c r="D40" i="57"/>
  <c r="D10" i="57"/>
  <c r="D15" i="57"/>
  <c r="D16" i="57"/>
  <c r="C35" i="2"/>
  <c r="H9" i="2"/>
  <c r="I22" i="36"/>
  <c r="I10" i="56"/>
  <c r="D7" i="2"/>
  <c r="D30" i="2"/>
  <c r="D31" i="2"/>
  <c r="C30" i="2"/>
  <c r="H43" i="53"/>
  <c r="E33" i="57"/>
  <c r="E34" i="57"/>
  <c r="E40" i="57"/>
  <c r="E10" i="57"/>
  <c r="E15" i="57"/>
  <c r="E16" i="57"/>
  <c r="C43" i="2"/>
  <c r="H17" i="2"/>
  <c r="F6" i="36"/>
  <c r="F5" i="36"/>
  <c r="F17" i="36"/>
  <c r="F19" i="36"/>
  <c r="H4" i="2"/>
  <c r="H44" i="53"/>
  <c r="F33" i="57"/>
  <c r="F34" i="57"/>
  <c r="F40" i="57"/>
  <c r="F10" i="57"/>
  <c r="F15" i="57"/>
  <c r="F16" i="57"/>
  <c r="H45" i="53"/>
  <c r="G33" i="57"/>
  <c r="G34" i="57"/>
  <c r="G40" i="57"/>
  <c r="G10" i="57"/>
  <c r="G15" i="57"/>
  <c r="G16" i="57"/>
  <c r="D32" i="2"/>
  <c r="I23" i="36"/>
  <c r="L6" i="36"/>
  <c r="L5" i="36"/>
  <c r="L17" i="36"/>
  <c r="L19" i="36"/>
  <c r="F46" i="58"/>
  <c r="F48" i="58"/>
  <c r="H46" i="58"/>
  <c r="H48" i="58"/>
  <c r="D46" i="58"/>
  <c r="E46" i="58"/>
  <c r="G46" i="58"/>
  <c r="G48" i="58"/>
  <c r="E18" i="58"/>
  <c r="E17" i="58"/>
  <c r="E23" i="58"/>
  <c r="G18" i="58"/>
  <c r="G17" i="58"/>
  <c r="G23" i="58"/>
  <c r="H18" i="58"/>
  <c r="H17" i="58"/>
  <c r="H23" i="58"/>
  <c r="H24" i="58"/>
  <c r="H25" i="58"/>
  <c r="H26" i="58"/>
  <c r="H27" i="58"/>
  <c r="D18" i="58"/>
  <c r="D17" i="58"/>
  <c r="D23" i="58"/>
  <c r="D24" i="58"/>
  <c r="F18" i="58"/>
  <c r="F17" i="58"/>
  <c r="F23" i="58"/>
  <c r="D21" i="56"/>
  <c r="H21" i="56"/>
  <c r="G21" i="56"/>
  <c r="E21" i="56"/>
  <c r="F21" i="56"/>
  <c r="C18" i="57"/>
  <c r="C17" i="57"/>
  <c r="E18" i="57"/>
  <c r="E17" i="57"/>
  <c r="H18" i="57"/>
  <c r="H17" i="57"/>
  <c r="D18" i="57"/>
  <c r="D17" i="57"/>
  <c r="G18" i="57"/>
  <c r="G17" i="57"/>
  <c r="F18" i="57"/>
  <c r="F17" i="57"/>
  <c r="C21" i="43"/>
  <c r="D21" i="43"/>
  <c r="D46" i="43"/>
  <c r="D48" i="43"/>
  <c r="H21" i="43"/>
  <c r="H46" i="43"/>
  <c r="H48" i="43"/>
  <c r="E21" i="43"/>
  <c r="E46" i="43"/>
  <c r="F21" i="43"/>
  <c r="F46" i="43"/>
  <c r="G21" i="43"/>
  <c r="G46" i="43"/>
  <c r="D21" i="59"/>
  <c r="H21" i="59"/>
  <c r="E21" i="59"/>
  <c r="G21" i="59"/>
  <c r="F21" i="59"/>
  <c r="C18" i="59"/>
  <c r="C17" i="59"/>
  <c r="G18" i="59"/>
  <c r="G17" i="59"/>
  <c r="E18" i="59"/>
  <c r="E17" i="59"/>
  <c r="F18" i="59"/>
  <c r="F17" i="59"/>
  <c r="D18" i="59"/>
  <c r="D17" i="59"/>
  <c r="H18" i="59"/>
  <c r="H17" i="59"/>
  <c r="H21" i="57"/>
  <c r="E21" i="57"/>
  <c r="D21" i="57"/>
  <c r="F21" i="57"/>
  <c r="G21" i="57"/>
  <c r="D16" i="43"/>
  <c r="E34" i="43"/>
  <c r="E40" i="43"/>
  <c r="C6" i="2"/>
  <c r="C15" i="56"/>
  <c r="C34" i="57"/>
  <c r="C40" i="57"/>
  <c r="H41" i="53"/>
  <c r="C18" i="58"/>
  <c r="C17" i="58"/>
  <c r="C20" i="36"/>
  <c r="D20" i="36"/>
  <c r="E20" i="36"/>
  <c r="I19" i="43"/>
  <c r="C16" i="2"/>
  <c r="H16" i="2"/>
  <c r="H42" i="2"/>
  <c r="H43" i="2"/>
  <c r="F18" i="2"/>
  <c r="F50" i="2"/>
  <c r="C21" i="58"/>
  <c r="C46" i="58"/>
  <c r="D18" i="2"/>
  <c r="D50" i="2"/>
  <c r="C21" i="56"/>
  <c r="C46" i="56"/>
  <c r="C48" i="56"/>
  <c r="E18" i="2"/>
  <c r="E50" i="2"/>
  <c r="C21" i="57"/>
  <c r="C46" i="57"/>
  <c r="G18" i="2"/>
  <c r="G50" i="2"/>
  <c r="C21" i="59"/>
  <c r="C46" i="59"/>
  <c r="C8" i="2"/>
  <c r="H35" i="2"/>
  <c r="C10" i="2"/>
  <c r="F20" i="36"/>
  <c r="G20" i="36"/>
  <c r="H20" i="36"/>
  <c r="I24" i="36"/>
  <c r="E28" i="51"/>
  <c r="I27" i="51"/>
  <c r="C19" i="2"/>
  <c r="H19" i="2"/>
  <c r="F28" i="51"/>
  <c r="C18" i="2"/>
  <c r="C49" i="2"/>
  <c r="I23" i="58"/>
  <c r="H18" i="2"/>
  <c r="F18" i="36"/>
  <c r="G18" i="36"/>
  <c r="H18" i="36"/>
  <c r="H10" i="2"/>
  <c r="H36" i="2"/>
  <c r="I10" i="57"/>
  <c r="I45" i="53"/>
  <c r="J45" i="53"/>
  <c r="G10" i="59"/>
  <c r="G15" i="59"/>
  <c r="G16" i="59"/>
  <c r="G10" i="58"/>
  <c r="G15" i="58"/>
  <c r="G16" i="58"/>
  <c r="I44" i="53"/>
  <c r="J44" i="53"/>
  <c r="F10" i="59"/>
  <c r="F15" i="59"/>
  <c r="F16" i="59"/>
  <c r="F10" i="58"/>
  <c r="F15" i="58"/>
  <c r="F16" i="58"/>
  <c r="C34" i="2"/>
  <c r="H8" i="2"/>
  <c r="G24" i="58"/>
  <c r="G25" i="58"/>
  <c r="G26" i="58"/>
  <c r="G27" i="58"/>
  <c r="I41" i="53"/>
  <c r="C10" i="58"/>
  <c r="E10" i="58"/>
  <c r="I10" i="58"/>
  <c r="C29" i="2"/>
  <c r="C31" i="2"/>
  <c r="H6" i="2"/>
  <c r="I43" i="53"/>
  <c r="J43" i="53"/>
  <c r="E10" i="59"/>
  <c r="E15" i="59"/>
  <c r="E16" i="59"/>
  <c r="E15" i="58"/>
  <c r="E16" i="58"/>
  <c r="I17" i="57"/>
  <c r="E14" i="2"/>
  <c r="E48" i="43"/>
  <c r="H47" i="2"/>
  <c r="C16" i="43"/>
  <c r="D25" i="58"/>
  <c r="D26" i="58"/>
  <c r="D27" i="58"/>
  <c r="F46" i="57"/>
  <c r="F48" i="57"/>
  <c r="F23" i="57"/>
  <c r="F24" i="57"/>
  <c r="E46" i="57"/>
  <c r="E48" i="57"/>
  <c r="E23" i="57"/>
  <c r="E24" i="57"/>
  <c r="E46" i="59"/>
  <c r="E48" i="59"/>
  <c r="E23" i="59"/>
  <c r="E46" i="56"/>
  <c r="E48" i="56"/>
  <c r="D46" i="59"/>
  <c r="D48" i="59"/>
  <c r="D23" i="59"/>
  <c r="D24" i="59"/>
  <c r="D25" i="59"/>
  <c r="D26" i="59"/>
  <c r="D27" i="59"/>
  <c r="H46" i="56"/>
  <c r="H48" i="56"/>
  <c r="G46" i="57"/>
  <c r="G48" i="57"/>
  <c r="G23" i="57"/>
  <c r="G24" i="57"/>
  <c r="H46" i="57"/>
  <c r="H48" i="57"/>
  <c r="H23" i="57"/>
  <c r="H24" i="57"/>
  <c r="H25" i="57"/>
  <c r="H26" i="57"/>
  <c r="H27" i="57"/>
  <c r="H46" i="59"/>
  <c r="H48" i="59"/>
  <c r="H23" i="59"/>
  <c r="H24" i="59"/>
  <c r="H25" i="59"/>
  <c r="H26" i="59"/>
  <c r="H27" i="59"/>
  <c r="G46" i="56"/>
  <c r="G48" i="56"/>
  <c r="F46" i="59"/>
  <c r="F48" i="59"/>
  <c r="F23" i="59"/>
  <c r="F24" i="59"/>
  <c r="D46" i="57"/>
  <c r="D48" i="57"/>
  <c r="D23" i="57"/>
  <c r="D24" i="57"/>
  <c r="D25" i="57"/>
  <c r="D26" i="57"/>
  <c r="D27" i="57"/>
  <c r="G46" i="59"/>
  <c r="G48" i="59"/>
  <c r="G23" i="59"/>
  <c r="G24" i="59"/>
  <c r="F46" i="56"/>
  <c r="F48" i="56"/>
  <c r="D46" i="56"/>
  <c r="D48" i="56"/>
  <c r="C16" i="56"/>
  <c r="I15" i="56"/>
  <c r="I16" i="56"/>
  <c r="D13" i="2"/>
  <c r="E16" i="43"/>
  <c r="F34" i="43"/>
  <c r="F40" i="43"/>
  <c r="F48" i="43"/>
  <c r="C48" i="57"/>
  <c r="E7" i="2"/>
  <c r="C15" i="57"/>
  <c r="I15" i="57"/>
  <c r="C33" i="58"/>
  <c r="C34" i="58"/>
  <c r="C40" i="58"/>
  <c r="C48" i="58"/>
  <c r="C23" i="59"/>
  <c r="C23" i="58"/>
  <c r="I23" i="59"/>
  <c r="C42" i="2"/>
  <c r="H34" i="2"/>
  <c r="C23" i="57"/>
  <c r="F14" i="2"/>
  <c r="C47" i="2"/>
  <c r="C11" i="2"/>
  <c r="H11" i="2"/>
  <c r="C36" i="2"/>
  <c r="I20" i="36"/>
  <c r="J20" i="36"/>
  <c r="K20" i="36"/>
  <c r="L20" i="36"/>
  <c r="C51" i="2"/>
  <c r="C46" i="43"/>
  <c r="C48" i="43"/>
  <c r="C50" i="2"/>
  <c r="G28" i="51"/>
  <c r="E24" i="36"/>
  <c r="I18" i="36"/>
  <c r="J18" i="36"/>
  <c r="K18" i="36"/>
  <c r="L18" i="36"/>
  <c r="C32" i="2"/>
  <c r="E24" i="58"/>
  <c r="E25" i="58"/>
  <c r="E26" i="58"/>
  <c r="E27" i="58"/>
  <c r="F24" i="58"/>
  <c r="F25" i="58"/>
  <c r="F26" i="58"/>
  <c r="F27" i="58"/>
  <c r="E24" i="59"/>
  <c r="D33" i="58"/>
  <c r="D34" i="58"/>
  <c r="D40" i="58"/>
  <c r="D48" i="58"/>
  <c r="J41" i="53"/>
  <c r="H29" i="2"/>
  <c r="I23" i="57"/>
  <c r="I24" i="57"/>
  <c r="H51" i="2"/>
  <c r="H49" i="2"/>
  <c r="H50" i="2"/>
  <c r="E25" i="57"/>
  <c r="E26" i="57"/>
  <c r="E27" i="57"/>
  <c r="G25" i="59"/>
  <c r="G26" i="59"/>
  <c r="G27" i="59"/>
  <c r="F25" i="59"/>
  <c r="F26" i="59"/>
  <c r="F27" i="59"/>
  <c r="G25" i="57"/>
  <c r="G26" i="57"/>
  <c r="G27" i="57"/>
  <c r="E25" i="59"/>
  <c r="E26" i="59"/>
  <c r="E27" i="59"/>
  <c r="F25" i="57"/>
  <c r="F26" i="57"/>
  <c r="F27" i="57"/>
  <c r="D12" i="2"/>
  <c r="D38" i="2"/>
  <c r="F16" i="43"/>
  <c r="G34" i="43"/>
  <c r="G40" i="43"/>
  <c r="G48" i="43"/>
  <c r="C16" i="57"/>
  <c r="C24" i="57"/>
  <c r="C25" i="57"/>
  <c r="C26" i="57"/>
  <c r="C27" i="57"/>
  <c r="F7" i="2"/>
  <c r="F30" i="2"/>
  <c r="F31" i="2"/>
  <c r="F32" i="2"/>
  <c r="C15" i="58"/>
  <c r="I15" i="58"/>
  <c r="E30" i="2"/>
  <c r="E31" i="2"/>
  <c r="E32" i="2"/>
  <c r="C33" i="59"/>
  <c r="C34" i="59"/>
  <c r="C40" i="59"/>
  <c r="C48" i="59"/>
  <c r="G14" i="2"/>
  <c r="G48" i="2"/>
  <c r="F41" i="2"/>
  <c r="F48" i="2"/>
  <c r="E20" i="2"/>
  <c r="E41" i="2"/>
  <c r="E48" i="2"/>
  <c r="F20" i="2"/>
  <c r="G20" i="2"/>
  <c r="H28" i="51"/>
  <c r="I26" i="51"/>
  <c r="H60" i="2"/>
  <c r="E33" i="58"/>
  <c r="E34" i="58"/>
  <c r="E40" i="58"/>
  <c r="E48" i="58"/>
  <c r="C10" i="59"/>
  <c r="I10" i="59"/>
  <c r="C12" i="2"/>
  <c r="C38" i="2"/>
  <c r="I24" i="58"/>
  <c r="I25" i="58"/>
  <c r="G16" i="43"/>
  <c r="G41" i="2"/>
  <c r="G7" i="2"/>
  <c r="G30" i="2"/>
  <c r="G31" i="2"/>
  <c r="G32" i="2"/>
  <c r="C15" i="59"/>
  <c r="I15" i="59"/>
  <c r="C16" i="58"/>
  <c r="E12" i="2"/>
  <c r="E38" i="2"/>
  <c r="E39" i="2"/>
  <c r="I16" i="57"/>
  <c r="E13" i="2"/>
  <c r="I26" i="57"/>
  <c r="I27" i="57"/>
  <c r="E24" i="2"/>
  <c r="C24" i="58"/>
  <c r="C25" i="58"/>
  <c r="C26" i="58"/>
  <c r="I26" i="58"/>
  <c r="I27" i="58"/>
  <c r="I25" i="57"/>
  <c r="E22" i="2"/>
  <c r="E21" i="2"/>
  <c r="E53" i="2"/>
  <c r="H7" i="2"/>
  <c r="F13" i="2"/>
  <c r="F12" i="2"/>
  <c r="F38" i="2"/>
  <c r="F39" i="2"/>
  <c r="C27" i="58"/>
  <c r="C16" i="59"/>
  <c r="C24" i="59"/>
  <c r="C25" i="59"/>
  <c r="C26" i="59"/>
  <c r="E23" i="2"/>
  <c r="E59" i="2"/>
  <c r="E58" i="2"/>
  <c r="H12" i="2"/>
  <c r="H30" i="2"/>
  <c r="H32" i="2"/>
  <c r="F24" i="2"/>
  <c r="F23" i="2"/>
  <c r="C27" i="59"/>
  <c r="I26" i="59"/>
  <c r="E52" i="2"/>
  <c r="G12" i="2"/>
  <c r="G38" i="2"/>
  <c r="G39" i="2"/>
  <c r="G13" i="2"/>
  <c r="I24" i="59"/>
  <c r="F21" i="2"/>
  <c r="F53" i="2"/>
  <c r="F22" i="2"/>
  <c r="H13" i="2"/>
  <c r="H38" i="2"/>
  <c r="F59" i="2"/>
  <c r="F58" i="2"/>
  <c r="F52" i="2"/>
  <c r="G21" i="2"/>
  <c r="G53" i="2"/>
  <c r="I25" i="59"/>
  <c r="G22" i="2"/>
  <c r="G23" i="2"/>
  <c r="I27" i="59"/>
  <c r="G24" i="2"/>
  <c r="G52" i="2"/>
  <c r="G59" i="2"/>
  <c r="G58" i="2"/>
  <c r="C60" i="2"/>
  <c r="E23" i="43"/>
  <c r="E24" i="43"/>
  <c r="H23" i="43"/>
  <c r="H24" i="43"/>
  <c r="D23" i="43"/>
  <c r="D24" i="43"/>
  <c r="F23" i="43"/>
  <c r="F24" i="43"/>
  <c r="F25" i="43"/>
  <c r="G23" i="43"/>
  <c r="G24" i="43"/>
  <c r="C23" i="43"/>
  <c r="C24" i="43"/>
  <c r="D25" i="43"/>
  <c r="D26" i="43"/>
  <c r="D27" i="43"/>
  <c r="E25" i="43"/>
  <c r="E26" i="43"/>
  <c r="E27" i="43"/>
  <c r="G25" i="43"/>
  <c r="G26" i="43"/>
  <c r="G27" i="43"/>
  <c r="H25" i="43"/>
  <c r="H26" i="43"/>
  <c r="H27" i="43"/>
  <c r="F26" i="43"/>
  <c r="F27" i="43"/>
  <c r="I23" i="43"/>
  <c r="I24" i="43"/>
  <c r="I25" i="43"/>
  <c r="C25" i="43"/>
  <c r="C26" i="43"/>
  <c r="I26" i="43"/>
  <c r="C27" i="43"/>
  <c r="I27" i="43"/>
  <c r="C41" i="2"/>
  <c r="C48" i="2"/>
  <c r="C20" i="2"/>
  <c r="C21" i="2"/>
  <c r="C39" i="2"/>
  <c r="C22" i="2"/>
  <c r="C23" i="2"/>
  <c r="C53" i="2"/>
  <c r="C24" i="2"/>
  <c r="C52" i="2"/>
  <c r="C59" i="2"/>
  <c r="C58" i="2"/>
  <c r="D60" i="2"/>
  <c r="D18" i="56"/>
  <c r="D17" i="56"/>
  <c r="D23" i="56"/>
  <c r="D24" i="56"/>
  <c r="G18" i="56"/>
  <c r="G17" i="56"/>
  <c r="G23" i="56"/>
  <c r="G24" i="56"/>
  <c r="E18" i="56"/>
  <c r="E17" i="56"/>
  <c r="E23" i="56"/>
  <c r="E24" i="56"/>
  <c r="F18" i="56"/>
  <c r="F17" i="56"/>
  <c r="F23" i="56"/>
  <c r="F24" i="56"/>
  <c r="C18" i="56"/>
  <c r="C17" i="56"/>
  <c r="H18" i="56"/>
  <c r="H17" i="56"/>
  <c r="H23" i="56"/>
  <c r="H24" i="56"/>
  <c r="F25" i="56"/>
  <c r="F26" i="56"/>
  <c r="F27" i="56"/>
  <c r="H25" i="56"/>
  <c r="H26" i="56"/>
  <c r="H27" i="56"/>
  <c r="E25" i="56"/>
  <c r="E26" i="56"/>
  <c r="E27" i="56"/>
  <c r="G25" i="56"/>
  <c r="G26" i="56"/>
  <c r="G27" i="56"/>
  <c r="C23" i="56"/>
  <c r="C24" i="56"/>
  <c r="I17" i="56"/>
  <c r="D25" i="56"/>
  <c r="D26" i="56"/>
  <c r="D27" i="56"/>
  <c r="D14" i="2"/>
  <c r="I23" i="56"/>
  <c r="C25" i="56"/>
  <c r="C26" i="56"/>
  <c r="I26" i="56"/>
  <c r="C27" i="56"/>
  <c r="I24" i="56"/>
  <c r="D20" i="2"/>
  <c r="D48" i="2"/>
  <c r="H14" i="2"/>
  <c r="D41" i="2"/>
  <c r="H41" i="2"/>
  <c r="H48" i="2"/>
  <c r="D23" i="2"/>
  <c r="I27" i="56"/>
  <c r="D24" i="2"/>
  <c r="D39" i="2"/>
  <c r="H20" i="2"/>
  <c r="D21" i="2"/>
  <c r="D53" i="2"/>
  <c r="I25" i="56"/>
  <c r="D22" i="2"/>
  <c r="D59" i="2"/>
  <c r="D58" i="2"/>
  <c r="D52" i="2"/>
  <c r="H39" i="2"/>
  <c r="H21" i="2"/>
  <c r="H22" i="2"/>
  <c r="H23" i="2"/>
  <c r="H53" i="2"/>
  <c r="H24" i="2"/>
  <c r="H52" i="2"/>
  <c r="H59" i="2"/>
  <c r="H58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<sst xmlns="http://schemas.openxmlformats.org/spreadsheetml/2006/main" count="1426" uniqueCount="281">
  <si>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</si>
  <si>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</si>
  <si>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</si>
  <si>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</si>
  <si>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</si>
  <si>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</si>
  <si>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</si>
  <si>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</si>
  <si>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</si>
  <si>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</si>
  <si>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</si>
  <si>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</si>
  <si>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</si>
  <si>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</si>
  <si>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</si>
  <si>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</si>
  <si>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</si>
  <si>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</si>
  <si>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</si>
  <si>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</si>
  <si>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2021年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</si>
  <si>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</si>
  <si>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</si>
  <si>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</si>
  <si>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</si>
  <si>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</si>
  <si>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</si>
  <si>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</si>
  <si>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</si>
  <si>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</si>
  <si>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</si>
  <si>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</si>
  <si>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</si>
  <si>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</si>
  <si>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</si>
  <si>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</si>
  <si>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</si>
  <si>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</si>
  <si>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</si>
  <si>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</si>
  <si>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</si>
  <si>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</si>
  <si>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</si>
  <si>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</si>
  <si>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</si>
  <si>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</si>
  <si>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</si>
  <si>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</si>
  <si>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</si>
  <si>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</si>
  <si>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</si>
  <si>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</si>
  <si>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</si>
  <si>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</si>
  <si>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</si>
  <si>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</si>
  <si>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</si>
  <si>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</si>
  <si>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</si>
  <si>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</si>
  <si>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</si>
  <si>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</si>
  <si>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</si>
  <si>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</si>
  <si>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</si>
  <si>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</si>
  <si>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</si>
  <si>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</si>
  <si>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</si>
  <si>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</si>
  <si>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</si>
  <si>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</si>
  <si>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</si>
  <si>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</si>
  <si>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</si>
  <si>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</si>
  <si>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</si>
  <si>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</si>
  <si>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</si>
  <si>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</si>
  <si>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</si>
  <si>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</si>
  <si>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</si>
  <si>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</si>
  <si>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</si>
  <si>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</si>
  <si>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</si>
  <si>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</si>
  <si>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</si>
  <si>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</si>
  <si>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</si>
  <si>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</si>
  <si>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</si>
  <si>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</si>
  <si>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</si>
  <si>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</si>
  <si>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</si>
  <si>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</si>
  <si>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</si>
  <si>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</si>
  <si>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</si>
  <si>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</si>
  <si>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</si>
  <si>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</si>
  <si>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</si>
  <si>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</si>
  <si>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</si>
  <si>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</si>
  <si>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</si>
  <si>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</si>
  <si>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</si>
  <si>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</si>
  <si>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</si>
  <si>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</si>
  <si>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</si>
  <si>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</si>
  <si>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</si>
  <si>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</si>
  <si>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</si>
  <si>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</si>
  <si>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</si>
  <si>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</si>
  <si>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</si>
  <si>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</si>
  <si>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</si>
  <si>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</si>
  <si>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</si>
  <si>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</si>
  <si>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</si>
  <si>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</si>
  <si>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</si>
  <si>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</si>
  <si>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</si>
  <si>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</si>
  <si>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</si>
  <si>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</si>
  <si>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</si>
  <si>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</si>
  <si>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</si>
  <si>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</si>
  <si>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</si>
  <si>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</si>
  <si>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</si>
  <si>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</si>
  <si>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</si>
  <si>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</si>
  <si>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</si>
  <si>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</si>
  <si>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</si>
  <si>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</si>
  <si>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</si>
  <si>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</si>
  <si>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</si>
  <si>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</si>
  <si>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</si>
  <si>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</si>
  <si>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</si>
  <si>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</si>
  <si>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</si>
  <si>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</si>
  <si>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</si>
  <si>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</si>
  <si>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</si>
  <si>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</si>
  <si>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</si>
  <si>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</si>
  <si>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</si>
  <si>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</si>
  <si>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</si>
  <si>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</si>
  <si>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</si>
  <si>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</si>
  <si>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</si>
  <si>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</si>
  <si>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</si>
  <si>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</si>
  <si>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</si>
  <si>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</si>
  <si>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</si>
  <si>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</si>
  <si>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</si>
  <si>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</si>
  <si>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</si>
  <si>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</si>
  <si>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</si>
  <si>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</si>
  <si>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</si>
  <si>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</si>
  <si>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</si>
  <si>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</si>
  <si>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</si>
  <si>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</si>
  <si>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</si>
  <si>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</si>
  <si>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</si>
  <si>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</si>
  <si>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</si>
  <si>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</si>
  <si>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</si>
  <si>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</si>
  <si>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</si>
  <si>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</si>
  <si>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</si>
  <si>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</si>
  <si>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</si>
  <si>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</si>
  <si>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</si>
  <si>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</si>
  <si>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</si>
  <si>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</si>
  <si>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</si>
  <si>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</si>
  <si>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</si>
  <si>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</si>
  <si>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</si>
  <si>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</si>
  <si>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</si>
  <si>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</si>
  <si>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</si>
  <si>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</si>
  <si>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</si>
  <si>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</si>
  <si>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</si>
  <si>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</si>
  <si>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</si>
  <si>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</si>
  <si>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</si>
  <si>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</si>
  <si>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</si>
  <si>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</si>
  <si>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</si>
  <si>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</si>
  <si>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</si>
  <si>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</si>
  <si>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</si>
  <si>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</si>
  <si>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</si>
  <si>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</si>
  <si>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</si>
  <si>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</si>
  <si>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</si>
  <si>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</si>
  <si>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</si>
  <si>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供应商年降：     5  年3%</t>
    <phoneticPr fontId="38" type="noConversion"/>
  </si>
  <si>
    <t>产品名称</t>
    <phoneticPr fontId="38" type="noConversion"/>
  </si>
  <si>
    <t>材料成本</t>
    <phoneticPr fontId="38" type="noConversion"/>
  </si>
  <si>
    <t>材料成本年降汇总表3%</t>
    <phoneticPr fontId="38" type="noConversion"/>
  </si>
  <si>
    <t>一汽解放</t>
    <phoneticPr fontId="38" type="noConversion"/>
  </si>
  <si>
    <t xml:space="preserve">一汽轻卡减震座椅项目研发费用预算表 </t>
    <phoneticPr fontId="38" type="noConversion"/>
  </si>
  <si>
    <t>2026年</t>
  </si>
  <si>
    <t>材料成本</t>
    <phoneticPr fontId="38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</si>
  <si>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</si>
  <si>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</si>
  <si>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</si>
  <si>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</si>
  <si>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</si>
  <si>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</si>
  <si>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 xml:space="preserve">M4中改轻卡座椅项目可行性分析            </t>
    </r>
    <r>
      <rPr>
        <sz val="10"/>
        <color theme="1"/>
        <rFont val="微软雅黑"/>
        <family val="2"/>
        <charset val="134"/>
      </rPr>
      <t>单位：万元</t>
    </r>
    <phoneticPr fontId="38" type="noConversion"/>
  </si>
  <si>
    <t>驾驶员座椅</t>
    <phoneticPr fontId="35" type="noConversion"/>
  </si>
  <si>
    <t>副驾驶员座椅</t>
    <phoneticPr fontId="35" type="noConversion"/>
  </si>
  <si>
    <t>L168100000146</t>
    <phoneticPr fontId="35" type="noConversion"/>
  </si>
  <si>
    <t>L168100000147（2060）</t>
    <phoneticPr fontId="35" type="noConversion"/>
  </si>
  <si>
    <t>L168100000149（1880）</t>
    <phoneticPr fontId="35" type="noConversion"/>
  </si>
  <si>
    <t>在东宇座椅基础上改为可折叠放平座椅</t>
    <phoneticPr fontId="35" type="noConversion"/>
  </si>
  <si>
    <t>增加3块背板</t>
    <phoneticPr fontId="35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</si>
  <si>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</si>
  <si>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</si>
  <si>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</si>
  <si>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2023年</t>
    <phoneticPr fontId="38" type="noConversion"/>
  </si>
  <si>
    <t>2027年</t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</si>
  <si>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</si>
  <si>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</si>
  <si>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</si>
  <si>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</si>
  <si>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</si>
  <si>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</si>
  <si>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</si>
  <si>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2024年</t>
    <phoneticPr fontId="38" type="noConversion"/>
  </si>
  <si>
    <t>2025年</t>
    <phoneticPr fontId="38" type="noConversion"/>
  </si>
  <si>
    <t>2026年</t>
    <phoneticPr fontId="38" type="noConversion"/>
  </si>
  <si>
    <t>2027年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</si>
</sst>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 readingOrder="1"/>
    </xf>
    <xf numFmtId="0" fontId="16" fillId="0" borderId="1" xfId="1" applyNumberFormat="1" applyFont="1" applyFill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4" sqref="C14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1" customFormat="1" ht="35.25" customHeight="1">
      <c r="A2" s="142" t="s">
        <v>0</v>
      </c>
      <c r="B2" s="142" t="s">
        <v>1</v>
      </c>
      <c r="C2" s="142" t="s">
        <v>2</v>
      </c>
      <c r="D2" s="143"/>
    </row>
    <row r="3" spans="1:4" s="141" customFormat="1" ht="33.75" customHeight="1">
      <c r="A3" s="144">
        <v>1</v>
      </c>
      <c r="B3" s="144" t="s">
        <v>3</v>
      </c>
      <c r="C3" s="145" t="s">
        <v>4</v>
      </c>
      <c r="D3" s="143"/>
    </row>
    <row r="4" spans="1:4" s="141" customFormat="1" ht="33.75" customHeight="1">
      <c r="A4" s="144">
        <v>2</v>
      </c>
      <c r="B4" s="144" t="s">
        <v>5</v>
      </c>
      <c r="C4" s="145" t="s">
        <v>6</v>
      </c>
    </row>
    <row r="5" spans="1:4" s="141" customFormat="1" ht="33.75" customHeight="1">
      <c r="A5" s="144">
        <v>3</v>
      </c>
      <c r="B5" s="187" t="s">
        <v>7</v>
      </c>
      <c r="C5" s="146" t="s">
        <v>8</v>
      </c>
    </row>
    <row r="6" spans="1:4" s="141" customFormat="1" ht="33.75" customHeight="1">
      <c r="A6" s="144">
        <v>4</v>
      </c>
      <c r="B6" s="188"/>
      <c r="C6" s="145" t="s">
        <v>9</v>
      </c>
    </row>
    <row r="7" spans="1:4" s="141" customFormat="1" ht="33.75" customHeight="1">
      <c r="A7" s="144">
        <v>5</v>
      </c>
      <c r="B7" s="147" t="s">
        <v>10</v>
      </c>
      <c r="C7" s="145" t="s">
        <v>11</v>
      </c>
    </row>
    <row r="8" spans="1:4" s="141" customFormat="1" ht="33.75" customHeight="1">
      <c r="A8" s="144">
        <v>6</v>
      </c>
      <c r="B8" s="187" t="s">
        <v>12</v>
      </c>
      <c r="C8" s="145" t="s">
        <v>13</v>
      </c>
    </row>
    <row r="9" spans="1:4" s="141" customFormat="1" ht="33.75" customHeight="1">
      <c r="A9" s="144">
        <v>7</v>
      </c>
      <c r="B9" s="188"/>
      <c r="C9" s="145" t="s">
        <v>14</v>
      </c>
    </row>
    <row r="10" spans="1:4" s="141" customFormat="1" ht="33.75" customHeight="1">
      <c r="A10" s="144">
        <v>8</v>
      </c>
      <c r="B10" s="188"/>
      <c r="C10" s="146" t="s">
        <v>15</v>
      </c>
    </row>
    <row r="11" spans="1:4" s="141" customFormat="1" ht="33.75" customHeight="1">
      <c r="A11" s="144">
        <v>9</v>
      </c>
      <c r="B11" s="188"/>
      <c r="C11" s="145" t="s">
        <v>16</v>
      </c>
    </row>
    <row r="12" spans="1:4" s="141" customFormat="1" ht="33.75" customHeight="1">
      <c r="A12" s="144">
        <v>10</v>
      </c>
      <c r="B12" s="147" t="s">
        <v>17</v>
      </c>
      <c r="C12" s="145" t="s">
        <v>18</v>
      </c>
    </row>
    <row r="13" spans="1:4" ht="33.75" customHeight="1"/>
    <row r="14" spans="1:4" ht="33.75" customHeight="1"/>
    <row r="15" spans="1:4" ht="33.75" customHeight="1">
      <c r="C15" s="148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A4" zoomScale="80" zoomScaleNormal="80" workbookViewId="0">
      <selection activeCell="F10" sqref="F10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198</v>
      </c>
      <c r="E1" s="17"/>
      <c r="F1" s="17"/>
      <c r="G1" s="17"/>
      <c r="H1" s="17"/>
      <c r="I1" s="17"/>
    </row>
    <row r="2" spans="1:12" ht="24" customHeight="1">
      <c r="A2" s="18" t="s">
        <v>199</v>
      </c>
      <c r="E2" s="17"/>
      <c r="F2" s="17"/>
      <c r="G2" s="17"/>
      <c r="H2" s="17"/>
      <c r="I2" s="17"/>
    </row>
    <row r="3" spans="1:12">
      <c r="C3" s="6" t="s">
        <v>200</v>
      </c>
      <c r="D3" s="9" t="s">
        <v>242</v>
      </c>
      <c r="E3" s="168">
        <v>0.03</v>
      </c>
    </row>
    <row r="5" spans="1:12" ht="45" customHeight="1">
      <c r="A5" s="219" t="s">
        <v>201</v>
      </c>
      <c r="B5" s="8" t="s">
        <v>150</v>
      </c>
      <c r="C5" s="254" t="s">
        <v>258</v>
      </c>
      <c r="D5" s="254" t="s">
        <v>259</v>
      </c>
      <c r="E5" s="254" t="s">
        <v>259</v>
      </c>
      <c r="F5" s="15"/>
      <c r="G5" s="15"/>
      <c r="H5" s="15"/>
      <c r="I5" s="218" t="s">
        <v>22</v>
      </c>
    </row>
    <row r="6" spans="1:12" ht="31.5" customHeight="1">
      <c r="A6" s="219"/>
      <c r="B6" s="8" t="s">
        <v>151</v>
      </c>
      <c r="C6" s="255" t="s">
        <v>260</v>
      </c>
      <c r="D6" s="255" t="s">
        <v>261</v>
      </c>
      <c r="E6" s="255" t="s">
        <v>262</v>
      </c>
      <c r="F6" s="15"/>
      <c r="G6" s="15"/>
      <c r="H6" s="15"/>
      <c r="I6" s="218"/>
      <c r="K6" s="6">
        <v>100</v>
      </c>
    </row>
    <row r="7" spans="1:12" ht="36.75" customHeight="1">
      <c r="A7" s="219"/>
      <c r="B7" s="21" t="s">
        <v>202</v>
      </c>
      <c r="C7" s="256" t="s">
        <v>263</v>
      </c>
      <c r="D7" s="255" t="s">
        <v>264</v>
      </c>
      <c r="E7" s="255" t="s">
        <v>264</v>
      </c>
      <c r="F7" s="20"/>
      <c r="G7" s="20"/>
      <c r="H7" s="20"/>
      <c r="I7" s="218"/>
      <c r="K7" s="6">
        <f>K6*(1-$E$3)</f>
        <v>97</v>
      </c>
      <c r="L7" s="6">
        <f>K7/$K$6</f>
        <v>0.97</v>
      </c>
    </row>
    <row r="8" spans="1:12" ht="33">
      <c r="A8" s="219"/>
      <c r="B8" s="21" t="s">
        <v>203</v>
      </c>
      <c r="C8" s="255">
        <f>430+148.3</f>
        <v>578.29999999999995</v>
      </c>
      <c r="D8" s="255">
        <f>506+202.1</f>
        <v>708.1</v>
      </c>
      <c r="E8" s="255">
        <f>480+202.1</f>
        <v>682.1</v>
      </c>
      <c r="F8" s="20"/>
      <c r="G8" s="20"/>
      <c r="H8" s="20"/>
      <c r="I8" s="218"/>
      <c r="K8" s="6">
        <f>K7*(1-$E$3)</f>
        <v>94.09</v>
      </c>
      <c r="L8" s="6">
        <f t="shared" ref="L8:L10" si="0">K8/$K$6</f>
        <v>0.94090000000000007</v>
      </c>
    </row>
    <row r="9" spans="1:12" ht="17.25">
      <c r="A9" s="219" t="s">
        <v>204</v>
      </c>
      <c r="B9" s="182" t="s">
        <v>268</v>
      </c>
      <c r="C9" s="257">
        <v>50000</v>
      </c>
      <c r="D9" s="257">
        <v>25000</v>
      </c>
      <c r="E9" s="257">
        <v>25000</v>
      </c>
      <c r="F9" s="23"/>
      <c r="G9" s="23"/>
      <c r="H9" s="23"/>
      <c r="I9" s="26">
        <f>SUM(C9:H9)</f>
        <v>100000</v>
      </c>
      <c r="K9" s="6">
        <f t="shared" ref="K9:K10" si="1">K8*(1-$E$3)</f>
        <v>91.267300000000006</v>
      </c>
      <c r="L9" s="6">
        <f t="shared" si="0"/>
        <v>0.91267300000000007</v>
      </c>
    </row>
    <row r="10" spans="1:12" ht="17.25">
      <c r="A10" s="219"/>
      <c r="B10" s="186" t="s">
        <v>194</v>
      </c>
      <c r="C10" s="257">
        <v>100000</v>
      </c>
      <c r="D10" s="257">
        <v>50000</v>
      </c>
      <c r="E10" s="257">
        <v>50000</v>
      </c>
      <c r="F10" s="23"/>
      <c r="G10" s="23"/>
      <c r="H10" s="23"/>
      <c r="I10" s="26">
        <f t="shared" ref="I10:I14" si="2">SUM(C10:H10)</f>
        <v>200000</v>
      </c>
      <c r="K10" s="6">
        <f t="shared" si="1"/>
        <v>88.529280999999997</v>
      </c>
      <c r="L10" s="6">
        <f t="shared" si="0"/>
        <v>0.88529280999999993</v>
      </c>
    </row>
    <row r="11" spans="1:12" ht="17.25">
      <c r="A11" s="219"/>
      <c r="B11" s="186" t="s">
        <v>195</v>
      </c>
      <c r="C11" s="257">
        <v>150000</v>
      </c>
      <c r="D11" s="257">
        <v>75000</v>
      </c>
      <c r="E11" s="257">
        <v>75000</v>
      </c>
      <c r="F11" s="23"/>
      <c r="G11" s="23"/>
      <c r="H11" s="23"/>
      <c r="I11" s="26">
        <f t="shared" si="2"/>
        <v>300000</v>
      </c>
    </row>
    <row r="12" spans="1:12" ht="17.25">
      <c r="A12" s="219"/>
      <c r="B12" s="186" t="s">
        <v>249</v>
      </c>
      <c r="C12" s="23"/>
      <c r="D12" s="23"/>
      <c r="E12" s="23"/>
      <c r="F12" s="23"/>
      <c r="G12" s="23"/>
      <c r="H12" s="23"/>
      <c r="I12" s="26">
        <f t="shared" si="2"/>
        <v>0</v>
      </c>
    </row>
    <row r="13" spans="1:12" ht="17.25">
      <c r="A13" s="219"/>
      <c r="B13" s="186" t="s">
        <v>269</v>
      </c>
      <c r="C13" s="23"/>
      <c r="D13" s="23"/>
      <c r="E13" s="23"/>
      <c r="F13" s="23"/>
      <c r="G13" s="23"/>
      <c r="H13" s="23"/>
      <c r="I13" s="26">
        <f t="shared" si="2"/>
        <v>0</v>
      </c>
    </row>
    <row r="14" spans="1:12" ht="17.25">
      <c r="A14" s="219"/>
      <c r="B14" s="182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18" t="s">
        <v>22</v>
      </c>
      <c r="B15" s="218"/>
      <c r="C15" s="24">
        <f t="shared" ref="C15:I15" si="3">SUM(C9:C14)</f>
        <v>300000</v>
      </c>
      <c r="D15" s="24">
        <f t="shared" si="3"/>
        <v>150000</v>
      </c>
      <c r="E15" s="24">
        <f t="shared" si="3"/>
        <v>150000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600000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workbookViewId="0">
      <pane xSplit="3" ySplit="5" topLeftCell="D6" activePane="bottomRight" state="frozen"/>
      <selection pane="topRight"/>
      <selection pane="bottomLeft"/>
      <selection pane="bottomRight" activeCell="G31" sqref="G31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28" t="s">
        <v>7</v>
      </c>
      <c r="B1" s="228"/>
      <c r="C1" s="7"/>
      <c r="K1" s="14"/>
    </row>
    <row r="2" spans="1:12">
      <c r="A2" s="229" t="s">
        <v>205</v>
      </c>
      <c r="B2" s="229"/>
      <c r="C2" s="230"/>
      <c r="D2" s="230"/>
      <c r="E2" s="231" t="s">
        <v>243</v>
      </c>
      <c r="F2" s="232"/>
      <c r="G2" s="232"/>
      <c r="H2" s="232"/>
      <c r="I2" s="232"/>
      <c r="J2" s="233"/>
    </row>
    <row r="3" spans="1:12">
      <c r="A3" s="243" t="s">
        <v>19</v>
      </c>
      <c r="B3" s="243" t="s">
        <v>206</v>
      </c>
      <c r="C3" s="8" t="s">
        <v>207</v>
      </c>
      <c r="D3" s="234"/>
      <c r="E3" s="234"/>
      <c r="F3" s="8" t="s">
        <v>208</v>
      </c>
      <c r="G3" s="220"/>
      <c r="H3" s="221"/>
      <c r="I3" s="222"/>
      <c r="J3" s="235" t="s">
        <v>161</v>
      </c>
    </row>
    <row r="4" spans="1:12">
      <c r="A4" s="243"/>
      <c r="B4" s="243"/>
      <c r="C4" s="8" t="s">
        <v>150</v>
      </c>
      <c r="D4" s="163" t="str">
        <f>销量!C5</f>
        <v>驾驶员座椅</v>
      </c>
      <c r="E4" s="163" t="str">
        <f>销量!D5</f>
        <v>副驾驶员座椅</v>
      </c>
      <c r="F4" s="163" t="str">
        <f>销量!E5</f>
        <v>副驾驶员座椅</v>
      </c>
      <c r="G4" s="163">
        <f>销量!F5</f>
        <v>0</v>
      </c>
      <c r="H4" s="163">
        <f>销量!G5</f>
        <v>0</v>
      </c>
      <c r="I4" s="163">
        <f>销量!H5</f>
        <v>0</v>
      </c>
      <c r="J4" s="236"/>
    </row>
    <row r="5" spans="1:12" ht="28.5">
      <c r="A5" s="243"/>
      <c r="B5" s="243"/>
      <c r="C5" s="8" t="s">
        <v>151</v>
      </c>
      <c r="D5" s="163" t="str">
        <f>销量!C6</f>
        <v>L168100000146</v>
      </c>
      <c r="E5" s="163" t="str">
        <f>销量!D6</f>
        <v>L168100000147（2060）</v>
      </c>
      <c r="F5" s="163" t="str">
        <f>销量!E6</f>
        <v>L168100000149（1880）</v>
      </c>
      <c r="G5" s="163">
        <f>销量!F6</f>
        <v>0</v>
      </c>
      <c r="H5" s="163">
        <f>销量!G6</f>
        <v>0</v>
      </c>
      <c r="I5" s="163">
        <f>销量!H6</f>
        <v>0</v>
      </c>
      <c r="J5" s="237"/>
    </row>
    <row r="6" spans="1:12" ht="16.5" customHeight="1">
      <c r="A6" s="11">
        <v>1</v>
      </c>
      <c r="B6" s="238" t="s">
        <v>250</v>
      </c>
      <c r="C6" s="239"/>
      <c r="D6" s="12">
        <f>销量!C8*0.8</f>
        <v>462.64</v>
      </c>
      <c r="E6" s="12">
        <f>销量!D8*0.8</f>
        <v>566.48</v>
      </c>
      <c r="F6" s="12">
        <f>销量!E8*0.8</f>
        <v>545.68000000000006</v>
      </c>
      <c r="G6" s="12"/>
      <c r="H6" s="12"/>
      <c r="I6" s="12"/>
      <c r="J6" s="184"/>
    </row>
    <row r="7" spans="1:12" ht="16.5" customHeight="1">
      <c r="A7" s="11">
        <v>2</v>
      </c>
      <c r="B7" s="238"/>
      <c r="C7" s="239"/>
      <c r="D7" s="10"/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38"/>
      <c r="C8" s="239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38"/>
      <c r="C9" s="239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38"/>
      <c r="C10" s="239"/>
      <c r="D10" s="12"/>
      <c r="E10" s="10"/>
      <c r="F10" s="12"/>
      <c r="G10" s="10"/>
      <c r="H10" s="10"/>
      <c r="I10" s="10"/>
      <c r="J10" s="15"/>
      <c r="K10" s="244"/>
      <c r="L10" s="245"/>
    </row>
    <row r="11" spans="1:12" ht="16.5" customHeight="1">
      <c r="A11" s="11">
        <v>6</v>
      </c>
      <c r="B11" s="238"/>
      <c r="C11" s="239"/>
      <c r="D11" s="12"/>
      <c r="E11" s="10"/>
      <c r="F11" s="12"/>
      <c r="G11" s="10"/>
      <c r="H11" s="10"/>
      <c r="I11" s="10"/>
      <c r="J11" s="15"/>
      <c r="K11" s="244"/>
      <c r="L11" s="245"/>
    </row>
    <row r="12" spans="1:12" ht="16.5" customHeight="1">
      <c r="A12" s="11">
        <v>7</v>
      </c>
      <c r="B12" s="238"/>
      <c r="C12" s="239"/>
      <c r="D12" s="12"/>
      <c r="E12" s="10"/>
      <c r="F12" s="12"/>
      <c r="G12" s="10"/>
      <c r="H12" s="10"/>
      <c r="I12" s="10"/>
      <c r="J12" s="15"/>
      <c r="K12" s="244"/>
      <c r="L12" s="245"/>
    </row>
    <row r="13" spans="1:12" ht="16.5" customHeight="1">
      <c r="A13" s="11">
        <v>8</v>
      </c>
      <c r="B13" s="238"/>
      <c r="C13" s="239"/>
      <c r="D13" s="12"/>
      <c r="E13" s="10"/>
      <c r="F13" s="12"/>
      <c r="G13" s="10"/>
      <c r="H13" s="10"/>
      <c r="I13" s="10"/>
      <c r="J13" s="15"/>
      <c r="K13" s="244"/>
      <c r="L13" s="245"/>
    </row>
    <row r="14" spans="1:12" ht="16.5" customHeight="1">
      <c r="A14" s="11">
        <v>9</v>
      </c>
      <c r="B14" s="238"/>
      <c r="C14" s="239"/>
      <c r="D14" s="12"/>
      <c r="E14" s="10"/>
      <c r="F14" s="12"/>
      <c r="G14" s="10"/>
      <c r="H14" s="10"/>
      <c r="I14" s="10"/>
      <c r="J14" s="15"/>
      <c r="K14" s="244"/>
      <c r="L14" s="245"/>
    </row>
    <row r="15" spans="1:12" ht="16.5" customHeight="1">
      <c r="A15" s="11">
        <v>10</v>
      </c>
      <c r="B15" s="238"/>
      <c r="C15" s="239"/>
      <c r="D15" s="12"/>
      <c r="E15" s="10"/>
      <c r="F15" s="12"/>
      <c r="G15" s="10"/>
      <c r="H15" s="10"/>
      <c r="I15" s="10"/>
      <c r="J15" s="15"/>
      <c r="K15" s="244"/>
      <c r="L15" s="245"/>
    </row>
    <row r="16" spans="1:12" ht="16.5" customHeight="1">
      <c r="A16" s="11">
        <v>11</v>
      </c>
      <c r="B16" s="238"/>
      <c r="C16" s="239"/>
      <c r="D16" s="12"/>
      <c r="E16" s="10"/>
      <c r="F16" s="12"/>
      <c r="G16" s="10"/>
      <c r="H16" s="10"/>
      <c r="I16" s="10"/>
      <c r="J16" s="15"/>
      <c r="K16" s="244"/>
      <c r="L16" s="245"/>
    </row>
    <row r="17" spans="1:12" ht="16.5" customHeight="1">
      <c r="A17" s="11">
        <v>12</v>
      </c>
      <c r="B17" s="238"/>
      <c r="C17" s="239"/>
      <c r="D17" s="12"/>
      <c r="E17" s="10"/>
      <c r="F17" s="12"/>
      <c r="G17" s="10"/>
      <c r="H17" s="10"/>
      <c r="I17" s="10"/>
      <c r="J17" s="15"/>
      <c r="K17" s="244"/>
      <c r="L17" s="245"/>
    </row>
    <row r="18" spans="1:12" ht="16.5" customHeight="1">
      <c r="A18" s="11">
        <v>13</v>
      </c>
      <c r="B18" s="238"/>
      <c r="C18" s="239"/>
      <c r="D18" s="12"/>
      <c r="E18" s="10"/>
      <c r="F18" s="12"/>
      <c r="G18" s="10"/>
      <c r="H18" s="10"/>
      <c r="I18" s="10"/>
      <c r="J18" s="15"/>
      <c r="K18" s="244"/>
      <c r="L18" s="245"/>
    </row>
    <row r="19" spans="1:12" ht="16.5" customHeight="1">
      <c r="A19" s="11">
        <v>14</v>
      </c>
      <c r="B19" s="238"/>
      <c r="C19" s="239"/>
      <c r="D19" s="12"/>
      <c r="E19" s="10"/>
      <c r="F19" s="12"/>
      <c r="G19" s="10"/>
      <c r="H19" s="10"/>
      <c r="I19" s="10"/>
      <c r="J19" s="15"/>
      <c r="K19" s="244"/>
      <c r="L19" s="245"/>
    </row>
    <row r="20" spans="1:12" ht="16.5" customHeight="1">
      <c r="A20" s="11">
        <v>15</v>
      </c>
      <c r="B20" s="238"/>
      <c r="C20" s="239"/>
      <c r="D20" s="12"/>
      <c r="E20" s="12"/>
      <c r="F20" s="12"/>
      <c r="G20" s="12"/>
      <c r="H20" s="10"/>
      <c r="I20" s="10"/>
      <c r="J20" s="15"/>
      <c r="K20" s="244"/>
      <c r="L20" s="245"/>
    </row>
    <row r="21" spans="1:12" ht="16.5" customHeight="1">
      <c r="A21" s="11">
        <v>16</v>
      </c>
      <c r="B21" s="238"/>
      <c r="C21" s="239"/>
      <c r="D21" s="10"/>
      <c r="E21" s="12"/>
      <c r="F21" s="10"/>
      <c r="G21" s="12"/>
      <c r="H21" s="10"/>
      <c r="I21" s="10"/>
      <c r="J21" s="15"/>
      <c r="K21" s="244"/>
      <c r="L21" s="245"/>
    </row>
    <row r="22" spans="1:12" ht="16.5" customHeight="1">
      <c r="A22" s="11">
        <v>17</v>
      </c>
      <c r="B22" s="238"/>
      <c r="C22" s="239"/>
      <c r="D22" s="10"/>
      <c r="E22" s="12"/>
      <c r="F22" s="10"/>
      <c r="G22" s="12"/>
      <c r="H22" s="10"/>
      <c r="I22" s="10"/>
      <c r="J22" s="15"/>
      <c r="K22" s="244"/>
      <c r="L22" s="245"/>
    </row>
    <row r="23" spans="1:12" ht="16.5" customHeight="1">
      <c r="A23" s="11">
        <v>18</v>
      </c>
      <c r="B23" s="238"/>
      <c r="C23" s="239"/>
      <c r="D23" s="10"/>
      <c r="E23" s="12"/>
      <c r="F23" s="10"/>
      <c r="G23" s="12"/>
      <c r="H23" s="10"/>
      <c r="I23" s="10"/>
      <c r="J23" s="15"/>
      <c r="K23" s="244"/>
      <c r="L23" s="245"/>
    </row>
    <row r="24" spans="1:12" ht="16.5" customHeight="1">
      <c r="A24" s="11">
        <v>19</v>
      </c>
      <c r="B24" s="238"/>
      <c r="C24" s="239"/>
      <c r="D24" s="10"/>
      <c r="E24" s="12"/>
      <c r="F24" s="10"/>
      <c r="G24" s="12"/>
      <c r="H24" s="10"/>
      <c r="I24" s="10"/>
      <c r="J24" s="15"/>
      <c r="K24" s="244"/>
      <c r="L24" s="245"/>
    </row>
    <row r="25" spans="1:12">
      <c r="A25" s="11">
        <v>20</v>
      </c>
      <c r="B25" s="238"/>
      <c r="C25" s="239"/>
      <c r="D25" s="10"/>
      <c r="E25" s="12"/>
      <c r="F25" s="10"/>
      <c r="G25" s="12"/>
      <c r="H25" s="10"/>
      <c r="I25" s="10"/>
      <c r="J25" s="15"/>
      <c r="K25" s="244"/>
      <c r="L25" s="245"/>
    </row>
    <row r="26" spans="1:12">
      <c r="A26" s="11">
        <v>21</v>
      </c>
      <c r="B26" s="238"/>
      <c r="C26" s="239"/>
      <c r="D26" s="10"/>
      <c r="E26" s="12"/>
      <c r="F26" s="10"/>
      <c r="G26" s="12"/>
      <c r="H26" s="10"/>
      <c r="I26" s="10"/>
      <c r="J26" s="15"/>
      <c r="K26" s="244"/>
      <c r="L26" s="245"/>
    </row>
    <row r="27" spans="1:12">
      <c r="A27" s="11">
        <v>22</v>
      </c>
      <c r="B27" s="238"/>
      <c r="C27" s="239"/>
      <c r="D27" s="10"/>
      <c r="E27" s="12"/>
      <c r="F27" s="10"/>
      <c r="G27" s="12"/>
      <c r="H27" s="10"/>
      <c r="I27" s="10"/>
      <c r="J27" s="15"/>
      <c r="K27" s="244"/>
      <c r="L27" s="245"/>
    </row>
    <row r="28" spans="1:12">
      <c r="A28" s="11">
        <v>23</v>
      </c>
      <c r="B28" s="238"/>
      <c r="C28" s="239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38"/>
      <c r="C29" s="239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38"/>
      <c r="C30" s="239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38"/>
      <c r="C31" s="239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38"/>
      <c r="C32" s="239"/>
      <c r="D32" s="10"/>
      <c r="E32" s="10"/>
      <c r="F32" s="10"/>
      <c r="G32" s="10"/>
      <c r="H32" s="10"/>
      <c r="I32" s="10"/>
      <c r="J32" s="15"/>
    </row>
    <row r="33" spans="1:10" ht="31.5" customHeight="1">
      <c r="A33" s="240" t="s">
        <v>209</v>
      </c>
      <c r="B33" s="241"/>
      <c r="C33" s="242"/>
      <c r="D33" s="13">
        <f>SUM(D6:D32)</f>
        <v>462.64</v>
      </c>
      <c r="E33" s="13">
        <f t="shared" ref="E33:I33" si="0">SUM(E6:E32)</f>
        <v>566.48</v>
      </c>
      <c r="F33" s="13">
        <f t="shared" si="0"/>
        <v>545.68000000000006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9"/>
      <c r="E34" s="169"/>
    </row>
    <row r="38" spans="1:10" ht="27.75" customHeight="1">
      <c r="D38" s="219" t="s">
        <v>246</v>
      </c>
      <c r="E38" s="219"/>
      <c r="F38" s="219"/>
      <c r="G38" s="219"/>
      <c r="H38" s="219"/>
      <c r="I38" s="219"/>
      <c r="J38" s="219"/>
    </row>
    <row r="39" spans="1:10">
      <c r="D39" s="223" t="s">
        <v>244</v>
      </c>
      <c r="E39" s="225" t="s">
        <v>245</v>
      </c>
      <c r="F39" s="226"/>
      <c r="G39" s="226"/>
      <c r="H39" s="226"/>
      <c r="I39" s="226"/>
      <c r="J39" s="227"/>
    </row>
    <row r="40" spans="1:10">
      <c r="D40" s="224"/>
      <c r="E40" s="173" t="s">
        <v>20</v>
      </c>
      <c r="F40" s="173" t="s">
        <v>21</v>
      </c>
      <c r="G40" s="173" t="s">
        <v>193</v>
      </c>
      <c r="H40" s="173" t="s">
        <v>194</v>
      </c>
      <c r="I40" s="182" t="s">
        <v>195</v>
      </c>
      <c r="J40" s="173" t="s">
        <v>249</v>
      </c>
    </row>
    <row r="41" spans="1:10" ht="28.5">
      <c r="D41" s="163" t="s">
        <v>251</v>
      </c>
      <c r="E41" s="178">
        <f>D33</f>
        <v>462.64</v>
      </c>
      <c r="F41" s="178">
        <f>E41*(1-0.03)</f>
        <v>448.76079999999996</v>
      </c>
      <c r="G41" s="178">
        <f>F41*(1-0.03)</f>
        <v>435.29797599999995</v>
      </c>
      <c r="H41" s="178">
        <f t="shared" ref="H41:J41" si="1">G41*(1-0.03)</f>
        <v>422.23903671999994</v>
      </c>
      <c r="I41" s="178">
        <f>H41*(1-0.03)</f>
        <v>409.57186561839995</v>
      </c>
      <c r="J41" s="178">
        <f t="shared" si="1"/>
        <v>397.28470964984797</v>
      </c>
    </row>
    <row r="42" spans="1:10">
      <c r="D42" s="15" t="s">
        <v>252</v>
      </c>
      <c r="E42" s="185">
        <f>E33</f>
        <v>566.48</v>
      </c>
      <c r="F42" s="178">
        <f t="shared" ref="F42:G42" si="2">E42*(1-0.03)</f>
        <v>549.48559999999998</v>
      </c>
      <c r="G42" s="178">
        <f t="shared" si="2"/>
        <v>533.00103200000001</v>
      </c>
      <c r="H42" s="178">
        <f>G42*(1-0.03)</f>
        <v>517.01100104</v>
      </c>
      <c r="I42" s="178">
        <f t="shared" ref="I42:I46" si="3">H42*(1-0.03)</f>
        <v>501.5006710088</v>
      </c>
      <c r="J42" s="178">
        <f t="shared" ref="J42:J46" si="4">I42*(1-0.03)</f>
        <v>486.45565087853601</v>
      </c>
    </row>
    <row r="43" spans="1:10">
      <c r="D43" s="15" t="s">
        <v>253</v>
      </c>
      <c r="E43" s="185">
        <f>F33</f>
        <v>545.68000000000006</v>
      </c>
      <c r="F43" s="178">
        <f t="shared" ref="F43:G43" si="5">E43*(1-0.03)</f>
        <v>529.30960000000005</v>
      </c>
      <c r="G43" s="178">
        <f t="shared" si="5"/>
        <v>513.43031200000007</v>
      </c>
      <c r="H43" s="178">
        <f t="shared" ref="H43:H46" si="6">G43*(1-0.03)</f>
        <v>498.02740264000005</v>
      </c>
      <c r="I43" s="178">
        <f t="shared" si="3"/>
        <v>483.08658056080003</v>
      </c>
      <c r="J43" s="178">
        <f t="shared" si="4"/>
        <v>468.593983143976</v>
      </c>
    </row>
    <row r="44" spans="1:10">
      <c r="D44" s="15" t="s">
        <v>254</v>
      </c>
      <c r="E44" s="185">
        <f>G33</f>
        <v>0</v>
      </c>
      <c r="F44" s="178">
        <f t="shared" ref="F44:G44" si="7">E44*(1-0.03)</f>
        <v>0</v>
      </c>
      <c r="G44" s="178">
        <f t="shared" si="7"/>
        <v>0</v>
      </c>
      <c r="H44" s="178">
        <f t="shared" si="6"/>
        <v>0</v>
      </c>
      <c r="I44" s="178">
        <f t="shared" si="3"/>
        <v>0</v>
      </c>
      <c r="J44" s="178">
        <f t="shared" si="4"/>
        <v>0</v>
      </c>
    </row>
    <row r="45" spans="1:10">
      <c r="D45" s="15" t="s">
        <v>255</v>
      </c>
      <c r="E45" s="185">
        <f>H33</f>
        <v>0</v>
      </c>
      <c r="F45" s="178">
        <f t="shared" ref="F45:G45" si="8">E45*(1-0.03)</f>
        <v>0</v>
      </c>
      <c r="G45" s="178">
        <f t="shared" si="8"/>
        <v>0</v>
      </c>
      <c r="H45" s="178">
        <f t="shared" si="6"/>
        <v>0</v>
      </c>
      <c r="I45" s="178">
        <f t="shared" si="3"/>
        <v>0</v>
      </c>
      <c r="J45" s="178">
        <f t="shared" si="4"/>
        <v>0</v>
      </c>
    </row>
    <row r="46" spans="1:10">
      <c r="D46" s="15" t="s">
        <v>256</v>
      </c>
      <c r="E46" s="185">
        <f>I33</f>
        <v>0</v>
      </c>
      <c r="F46" s="178">
        <f t="shared" ref="F46:G46" si="9">E46*(1-0.03)</f>
        <v>0</v>
      </c>
      <c r="G46" s="178">
        <f t="shared" si="9"/>
        <v>0</v>
      </c>
      <c r="H46" s="178">
        <f t="shared" si="6"/>
        <v>0</v>
      </c>
      <c r="I46" s="178">
        <f t="shared" si="3"/>
        <v>0</v>
      </c>
      <c r="J46" s="178">
        <f t="shared" si="4"/>
        <v>0</v>
      </c>
    </row>
  </sheetData>
  <mergeCells count="57"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  <mergeCell ref="K15:L15"/>
    <mergeCell ref="K16:L16"/>
    <mergeCell ref="K17:L17"/>
    <mergeCell ref="K18:L18"/>
    <mergeCell ref="K19:L19"/>
    <mergeCell ref="K10:L10"/>
    <mergeCell ref="K11:L11"/>
    <mergeCell ref="K12:L12"/>
    <mergeCell ref="K13:L13"/>
    <mergeCell ref="K14:L14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B11:C11"/>
    <mergeCell ref="B12:C12"/>
    <mergeCell ref="B13:C13"/>
    <mergeCell ref="B14:C14"/>
    <mergeCell ref="B15:C15"/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C8" sqref="C8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19</v>
      </c>
      <c r="B1" s="1" t="s">
        <v>210</v>
      </c>
      <c r="C1" s="1" t="s">
        <v>211</v>
      </c>
      <c r="D1" s="1" t="s">
        <v>212</v>
      </c>
      <c r="E1" s="1" t="s">
        <v>213</v>
      </c>
    </row>
    <row r="2" spans="1:6" ht="19.5" customHeight="1">
      <c r="A2" s="1">
        <v>1</v>
      </c>
      <c r="B2" s="1" t="s">
        <v>214</v>
      </c>
      <c r="C2" s="166"/>
      <c r="D2" s="1"/>
      <c r="E2" s="1"/>
    </row>
    <row r="3" spans="1:6" ht="19.5" customHeight="1">
      <c r="A3" s="1">
        <v>2</v>
      </c>
      <c r="B3" s="1" t="s">
        <v>215</v>
      </c>
      <c r="C3" s="166"/>
      <c r="D3" s="1"/>
      <c r="E3" s="1"/>
    </row>
    <row r="4" spans="1:6" ht="19.5" customHeight="1">
      <c r="A4" s="1">
        <v>3</v>
      </c>
      <c r="B4" s="1" t="s">
        <v>216</v>
      </c>
      <c r="C4" s="166"/>
      <c r="D4" s="1"/>
      <c r="E4" s="1"/>
    </row>
    <row r="5" spans="1:6" ht="19.5" customHeight="1">
      <c r="A5" s="1">
        <v>4</v>
      </c>
      <c r="B5" s="1" t="s">
        <v>217</v>
      </c>
      <c r="C5" s="166"/>
      <c r="D5" s="1"/>
      <c r="E5" s="1"/>
    </row>
    <row r="6" spans="1:6" ht="35.25" customHeight="1">
      <c r="A6" s="1">
        <v>5</v>
      </c>
      <c r="B6" s="1" t="s">
        <v>218</v>
      </c>
      <c r="C6" s="166"/>
      <c r="D6" s="1"/>
      <c r="E6" s="1"/>
    </row>
    <row r="7" spans="1:6" ht="37.5" customHeight="1">
      <c r="A7" s="1">
        <v>6</v>
      </c>
      <c r="B7" s="1" t="s">
        <v>219</v>
      </c>
      <c r="C7" s="166"/>
      <c r="D7" s="1"/>
      <c r="E7" s="1"/>
    </row>
    <row r="8" spans="1:6" ht="42.75" customHeight="1">
      <c r="A8" s="1">
        <v>7</v>
      </c>
      <c r="B8" s="1" t="s">
        <v>220</v>
      </c>
      <c r="C8" s="166"/>
      <c r="D8" s="1"/>
      <c r="E8" s="1"/>
    </row>
    <row r="9" spans="1:6" ht="39" customHeight="1">
      <c r="A9" s="1">
        <v>8</v>
      </c>
      <c r="B9" s="1" t="s">
        <v>221</v>
      </c>
      <c r="C9" s="166"/>
      <c r="D9" s="1"/>
      <c r="E9" s="1"/>
    </row>
    <row r="10" spans="1:6" ht="36" customHeight="1">
      <c r="A10" s="1">
        <v>9</v>
      </c>
      <c r="B10" s="1" t="s">
        <v>222</v>
      </c>
      <c r="C10" s="166"/>
      <c r="D10" s="1"/>
      <c r="E10" s="1"/>
    </row>
    <row r="11" spans="1:6" ht="35.25" customHeight="1">
      <c r="A11" s="1">
        <v>10</v>
      </c>
      <c r="B11" s="1" t="s">
        <v>223</v>
      </c>
      <c r="C11" s="166"/>
      <c r="D11" s="1"/>
      <c r="E11" s="1"/>
      <c r="F11" s="167" t="s">
        <v>241</v>
      </c>
    </row>
    <row r="12" spans="1:6" ht="19.5" customHeight="1">
      <c r="A12" s="1">
        <v>11</v>
      </c>
      <c r="B12" s="1" t="s">
        <v>224</v>
      </c>
      <c r="C12" s="166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I8" sqref="I8"/>
    </sheetView>
  </sheetViews>
  <sheetFormatPr defaultColWidth="9" defaultRowHeight="13.5"/>
  <cols>
    <col min="1" max="2" width="9" style="69"/>
    <col min="3" max="5" width="15.75" style="69" customWidth="1"/>
    <col min="6" max="8" width="11.125" style="69" customWidth="1"/>
    <col min="9" max="9" width="12.875" style="152" customWidth="1"/>
    <col min="10" max="16384" width="9" style="69"/>
  </cols>
  <sheetData>
    <row r="1" spans="1:12" s="149" customFormat="1" ht="18.75" customHeight="1">
      <c r="G1" s="251" t="s">
        <v>225</v>
      </c>
      <c r="H1" s="251"/>
      <c r="I1" s="150"/>
    </row>
    <row r="2" spans="1:12" ht="39" customHeight="1">
      <c r="A2" s="252" t="s">
        <v>226</v>
      </c>
      <c r="B2" s="252"/>
      <c r="C2" s="246" t="s">
        <v>227</v>
      </c>
      <c r="D2" s="253"/>
      <c r="E2" s="253"/>
      <c r="F2" s="253"/>
      <c r="G2" s="253"/>
      <c r="H2" s="247"/>
      <c r="I2" s="151" t="s">
        <v>234</v>
      </c>
      <c r="K2" s="172"/>
      <c r="L2" s="172"/>
    </row>
    <row r="3" spans="1:12" ht="34.5" customHeight="1">
      <c r="A3" s="252"/>
      <c r="B3" s="252"/>
      <c r="C3" s="160" t="s">
        <v>236</v>
      </c>
      <c r="D3" s="160" t="s">
        <v>237</v>
      </c>
      <c r="E3" s="160" t="s">
        <v>235</v>
      </c>
      <c r="F3" s="161" t="s">
        <v>240</v>
      </c>
      <c r="G3" s="161" t="s">
        <v>239</v>
      </c>
      <c r="H3" s="161" t="s">
        <v>238</v>
      </c>
      <c r="I3" s="165">
        <f>销量!C8</f>
        <v>578.29999999999995</v>
      </c>
    </row>
    <row r="4" spans="1:12" ht="24" customHeight="1">
      <c r="A4" s="248" t="s">
        <v>228</v>
      </c>
      <c r="B4" s="248"/>
      <c r="C4" s="3"/>
      <c r="D4" s="153"/>
      <c r="E4" s="154">
        <f>$I$3*I4</f>
        <v>24.924729999999997</v>
      </c>
      <c r="F4" s="154"/>
      <c r="G4" s="154"/>
      <c r="H4" s="155">
        <v>4.48E-2</v>
      </c>
      <c r="I4" s="152">
        <v>4.3099999999999999E-2</v>
      </c>
      <c r="J4" s="170"/>
      <c r="K4" s="70"/>
      <c r="L4" s="70"/>
    </row>
    <row r="5" spans="1:12" ht="24" customHeight="1">
      <c r="A5" s="248" t="s">
        <v>229</v>
      </c>
      <c r="B5" s="156" t="s">
        <v>230</v>
      </c>
      <c r="C5" s="3"/>
      <c r="D5" s="153"/>
      <c r="E5" s="154">
        <f>I3*H5</f>
        <v>23.363319999999998</v>
      </c>
      <c r="F5" s="154"/>
      <c r="G5" s="154"/>
      <c r="H5" s="155">
        <v>4.0399999999999998E-2</v>
      </c>
      <c r="J5" s="171"/>
      <c r="K5" s="70"/>
      <c r="L5" s="70"/>
    </row>
    <row r="6" spans="1:12" ht="24" customHeight="1">
      <c r="A6" s="248"/>
      <c r="B6" s="156" t="s">
        <v>231</v>
      </c>
      <c r="C6" s="3"/>
      <c r="D6" s="153"/>
      <c r="E6" s="154">
        <f t="shared" ref="E6:E11" si="0">$I$3*I6</f>
        <v>12.549109999999999</v>
      </c>
      <c r="F6" s="154"/>
      <c r="G6" s="154"/>
      <c r="H6" s="155">
        <v>1.66E-2</v>
      </c>
      <c r="I6" s="152">
        <v>2.1700000000000001E-2</v>
      </c>
      <c r="J6" s="170"/>
      <c r="K6" s="70"/>
      <c r="L6" s="70"/>
    </row>
    <row r="7" spans="1:12" ht="24" customHeight="1">
      <c r="A7" s="246" t="s">
        <v>232</v>
      </c>
      <c r="B7" s="247"/>
      <c r="C7" s="157"/>
      <c r="D7" s="158"/>
      <c r="E7" s="154">
        <f t="shared" si="0"/>
        <v>37.473839999999996</v>
      </c>
      <c r="F7" s="154"/>
      <c r="G7" s="154"/>
      <c r="H7" s="159">
        <f>SUM(H4:H6)</f>
        <v>0.1018</v>
      </c>
      <c r="I7" s="152">
        <f>SUM(I4:I6)</f>
        <v>6.4799999999999996E-2</v>
      </c>
      <c r="J7" s="170"/>
      <c r="K7" s="70"/>
      <c r="L7" s="70"/>
    </row>
    <row r="8" spans="1:12" ht="24" customHeight="1">
      <c r="A8" s="248" t="s">
        <v>52</v>
      </c>
      <c r="B8" s="248"/>
      <c r="C8" s="3"/>
      <c r="D8" s="153"/>
      <c r="E8" s="154">
        <f>I3*H8</f>
        <v>15.729759999999997</v>
      </c>
      <c r="F8" s="154"/>
      <c r="G8" s="154"/>
      <c r="H8" s="155">
        <f>1.97%+0.75%</f>
        <v>2.7199999999999998E-2</v>
      </c>
      <c r="J8" s="171"/>
      <c r="K8" s="70"/>
      <c r="L8" s="70"/>
    </row>
    <row r="9" spans="1:12" ht="24" customHeight="1">
      <c r="A9" s="249" t="s">
        <v>233</v>
      </c>
      <c r="B9" s="156" t="s">
        <v>230</v>
      </c>
      <c r="C9" s="3"/>
      <c r="D9" s="153"/>
      <c r="E9" s="154">
        <f>I3*H9</f>
        <v>3.0649899999999999</v>
      </c>
      <c r="F9" s="154"/>
      <c r="G9" s="154"/>
      <c r="H9" s="155">
        <v>5.3E-3</v>
      </c>
      <c r="J9" s="152"/>
      <c r="K9" s="70"/>
      <c r="L9" s="70"/>
    </row>
    <row r="10" spans="1:12" ht="24" customHeight="1">
      <c r="A10" s="250"/>
      <c r="B10" s="156" t="s">
        <v>231</v>
      </c>
      <c r="C10" s="3"/>
      <c r="D10" s="153"/>
      <c r="E10" s="154">
        <f t="shared" si="0"/>
        <v>17.348999999999997</v>
      </c>
      <c r="F10" s="154"/>
      <c r="G10" s="154"/>
      <c r="H10" s="155">
        <v>3.4099999999999998E-2</v>
      </c>
      <c r="I10" s="152">
        <v>0.03</v>
      </c>
      <c r="J10" s="152"/>
      <c r="K10" s="70"/>
      <c r="L10" s="70"/>
    </row>
    <row r="11" spans="1:12" ht="24" customHeight="1">
      <c r="A11" s="248" t="s">
        <v>55</v>
      </c>
      <c r="B11" s="248"/>
      <c r="C11" s="3"/>
      <c r="D11" s="153"/>
      <c r="E11" s="154">
        <f t="shared" si="0"/>
        <v>11.565999999999999</v>
      </c>
      <c r="F11" s="154"/>
      <c r="G11" s="154"/>
      <c r="H11" s="155">
        <v>1.0999999999999999E-2</v>
      </c>
      <c r="I11" s="152">
        <v>0.02</v>
      </c>
      <c r="J11" s="152"/>
      <c r="K11" s="70"/>
      <c r="L11" s="70"/>
    </row>
    <row r="15" spans="1:12">
      <c r="A15" s="149"/>
      <c r="B15" s="149"/>
      <c r="C15" s="149"/>
      <c r="D15" s="149"/>
      <c r="E15" s="149"/>
      <c r="F15" s="149"/>
      <c r="G15" s="251" t="s">
        <v>225</v>
      </c>
      <c r="H15" s="251"/>
      <c r="I15" s="150"/>
    </row>
    <row r="16" spans="1:12">
      <c r="A16" s="252" t="s">
        <v>226</v>
      </c>
      <c r="B16" s="252"/>
      <c r="C16" s="246" t="s">
        <v>227</v>
      </c>
      <c r="D16" s="253"/>
      <c r="E16" s="253"/>
      <c r="F16" s="253"/>
      <c r="G16" s="253"/>
      <c r="H16" s="247"/>
      <c r="I16" s="151" t="s">
        <v>234</v>
      </c>
    </row>
    <row r="17" spans="1:9" ht="27">
      <c r="A17" s="252"/>
      <c r="B17" s="252"/>
      <c r="C17" s="160" t="s">
        <v>236</v>
      </c>
      <c r="D17" s="160" t="s">
        <v>237</v>
      </c>
      <c r="E17" s="160" t="s">
        <v>235</v>
      </c>
      <c r="F17" s="161" t="s">
        <v>240</v>
      </c>
      <c r="G17" s="161" t="s">
        <v>239</v>
      </c>
      <c r="H17" s="161" t="s">
        <v>238</v>
      </c>
      <c r="I17" s="165">
        <f>销量!D8</f>
        <v>708.1</v>
      </c>
    </row>
    <row r="18" spans="1:9">
      <c r="A18" s="248" t="s">
        <v>228</v>
      </c>
      <c r="B18" s="248"/>
      <c r="C18" s="3"/>
      <c r="D18" s="153"/>
      <c r="E18" s="154">
        <f>$I$17*I18</f>
        <v>30.519110000000001</v>
      </c>
      <c r="F18" s="154"/>
      <c r="G18" s="154"/>
      <c r="H18" s="155">
        <v>4.48E-2</v>
      </c>
      <c r="I18" s="152">
        <v>4.3099999999999999E-2</v>
      </c>
    </row>
    <row r="19" spans="1:9">
      <c r="A19" s="248" t="s">
        <v>229</v>
      </c>
      <c r="B19" s="183" t="s">
        <v>230</v>
      </c>
      <c r="C19" s="3"/>
      <c r="D19" s="153"/>
      <c r="E19" s="154">
        <f>I17*H19</f>
        <v>28.607240000000001</v>
      </c>
      <c r="F19" s="154"/>
      <c r="G19" s="154"/>
      <c r="H19" s="155">
        <v>4.0399999999999998E-2</v>
      </c>
    </row>
    <row r="20" spans="1:9">
      <c r="A20" s="248"/>
      <c r="B20" s="183" t="s">
        <v>231</v>
      </c>
      <c r="C20" s="3"/>
      <c r="D20" s="153"/>
      <c r="E20" s="154">
        <f>$I$17*I20</f>
        <v>15.365770000000001</v>
      </c>
      <c r="F20" s="154"/>
      <c r="G20" s="154"/>
      <c r="H20" s="155">
        <v>1.66E-2</v>
      </c>
      <c r="I20" s="152">
        <v>2.1700000000000001E-2</v>
      </c>
    </row>
    <row r="21" spans="1:9">
      <c r="A21" s="246" t="s">
        <v>232</v>
      </c>
      <c r="B21" s="247"/>
      <c r="C21" s="157"/>
      <c r="D21" s="158"/>
      <c r="E21" s="154">
        <f>$I$17*I21</f>
        <v>45.884879999999995</v>
      </c>
      <c r="F21" s="154"/>
      <c r="G21" s="154"/>
      <c r="H21" s="159">
        <f>SUM(H18:H20)</f>
        <v>0.1018</v>
      </c>
      <c r="I21" s="152">
        <f>SUM(I18:I20)</f>
        <v>6.4799999999999996E-2</v>
      </c>
    </row>
    <row r="22" spans="1:9">
      <c r="A22" s="248" t="s">
        <v>52</v>
      </c>
      <c r="B22" s="248"/>
      <c r="C22" s="3"/>
      <c r="D22" s="153"/>
      <c r="E22" s="154">
        <f>I17*H22</f>
        <v>19.26032</v>
      </c>
      <c r="F22" s="154"/>
      <c r="G22" s="154"/>
      <c r="H22" s="155">
        <f>1.97%+0.75%</f>
        <v>2.7199999999999998E-2</v>
      </c>
    </row>
    <row r="23" spans="1:9">
      <c r="A23" s="249" t="s">
        <v>233</v>
      </c>
      <c r="B23" s="183" t="s">
        <v>230</v>
      </c>
      <c r="C23" s="3"/>
      <c r="D23" s="153"/>
      <c r="E23" s="154">
        <f>H23*I17</f>
        <v>3.7529300000000001</v>
      </c>
      <c r="F23" s="154"/>
      <c r="G23" s="154"/>
      <c r="H23" s="155">
        <v>5.3E-3</v>
      </c>
    </row>
    <row r="24" spans="1:9">
      <c r="A24" s="250"/>
      <c r="B24" s="183" t="s">
        <v>231</v>
      </c>
      <c r="C24" s="3"/>
      <c r="D24" s="153"/>
      <c r="E24" s="154">
        <f>$I$17*I24</f>
        <v>21.242999999999999</v>
      </c>
      <c r="F24" s="154"/>
      <c r="G24" s="154"/>
      <c r="H24" s="155">
        <v>3.4099999999999998E-2</v>
      </c>
      <c r="I24" s="152">
        <v>0.03</v>
      </c>
    </row>
    <row r="25" spans="1:9">
      <c r="A25" s="248" t="s">
        <v>55</v>
      </c>
      <c r="B25" s="248"/>
      <c r="C25" s="3"/>
      <c r="D25" s="153"/>
      <c r="E25" s="154">
        <f>$I$17*I25</f>
        <v>14.162000000000001</v>
      </c>
      <c r="F25" s="154"/>
      <c r="G25" s="154"/>
      <c r="H25" s="155">
        <v>1.0999999999999999E-2</v>
      </c>
      <c r="I25" s="152">
        <v>0.02</v>
      </c>
    </row>
    <row r="29" spans="1:9">
      <c r="A29" s="149"/>
      <c r="B29" s="149"/>
      <c r="C29" s="149"/>
      <c r="D29" s="149"/>
      <c r="E29" s="149"/>
      <c r="F29" s="149"/>
      <c r="G29" s="251" t="s">
        <v>225</v>
      </c>
      <c r="H29" s="251"/>
      <c r="I29" s="150"/>
    </row>
    <row r="30" spans="1:9">
      <c r="A30" s="252" t="s">
        <v>226</v>
      </c>
      <c r="B30" s="252"/>
      <c r="C30" s="246" t="s">
        <v>227</v>
      </c>
      <c r="D30" s="253"/>
      <c r="E30" s="253"/>
      <c r="F30" s="253"/>
      <c r="G30" s="253"/>
      <c r="H30" s="247"/>
      <c r="I30" s="151" t="s">
        <v>234</v>
      </c>
    </row>
    <row r="31" spans="1:9" ht="27">
      <c r="A31" s="252"/>
      <c r="B31" s="252"/>
      <c r="C31" s="160" t="s">
        <v>236</v>
      </c>
      <c r="D31" s="160" t="s">
        <v>237</v>
      </c>
      <c r="E31" s="160" t="s">
        <v>235</v>
      </c>
      <c r="F31" s="161" t="s">
        <v>240</v>
      </c>
      <c r="G31" s="161" t="s">
        <v>239</v>
      </c>
      <c r="H31" s="161" t="s">
        <v>238</v>
      </c>
      <c r="I31" s="165">
        <f>销量!E8</f>
        <v>682.1</v>
      </c>
    </row>
    <row r="32" spans="1:9">
      <c r="A32" s="248" t="s">
        <v>228</v>
      </c>
      <c r="B32" s="248"/>
      <c r="C32" s="3"/>
      <c r="D32" s="153"/>
      <c r="E32" s="154">
        <f>$I$3*I32</f>
        <v>24.924729999999997</v>
      </c>
      <c r="F32" s="154"/>
      <c r="G32" s="154"/>
      <c r="H32" s="155">
        <v>4.48E-2</v>
      </c>
      <c r="I32" s="152">
        <v>4.3099999999999999E-2</v>
      </c>
    </row>
    <row r="33" spans="1:9">
      <c r="A33" s="248" t="s">
        <v>229</v>
      </c>
      <c r="B33" s="183" t="s">
        <v>230</v>
      </c>
      <c r="C33" s="3"/>
      <c r="D33" s="153"/>
      <c r="E33" s="154">
        <f>I31*H33</f>
        <v>27.556840000000001</v>
      </c>
      <c r="F33" s="154"/>
      <c r="G33" s="154"/>
      <c r="H33" s="155">
        <v>4.0399999999999998E-2</v>
      </c>
    </row>
    <row r="34" spans="1:9">
      <c r="A34" s="248"/>
      <c r="B34" s="183" t="s">
        <v>231</v>
      </c>
      <c r="C34" s="3"/>
      <c r="D34" s="153"/>
      <c r="E34" s="154">
        <f t="shared" ref="E34:E39" si="1">$I$3*I34</f>
        <v>12.549109999999999</v>
      </c>
      <c r="F34" s="154"/>
      <c r="G34" s="154"/>
      <c r="H34" s="155">
        <v>1.66E-2</v>
      </c>
      <c r="I34" s="152">
        <v>2.1700000000000001E-2</v>
      </c>
    </row>
    <row r="35" spans="1:9">
      <c r="A35" s="246" t="s">
        <v>232</v>
      </c>
      <c r="B35" s="247"/>
      <c r="C35" s="157"/>
      <c r="D35" s="158"/>
      <c r="E35" s="154">
        <f t="shared" si="1"/>
        <v>37.473839999999996</v>
      </c>
      <c r="F35" s="154"/>
      <c r="G35" s="154"/>
      <c r="H35" s="159">
        <f>SUM(H32:H34)</f>
        <v>0.1018</v>
      </c>
      <c r="I35" s="152">
        <f>SUM(I32:I34)</f>
        <v>6.4799999999999996E-2</v>
      </c>
    </row>
    <row r="36" spans="1:9">
      <c r="A36" s="248" t="s">
        <v>52</v>
      </c>
      <c r="B36" s="248"/>
      <c r="C36" s="3"/>
      <c r="D36" s="153"/>
      <c r="E36" s="154">
        <f>H36*I31</f>
        <v>18.55312</v>
      </c>
      <c r="F36" s="154"/>
      <c r="G36" s="154"/>
      <c r="H36" s="155">
        <f>1.97%+0.75%</f>
        <v>2.7199999999999998E-2</v>
      </c>
    </row>
    <row r="37" spans="1:9">
      <c r="A37" s="249" t="s">
        <v>233</v>
      </c>
      <c r="B37" s="183" t="s">
        <v>230</v>
      </c>
      <c r="C37" s="3"/>
      <c r="D37" s="153"/>
      <c r="E37" s="154">
        <f>H37*I31</f>
        <v>3.6151300000000002</v>
      </c>
      <c r="F37" s="154"/>
      <c r="G37" s="154"/>
      <c r="H37" s="155">
        <v>5.3E-3</v>
      </c>
    </row>
    <row r="38" spans="1:9">
      <c r="A38" s="250"/>
      <c r="B38" s="183" t="s">
        <v>231</v>
      </c>
      <c r="C38" s="3"/>
      <c r="D38" s="153"/>
      <c r="E38" s="154">
        <f t="shared" si="1"/>
        <v>17.348999999999997</v>
      </c>
      <c r="F38" s="154"/>
      <c r="G38" s="154"/>
      <c r="H38" s="155">
        <v>3.4099999999999998E-2</v>
      </c>
      <c r="I38" s="152">
        <v>0.03</v>
      </c>
    </row>
    <row r="39" spans="1:9">
      <c r="A39" s="248" t="s">
        <v>55</v>
      </c>
      <c r="B39" s="248"/>
      <c r="C39" s="3"/>
      <c r="D39" s="153"/>
      <c r="E39" s="154">
        <f t="shared" si="1"/>
        <v>11.565999999999999</v>
      </c>
      <c r="F39" s="154"/>
      <c r="G39" s="154"/>
      <c r="H39" s="155">
        <v>1.0999999999999999E-2</v>
      </c>
      <c r="I39" s="152">
        <v>0.02</v>
      </c>
    </row>
    <row r="42" spans="1:9">
      <c r="A42" s="149"/>
      <c r="B42" s="149"/>
      <c r="C42" s="149"/>
      <c r="D42" s="149"/>
      <c r="E42" s="149"/>
      <c r="F42" s="149"/>
      <c r="G42" s="251" t="s">
        <v>225</v>
      </c>
      <c r="H42" s="251"/>
      <c r="I42" s="150"/>
    </row>
    <row r="43" spans="1:9">
      <c r="A43" s="252" t="s">
        <v>226</v>
      </c>
      <c r="B43" s="252"/>
      <c r="C43" s="246" t="s">
        <v>227</v>
      </c>
      <c r="D43" s="253"/>
      <c r="E43" s="253"/>
      <c r="F43" s="253"/>
      <c r="G43" s="253"/>
      <c r="H43" s="247"/>
      <c r="I43" s="151" t="s">
        <v>234</v>
      </c>
    </row>
    <row r="44" spans="1:9" ht="27">
      <c r="A44" s="252"/>
      <c r="B44" s="252"/>
      <c r="C44" s="160" t="s">
        <v>236</v>
      </c>
      <c r="D44" s="160" t="s">
        <v>237</v>
      </c>
      <c r="E44" s="160" t="s">
        <v>235</v>
      </c>
      <c r="F44" s="161" t="s">
        <v>240</v>
      </c>
      <c r="G44" s="161" t="s">
        <v>239</v>
      </c>
      <c r="H44" s="161" t="s">
        <v>238</v>
      </c>
      <c r="I44" s="165">
        <f>销量!F8</f>
        <v>0</v>
      </c>
    </row>
    <row r="45" spans="1:9">
      <c r="A45" s="248" t="s">
        <v>228</v>
      </c>
      <c r="B45" s="248"/>
      <c r="C45" s="3"/>
      <c r="D45" s="153"/>
      <c r="E45" s="154">
        <f>$I$44*I45</f>
        <v>0</v>
      </c>
      <c r="F45" s="154"/>
      <c r="G45" s="154"/>
      <c r="H45" s="155">
        <v>4.48E-2</v>
      </c>
      <c r="I45" s="152">
        <v>4.3099999999999999E-2</v>
      </c>
    </row>
    <row r="46" spans="1:9">
      <c r="A46" s="248" t="s">
        <v>229</v>
      </c>
      <c r="B46" s="183" t="s">
        <v>230</v>
      </c>
      <c r="C46" s="3"/>
      <c r="D46" s="153"/>
      <c r="E46" s="154">
        <f>I44*H46</f>
        <v>0</v>
      </c>
      <c r="F46" s="154"/>
      <c r="G46" s="154"/>
      <c r="H46" s="155">
        <v>4.0399999999999998E-2</v>
      </c>
    </row>
    <row r="47" spans="1:9">
      <c r="A47" s="248"/>
      <c r="B47" s="183" t="s">
        <v>231</v>
      </c>
      <c r="C47" s="3"/>
      <c r="D47" s="153"/>
      <c r="E47" s="154">
        <f>$I$44*I47</f>
        <v>0</v>
      </c>
      <c r="F47" s="154"/>
      <c r="G47" s="154"/>
      <c r="H47" s="155">
        <v>1.66E-2</v>
      </c>
      <c r="I47" s="152">
        <v>2.1700000000000001E-2</v>
      </c>
    </row>
    <row r="48" spans="1:9">
      <c r="A48" s="246" t="s">
        <v>232</v>
      </c>
      <c r="B48" s="247"/>
      <c r="C48" s="157"/>
      <c r="D48" s="158"/>
      <c r="E48" s="154">
        <f>$I$44*I48</f>
        <v>0</v>
      </c>
      <c r="F48" s="154"/>
      <c r="G48" s="154"/>
      <c r="H48" s="159">
        <f>SUM(H45:H47)</f>
        <v>0.1018</v>
      </c>
      <c r="I48" s="152">
        <f>SUM(I45:I47)</f>
        <v>6.4799999999999996E-2</v>
      </c>
    </row>
    <row r="49" spans="1:9">
      <c r="A49" s="248" t="s">
        <v>52</v>
      </c>
      <c r="B49" s="248"/>
      <c r="C49" s="3"/>
      <c r="D49" s="153"/>
      <c r="E49" s="154">
        <f>H49*I44</f>
        <v>0</v>
      </c>
      <c r="F49" s="154"/>
      <c r="G49" s="154"/>
      <c r="H49" s="155">
        <f>1.97%+0.75%</f>
        <v>2.7199999999999998E-2</v>
      </c>
    </row>
    <row r="50" spans="1:9">
      <c r="A50" s="249" t="s">
        <v>233</v>
      </c>
      <c r="B50" s="183" t="s">
        <v>230</v>
      </c>
      <c r="C50" s="3"/>
      <c r="D50" s="153"/>
      <c r="E50" s="154">
        <f>H50*I44</f>
        <v>0</v>
      </c>
      <c r="F50" s="154"/>
      <c r="G50" s="154"/>
      <c r="H50" s="155">
        <v>5.3E-3</v>
      </c>
    </row>
    <row r="51" spans="1:9">
      <c r="A51" s="250"/>
      <c r="B51" s="183" t="s">
        <v>231</v>
      </c>
      <c r="C51" s="3"/>
      <c r="D51" s="153"/>
      <c r="E51" s="154">
        <f>$I$44*I51</f>
        <v>0</v>
      </c>
      <c r="F51" s="154"/>
      <c r="G51" s="154"/>
      <c r="H51" s="155">
        <v>3.4099999999999998E-2</v>
      </c>
      <c r="I51" s="152">
        <v>0.03</v>
      </c>
    </row>
    <row r="52" spans="1:9">
      <c r="A52" s="248" t="s">
        <v>55</v>
      </c>
      <c r="B52" s="248"/>
      <c r="C52" s="3"/>
      <c r="D52" s="153"/>
      <c r="E52" s="154">
        <f>$I$44*I52</f>
        <v>0</v>
      </c>
      <c r="F52" s="154"/>
      <c r="G52" s="154"/>
      <c r="H52" s="155">
        <v>1.0999999999999999E-2</v>
      </c>
      <c r="I52" s="152">
        <v>0.02</v>
      </c>
    </row>
    <row r="55" spans="1:9">
      <c r="A55" s="149"/>
      <c r="B55" s="149"/>
      <c r="C55" s="149"/>
      <c r="D55" s="149"/>
      <c r="E55" s="149"/>
      <c r="F55" s="149"/>
      <c r="G55" s="251" t="s">
        <v>225</v>
      </c>
      <c r="H55" s="251"/>
      <c r="I55" s="150"/>
    </row>
    <row r="56" spans="1:9">
      <c r="A56" s="252" t="s">
        <v>226</v>
      </c>
      <c r="B56" s="252"/>
      <c r="C56" s="246" t="s">
        <v>227</v>
      </c>
      <c r="D56" s="253"/>
      <c r="E56" s="253"/>
      <c r="F56" s="253"/>
      <c r="G56" s="253"/>
      <c r="H56" s="247"/>
      <c r="I56" s="151" t="s">
        <v>234</v>
      </c>
    </row>
    <row r="57" spans="1:9" ht="27">
      <c r="A57" s="252"/>
      <c r="B57" s="252"/>
      <c r="C57" s="160" t="s">
        <v>236</v>
      </c>
      <c r="D57" s="160" t="s">
        <v>237</v>
      </c>
      <c r="E57" s="160" t="s">
        <v>235</v>
      </c>
      <c r="F57" s="161" t="s">
        <v>240</v>
      </c>
      <c r="G57" s="161" t="s">
        <v>239</v>
      </c>
      <c r="H57" s="161" t="s">
        <v>238</v>
      </c>
      <c r="I57" s="165">
        <f>销量!G8</f>
        <v>0</v>
      </c>
    </row>
    <row r="58" spans="1:9">
      <c r="A58" s="248" t="s">
        <v>228</v>
      </c>
      <c r="B58" s="248"/>
      <c r="C58" s="3"/>
      <c r="D58" s="153"/>
      <c r="E58" s="154">
        <f>$I$57*I58</f>
        <v>0</v>
      </c>
      <c r="F58" s="154"/>
      <c r="G58" s="154"/>
      <c r="H58" s="155">
        <v>4.48E-2</v>
      </c>
      <c r="I58" s="152">
        <v>4.3099999999999999E-2</v>
      </c>
    </row>
    <row r="59" spans="1:9">
      <c r="A59" s="248" t="s">
        <v>229</v>
      </c>
      <c r="B59" s="183" t="s">
        <v>230</v>
      </c>
      <c r="C59" s="3"/>
      <c r="D59" s="153"/>
      <c r="E59" s="154">
        <f>H59*I57</f>
        <v>0</v>
      </c>
      <c r="F59" s="154"/>
      <c r="G59" s="154"/>
      <c r="H59" s="155">
        <v>4.0399999999999998E-2</v>
      </c>
    </row>
    <row r="60" spans="1:9">
      <c r="A60" s="248"/>
      <c r="B60" s="183" t="s">
        <v>231</v>
      </c>
      <c r="C60" s="3"/>
      <c r="D60" s="153"/>
      <c r="E60" s="154">
        <f>$I$57*I60</f>
        <v>0</v>
      </c>
      <c r="F60" s="154"/>
      <c r="G60" s="154"/>
      <c r="H60" s="155">
        <v>1.66E-2</v>
      </c>
      <c r="I60" s="152">
        <v>2.1700000000000001E-2</v>
      </c>
    </row>
    <row r="61" spans="1:9">
      <c r="A61" s="246" t="s">
        <v>232</v>
      </c>
      <c r="B61" s="247"/>
      <c r="C61" s="157"/>
      <c r="D61" s="158"/>
      <c r="E61" s="154">
        <f>$I$57*I61</f>
        <v>0</v>
      </c>
      <c r="F61" s="154"/>
      <c r="G61" s="154"/>
      <c r="H61" s="159">
        <f>SUM(H58:H60)</f>
        <v>0.1018</v>
      </c>
      <c r="I61" s="152">
        <f>SUM(I58:I60)</f>
        <v>6.4799999999999996E-2</v>
      </c>
    </row>
    <row r="62" spans="1:9">
      <c r="A62" s="248" t="s">
        <v>52</v>
      </c>
      <c r="B62" s="248"/>
      <c r="C62" s="3"/>
      <c r="D62" s="153"/>
      <c r="E62" s="154">
        <f>H62*I57</f>
        <v>0</v>
      </c>
      <c r="F62" s="154"/>
      <c r="G62" s="154"/>
      <c r="H62" s="155">
        <f>1.97%+0.75%</f>
        <v>2.7199999999999998E-2</v>
      </c>
    </row>
    <row r="63" spans="1:9">
      <c r="A63" s="249" t="s">
        <v>233</v>
      </c>
      <c r="B63" s="183" t="s">
        <v>230</v>
      </c>
      <c r="C63" s="3"/>
      <c r="D63" s="153"/>
      <c r="E63" s="154">
        <f>H63*I57</f>
        <v>0</v>
      </c>
      <c r="F63" s="154"/>
      <c r="G63" s="154"/>
      <c r="H63" s="155">
        <v>5.3E-3</v>
      </c>
    </row>
    <row r="64" spans="1:9">
      <c r="A64" s="250"/>
      <c r="B64" s="183" t="s">
        <v>231</v>
      </c>
      <c r="C64" s="3"/>
      <c r="D64" s="153"/>
      <c r="E64" s="154">
        <f>$I$57*I64</f>
        <v>0</v>
      </c>
      <c r="F64" s="154"/>
      <c r="G64" s="154"/>
      <c r="H64" s="155">
        <v>3.4099999999999998E-2</v>
      </c>
      <c r="I64" s="152">
        <v>0.03</v>
      </c>
    </row>
    <row r="65" spans="1:9">
      <c r="A65" s="248" t="s">
        <v>55</v>
      </c>
      <c r="B65" s="248"/>
      <c r="C65" s="3"/>
      <c r="D65" s="153"/>
      <c r="E65" s="154">
        <f>$I$57*I65</f>
        <v>0</v>
      </c>
      <c r="F65" s="154"/>
      <c r="G65" s="154"/>
      <c r="H65" s="155">
        <v>1.0999999999999999E-2</v>
      </c>
      <c r="I65" s="152">
        <v>0.02</v>
      </c>
    </row>
    <row r="68" spans="1:9">
      <c r="A68" s="149"/>
      <c r="B68" s="149"/>
      <c r="C68" s="149"/>
      <c r="D68" s="149"/>
      <c r="E68" s="149"/>
      <c r="F68" s="149"/>
      <c r="G68" s="251" t="s">
        <v>225</v>
      </c>
      <c r="H68" s="251"/>
      <c r="I68" s="150"/>
    </row>
    <row r="69" spans="1:9">
      <c r="A69" s="252" t="s">
        <v>226</v>
      </c>
      <c r="B69" s="252"/>
      <c r="C69" s="246" t="s">
        <v>227</v>
      </c>
      <c r="D69" s="253"/>
      <c r="E69" s="253"/>
      <c r="F69" s="253"/>
      <c r="G69" s="253"/>
      <c r="H69" s="247"/>
      <c r="I69" s="151" t="s">
        <v>234</v>
      </c>
    </row>
    <row r="70" spans="1:9" ht="27">
      <c r="A70" s="252"/>
      <c r="B70" s="252"/>
      <c r="C70" s="160" t="s">
        <v>236</v>
      </c>
      <c r="D70" s="160" t="s">
        <v>237</v>
      </c>
      <c r="E70" s="160" t="s">
        <v>235</v>
      </c>
      <c r="F70" s="161" t="s">
        <v>240</v>
      </c>
      <c r="G70" s="161" t="s">
        <v>239</v>
      </c>
      <c r="H70" s="161" t="s">
        <v>238</v>
      </c>
      <c r="I70" s="165">
        <f>销量!H8</f>
        <v>0</v>
      </c>
    </row>
    <row r="71" spans="1:9">
      <c r="A71" s="248" t="s">
        <v>228</v>
      </c>
      <c r="B71" s="248"/>
      <c r="C71" s="3"/>
      <c r="D71" s="153"/>
      <c r="E71" s="154">
        <f>$I$70*I71</f>
        <v>0</v>
      </c>
      <c r="F71" s="154"/>
      <c r="G71" s="154"/>
      <c r="H71" s="155">
        <v>4.48E-2</v>
      </c>
      <c r="I71" s="152">
        <v>4.3099999999999999E-2</v>
      </c>
    </row>
    <row r="72" spans="1:9">
      <c r="A72" s="248" t="s">
        <v>229</v>
      </c>
      <c r="B72" s="183" t="s">
        <v>230</v>
      </c>
      <c r="C72" s="3"/>
      <c r="D72" s="153"/>
      <c r="E72" s="154">
        <f>H72*I70</f>
        <v>0</v>
      </c>
      <c r="F72" s="154"/>
      <c r="G72" s="154"/>
      <c r="H72" s="155">
        <v>4.0399999999999998E-2</v>
      </c>
    </row>
    <row r="73" spans="1:9">
      <c r="A73" s="248"/>
      <c r="B73" s="183" t="s">
        <v>231</v>
      </c>
      <c r="C73" s="3"/>
      <c r="D73" s="153"/>
      <c r="E73" s="154">
        <f>$I$70*I73</f>
        <v>0</v>
      </c>
      <c r="F73" s="154"/>
      <c r="G73" s="154"/>
      <c r="H73" s="155">
        <v>1.66E-2</v>
      </c>
      <c r="I73" s="152">
        <v>2.1700000000000001E-2</v>
      </c>
    </row>
    <row r="74" spans="1:9">
      <c r="A74" s="246" t="s">
        <v>232</v>
      </c>
      <c r="B74" s="247"/>
      <c r="C74" s="157"/>
      <c r="D74" s="158"/>
      <c r="E74" s="154">
        <f>$I$70*I74</f>
        <v>0</v>
      </c>
      <c r="F74" s="154"/>
      <c r="G74" s="154"/>
      <c r="H74" s="159">
        <f>SUM(H71:H73)</f>
        <v>0.1018</v>
      </c>
      <c r="I74" s="152">
        <f>SUM(I71:I73)</f>
        <v>6.4799999999999996E-2</v>
      </c>
    </row>
    <row r="75" spans="1:9">
      <c r="A75" s="248" t="s">
        <v>52</v>
      </c>
      <c r="B75" s="248"/>
      <c r="C75" s="3"/>
      <c r="D75" s="153"/>
      <c r="E75" s="154">
        <f>H75*I70</f>
        <v>0</v>
      </c>
      <c r="F75" s="154"/>
      <c r="G75" s="154"/>
      <c r="H75" s="155">
        <f>1.97%+0.75%</f>
        <v>2.7199999999999998E-2</v>
      </c>
    </row>
    <row r="76" spans="1:9">
      <c r="A76" s="249" t="s">
        <v>233</v>
      </c>
      <c r="B76" s="183" t="s">
        <v>230</v>
      </c>
      <c r="C76" s="3"/>
      <c r="D76" s="153"/>
      <c r="E76" s="154">
        <f>H76*I70</f>
        <v>0</v>
      </c>
      <c r="F76" s="154"/>
      <c r="G76" s="154"/>
      <c r="H76" s="155">
        <v>5.3E-3</v>
      </c>
    </row>
    <row r="77" spans="1:9">
      <c r="A77" s="250"/>
      <c r="B77" s="183" t="s">
        <v>231</v>
      </c>
      <c r="C77" s="3"/>
      <c r="D77" s="153"/>
      <c r="E77" s="154">
        <f>$I$70*I77</f>
        <v>0</v>
      </c>
      <c r="F77" s="154"/>
      <c r="G77" s="154"/>
      <c r="H77" s="155">
        <v>3.4099999999999998E-2</v>
      </c>
      <c r="I77" s="152">
        <v>0.03</v>
      </c>
    </row>
    <row r="78" spans="1:9">
      <c r="A78" s="248" t="s">
        <v>55</v>
      </c>
      <c r="B78" s="248"/>
      <c r="C78" s="3"/>
      <c r="D78" s="153"/>
      <c r="E78" s="154">
        <f>$I$70*I78</f>
        <v>0</v>
      </c>
      <c r="F78" s="154"/>
      <c r="G78" s="154"/>
      <c r="H78" s="155">
        <v>1.0999999999999999E-2</v>
      </c>
      <c r="I78" s="152">
        <v>0.02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H21" sqref="H21"/>
    </sheetView>
  </sheetViews>
  <sheetFormatPr defaultColWidth="9" defaultRowHeight="16.5"/>
  <cols>
    <col min="1" max="1" width="5.125" style="112" customWidth="1"/>
    <col min="2" max="2" width="35.75" style="112" customWidth="1"/>
    <col min="3" max="3" width="14.5" style="113" customWidth="1"/>
    <col min="4" max="7" width="13" style="113" customWidth="1"/>
    <col min="8" max="8" width="16.5" style="113" customWidth="1"/>
    <col min="9" max="9" width="15.5" style="112" customWidth="1"/>
    <col min="10" max="35" width="9" style="112"/>
    <col min="36" max="36" width="4.375" style="112" customWidth="1"/>
    <col min="37" max="37" width="13.875" style="112" customWidth="1"/>
    <col min="38" max="16384" width="9" style="112"/>
  </cols>
  <sheetData>
    <row r="1" spans="1:38" ht="27" customHeight="1">
      <c r="A1" s="189" t="s">
        <v>257</v>
      </c>
      <c r="B1" s="189"/>
      <c r="C1" s="189"/>
      <c r="D1" s="189"/>
      <c r="E1" s="189"/>
      <c r="F1" s="189"/>
      <c r="G1" s="189"/>
      <c r="H1" s="189"/>
    </row>
    <row r="2" spans="1:38" ht="15.75" customHeight="1">
      <c r="A2" s="190" t="s">
        <v>19</v>
      </c>
      <c r="B2" s="114" t="s">
        <v>1</v>
      </c>
      <c r="C2" s="114" t="s">
        <v>275</v>
      </c>
      <c r="D2" s="114" t="s">
        <v>265</v>
      </c>
      <c r="E2" s="114" t="s">
        <v>266</v>
      </c>
      <c r="F2" s="114" t="s">
        <v>267</v>
      </c>
      <c r="G2" s="114" t="s">
        <v>276</v>
      </c>
      <c r="H2" s="53" t="s">
        <v>22</v>
      </c>
      <c r="AL2" s="112" t="s">
        <v>23</v>
      </c>
    </row>
    <row r="3" spans="1:38" s="50" customFormat="1" ht="15.75" customHeight="1">
      <c r="A3" s="191"/>
      <c r="B3" s="55" t="s">
        <v>3</v>
      </c>
      <c r="C3" s="115">
        <f>'2022年'!I6</f>
        <v>100000</v>
      </c>
      <c r="D3" s="115">
        <f>'2023年'!I6</f>
        <v>200000</v>
      </c>
      <c r="E3" s="115">
        <f>'2024年'!I6</f>
        <v>300000</v>
      </c>
      <c r="F3" s="115">
        <f>'2025年'!I6</f>
        <v>0</v>
      </c>
      <c r="G3" s="115">
        <f>'2026年'!I6</f>
        <v>0</v>
      </c>
      <c r="H3" s="115">
        <f>SUM(C3:G3)</f>
        <v>600000</v>
      </c>
      <c r="I3" s="71"/>
      <c r="AJ3" s="54" t="s">
        <v>19</v>
      </c>
      <c r="AK3" s="55" t="s">
        <v>3</v>
      </c>
      <c r="AL3" s="50" t="s">
        <v>24</v>
      </c>
    </row>
    <row r="4" spans="1:38" s="50" customFormat="1" ht="15.75" customHeight="1">
      <c r="A4" s="64">
        <v>1</v>
      </c>
      <c r="B4" s="55" t="s">
        <v>25</v>
      </c>
      <c r="C4" s="115">
        <f>'2022年'!I7</f>
        <v>63670000</v>
      </c>
      <c r="D4" s="115">
        <f>'2023年'!I7</f>
        <v>127340000</v>
      </c>
      <c r="E4" s="115">
        <f>'2024年'!I7</f>
        <v>191010000</v>
      </c>
      <c r="F4" s="115">
        <f>'2025年'!I7</f>
        <v>0</v>
      </c>
      <c r="G4" s="115">
        <f>'2026年'!I7</f>
        <v>0</v>
      </c>
      <c r="H4" s="115">
        <f t="shared" ref="H4:H10" si="0">SUM(C4:G4)</f>
        <v>382020000</v>
      </c>
      <c r="I4" s="71"/>
      <c r="AJ4" s="54" t="s">
        <v>26</v>
      </c>
      <c r="AK4" s="55" t="s">
        <v>25</v>
      </c>
      <c r="AL4" s="50" t="s">
        <v>24</v>
      </c>
    </row>
    <row r="5" spans="1:38" s="50" customFormat="1" ht="15.75" customHeight="1">
      <c r="A5" s="64">
        <v>2</v>
      </c>
      <c r="B5" s="52" t="s">
        <v>27</v>
      </c>
      <c r="C5" s="115">
        <f>'2022年'!I8</f>
        <v>0</v>
      </c>
      <c r="D5" s="115">
        <f>'2023年'!I8</f>
        <v>3820200.0000000033</v>
      </c>
      <c r="E5" s="115">
        <f>'2024年'!I8</f>
        <v>11288690.999999987</v>
      </c>
      <c r="F5" s="115">
        <f>'2025年'!I8</f>
        <v>0</v>
      </c>
      <c r="G5" s="115">
        <f>'2026年'!I8</f>
        <v>0</v>
      </c>
      <c r="H5" s="115">
        <f t="shared" si="0"/>
        <v>15108890.999999991</v>
      </c>
      <c r="I5" s="71"/>
      <c r="AJ5" s="54" t="s">
        <v>28</v>
      </c>
      <c r="AK5" s="52" t="s">
        <v>29</v>
      </c>
      <c r="AL5" s="50" t="s">
        <v>24</v>
      </c>
    </row>
    <row r="6" spans="1:38" s="50" customFormat="1" ht="15.75" customHeight="1">
      <c r="A6" s="64">
        <v>3</v>
      </c>
      <c r="B6" s="55" t="s">
        <v>30</v>
      </c>
      <c r="C6" s="116">
        <f>+C4-C5</f>
        <v>63670000</v>
      </c>
      <c r="D6" s="116">
        <f>'2023年'!I9</f>
        <v>123519800</v>
      </c>
      <c r="E6" s="116">
        <f>'2024年'!I9</f>
        <v>179721309</v>
      </c>
      <c r="F6" s="116">
        <f>'2025年'!I9</f>
        <v>0</v>
      </c>
      <c r="G6" s="116">
        <f>'2026年'!I9</f>
        <v>0</v>
      </c>
      <c r="H6" s="115">
        <f t="shared" si="0"/>
        <v>366911109</v>
      </c>
      <c r="I6" s="71"/>
      <c r="AJ6" s="54" t="s">
        <v>31</v>
      </c>
      <c r="AK6" s="55" t="s">
        <v>30</v>
      </c>
      <c r="AL6" s="50" t="s">
        <v>32</v>
      </c>
    </row>
    <row r="7" spans="1:38" s="50" customFormat="1" ht="15.75" customHeight="1">
      <c r="A7" s="64">
        <v>4</v>
      </c>
      <c r="B7" s="54" t="s">
        <v>33</v>
      </c>
      <c r="C7" s="115">
        <f>'2022年'!I10</f>
        <v>50936000</v>
      </c>
      <c r="D7" s="115">
        <f>'2023年'!I10</f>
        <v>98815840</v>
      </c>
      <c r="E7" s="115">
        <f>'2024年'!I10</f>
        <v>143777047.19999999</v>
      </c>
      <c r="F7" s="115">
        <f>'2025年'!I10</f>
        <v>0</v>
      </c>
      <c r="G7" s="115">
        <f>'2026年'!I10</f>
        <v>0</v>
      </c>
      <c r="H7" s="115">
        <f t="shared" si="0"/>
        <v>293528887.19999999</v>
      </c>
      <c r="I7" s="71"/>
      <c r="AJ7" s="54" t="s">
        <v>34</v>
      </c>
      <c r="AK7" s="54" t="s">
        <v>33</v>
      </c>
      <c r="AL7" s="50" t="s">
        <v>35</v>
      </c>
    </row>
    <row r="8" spans="1:38" s="50" customFormat="1" ht="15.75" customHeight="1">
      <c r="A8" s="64">
        <v>5</v>
      </c>
      <c r="B8" s="54" t="s">
        <v>36</v>
      </c>
      <c r="C8" s="115">
        <f>'2022年'!I11</f>
        <v>2632332.4999999995</v>
      </c>
      <c r="D8" s="115">
        <f>'2023年'!I11</f>
        <v>6361559.9999999991</v>
      </c>
      <c r="E8" s="115">
        <f>'2024年'!I11</f>
        <v>9542340</v>
      </c>
      <c r="F8" s="115">
        <f>'2025年'!I11</f>
        <v>0</v>
      </c>
      <c r="G8" s="115">
        <f>'2026年'!I11</f>
        <v>0</v>
      </c>
      <c r="H8" s="115">
        <f t="shared" si="0"/>
        <v>18536232.5</v>
      </c>
      <c r="I8" s="71"/>
      <c r="AJ8" s="54" t="s">
        <v>37</v>
      </c>
      <c r="AK8" s="54" t="s">
        <v>36</v>
      </c>
    </row>
    <row r="9" spans="1:38" s="50" customFormat="1" ht="15.75" customHeight="1">
      <c r="A9" s="64">
        <v>6</v>
      </c>
      <c r="B9" s="54" t="s">
        <v>38</v>
      </c>
      <c r="C9" s="115">
        <f>'2022年'!I12</f>
        <v>1325327.5</v>
      </c>
      <c r="D9" s="115">
        <f>'2023年'!I12</f>
        <v>3202920</v>
      </c>
      <c r="E9" s="115">
        <f>'2024年'!I12</f>
        <v>4804380</v>
      </c>
      <c r="F9" s="115">
        <f>'2025年'!I12</f>
        <v>0</v>
      </c>
      <c r="G9" s="115">
        <f>'2026年'!I12</f>
        <v>0</v>
      </c>
      <c r="H9" s="115">
        <f t="shared" si="0"/>
        <v>9332627.5</v>
      </c>
      <c r="I9" s="71"/>
      <c r="AJ9" s="54" t="s">
        <v>39</v>
      </c>
      <c r="AK9" s="54" t="s">
        <v>38</v>
      </c>
    </row>
    <row r="10" spans="1:38" s="50" customFormat="1" ht="15.75" customHeight="1">
      <c r="A10" s="64">
        <v>7</v>
      </c>
      <c r="B10" s="117" t="s">
        <v>40</v>
      </c>
      <c r="C10" s="115">
        <f>'2022年'!I13</f>
        <v>1832250</v>
      </c>
      <c r="D10" s="115">
        <f>'2023年'!I13</f>
        <v>5903999.9999999991</v>
      </c>
      <c r="E10" s="115">
        <f>'2024年'!I13</f>
        <v>8855999.9999999981</v>
      </c>
      <c r="F10" s="115">
        <f>'2025年'!I13</f>
        <v>0</v>
      </c>
      <c r="G10" s="115">
        <f>'2026年'!I13</f>
        <v>0</v>
      </c>
      <c r="H10" s="115">
        <f t="shared" si="0"/>
        <v>16592249.999999996</v>
      </c>
      <c r="I10" s="71"/>
      <c r="AJ10" s="54" t="s">
        <v>41</v>
      </c>
      <c r="AK10" s="54" t="s">
        <v>40</v>
      </c>
      <c r="AL10" s="50" t="s">
        <v>24</v>
      </c>
    </row>
    <row r="11" spans="1:38" s="50" customFormat="1" ht="15.75" customHeight="1">
      <c r="A11" s="64">
        <v>8</v>
      </c>
      <c r="B11" s="118" t="s">
        <v>42</v>
      </c>
      <c r="C11" s="119">
        <f>'2022年'!I14</f>
        <v>5789910</v>
      </c>
      <c r="D11" s="119">
        <f>'2023年'!I14</f>
        <v>15468480</v>
      </c>
      <c r="E11" s="119">
        <f>'2024年'!I14</f>
        <v>23202720</v>
      </c>
      <c r="F11" s="119">
        <f>'2025年'!I14</f>
        <v>0</v>
      </c>
      <c r="G11" s="119">
        <f>'2026年'!I14</f>
        <v>0</v>
      </c>
      <c r="H11" s="119">
        <f>SUM(C11:G11)</f>
        <v>44461110</v>
      </c>
      <c r="I11" s="71"/>
      <c r="AJ11" s="54" t="s">
        <v>43</v>
      </c>
      <c r="AK11" s="57" t="s">
        <v>42</v>
      </c>
    </row>
    <row r="12" spans="1:38" s="50" customFormat="1" ht="15.75" customHeight="1">
      <c r="A12" s="64">
        <v>9</v>
      </c>
      <c r="B12" s="120" t="s">
        <v>44</v>
      </c>
      <c r="C12" s="115">
        <f>'2022年'!I15</f>
        <v>6944089.9999999944</v>
      </c>
      <c r="D12" s="115">
        <f>'2023年'!I15</f>
        <v>9235479.9999999963</v>
      </c>
      <c r="E12" s="115">
        <f>'2024年'!I15</f>
        <v>12741541.800000004</v>
      </c>
      <c r="F12" s="115">
        <f>'2025年'!I15</f>
        <v>0</v>
      </c>
      <c r="G12" s="115">
        <f>'2026年'!I15</f>
        <v>0</v>
      </c>
      <c r="H12" s="115">
        <f>H6-H7-H11</f>
        <v>28921111.800000012</v>
      </c>
      <c r="I12" s="71"/>
      <c r="K12" s="112"/>
      <c r="L12" s="112"/>
      <c r="M12" s="112"/>
      <c r="N12" s="112"/>
      <c r="O12" s="112"/>
      <c r="P12" s="112"/>
      <c r="AJ12" s="54" t="s">
        <v>45</v>
      </c>
      <c r="AK12" s="57" t="s">
        <v>44</v>
      </c>
    </row>
    <row r="13" spans="1:38" ht="15.75" customHeight="1">
      <c r="A13" s="64">
        <v>10</v>
      </c>
      <c r="B13" s="121" t="s">
        <v>46</v>
      </c>
      <c r="C13" s="122">
        <f>'2022年'!$I$16</f>
        <v>0.10906376629495829</v>
      </c>
      <c r="D13" s="122">
        <f>'2023年'!I16</f>
        <v>7.4769227281779899E-2</v>
      </c>
      <c r="E13" s="122">
        <f>'2024年'!I16</f>
        <v>7.0896110599773146E-2</v>
      </c>
      <c r="F13" s="122">
        <f>'2025年'!I16</f>
        <v>0</v>
      </c>
      <c r="G13" s="122">
        <f>'2026年'!I16</f>
        <v>0</v>
      </c>
      <c r="H13" s="122">
        <f>+H12/H6</f>
        <v>7.882321110097544E-2</v>
      </c>
      <c r="I13" s="71"/>
      <c r="AJ13" s="121" t="s">
        <v>47</v>
      </c>
      <c r="AK13" s="121" t="s">
        <v>46</v>
      </c>
    </row>
    <row r="14" spans="1:38" ht="15.75" customHeight="1">
      <c r="A14" s="64">
        <v>11</v>
      </c>
      <c r="B14" s="121" t="s">
        <v>48</v>
      </c>
      <c r="C14" s="115">
        <f>'2022年'!$I$17</f>
        <v>1511133.3333333333</v>
      </c>
      <c r="D14" s="115">
        <f>'2023年'!I17</f>
        <v>1511133.3333333333</v>
      </c>
      <c r="E14" s="115">
        <f>'2024年'!I17</f>
        <v>1511133.3333333333</v>
      </c>
      <c r="F14" s="115">
        <f>'2025年'!I17</f>
        <v>0</v>
      </c>
      <c r="G14" s="115">
        <f>'2026年'!I17</f>
        <v>0</v>
      </c>
      <c r="H14" s="115">
        <f t="shared" ref="H14" si="1">SUM(C14:G14)</f>
        <v>4533400</v>
      </c>
      <c r="I14" s="71"/>
      <c r="AJ14" s="121" t="s">
        <v>49</v>
      </c>
      <c r="AK14" s="121" t="s">
        <v>48</v>
      </c>
    </row>
    <row r="15" spans="1:38" ht="15.75" hidden="1" customHeight="1">
      <c r="A15" s="162"/>
      <c r="B15" s="121"/>
      <c r="C15" s="115"/>
      <c r="D15" s="115"/>
      <c r="E15" s="115"/>
      <c r="F15" s="115"/>
      <c r="G15" s="115"/>
      <c r="H15" s="115"/>
      <c r="I15" s="71"/>
      <c r="AJ15" s="121"/>
      <c r="AK15" s="121"/>
    </row>
    <row r="16" spans="1:38" ht="15.75" customHeight="1">
      <c r="A16" s="64">
        <v>12</v>
      </c>
      <c r="B16" s="121" t="s">
        <v>50</v>
      </c>
      <c r="C16" s="123">
        <f>'2022年'!I19</f>
        <v>0</v>
      </c>
      <c r="D16" s="123">
        <f>'2023年'!I19</f>
        <v>0</v>
      </c>
      <c r="E16" s="123">
        <f>'2024年'!I19</f>
        <v>0</v>
      </c>
      <c r="F16" s="123">
        <f>'2025年'!I19</f>
        <v>0</v>
      </c>
      <c r="G16" s="123">
        <f>'2026年'!I19</f>
        <v>0</v>
      </c>
      <c r="H16" s="115">
        <f t="shared" ref="H16:H20" si="2">SUM(C16:E16)</f>
        <v>0</v>
      </c>
      <c r="I16" s="71"/>
      <c r="Q16" s="71"/>
      <c r="AJ16" s="121" t="s">
        <v>51</v>
      </c>
      <c r="AK16" s="121" t="s">
        <v>50</v>
      </c>
      <c r="AL16" s="112" t="s">
        <v>24</v>
      </c>
    </row>
    <row r="17" spans="1:38" ht="15.75" customHeight="1">
      <c r="A17" s="64">
        <v>13</v>
      </c>
      <c r="B17" s="121" t="s">
        <v>52</v>
      </c>
      <c r="C17" s="123">
        <f>'2022年'!I20</f>
        <v>2164780</v>
      </c>
      <c r="D17" s="123">
        <f>'2023年'!I20</f>
        <v>4199673.1999999993</v>
      </c>
      <c r="E17" s="123">
        <f>'2024年'!I20</f>
        <v>6110524.506000001</v>
      </c>
      <c r="F17" s="123">
        <f>'2025年'!I20</f>
        <v>0</v>
      </c>
      <c r="G17" s="123">
        <f>'2026年'!I20</f>
        <v>0</v>
      </c>
      <c r="H17" s="115">
        <f t="shared" ref="H17:H19" si="3">SUM(C17:G17)</f>
        <v>12474977.706</v>
      </c>
      <c r="I17" s="71"/>
      <c r="AJ17" s="121" t="s">
        <v>53</v>
      </c>
      <c r="AK17" s="121" t="s">
        <v>52</v>
      </c>
    </row>
    <row r="18" spans="1:38" s="49" customFormat="1" ht="15.75" customHeight="1">
      <c r="A18" s="64">
        <v>14</v>
      </c>
      <c r="B18" s="62" t="s">
        <v>54</v>
      </c>
      <c r="C18" s="124">
        <f>'2022年'!I21</f>
        <v>933333.33333333337</v>
      </c>
      <c r="D18" s="124">
        <f>'2023年'!I21</f>
        <v>933333.33333333337</v>
      </c>
      <c r="E18" s="124">
        <f>'2024年'!I21</f>
        <v>933333.33333333337</v>
      </c>
      <c r="F18" s="124">
        <f>'2025年'!I21</f>
        <v>0</v>
      </c>
      <c r="G18" s="124">
        <f>'2026年'!I21</f>
        <v>0</v>
      </c>
      <c r="H18" s="115">
        <f t="shared" si="3"/>
        <v>2800000</v>
      </c>
      <c r="I18" s="71"/>
      <c r="AJ18" s="62"/>
      <c r="AK18" s="62"/>
    </row>
    <row r="19" spans="1:38" s="50" customFormat="1" ht="15.75" customHeight="1">
      <c r="A19" s="64">
        <v>15</v>
      </c>
      <c r="B19" s="54" t="s">
        <v>55</v>
      </c>
      <c r="C19" s="123">
        <f>'2022年'!I22</f>
        <v>1221500</v>
      </c>
      <c r="D19" s="123">
        <f>'2023年'!I22</f>
        <v>4428000</v>
      </c>
      <c r="E19" s="123">
        <f>'2024年'!I22</f>
        <v>6642000</v>
      </c>
      <c r="F19" s="123">
        <f>'2025年'!I22</f>
        <v>0</v>
      </c>
      <c r="G19" s="123">
        <f>'2026年'!I22</f>
        <v>0</v>
      </c>
      <c r="H19" s="115">
        <f t="shared" si="3"/>
        <v>12291500</v>
      </c>
      <c r="I19" s="71"/>
      <c r="AJ19" s="54" t="s">
        <v>56</v>
      </c>
      <c r="AK19" s="54" t="s">
        <v>55</v>
      </c>
    </row>
    <row r="20" spans="1:38" s="110" customFormat="1" ht="15.75" customHeight="1">
      <c r="A20" s="64">
        <v>16</v>
      </c>
      <c r="B20" s="125" t="s">
        <v>57</v>
      </c>
      <c r="C20" s="119">
        <f t="shared" ref="C20" si="4">+C19+C18+C17+C16+C14</f>
        <v>5830746.666666667</v>
      </c>
      <c r="D20" s="119">
        <f>'2023年'!I23</f>
        <v>11072139.866666665</v>
      </c>
      <c r="E20" s="119">
        <f>'2024年'!I23</f>
        <v>15196991.172666667</v>
      </c>
      <c r="F20" s="119">
        <f>'2025年'!I23</f>
        <v>0</v>
      </c>
      <c r="G20" s="119">
        <f>'2026年'!I23</f>
        <v>0</v>
      </c>
      <c r="H20" s="119">
        <f t="shared" si="2"/>
        <v>32099877.706</v>
      </c>
      <c r="I20" s="71"/>
      <c r="AJ20" s="138" t="s">
        <v>58</v>
      </c>
      <c r="AK20" s="139" t="s">
        <v>57</v>
      </c>
    </row>
    <row r="21" spans="1:38" ht="15.75" customHeight="1">
      <c r="A21" s="64">
        <v>17</v>
      </c>
      <c r="B21" s="121" t="s">
        <v>59</v>
      </c>
      <c r="C21" s="126">
        <f>+C12-C20</f>
        <v>1113343.3333333274</v>
      </c>
      <c r="D21" s="126">
        <f>'2023年'!I24</f>
        <v>-1836659.866666669</v>
      </c>
      <c r="E21" s="126">
        <f>'2024年'!I24</f>
        <v>-2455449.3726666626</v>
      </c>
      <c r="F21" s="126">
        <f>'2025年'!I24</f>
        <v>0</v>
      </c>
      <c r="G21" s="126">
        <f>'2026年'!I24</f>
        <v>0</v>
      </c>
      <c r="H21" s="126">
        <f>+H12-H20</f>
        <v>-3178765.9059999883</v>
      </c>
      <c r="I21" s="71"/>
      <c r="AJ21" s="121" t="s">
        <v>60</v>
      </c>
      <c r="AK21" s="121" t="s">
        <v>59</v>
      </c>
    </row>
    <row r="22" spans="1:38" ht="15.75" customHeight="1">
      <c r="A22" s="64">
        <v>18</v>
      </c>
      <c r="B22" s="121" t="s">
        <v>61</v>
      </c>
      <c r="C22" s="126">
        <f>IF(C21&lt;0,0,C21*0.25)</f>
        <v>278335.83333333186</v>
      </c>
      <c r="D22" s="126">
        <f>'2023年'!I25</f>
        <v>0</v>
      </c>
      <c r="E22" s="126">
        <f>'2024年'!I25</f>
        <v>0</v>
      </c>
      <c r="F22" s="126">
        <f>'2025年'!I25</f>
        <v>0</v>
      </c>
      <c r="G22" s="126">
        <f>'2026年'!I25</f>
        <v>0</v>
      </c>
      <c r="H22" s="126">
        <f>IF(H21&lt;0,0,H21*0.25)</f>
        <v>0</v>
      </c>
      <c r="I22" s="71"/>
      <c r="AJ22" s="121" t="s">
        <v>62</v>
      </c>
      <c r="AK22" s="121" t="s">
        <v>61</v>
      </c>
    </row>
    <row r="23" spans="1:38" ht="15.75" customHeight="1">
      <c r="A23" s="64">
        <v>19</v>
      </c>
      <c r="B23" s="121" t="s">
        <v>63</v>
      </c>
      <c r="C23" s="126">
        <f>C21-C22</f>
        <v>835007.49999999558</v>
      </c>
      <c r="D23" s="126">
        <f>'2023年'!I26</f>
        <v>-2652765.7916666688</v>
      </c>
      <c r="E23" s="126">
        <f>'2024年'!I26</f>
        <v>1965612.1272500062</v>
      </c>
      <c r="F23" s="126" t="e">
        <f>'2025年'!I26</f>
        <v>#DIV/0!</v>
      </c>
      <c r="G23" s="126" t="e">
        <f>'2026年'!I26</f>
        <v>#DIV/0!</v>
      </c>
      <c r="H23" s="126">
        <f>H21-H22</f>
        <v>-3178765.9059999883</v>
      </c>
      <c r="I23" s="71"/>
      <c r="AJ23" s="121" t="s">
        <v>64</v>
      </c>
      <c r="AK23" s="121" t="s">
        <v>63</v>
      </c>
    </row>
    <row r="24" spans="1:38" ht="15.75" customHeight="1">
      <c r="A24" s="64">
        <v>20</v>
      </c>
      <c r="B24" s="121" t="s">
        <v>65</v>
      </c>
      <c r="C24" s="127">
        <f>(C23/C4)*100%</f>
        <v>1.3114614418093223E-2</v>
      </c>
      <c r="D24" s="127">
        <f>'2023年'!I27</f>
        <v>-2.0832148513166868E-2</v>
      </c>
      <c r="E24" s="127">
        <f>'2024年'!I27</f>
        <v>1.0290624193759522E-2</v>
      </c>
      <c r="F24" s="127" t="e">
        <f>'2025年'!I27</f>
        <v>#DIV/0!</v>
      </c>
      <c r="G24" s="127" t="e">
        <f>'2026年'!I27</f>
        <v>#DIV/0!</v>
      </c>
      <c r="H24" s="127">
        <f>(H23/H4)*100%</f>
        <v>-8.3209410659127493E-3</v>
      </c>
      <c r="I24" s="71"/>
      <c r="AJ24" s="140" t="s">
        <v>66</v>
      </c>
      <c r="AK24" s="140" t="s">
        <v>67</v>
      </c>
    </row>
    <row r="25" spans="1:38" s="111" customFormat="1" ht="15.75" customHeight="1">
      <c r="C25" s="128"/>
      <c r="D25" s="128"/>
      <c r="E25" s="128"/>
      <c r="F25" s="128"/>
      <c r="G25" s="128"/>
      <c r="H25" s="128"/>
      <c r="I25" s="137"/>
    </row>
    <row r="26" spans="1:38" s="111" customFormat="1" ht="15.75" customHeight="1">
      <c r="A26" s="111" t="s">
        <v>68</v>
      </c>
      <c r="C26" s="129"/>
      <c r="D26" s="129"/>
      <c r="E26" s="129"/>
      <c r="F26" s="129"/>
      <c r="G26" s="129"/>
      <c r="H26" s="129"/>
      <c r="I26" s="137"/>
      <c r="AJ26" s="111" t="s">
        <v>68</v>
      </c>
    </row>
    <row r="27" spans="1:38" ht="15.75" customHeight="1">
      <c r="A27" s="121" t="s">
        <v>19</v>
      </c>
      <c r="B27" s="130" t="s">
        <v>1</v>
      </c>
      <c r="C27" s="114" t="s">
        <v>69</v>
      </c>
      <c r="D27" s="114" t="s">
        <v>21</v>
      </c>
      <c r="E27" s="114" t="s">
        <v>70</v>
      </c>
      <c r="F27" s="114" t="s">
        <v>71</v>
      </c>
      <c r="G27" s="114" t="s">
        <v>72</v>
      </c>
      <c r="H27" s="53" t="s">
        <v>22</v>
      </c>
      <c r="AL27" s="112" t="s">
        <v>23</v>
      </c>
    </row>
    <row r="28" spans="1:38" s="50" customFormat="1" ht="15.75" customHeight="1">
      <c r="A28" s="54" t="s">
        <v>73</v>
      </c>
      <c r="B28" s="57" t="s">
        <v>74</v>
      </c>
      <c r="C28" s="61"/>
      <c r="D28" s="61"/>
      <c r="E28" s="61"/>
      <c r="F28" s="61"/>
      <c r="G28" s="61"/>
      <c r="H28" s="61"/>
      <c r="I28" s="71"/>
      <c r="AJ28" s="54" t="s">
        <v>75</v>
      </c>
      <c r="AK28" s="57" t="s">
        <v>74</v>
      </c>
    </row>
    <row r="29" spans="1:38" s="50" customFormat="1" ht="15.75" customHeight="1">
      <c r="A29" s="54" t="s">
        <v>26</v>
      </c>
      <c r="B29" s="54" t="s">
        <v>76</v>
      </c>
      <c r="C29" s="56">
        <f>+C6/C3</f>
        <v>636.70000000000005</v>
      </c>
      <c r="D29" s="56">
        <f t="shared" ref="D29:G29" si="5">+D6/D3</f>
        <v>617.59900000000005</v>
      </c>
      <c r="E29" s="56">
        <f t="shared" si="5"/>
        <v>599.07102999999995</v>
      </c>
      <c r="F29" s="56" t="e">
        <f t="shared" si="5"/>
        <v>#DIV/0!</v>
      </c>
      <c r="G29" s="56" t="e">
        <f t="shared" si="5"/>
        <v>#DIV/0!</v>
      </c>
      <c r="H29" s="56">
        <f>+H6/H3</f>
        <v>611.51851499999998</v>
      </c>
      <c r="I29" s="71"/>
      <c r="AJ29" s="54" t="s">
        <v>26</v>
      </c>
      <c r="AK29" s="54" t="s">
        <v>76</v>
      </c>
    </row>
    <row r="30" spans="1:38" s="50" customFormat="1" ht="15.75" customHeight="1">
      <c r="A30" s="54" t="s">
        <v>28</v>
      </c>
      <c r="B30" s="54" t="s">
        <v>77</v>
      </c>
      <c r="C30" s="56">
        <f>+C7/C3</f>
        <v>509.36</v>
      </c>
      <c r="D30" s="56">
        <f t="shared" ref="D30:G30" si="6">+D7/D3</f>
        <v>494.07920000000001</v>
      </c>
      <c r="E30" s="56">
        <f t="shared" si="6"/>
        <v>479.25682399999994</v>
      </c>
      <c r="F30" s="56" t="e">
        <f t="shared" si="6"/>
        <v>#DIV/0!</v>
      </c>
      <c r="G30" s="56" t="e">
        <f t="shared" si="6"/>
        <v>#DIV/0!</v>
      </c>
      <c r="H30" s="56">
        <f>+H7/H3</f>
        <v>489.21481199999999</v>
      </c>
      <c r="I30" s="71"/>
      <c r="AJ30" s="54" t="s">
        <v>28</v>
      </c>
      <c r="AK30" s="54" t="s">
        <v>77</v>
      </c>
    </row>
    <row r="31" spans="1:38" s="50" customFormat="1" ht="15.75" customHeight="1">
      <c r="A31" s="54" t="s">
        <v>78</v>
      </c>
      <c r="B31" s="54" t="s">
        <v>79</v>
      </c>
      <c r="C31" s="61">
        <f t="shared" ref="C31:H31" si="7">C29-C30</f>
        <v>127.34000000000003</v>
      </c>
      <c r="D31" s="61">
        <f t="shared" si="7"/>
        <v>123.51980000000003</v>
      </c>
      <c r="E31" s="61">
        <f t="shared" si="7"/>
        <v>119.81420600000001</v>
      </c>
      <c r="F31" s="61" t="e">
        <f t="shared" si="7"/>
        <v>#DIV/0!</v>
      </c>
      <c r="G31" s="61" t="e">
        <f t="shared" si="7"/>
        <v>#DIV/0!</v>
      </c>
      <c r="H31" s="61">
        <f t="shared" si="7"/>
        <v>122.30370299999998</v>
      </c>
      <c r="I31" s="71"/>
      <c r="AJ31" s="54" t="s">
        <v>78</v>
      </c>
      <c r="AK31" s="54" t="s">
        <v>79</v>
      </c>
    </row>
    <row r="32" spans="1:38" s="50" customFormat="1" ht="15.75" customHeight="1">
      <c r="A32" s="54">
        <v>3.1</v>
      </c>
      <c r="B32" s="54" t="s">
        <v>80</v>
      </c>
      <c r="C32" s="131">
        <f t="shared" ref="C32:G32" si="8">C31/C29</f>
        <v>0.20000000000000004</v>
      </c>
      <c r="D32" s="131">
        <f t="shared" si="8"/>
        <v>0.20000000000000004</v>
      </c>
      <c r="E32" s="131">
        <f t="shared" si="8"/>
        <v>0.20000000000000004</v>
      </c>
      <c r="F32" s="131" t="e">
        <f t="shared" si="8"/>
        <v>#DIV/0!</v>
      </c>
      <c r="G32" s="131" t="e">
        <f t="shared" si="8"/>
        <v>#DIV/0!</v>
      </c>
      <c r="H32" s="131">
        <f t="shared" ref="H32" si="9">H31/H29</f>
        <v>0.19999999999999998</v>
      </c>
      <c r="I32" s="71"/>
      <c r="AJ32" s="54"/>
      <c r="AK32" s="54"/>
    </row>
    <row r="33" spans="1:37" s="50" customFormat="1" ht="15.75" customHeight="1">
      <c r="A33" s="54" t="s">
        <v>75</v>
      </c>
      <c r="B33" s="57" t="s">
        <v>10</v>
      </c>
      <c r="C33" s="61"/>
      <c r="D33" s="61"/>
      <c r="E33" s="61"/>
      <c r="F33" s="61"/>
      <c r="G33" s="61"/>
      <c r="H33" s="61"/>
      <c r="I33" s="71"/>
      <c r="AJ33" s="54" t="s">
        <v>81</v>
      </c>
      <c r="AK33" s="57" t="s">
        <v>10</v>
      </c>
    </row>
    <row r="34" spans="1:37" s="50" customFormat="1" ht="15.75" customHeight="1">
      <c r="A34" s="54" t="s">
        <v>26</v>
      </c>
      <c r="B34" s="62" t="s">
        <v>82</v>
      </c>
      <c r="C34" s="56">
        <f>+C8/C3</f>
        <v>26.323324999999997</v>
      </c>
      <c r="D34" s="56">
        <f t="shared" ref="D34:G34" si="10">+D8/D3</f>
        <v>31.807799999999997</v>
      </c>
      <c r="E34" s="56">
        <f t="shared" si="10"/>
        <v>31.8078</v>
      </c>
      <c r="F34" s="56" t="e">
        <f t="shared" si="10"/>
        <v>#DIV/0!</v>
      </c>
      <c r="G34" s="56" t="e">
        <f t="shared" si="10"/>
        <v>#DIV/0!</v>
      </c>
      <c r="H34" s="56">
        <f>+H8/H3</f>
        <v>30.893720833333333</v>
      </c>
      <c r="I34" s="71"/>
      <c r="AJ34" s="54" t="s">
        <v>78</v>
      </c>
      <c r="AK34" s="54" t="s">
        <v>82</v>
      </c>
    </row>
    <row r="35" spans="1:37" s="50" customFormat="1" ht="15.75" customHeight="1">
      <c r="A35" s="54" t="s">
        <v>28</v>
      </c>
      <c r="B35" s="62" t="s">
        <v>83</v>
      </c>
      <c r="C35" s="56">
        <f>+C9/C3</f>
        <v>13.253275</v>
      </c>
      <c r="D35" s="56">
        <f t="shared" ref="D35:G35" si="11">+D9/D3</f>
        <v>16.014600000000002</v>
      </c>
      <c r="E35" s="56">
        <f t="shared" si="11"/>
        <v>16.014600000000002</v>
      </c>
      <c r="F35" s="56" t="e">
        <f t="shared" si="11"/>
        <v>#DIV/0!</v>
      </c>
      <c r="G35" s="56" t="e">
        <f t="shared" si="11"/>
        <v>#DIV/0!</v>
      </c>
      <c r="H35" s="56">
        <f>+H9/H3</f>
        <v>15.554379166666667</v>
      </c>
      <c r="I35" s="71"/>
      <c r="AJ35" s="54" t="s">
        <v>31</v>
      </c>
      <c r="AK35" s="54" t="s">
        <v>83</v>
      </c>
    </row>
    <row r="36" spans="1:37" s="50" customFormat="1" ht="15.75" customHeight="1">
      <c r="A36" s="54" t="s">
        <v>78</v>
      </c>
      <c r="B36" s="62" t="s">
        <v>84</v>
      </c>
      <c r="C36" s="56">
        <f>+C10/C3</f>
        <v>18.322500000000002</v>
      </c>
      <c r="D36" s="56">
        <f t="shared" ref="D36:G36" si="12">+D10/D3</f>
        <v>29.519999999999996</v>
      </c>
      <c r="E36" s="56">
        <f t="shared" si="12"/>
        <v>29.519999999999992</v>
      </c>
      <c r="F36" s="56" t="e">
        <f t="shared" si="12"/>
        <v>#DIV/0!</v>
      </c>
      <c r="G36" s="56" t="e">
        <f t="shared" si="12"/>
        <v>#DIV/0!</v>
      </c>
      <c r="H36" s="56">
        <f>+H10/H3</f>
        <v>27.653749999999995</v>
      </c>
      <c r="I36" s="71"/>
      <c r="AJ36" s="54" t="s">
        <v>37</v>
      </c>
      <c r="AK36" s="54" t="s">
        <v>84</v>
      </c>
    </row>
    <row r="37" spans="1:37" s="50" customFormat="1" ht="15.75" customHeight="1">
      <c r="A37" s="54" t="s">
        <v>85</v>
      </c>
      <c r="B37" s="120" t="s">
        <v>86</v>
      </c>
      <c r="C37" s="56"/>
      <c r="D37" s="56"/>
      <c r="E37" s="56"/>
      <c r="F37" s="56"/>
      <c r="G37" s="56"/>
      <c r="H37" s="56"/>
      <c r="I37" s="71"/>
      <c r="AJ37" s="54" t="s">
        <v>85</v>
      </c>
      <c r="AK37" s="57" t="s">
        <v>86</v>
      </c>
    </row>
    <row r="38" spans="1:37" s="50" customFormat="1" ht="15.75" customHeight="1">
      <c r="A38" s="54" t="s">
        <v>26</v>
      </c>
      <c r="B38" s="62" t="s">
        <v>87</v>
      </c>
      <c r="C38" s="56">
        <f>+C12/C3</f>
        <v>69.440899999999942</v>
      </c>
      <c r="D38" s="56">
        <f t="shared" ref="D38:G38" si="13">+D12/D3</f>
        <v>46.177399999999984</v>
      </c>
      <c r="E38" s="56">
        <f t="shared" si="13"/>
        <v>42.471806000000015</v>
      </c>
      <c r="F38" s="56" t="e">
        <f t="shared" si="13"/>
        <v>#DIV/0!</v>
      </c>
      <c r="G38" s="56" t="e">
        <f t="shared" si="13"/>
        <v>#DIV/0!</v>
      </c>
      <c r="H38" s="56">
        <f>+H12/H3</f>
        <v>48.201853000000021</v>
      </c>
      <c r="I38" s="71"/>
      <c r="AJ38" s="54" t="s">
        <v>26</v>
      </c>
      <c r="AK38" s="54" t="s">
        <v>88</v>
      </c>
    </row>
    <row r="39" spans="1:37" s="50" customFormat="1" ht="15.75" customHeight="1">
      <c r="A39" s="54" t="s">
        <v>28</v>
      </c>
      <c r="B39" s="62" t="s">
        <v>89</v>
      </c>
      <c r="C39" s="115">
        <f t="shared" ref="C39:G39" si="14">+C20/C38</f>
        <v>83967.037677603133</v>
      </c>
      <c r="D39" s="115">
        <f t="shared" si="14"/>
        <v>239773.99911356354</v>
      </c>
      <c r="E39" s="115">
        <f t="shared" si="14"/>
        <v>357813.63224033051</v>
      </c>
      <c r="F39" s="115" t="e">
        <f t="shared" si="14"/>
        <v>#DIV/0!</v>
      </c>
      <c r="G39" s="115" t="e">
        <f t="shared" si="14"/>
        <v>#DIV/0!</v>
      </c>
      <c r="H39" s="115">
        <f t="shared" ref="H39" si="15">+H20/H38</f>
        <v>665946.96486045851</v>
      </c>
      <c r="I39" s="71"/>
      <c r="AJ39" s="54" t="s">
        <v>28</v>
      </c>
      <c r="AK39" s="54" t="s">
        <v>89</v>
      </c>
    </row>
    <row r="40" spans="1:37" s="50" customFormat="1" ht="15.75" customHeight="1">
      <c r="A40" s="54" t="s">
        <v>90</v>
      </c>
      <c r="B40" s="57" t="s">
        <v>91</v>
      </c>
      <c r="C40" s="61"/>
      <c r="D40" s="61"/>
      <c r="E40" s="61"/>
      <c r="F40" s="61"/>
      <c r="G40" s="61"/>
      <c r="H40" s="61"/>
      <c r="I40" s="71"/>
      <c r="AJ40" s="54" t="s">
        <v>90</v>
      </c>
      <c r="AK40" s="57" t="s">
        <v>91</v>
      </c>
    </row>
    <row r="41" spans="1:37" s="50" customFormat="1" ht="15.75" customHeight="1">
      <c r="A41" s="54" t="s">
        <v>26</v>
      </c>
      <c r="B41" s="54" t="s">
        <v>92</v>
      </c>
      <c r="C41" s="61">
        <f>+C14/C3</f>
        <v>15.111333333333333</v>
      </c>
      <c r="D41" s="61">
        <f t="shared" ref="D41:G41" si="16">+D14/D3</f>
        <v>7.5556666666666663</v>
      </c>
      <c r="E41" s="61">
        <f t="shared" si="16"/>
        <v>5.0371111111111109</v>
      </c>
      <c r="F41" s="61" t="e">
        <f t="shared" si="16"/>
        <v>#DIV/0!</v>
      </c>
      <c r="G41" s="61" t="e">
        <f t="shared" si="16"/>
        <v>#DIV/0!</v>
      </c>
      <c r="H41" s="61">
        <f>+H14/H3</f>
        <v>7.5556666666666663</v>
      </c>
      <c r="I41" s="71"/>
      <c r="AJ41" s="54" t="s">
        <v>26</v>
      </c>
      <c r="AK41" s="54" t="s">
        <v>92</v>
      </c>
    </row>
    <row r="42" spans="1:37" s="50" customFormat="1" ht="15.75" customHeight="1">
      <c r="A42" s="54" t="s">
        <v>28</v>
      </c>
      <c r="B42" s="54" t="s">
        <v>93</v>
      </c>
      <c r="C42" s="61">
        <f>+C16/C3</f>
        <v>0</v>
      </c>
      <c r="D42" s="61">
        <f t="shared" ref="D42:G42" si="17">+D16/D3</f>
        <v>0</v>
      </c>
      <c r="E42" s="61">
        <f t="shared" si="17"/>
        <v>0</v>
      </c>
      <c r="F42" s="61" t="e">
        <f t="shared" si="17"/>
        <v>#DIV/0!</v>
      </c>
      <c r="G42" s="61" t="e">
        <f t="shared" si="17"/>
        <v>#DIV/0!</v>
      </c>
      <c r="H42" s="61">
        <f>+H16/H3</f>
        <v>0</v>
      </c>
      <c r="I42" s="71"/>
      <c r="AJ42" s="54" t="s">
        <v>28</v>
      </c>
      <c r="AK42" s="54" t="s">
        <v>93</v>
      </c>
    </row>
    <row r="43" spans="1:37" s="50" customFormat="1" ht="15.75" customHeight="1">
      <c r="A43" s="54" t="s">
        <v>78</v>
      </c>
      <c r="B43" s="54" t="s">
        <v>94</v>
      </c>
      <c r="C43" s="61">
        <f>+C17/C3</f>
        <v>21.6478</v>
      </c>
      <c r="D43" s="61">
        <f t="shared" ref="D43:G43" si="18">+D17/D3</f>
        <v>20.998365999999997</v>
      </c>
      <c r="E43" s="61">
        <f t="shared" si="18"/>
        <v>20.368415020000004</v>
      </c>
      <c r="F43" s="61" t="e">
        <f t="shared" si="18"/>
        <v>#DIV/0!</v>
      </c>
      <c r="G43" s="61" t="e">
        <f t="shared" si="18"/>
        <v>#DIV/0!</v>
      </c>
      <c r="H43" s="61">
        <f>+H17/H3</f>
        <v>20.79162951</v>
      </c>
      <c r="I43" s="71"/>
      <c r="AJ43" s="54" t="s">
        <v>78</v>
      </c>
      <c r="AK43" s="54" t="s">
        <v>94</v>
      </c>
    </row>
    <row r="44" spans="1:37" s="50" customFormat="1" ht="15.75" customHeight="1">
      <c r="A44" s="54" t="s">
        <v>31</v>
      </c>
      <c r="B44" s="54" t="s">
        <v>95</v>
      </c>
      <c r="C44" s="61"/>
      <c r="D44" s="61"/>
      <c r="E44" s="61"/>
      <c r="F44" s="61"/>
      <c r="G44" s="61"/>
      <c r="H44" s="61"/>
      <c r="I44" s="71"/>
      <c r="AJ44" s="54" t="s">
        <v>31</v>
      </c>
      <c r="AK44" s="54" t="s">
        <v>96</v>
      </c>
    </row>
    <row r="45" spans="1:37" s="50" customFormat="1" ht="15.75" customHeight="1">
      <c r="A45" s="54" t="s">
        <v>34</v>
      </c>
      <c r="B45" s="54" t="s">
        <v>97</v>
      </c>
      <c r="C45" s="61"/>
      <c r="D45" s="61"/>
      <c r="E45" s="61"/>
      <c r="F45" s="61"/>
      <c r="G45" s="61"/>
      <c r="H45" s="61"/>
      <c r="I45" s="71"/>
      <c r="AJ45" s="54" t="s">
        <v>34</v>
      </c>
      <c r="AK45" s="54" t="s">
        <v>97</v>
      </c>
    </row>
    <row r="46" spans="1:37" s="50" customFormat="1" ht="15.75" customHeight="1">
      <c r="A46" s="54" t="s">
        <v>98</v>
      </c>
      <c r="B46" s="57" t="s">
        <v>99</v>
      </c>
      <c r="C46" s="61"/>
      <c r="D46" s="61"/>
      <c r="E46" s="61"/>
      <c r="F46" s="61"/>
      <c r="G46" s="61"/>
      <c r="H46" s="61"/>
      <c r="I46" s="71"/>
      <c r="AJ46" s="54" t="s">
        <v>98</v>
      </c>
      <c r="AK46" s="57" t="s">
        <v>99</v>
      </c>
    </row>
    <row r="47" spans="1:37" s="50" customFormat="1" ht="15.75" customHeight="1">
      <c r="A47" s="54" t="s">
        <v>26</v>
      </c>
      <c r="B47" s="54" t="s">
        <v>100</v>
      </c>
      <c r="C47" s="132">
        <f>+(C10+C16)/C6</f>
        <v>2.8777289147165069E-2</v>
      </c>
      <c r="D47" s="132">
        <f t="shared" ref="D47:G47" si="19">+(D10+D16)/D6</f>
        <v>4.7798004854282462E-2</v>
      </c>
      <c r="E47" s="132">
        <f t="shared" si="19"/>
        <v>4.9276293664208722E-2</v>
      </c>
      <c r="F47" s="132" t="e">
        <f t="shared" si="19"/>
        <v>#DIV/0!</v>
      </c>
      <c r="G47" s="132" t="e">
        <f t="shared" si="19"/>
        <v>#DIV/0!</v>
      </c>
      <c r="H47" s="132">
        <f>+(H10+H16)/H6</f>
        <v>4.5221443540429833E-2</v>
      </c>
      <c r="I47" s="71"/>
      <c r="AJ47" s="54" t="s">
        <v>26</v>
      </c>
      <c r="AK47" s="54" t="s">
        <v>100</v>
      </c>
    </row>
    <row r="48" spans="1:37" s="50" customFormat="1" ht="15.75" customHeight="1">
      <c r="A48" s="54" t="s">
        <v>28</v>
      </c>
      <c r="B48" s="54" t="s">
        <v>101</v>
      </c>
      <c r="C48" s="132">
        <f>+(C8+C9+C14)/C6</f>
        <v>8.5892780482697231E-2</v>
      </c>
      <c r="D48" s="132">
        <f t="shared" ref="D48:G48" si="20">+(D8+D9+D14)/D6</f>
        <v>8.9666703907659615E-2</v>
      </c>
      <c r="E48" s="132">
        <f t="shared" si="20"/>
        <v>8.8235799202493762E-2</v>
      </c>
      <c r="F48" s="132" t="e">
        <f t="shared" si="20"/>
        <v>#DIV/0!</v>
      </c>
      <c r="G48" s="132" t="e">
        <f t="shared" si="20"/>
        <v>#DIV/0!</v>
      </c>
      <c r="H48" s="132">
        <f>+(H8+H9+H14)/H6</f>
        <v>8.8310926557418568E-2</v>
      </c>
      <c r="I48" s="71"/>
      <c r="AJ48" s="54" t="s">
        <v>28</v>
      </c>
      <c r="AK48" s="54" t="s">
        <v>101</v>
      </c>
    </row>
    <row r="49" spans="1:37" s="50" customFormat="1" ht="15.75" customHeight="1">
      <c r="A49" s="54" t="s">
        <v>78</v>
      </c>
      <c r="B49" s="54" t="s">
        <v>102</v>
      </c>
      <c r="C49" s="132">
        <f>+C17/C6</f>
        <v>3.4000000000000002E-2</v>
      </c>
      <c r="D49" s="132">
        <f t="shared" ref="D49:G49" si="21">+D17/D6</f>
        <v>3.3999999999999996E-2</v>
      </c>
      <c r="E49" s="132">
        <f t="shared" si="21"/>
        <v>3.4000000000000002E-2</v>
      </c>
      <c r="F49" s="132" t="e">
        <f t="shared" si="21"/>
        <v>#DIV/0!</v>
      </c>
      <c r="G49" s="132" t="e">
        <f t="shared" si="21"/>
        <v>#DIV/0!</v>
      </c>
      <c r="H49" s="132">
        <f>+H17/H6</f>
        <v>3.4000000000000002E-2</v>
      </c>
      <c r="I49" s="71"/>
      <c r="AJ49" s="54" t="s">
        <v>78</v>
      </c>
      <c r="AK49" s="54" t="s">
        <v>102</v>
      </c>
    </row>
    <row r="50" spans="1:37" s="50" customFormat="1" ht="15.75" customHeight="1">
      <c r="A50" s="54" t="s">
        <v>31</v>
      </c>
      <c r="B50" s="54" t="s">
        <v>103</v>
      </c>
      <c r="C50" s="132">
        <f>+C18/C6</f>
        <v>1.4658918381236586E-2</v>
      </c>
      <c r="D50" s="132">
        <f t="shared" ref="D50:G50" si="22">+D18/D6</f>
        <v>7.5561434954827759E-3</v>
      </c>
      <c r="E50" s="132">
        <f t="shared" si="22"/>
        <v>5.1932257700912548E-3</v>
      </c>
      <c r="F50" s="132" t="e">
        <f t="shared" si="22"/>
        <v>#DIV/0!</v>
      </c>
      <c r="G50" s="132" t="e">
        <f t="shared" si="22"/>
        <v>#DIV/0!</v>
      </c>
      <c r="H50" s="132">
        <f>+H18/H6</f>
        <v>7.6312761628593807E-3</v>
      </c>
      <c r="I50" s="71"/>
      <c r="AJ50" s="54" t="s">
        <v>31</v>
      </c>
      <c r="AK50" s="54" t="s">
        <v>103</v>
      </c>
    </row>
    <row r="51" spans="1:37" s="50" customFormat="1" ht="15.75" customHeight="1">
      <c r="A51" s="54" t="s">
        <v>34</v>
      </c>
      <c r="B51" s="54" t="s">
        <v>104</v>
      </c>
      <c r="C51" s="132">
        <f>+C19/C6</f>
        <v>1.918485943144338E-2</v>
      </c>
      <c r="D51" s="132">
        <f t="shared" ref="D51:G51" si="23">+D19/D6</f>
        <v>3.5848503640711855E-2</v>
      </c>
      <c r="E51" s="132">
        <f t="shared" si="23"/>
        <v>3.695722024815655E-2</v>
      </c>
      <c r="F51" s="132" t="e">
        <f t="shared" si="23"/>
        <v>#DIV/0!</v>
      </c>
      <c r="G51" s="132" t="e">
        <f t="shared" si="23"/>
        <v>#DIV/0!</v>
      </c>
      <c r="H51" s="132">
        <f>+H19/H6</f>
        <v>3.3499939627066454E-2</v>
      </c>
      <c r="I51" s="71"/>
      <c r="AJ51" s="54" t="s">
        <v>34</v>
      </c>
      <c r="AK51" s="54" t="s">
        <v>104</v>
      </c>
    </row>
    <row r="52" spans="1:37" s="50" customFormat="1" ht="15.75" customHeight="1">
      <c r="A52" s="54" t="s">
        <v>37</v>
      </c>
      <c r="B52" s="54" t="s">
        <v>105</v>
      </c>
      <c r="C52" s="132">
        <f>+C23/C6</f>
        <v>1.3114614418093223E-2</v>
      </c>
      <c r="D52" s="132">
        <f t="shared" ref="D52:G52" si="24">+D23/D6</f>
        <v>-2.1476441766151409E-2</v>
      </c>
      <c r="E52" s="132">
        <f t="shared" si="24"/>
        <v>1.0937000949898525E-2</v>
      </c>
      <c r="F52" s="132" t="e">
        <f t="shared" si="24"/>
        <v>#DIV/0!</v>
      </c>
      <c r="G52" s="132" t="e">
        <f t="shared" si="24"/>
        <v>#DIV/0!</v>
      </c>
      <c r="H52" s="132">
        <f>+H23/H6</f>
        <v>-8.6635858877742184E-3</v>
      </c>
      <c r="I52" s="71"/>
      <c r="AJ52" s="54" t="s">
        <v>37</v>
      </c>
      <c r="AK52" s="54" t="s">
        <v>106</v>
      </c>
    </row>
    <row r="53" spans="1:37" s="50" customFormat="1" ht="15.75" customHeight="1">
      <c r="A53" s="54" t="s">
        <v>107</v>
      </c>
      <c r="B53" s="57" t="s">
        <v>108</v>
      </c>
      <c r="C53" s="61">
        <f>+C21/C3</f>
        <v>11.133433333333274</v>
      </c>
      <c r="D53" s="61">
        <f t="shared" ref="D53:G53" si="25">+D21/D3</f>
        <v>-9.1832993333333448</v>
      </c>
      <c r="E53" s="61">
        <f t="shared" si="25"/>
        <v>-8.1848312422222094</v>
      </c>
      <c r="F53" s="61" t="e">
        <f t="shared" si="25"/>
        <v>#DIV/0!</v>
      </c>
      <c r="G53" s="61" t="e">
        <f t="shared" si="25"/>
        <v>#DIV/0!</v>
      </c>
      <c r="H53" s="61">
        <f>+H21/H3</f>
        <v>-5.2979431766666476</v>
      </c>
      <c r="I53" s="71"/>
      <c r="AJ53" s="54" t="s">
        <v>107</v>
      </c>
      <c r="AK53" s="57" t="s">
        <v>108</v>
      </c>
    </row>
    <row r="54" spans="1:37" s="50" customFormat="1" ht="15.75" customHeight="1">
      <c r="A54" s="54" t="s">
        <v>109</v>
      </c>
      <c r="B54" s="133" t="s">
        <v>110</v>
      </c>
      <c r="C54" s="61"/>
      <c r="D54" s="61"/>
      <c r="E54" s="61"/>
      <c r="F54" s="61"/>
      <c r="G54" s="61"/>
      <c r="H54" s="61"/>
      <c r="I54" s="71"/>
      <c r="AJ54" s="54"/>
      <c r="AK54" s="57"/>
    </row>
    <row r="55" spans="1:37" s="50" customFormat="1" ht="15.75" customHeight="1">
      <c r="A55" s="54" t="s">
        <v>26</v>
      </c>
      <c r="B55" s="54" t="s">
        <v>111</v>
      </c>
      <c r="C55" s="61">
        <f>C56+C57</f>
        <v>7572000</v>
      </c>
      <c r="D55" s="61"/>
      <c r="E55" s="61"/>
      <c r="F55" s="61"/>
      <c r="G55" s="61"/>
      <c r="H55" s="61"/>
      <c r="I55" s="71"/>
    </row>
    <row r="56" spans="1:37" s="50" customFormat="1" ht="15.75" customHeight="1">
      <c r="A56" s="54">
        <v>1.1000000000000001</v>
      </c>
      <c r="B56" s="134" t="s">
        <v>112</v>
      </c>
      <c r="C56" s="61">
        <f>项目投资!B27</f>
        <v>2800000</v>
      </c>
      <c r="D56" s="61"/>
      <c r="E56" s="61"/>
      <c r="F56" s="61"/>
      <c r="G56" s="61"/>
      <c r="H56" s="61"/>
      <c r="I56" s="71"/>
    </row>
    <row r="57" spans="1:37" s="50" customFormat="1" ht="15.75" customHeight="1">
      <c r="A57" s="54">
        <v>1.2</v>
      </c>
      <c r="B57" s="54" t="s">
        <v>113</v>
      </c>
      <c r="C57" s="61">
        <f>项目投资!B26</f>
        <v>4772000</v>
      </c>
      <c r="D57" s="61"/>
      <c r="E57" s="61"/>
      <c r="F57" s="61"/>
      <c r="G57" s="61"/>
      <c r="H57" s="61"/>
      <c r="I57" s="71"/>
    </row>
    <row r="58" spans="1:37" ht="15.75" customHeight="1">
      <c r="A58" s="121" t="s">
        <v>28</v>
      </c>
      <c r="B58" s="121" t="s">
        <v>114</v>
      </c>
      <c r="C58" s="135">
        <f t="shared" ref="C58:G58" si="26">C59+C60</f>
        <v>2346140.8333333288</v>
      </c>
      <c r="D58" s="135">
        <f t="shared" si="26"/>
        <v>-1141632.4583333356</v>
      </c>
      <c r="E58" s="135">
        <f t="shared" si="26"/>
        <v>3476745.4605833394</v>
      </c>
      <c r="F58" s="135" t="e">
        <f t="shared" si="26"/>
        <v>#DIV/0!</v>
      </c>
      <c r="G58" s="135" t="e">
        <f t="shared" si="26"/>
        <v>#DIV/0!</v>
      </c>
      <c r="H58" s="135">
        <f t="shared" ref="H58" si="27">H59+H60</f>
        <v>1354634.0940000117</v>
      </c>
      <c r="I58" s="71"/>
    </row>
    <row r="59" spans="1:37" ht="15.75" customHeight="1">
      <c r="A59" s="121" t="s">
        <v>78</v>
      </c>
      <c r="B59" s="121" t="s">
        <v>115</v>
      </c>
      <c r="C59" s="135">
        <f t="shared" ref="C59:G59" si="28">C23</f>
        <v>835007.49999999558</v>
      </c>
      <c r="D59" s="135">
        <f t="shared" si="28"/>
        <v>-2652765.7916666688</v>
      </c>
      <c r="E59" s="135">
        <f t="shared" si="28"/>
        <v>1965612.1272500062</v>
      </c>
      <c r="F59" s="135" t="e">
        <f t="shared" si="28"/>
        <v>#DIV/0!</v>
      </c>
      <c r="G59" s="135" t="e">
        <f t="shared" si="28"/>
        <v>#DIV/0!</v>
      </c>
      <c r="H59" s="135">
        <f t="shared" ref="H59" si="29">H23</f>
        <v>-3178765.9059999883</v>
      </c>
      <c r="I59" s="71"/>
    </row>
    <row r="60" spans="1:37" ht="15.75" customHeight="1">
      <c r="A60" s="121" t="s">
        <v>31</v>
      </c>
      <c r="B60" s="121" t="s">
        <v>116</v>
      </c>
      <c r="C60" s="135">
        <f>'2022年'!I18</f>
        <v>1511133.3333333333</v>
      </c>
      <c r="D60" s="135">
        <f>'2023年'!I18</f>
        <v>1511133.3333333333</v>
      </c>
      <c r="E60" s="135">
        <f>'2024年'!I18</f>
        <v>1511133.3333333333</v>
      </c>
      <c r="F60" s="135">
        <f>'2025年'!I18</f>
        <v>0</v>
      </c>
      <c r="G60" s="135">
        <f>'2026年'!I18</f>
        <v>0</v>
      </c>
      <c r="H60" s="135">
        <f>项目投资!I26</f>
        <v>4533400</v>
      </c>
      <c r="I60" s="71"/>
    </row>
    <row r="61" spans="1:37" ht="15.75" customHeight="1">
      <c r="A61" s="121" t="s">
        <v>34</v>
      </c>
      <c r="B61" s="121" t="s">
        <v>117</v>
      </c>
      <c r="C61" s="136"/>
      <c r="D61" s="136"/>
      <c r="E61" s="136"/>
      <c r="F61" s="136"/>
      <c r="G61" s="136"/>
      <c r="H61" s="135"/>
      <c r="I61" s="71"/>
    </row>
    <row r="63" spans="1:37">
      <c r="B63"/>
    </row>
  </sheetData>
  <mergeCells count="2">
    <mergeCell ref="A1:H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spans="1:13" ht="18.75">
      <c r="A1" s="76" t="s">
        <v>118</v>
      </c>
      <c r="B1" s="77"/>
      <c r="C1" s="78"/>
      <c r="D1" s="78"/>
      <c r="E1" s="77"/>
      <c r="F1" s="78"/>
      <c r="G1" s="78"/>
      <c r="H1" s="77"/>
      <c r="I1" s="78"/>
      <c r="J1" s="78"/>
      <c r="K1" s="78"/>
      <c r="L1" s="78"/>
      <c r="M1" s="78"/>
    </row>
    <row r="2" spans="1:13" ht="12">
      <c r="A2" s="75" t="s">
        <v>119</v>
      </c>
      <c r="B2" s="79"/>
    </row>
    <row r="3" spans="1:13" ht="16.899999999999999" customHeight="1">
      <c r="A3" s="80" t="s">
        <v>19</v>
      </c>
      <c r="B3" s="80" t="s">
        <v>120</v>
      </c>
      <c r="C3" s="192" t="s">
        <v>121</v>
      </c>
      <c r="D3" s="192"/>
      <c r="E3" s="192"/>
      <c r="F3" s="82"/>
      <c r="G3" s="83"/>
      <c r="H3" s="84"/>
      <c r="I3" s="84"/>
      <c r="J3" s="84" t="s">
        <v>122</v>
      </c>
      <c r="K3" s="84"/>
      <c r="L3" s="84"/>
      <c r="M3" s="105"/>
    </row>
    <row r="4" spans="1:13" ht="16.149999999999999" customHeight="1">
      <c r="A4" s="85"/>
      <c r="B4" s="85" t="s">
        <v>123</v>
      </c>
      <c r="C4" s="81">
        <v>2017</v>
      </c>
      <c r="D4" s="81">
        <f t="shared" ref="D4:L4" si="0">C4+1</f>
        <v>2018</v>
      </c>
      <c r="E4" s="81">
        <f t="shared" si="0"/>
        <v>2019</v>
      </c>
      <c r="F4" s="81">
        <f t="shared" si="0"/>
        <v>2020</v>
      </c>
      <c r="G4" s="81">
        <f t="shared" si="0"/>
        <v>2021</v>
      </c>
      <c r="H4" s="86">
        <f t="shared" si="0"/>
        <v>2022</v>
      </c>
      <c r="I4" s="86">
        <f t="shared" si="0"/>
        <v>2023</v>
      </c>
      <c r="J4" s="86">
        <f t="shared" si="0"/>
        <v>2024</v>
      </c>
      <c r="K4" s="86">
        <f t="shared" si="0"/>
        <v>2025</v>
      </c>
      <c r="L4" s="86">
        <f t="shared" si="0"/>
        <v>2026</v>
      </c>
      <c r="M4" s="106" t="s">
        <v>124</v>
      </c>
    </row>
    <row r="5" spans="1:13" ht="15.6" customHeight="1">
      <c r="A5" s="87">
        <v>1</v>
      </c>
      <c r="B5" s="88" t="s">
        <v>125</v>
      </c>
      <c r="C5" s="89">
        <f>SUM(C6:C9)</f>
        <v>0</v>
      </c>
      <c r="D5" s="89">
        <f t="shared" ref="D5:L5" si="1">SUM(D6:D9)</f>
        <v>0</v>
      </c>
      <c r="E5" s="89" t="e">
        <f t="shared" si="1"/>
        <v>#REF!</v>
      </c>
      <c r="F5" s="89">
        <f t="shared" si="1"/>
        <v>63670000</v>
      </c>
      <c r="G5" s="89">
        <f t="shared" si="1"/>
        <v>127340000</v>
      </c>
      <c r="H5" s="89">
        <f t="shared" si="1"/>
        <v>191010000</v>
      </c>
      <c r="I5" s="89" t="e">
        <f t="shared" si="1"/>
        <v>#REF!</v>
      </c>
      <c r="J5" s="89" t="e">
        <f t="shared" si="1"/>
        <v>#REF!</v>
      </c>
      <c r="K5" s="89" t="e">
        <f t="shared" si="1"/>
        <v>#REF!</v>
      </c>
      <c r="L5" s="89">
        <f t="shared" si="1"/>
        <v>382020000</v>
      </c>
      <c r="M5" s="93" t="e">
        <f t="shared" ref="M5:M17" si="2">SUM(C5:L5)</f>
        <v>#REF!</v>
      </c>
    </row>
    <row r="6" spans="1:13" ht="15.6" customHeight="1">
      <c r="A6" s="87">
        <v>1.1000000000000001</v>
      </c>
      <c r="B6" s="90" t="s">
        <v>126</v>
      </c>
      <c r="C6" s="91"/>
      <c r="D6" s="91"/>
      <c r="E6" s="91" t="e">
        <f>损益表!#REF!</f>
        <v>#REF!</v>
      </c>
      <c r="F6" s="91">
        <f>损益表!C4</f>
        <v>63670000</v>
      </c>
      <c r="G6" s="91">
        <f>损益表!D4</f>
        <v>127340000</v>
      </c>
      <c r="H6" s="91">
        <f>损益表!E4</f>
        <v>191010000</v>
      </c>
      <c r="I6" s="91" t="e">
        <f>损益表!#REF!</f>
        <v>#REF!</v>
      </c>
      <c r="J6" s="91" t="e">
        <f>损益表!#REF!</f>
        <v>#REF!</v>
      </c>
      <c r="K6" s="91" t="e">
        <f>损益表!#REF!</f>
        <v>#REF!</v>
      </c>
      <c r="L6" s="91">
        <f>损益表!H4</f>
        <v>382020000</v>
      </c>
      <c r="M6" s="93" t="e">
        <f t="shared" si="2"/>
        <v>#REF!</v>
      </c>
    </row>
    <row r="7" spans="1:13" ht="15.6" customHeight="1">
      <c r="A7" s="87">
        <v>1.2</v>
      </c>
      <c r="B7" s="90" t="s">
        <v>127</v>
      </c>
      <c r="C7" s="91"/>
      <c r="D7" s="91"/>
      <c r="E7" s="91">
        <f>[1]折、摊!G18</f>
        <v>0</v>
      </c>
      <c r="F7" s="91">
        <f>[1]折、摊!H18</f>
        <v>0</v>
      </c>
      <c r="G7" s="91">
        <f>[1]折、摊!I18</f>
        <v>0</v>
      </c>
      <c r="H7" s="91">
        <f>[1]折、摊!J18</f>
        <v>0</v>
      </c>
      <c r="I7" s="91">
        <f>[1]折、摊!K18</f>
        <v>0</v>
      </c>
      <c r="J7" s="91">
        <f>[1]折、摊!L18</f>
        <v>0</v>
      </c>
      <c r="K7" s="91">
        <f>[1]折、摊!M18</f>
        <v>0</v>
      </c>
      <c r="L7" s="91">
        <f>[1]折、摊!N18</f>
        <v>0</v>
      </c>
      <c r="M7" s="93">
        <f t="shared" si="2"/>
        <v>0</v>
      </c>
    </row>
    <row r="8" spans="1:13" ht="15.6" customHeight="1">
      <c r="A8" s="87">
        <v>1.3</v>
      </c>
      <c r="B8" s="90" t="s">
        <v>128</v>
      </c>
      <c r="C8" s="91" t="s">
        <v>129</v>
      </c>
      <c r="D8" s="91" t="s">
        <v>129</v>
      </c>
      <c r="E8" s="91" t="s">
        <v>129</v>
      </c>
      <c r="F8" s="91" t="s">
        <v>129</v>
      </c>
      <c r="G8" s="91" t="s">
        <v>129</v>
      </c>
      <c r="H8" s="91" t="s">
        <v>129</v>
      </c>
      <c r="I8" s="91" t="s">
        <v>129</v>
      </c>
      <c r="J8" s="91" t="s">
        <v>129</v>
      </c>
      <c r="K8" s="91" t="s">
        <v>129</v>
      </c>
      <c r="L8" s="91"/>
      <c r="M8" s="93">
        <f t="shared" si="2"/>
        <v>0</v>
      </c>
    </row>
    <row r="9" spans="1:13" s="74" customFormat="1" ht="15.6" customHeight="1">
      <c r="A9" s="92">
        <v>1.4</v>
      </c>
      <c r="B9" s="93" t="s">
        <v>130</v>
      </c>
      <c r="C9" s="91" t="s">
        <v>129</v>
      </c>
      <c r="D9" s="91" t="s">
        <v>129</v>
      </c>
      <c r="E9" s="91" t="s">
        <v>129</v>
      </c>
      <c r="F9" s="91" t="s">
        <v>129</v>
      </c>
      <c r="G9" s="91" t="s">
        <v>129</v>
      </c>
      <c r="H9" s="91" t="s">
        <v>129</v>
      </c>
      <c r="I9" s="91" t="s">
        <v>129</v>
      </c>
      <c r="J9" s="91" t="s">
        <v>129</v>
      </c>
      <c r="K9" s="91" t="s">
        <v>129</v>
      </c>
      <c r="L9" s="91" t="s">
        <v>129</v>
      </c>
      <c r="M9" s="93">
        <f t="shared" si="2"/>
        <v>0</v>
      </c>
    </row>
    <row r="10" spans="1:13" ht="15.6" customHeight="1">
      <c r="A10" s="92">
        <v>2</v>
      </c>
      <c r="B10" s="88" t="s">
        <v>131</v>
      </c>
      <c r="C10" s="89">
        <f t="shared" ref="C10:L10" si="3">SUM(C11:C16)</f>
        <v>0</v>
      </c>
      <c r="D10" s="89">
        <f t="shared" si="3"/>
        <v>0</v>
      </c>
      <c r="E10" s="89">
        <f t="shared" si="3"/>
        <v>0</v>
      </c>
      <c r="F10" s="89">
        <f t="shared" si="3"/>
        <v>0</v>
      </c>
      <c r="G10" s="89">
        <f t="shared" si="3"/>
        <v>0</v>
      </c>
      <c r="H10" s="89">
        <f t="shared" si="3"/>
        <v>0</v>
      </c>
      <c r="I10" s="89">
        <f t="shared" si="3"/>
        <v>0</v>
      </c>
      <c r="J10" s="89">
        <f t="shared" si="3"/>
        <v>0</v>
      </c>
      <c r="K10" s="89">
        <f t="shared" si="3"/>
        <v>0</v>
      </c>
      <c r="L10" s="89">
        <f t="shared" si="3"/>
        <v>0</v>
      </c>
      <c r="M10" s="93">
        <f t="shared" si="2"/>
        <v>0</v>
      </c>
    </row>
    <row r="11" spans="1:13" ht="15" customHeight="1">
      <c r="A11" s="87">
        <v>2.1</v>
      </c>
      <c r="B11" s="87" t="s">
        <v>132</v>
      </c>
      <c r="C11" s="91">
        <f>([1]计划!C6-[1]计划!C7)</f>
        <v>0</v>
      </c>
      <c r="D11" s="91">
        <f>([1]计划!D6-[1]计划!D7)</f>
        <v>0</v>
      </c>
      <c r="E11" s="91">
        <f>([1]计划!E6-[1]计划!E7)</f>
        <v>0</v>
      </c>
      <c r="F11" s="91">
        <f>([1]计划!F6-[1]计划!F7)</f>
        <v>0</v>
      </c>
      <c r="G11" s="91">
        <f>([1]计划!G6-[1]计划!G7)</f>
        <v>0</v>
      </c>
      <c r="H11" s="91">
        <f>([1]计划!H6-[1]计划!H7)</f>
        <v>0</v>
      </c>
      <c r="I11" s="91">
        <f>([1]计划!I6-[1]计划!I7)</f>
        <v>0</v>
      </c>
      <c r="J11" s="91">
        <f>([1]计划!J6-[1]计划!J7)</f>
        <v>0</v>
      </c>
      <c r="K11" s="91">
        <f>([1]计划!K6-[1]计划!K7)</f>
        <v>0</v>
      </c>
      <c r="L11" s="91">
        <f>([1]计划!L6-[1]计划!L7)</f>
        <v>0</v>
      </c>
      <c r="M11" s="93">
        <f t="shared" si="2"/>
        <v>0</v>
      </c>
    </row>
    <row r="12" spans="1:13" s="74" customFormat="1" ht="15" customHeight="1">
      <c r="A12" s="87">
        <v>2.2000000000000002</v>
      </c>
      <c r="B12" s="93" t="s">
        <v>133</v>
      </c>
      <c r="C12" s="91">
        <f>[1]计划!C8</f>
        <v>0</v>
      </c>
      <c r="D12" s="91">
        <f>[1]计划!D8</f>
        <v>0</v>
      </c>
      <c r="E12" s="91">
        <f>[1]计划!E8</f>
        <v>0</v>
      </c>
      <c r="F12" s="91">
        <f>[1]计划!F8</f>
        <v>0</v>
      </c>
      <c r="G12" s="91">
        <f>[1]计划!G8</f>
        <v>0</v>
      </c>
      <c r="H12" s="91">
        <f>[1]计划!H8</f>
        <v>0</v>
      </c>
      <c r="I12" s="91">
        <f>[1]计划!I8</f>
        <v>0</v>
      </c>
      <c r="J12" s="91">
        <f>[1]计划!J8</f>
        <v>0</v>
      </c>
      <c r="K12" s="91">
        <f>[1]计划!K8</f>
        <v>0</v>
      </c>
      <c r="L12" s="91">
        <f>[1]计划!L8</f>
        <v>0</v>
      </c>
      <c r="M12" s="93">
        <f t="shared" si="2"/>
        <v>0</v>
      </c>
    </row>
    <row r="13" spans="1:13" ht="15" customHeight="1">
      <c r="A13" s="87">
        <v>2.2999999999999998</v>
      </c>
      <c r="B13" s="90" t="s">
        <v>134</v>
      </c>
      <c r="C13" s="91">
        <f>[1]总成本!C22</f>
        <v>0</v>
      </c>
      <c r="D13" s="91">
        <f>[1]总成本!D22</f>
        <v>0</v>
      </c>
      <c r="E13" s="91">
        <f>[1]总成本!E22</f>
        <v>0</v>
      </c>
      <c r="F13" s="91">
        <f>[1]总成本!F22</f>
        <v>0</v>
      </c>
      <c r="G13" s="91">
        <f>[1]总成本!G22</f>
        <v>0</v>
      </c>
      <c r="H13" s="91">
        <f>[1]总成本!H22</f>
        <v>0</v>
      </c>
      <c r="I13" s="91">
        <f>[1]总成本!I22</f>
        <v>0</v>
      </c>
      <c r="J13" s="91">
        <f>[1]总成本!J22</f>
        <v>0</v>
      </c>
      <c r="K13" s="91">
        <f>[1]总成本!K22</f>
        <v>0</v>
      </c>
      <c r="L13" s="91">
        <f>[1]总成本!L22</f>
        <v>0</v>
      </c>
      <c r="M13" s="93">
        <f t="shared" si="2"/>
        <v>0</v>
      </c>
    </row>
    <row r="14" spans="1:13" ht="15" customHeight="1">
      <c r="A14" s="87">
        <v>2.4</v>
      </c>
      <c r="B14" s="90" t="s">
        <v>135</v>
      </c>
      <c r="C14" s="91">
        <f>[1]价格!D15</f>
        <v>0</v>
      </c>
      <c r="D14" s="91">
        <f>[1]价格!E15</f>
        <v>0</v>
      </c>
      <c r="E14" s="91">
        <f>[1]价格!F15</f>
        <v>0</v>
      </c>
      <c r="F14" s="91">
        <f>[1]价格!G15</f>
        <v>0</v>
      </c>
      <c r="G14" s="91">
        <f>[1]价格!H15</f>
        <v>0</v>
      </c>
      <c r="H14" s="91">
        <f>[1]价格!I15</f>
        <v>0</v>
      </c>
      <c r="I14" s="91">
        <f>[1]价格!J15</f>
        <v>0</v>
      </c>
      <c r="J14" s="91">
        <f>[1]价格!K15</f>
        <v>0</v>
      </c>
      <c r="K14" s="91">
        <f>[1]价格!L15</f>
        <v>0</v>
      </c>
      <c r="L14" s="91">
        <f>[1]价格!M15</f>
        <v>0</v>
      </c>
      <c r="M14" s="93">
        <f t="shared" si="2"/>
        <v>0</v>
      </c>
    </row>
    <row r="15" spans="1:13" ht="15" customHeight="1">
      <c r="A15" s="87">
        <v>2.5</v>
      </c>
      <c r="B15" s="90" t="s">
        <v>61</v>
      </c>
      <c r="C15" s="91">
        <f>[1]利润!C13</f>
        <v>0</v>
      </c>
      <c r="D15" s="91">
        <f>[1]利润!D13</f>
        <v>0</v>
      </c>
      <c r="E15" s="91">
        <f>[1]利润!E13</f>
        <v>0</v>
      </c>
      <c r="F15" s="91">
        <f>[1]利润!F13</f>
        <v>0</v>
      </c>
      <c r="G15" s="91">
        <f>[1]利润!G13</f>
        <v>0</v>
      </c>
      <c r="H15" s="91">
        <f>[1]利润!H13</f>
        <v>0</v>
      </c>
      <c r="I15" s="91">
        <f>[1]利润!I13</f>
        <v>0</v>
      </c>
      <c r="J15" s="91">
        <f>[1]利润!J13</f>
        <v>0</v>
      </c>
      <c r="K15" s="91">
        <f>[1]利润!K13</f>
        <v>0</v>
      </c>
      <c r="L15" s="91">
        <f>[1]利润!L13</f>
        <v>0</v>
      </c>
      <c r="M15" s="93">
        <f t="shared" si="2"/>
        <v>0</v>
      </c>
    </row>
    <row r="16" spans="1:13" ht="15" customHeight="1">
      <c r="A16" s="87">
        <v>2.6</v>
      </c>
      <c r="B16" s="90" t="s">
        <v>136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3">
        <f t="shared" si="2"/>
        <v>0</v>
      </c>
    </row>
    <row r="17" spans="1:18" ht="12">
      <c r="A17" s="87">
        <v>3</v>
      </c>
      <c r="B17" s="88" t="s">
        <v>137</v>
      </c>
      <c r="C17" s="89">
        <f t="shared" ref="C17:L17" si="4">C5-C10</f>
        <v>0</v>
      </c>
      <c r="D17" s="89">
        <f t="shared" si="4"/>
        <v>0</v>
      </c>
      <c r="E17" s="89" t="e">
        <f t="shared" si="4"/>
        <v>#REF!</v>
      </c>
      <c r="F17" s="89">
        <f t="shared" si="4"/>
        <v>63670000</v>
      </c>
      <c r="G17" s="89">
        <f t="shared" si="4"/>
        <v>127340000</v>
      </c>
      <c r="H17" s="89">
        <f t="shared" si="4"/>
        <v>191010000</v>
      </c>
      <c r="I17" s="89" t="e">
        <f t="shared" si="4"/>
        <v>#REF!</v>
      </c>
      <c r="J17" s="89" t="e">
        <f t="shared" si="4"/>
        <v>#REF!</v>
      </c>
      <c r="K17" s="89" t="e">
        <f t="shared" si="4"/>
        <v>#REF!</v>
      </c>
      <c r="L17" s="89">
        <f t="shared" si="4"/>
        <v>382020000</v>
      </c>
      <c r="M17" s="93" t="e">
        <f t="shared" si="2"/>
        <v>#REF!</v>
      </c>
    </row>
    <row r="18" spans="1:18" ht="12">
      <c r="A18" s="94">
        <v>4</v>
      </c>
      <c r="B18" s="90" t="s">
        <v>138</v>
      </c>
      <c r="C18" s="91">
        <f>C17</f>
        <v>0</v>
      </c>
      <c r="D18" s="91">
        <f t="shared" ref="D18:L18" si="5">C18+D17</f>
        <v>0</v>
      </c>
      <c r="E18" s="91" t="e">
        <f t="shared" si="5"/>
        <v>#REF!</v>
      </c>
      <c r="F18" s="91" t="e">
        <f t="shared" si="5"/>
        <v>#REF!</v>
      </c>
      <c r="G18" s="91" t="e">
        <f t="shared" si="5"/>
        <v>#REF!</v>
      </c>
      <c r="H18" s="91" t="e">
        <f t="shared" si="5"/>
        <v>#REF!</v>
      </c>
      <c r="I18" s="91" t="e">
        <f t="shared" si="5"/>
        <v>#REF!</v>
      </c>
      <c r="J18" s="91" t="e">
        <f t="shared" si="5"/>
        <v>#REF!</v>
      </c>
      <c r="K18" s="91" t="e">
        <f t="shared" si="5"/>
        <v>#REF!</v>
      </c>
      <c r="L18" s="91" t="e">
        <f t="shared" si="5"/>
        <v>#REF!</v>
      </c>
      <c r="M18" s="90" t="s">
        <v>129</v>
      </c>
    </row>
    <row r="19" spans="1:18" s="74" customFormat="1" ht="12">
      <c r="A19" s="94">
        <v>5</v>
      </c>
      <c r="B19" s="90" t="s">
        <v>139</v>
      </c>
      <c r="C19" s="91">
        <f t="shared" ref="C19:L19" si="6">C17+C15</f>
        <v>0</v>
      </c>
      <c r="D19" s="91">
        <f t="shared" si="6"/>
        <v>0</v>
      </c>
      <c r="E19" s="91" t="e">
        <f t="shared" si="6"/>
        <v>#REF!</v>
      </c>
      <c r="F19" s="91">
        <f t="shared" si="6"/>
        <v>63670000</v>
      </c>
      <c r="G19" s="91">
        <f t="shared" si="6"/>
        <v>127340000</v>
      </c>
      <c r="H19" s="91">
        <f t="shared" si="6"/>
        <v>191010000</v>
      </c>
      <c r="I19" s="91" t="e">
        <f t="shared" si="6"/>
        <v>#REF!</v>
      </c>
      <c r="J19" s="91" t="e">
        <f t="shared" si="6"/>
        <v>#REF!</v>
      </c>
      <c r="K19" s="91" t="e">
        <f t="shared" si="6"/>
        <v>#REF!</v>
      </c>
      <c r="L19" s="91">
        <f t="shared" si="6"/>
        <v>382020000</v>
      </c>
      <c r="M19" s="93" t="e">
        <f>SUM(C19:L19)</f>
        <v>#REF!</v>
      </c>
    </row>
    <row r="20" spans="1:18" s="74" customFormat="1" ht="12">
      <c r="A20" s="87">
        <v>6</v>
      </c>
      <c r="B20" s="90" t="s">
        <v>140</v>
      </c>
      <c r="C20" s="91">
        <f>C19</f>
        <v>0</v>
      </c>
      <c r="D20" s="91">
        <f t="shared" ref="D20:L20" si="7">C20+D19</f>
        <v>0</v>
      </c>
      <c r="E20" s="91" t="e">
        <f t="shared" si="7"/>
        <v>#REF!</v>
      </c>
      <c r="F20" s="91" t="e">
        <f t="shared" si="7"/>
        <v>#REF!</v>
      </c>
      <c r="G20" s="91" t="e">
        <f t="shared" si="7"/>
        <v>#REF!</v>
      </c>
      <c r="H20" s="91" t="e">
        <f t="shared" si="7"/>
        <v>#REF!</v>
      </c>
      <c r="I20" s="91" t="e">
        <f t="shared" si="7"/>
        <v>#REF!</v>
      </c>
      <c r="J20" s="91" t="e">
        <f t="shared" si="7"/>
        <v>#REF!</v>
      </c>
      <c r="K20" s="91" t="e">
        <f t="shared" si="7"/>
        <v>#REF!</v>
      </c>
      <c r="L20" s="91" t="e">
        <f t="shared" si="7"/>
        <v>#REF!</v>
      </c>
      <c r="M20" s="90" t="s">
        <v>129</v>
      </c>
    </row>
    <row r="21" spans="1:18" ht="12">
      <c r="A21" s="95"/>
      <c r="B21" s="96" t="s">
        <v>141</v>
      </c>
      <c r="C21" s="96"/>
      <c r="D21" s="96"/>
      <c r="E21" s="96" t="s">
        <v>142</v>
      </c>
      <c r="F21" s="96"/>
      <c r="G21" s="96"/>
      <c r="H21" s="96"/>
      <c r="I21" s="96" t="s">
        <v>143</v>
      </c>
      <c r="J21" s="96"/>
      <c r="K21" s="96"/>
      <c r="L21" s="96"/>
      <c r="M21" s="107"/>
    </row>
    <row r="22" spans="1:18" ht="12">
      <c r="A22" s="97"/>
      <c r="B22" s="98" t="s">
        <v>144</v>
      </c>
      <c r="C22" s="98"/>
      <c r="D22" s="99" t="s">
        <v>145</v>
      </c>
      <c r="E22" s="100" t="e">
        <f>IRR(C17:L17,0.15)</f>
        <v>#VALUE!</v>
      </c>
      <c r="F22" s="98"/>
      <c r="G22" s="98"/>
      <c r="H22" s="98"/>
      <c r="I22" s="100" t="e">
        <f>IRR(C19:L19,0.15)</f>
        <v>#VALUE!</v>
      </c>
      <c r="J22" s="98"/>
      <c r="K22" s="98"/>
      <c r="L22" s="98"/>
      <c r="M22" s="108"/>
    </row>
    <row r="23" spans="1:18" ht="12">
      <c r="A23" s="97"/>
      <c r="B23" s="98" t="s">
        <v>146</v>
      </c>
      <c r="C23" s="98"/>
      <c r="D23" s="98"/>
      <c r="E23" s="101" t="e">
        <f>NPV(0.12,C17:L17)</f>
        <v>#REF!</v>
      </c>
      <c r="F23" s="98"/>
      <c r="G23" s="98"/>
      <c r="H23" s="98"/>
      <c r="I23" s="101" t="e">
        <f>NPV(0.12,C19:L19)</f>
        <v>#REF!</v>
      </c>
      <c r="J23" s="98"/>
      <c r="K23" s="98"/>
      <c r="L23" s="98"/>
      <c r="M23" s="108"/>
      <c r="R23" s="75">
        <f>30.9-29.82</f>
        <v>1.0799999999999983</v>
      </c>
    </row>
    <row r="24" spans="1:18" ht="12">
      <c r="A24" s="102"/>
      <c r="B24" s="103" t="s">
        <v>147</v>
      </c>
      <c r="C24" s="103"/>
      <c r="D24" s="103"/>
      <c r="E24" s="104" t="e">
        <f>6-H18/I17</f>
        <v>#REF!</v>
      </c>
      <c r="F24" s="103"/>
      <c r="G24" s="103"/>
      <c r="H24" s="103"/>
      <c r="I24" s="104" t="e">
        <f>6-H20/I19</f>
        <v>#REF!</v>
      </c>
      <c r="J24" s="103"/>
      <c r="K24" s="103"/>
      <c r="L24" s="103"/>
      <c r="M24" s="109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20" sqref="F20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148</v>
      </c>
      <c r="B1" s="193"/>
      <c r="C1" s="197" t="s">
        <v>270</v>
      </c>
      <c r="D1" s="198"/>
      <c r="E1" s="198"/>
      <c r="F1" s="198"/>
      <c r="G1" s="198"/>
      <c r="H1" s="198"/>
      <c r="I1" s="199"/>
    </row>
    <row r="2" spans="1:38">
      <c r="A2" s="193" t="s">
        <v>149</v>
      </c>
      <c r="B2" s="193"/>
      <c r="C2" s="200" t="s">
        <v>247</v>
      </c>
      <c r="D2" s="200"/>
      <c r="E2" s="200"/>
      <c r="F2" s="200"/>
      <c r="G2" s="200"/>
      <c r="H2" s="200"/>
      <c r="I2" s="200"/>
    </row>
    <row r="3" spans="1:38">
      <c r="A3" s="193" t="s">
        <v>150</v>
      </c>
      <c r="B3" s="193"/>
      <c r="C3" s="163" t="str">
        <f>销量!C5</f>
        <v>驾驶员座椅</v>
      </c>
      <c r="D3" s="163" t="str">
        <f>销量!D5</f>
        <v>副驾驶员座椅</v>
      </c>
      <c r="E3" s="163" t="str">
        <f>销量!E5</f>
        <v>副驾驶员座椅</v>
      </c>
      <c r="F3" s="163">
        <f>销量!F5</f>
        <v>0</v>
      </c>
      <c r="G3" s="163">
        <f>销量!G5</f>
        <v>0</v>
      </c>
      <c r="H3" s="163">
        <f>销量!H5</f>
        <v>0</v>
      </c>
      <c r="I3" s="194" t="s">
        <v>22</v>
      </c>
    </row>
    <row r="4" spans="1:38" ht="28.5">
      <c r="A4" s="193" t="s">
        <v>151</v>
      </c>
      <c r="B4" s="193"/>
      <c r="C4" s="163" t="str">
        <f>销量!C6</f>
        <v>L168100000146</v>
      </c>
      <c r="D4" s="163" t="str">
        <f>销量!D6</f>
        <v>L168100000147（2060）</v>
      </c>
      <c r="E4" s="163" t="str">
        <f>销量!E6</f>
        <v>L168100000149（1880）</v>
      </c>
      <c r="F4" s="163">
        <f>销量!F6</f>
        <v>0</v>
      </c>
      <c r="G4" s="163">
        <f>销量!G6</f>
        <v>0</v>
      </c>
      <c r="H4" s="163">
        <f>销量!H6</f>
        <v>0</v>
      </c>
      <c r="I4" s="195"/>
    </row>
    <row r="5" spans="1:38">
      <c r="A5" s="193" t="s">
        <v>152</v>
      </c>
      <c r="B5" s="193"/>
      <c r="C5" s="53"/>
      <c r="D5" s="53"/>
      <c r="E5" s="53"/>
      <c r="F5" s="53"/>
      <c r="G5" s="53"/>
      <c r="H5" s="53"/>
      <c r="I5" s="196"/>
      <c r="AL5" s="50" t="s">
        <v>23</v>
      </c>
    </row>
    <row r="6" spans="1:38" ht="17.25">
      <c r="A6" s="54" t="s">
        <v>19</v>
      </c>
      <c r="B6" s="55" t="s">
        <v>153</v>
      </c>
      <c r="C6" s="23">
        <f>销量!C9</f>
        <v>50000</v>
      </c>
      <c r="D6" s="23">
        <f>销量!D9</f>
        <v>25000</v>
      </c>
      <c r="E6" s="23">
        <f>销量!E9</f>
        <v>25000</v>
      </c>
      <c r="F6" s="23">
        <f>销量!F9</f>
        <v>0</v>
      </c>
      <c r="G6" s="23">
        <f>销量!G9</f>
        <v>0</v>
      </c>
      <c r="H6" s="23">
        <f>销量!H9</f>
        <v>0</v>
      </c>
      <c r="I6" s="56">
        <f>SUM(C6:H6)</f>
        <v>100000</v>
      </c>
      <c r="T6" s="55" t="s">
        <v>3</v>
      </c>
      <c r="AJ6" s="54" t="s">
        <v>19</v>
      </c>
      <c r="AK6" s="55" t="s">
        <v>3</v>
      </c>
      <c r="AL6" s="50" t="s">
        <v>24</v>
      </c>
    </row>
    <row r="7" spans="1:38">
      <c r="A7" s="52">
        <v>1</v>
      </c>
      <c r="B7" s="55" t="s">
        <v>25</v>
      </c>
      <c r="C7" s="56">
        <f>C6*销量!C8</f>
        <v>28914999.999999996</v>
      </c>
      <c r="D7" s="56">
        <f>D6*销量!D8</f>
        <v>17702500</v>
      </c>
      <c r="E7" s="56">
        <f>E6*销量!E8</f>
        <v>17052500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>SUM(C7:H7)</f>
        <v>63670000</v>
      </c>
      <c r="J7" s="51"/>
      <c r="T7" s="55" t="s">
        <v>25</v>
      </c>
      <c r="AJ7" s="54" t="s">
        <v>26</v>
      </c>
      <c r="AK7" s="55" t="s">
        <v>25</v>
      </c>
      <c r="AL7" s="50" t="s">
        <v>24</v>
      </c>
    </row>
    <row r="8" spans="1:38">
      <c r="A8" s="52">
        <v>2</v>
      </c>
      <c r="B8" s="52" t="s">
        <v>27</v>
      </c>
      <c r="C8" s="56"/>
      <c r="D8" s="56"/>
      <c r="E8" s="56"/>
      <c r="F8" s="56"/>
      <c r="G8" s="56"/>
      <c r="H8" s="56"/>
      <c r="I8" s="56">
        <f>SUM(C8:H8)</f>
        <v>0</v>
      </c>
      <c r="J8" s="71"/>
      <c r="T8" s="52" t="s">
        <v>29</v>
      </c>
      <c r="AJ8" s="54" t="s">
        <v>28</v>
      </c>
      <c r="AK8" s="52" t="s">
        <v>29</v>
      </c>
      <c r="AL8" s="50" t="s">
        <v>24</v>
      </c>
    </row>
    <row r="9" spans="1:38">
      <c r="A9" s="52">
        <v>3</v>
      </c>
      <c r="B9" s="55" t="s">
        <v>30</v>
      </c>
      <c r="C9" s="56">
        <f>+C7-C8</f>
        <v>28914999.999999996</v>
      </c>
      <c r="D9" s="56">
        <f t="shared" ref="D9:H9" si="0">+D7-D8</f>
        <v>17702500</v>
      </c>
      <c r="E9" s="56">
        <f t="shared" si="0"/>
        <v>17052500</v>
      </c>
      <c r="F9" s="56">
        <f t="shared" si="0"/>
        <v>0</v>
      </c>
      <c r="G9" s="56">
        <f t="shared" si="0"/>
        <v>0</v>
      </c>
      <c r="H9" s="56">
        <f t="shared" si="0"/>
        <v>0</v>
      </c>
      <c r="I9" s="56">
        <f>SUM(C9:H9)</f>
        <v>63670000</v>
      </c>
      <c r="T9" s="55" t="s">
        <v>30</v>
      </c>
      <c r="AJ9" s="54" t="s">
        <v>31</v>
      </c>
      <c r="AK9" s="55" t="s">
        <v>30</v>
      </c>
      <c r="AL9" s="50" t="s">
        <v>32</v>
      </c>
    </row>
    <row r="10" spans="1:38">
      <c r="A10" s="52">
        <v>4</v>
      </c>
      <c r="B10" s="54" t="s">
        <v>33</v>
      </c>
      <c r="C10" s="56">
        <f>C6*材料成本!E41</f>
        <v>23132000</v>
      </c>
      <c r="D10" s="56">
        <f>D6*材料成本!E42</f>
        <v>14162000</v>
      </c>
      <c r="E10" s="56">
        <f>E6*材料成本!E43</f>
        <v>13642000.000000002</v>
      </c>
      <c r="F10" s="56">
        <f>F6*材料成本!E44</f>
        <v>0</v>
      </c>
      <c r="G10" s="56">
        <f>G6*材料成本!E45</f>
        <v>0</v>
      </c>
      <c r="H10" s="56">
        <f>H6*材料成本!E46</f>
        <v>0</v>
      </c>
      <c r="I10" s="56">
        <f>SUM(C10:H10)</f>
        <v>50936000</v>
      </c>
      <c r="T10" s="54" t="s">
        <v>33</v>
      </c>
      <c r="AJ10" s="54" t="s">
        <v>34</v>
      </c>
      <c r="AK10" s="54" t="s">
        <v>33</v>
      </c>
      <c r="AL10" s="50" t="s">
        <v>35</v>
      </c>
    </row>
    <row r="11" spans="1:38">
      <c r="A11" s="52">
        <v>5</v>
      </c>
      <c r="B11" s="54" t="s">
        <v>36</v>
      </c>
      <c r="C11" s="56">
        <f>+C6*C36</f>
        <v>1246236.4999999998</v>
      </c>
      <c r="D11" s="56">
        <f t="shared" ref="D11:H11" si="1">+D6*D36</f>
        <v>762977.75</v>
      </c>
      <c r="E11" s="56">
        <f t="shared" si="1"/>
        <v>623118.24999999988</v>
      </c>
      <c r="F11" s="56">
        <f t="shared" si="1"/>
        <v>0</v>
      </c>
      <c r="G11" s="56">
        <f t="shared" si="1"/>
        <v>0</v>
      </c>
      <c r="H11" s="56">
        <f t="shared" si="1"/>
        <v>0</v>
      </c>
      <c r="I11" s="56">
        <f t="shared" ref="I11:I15" si="2">SUM(C11:H11)</f>
        <v>2632332.4999999995</v>
      </c>
      <c r="T11" s="54" t="s">
        <v>36</v>
      </c>
      <c r="AJ11" s="54" t="s">
        <v>37</v>
      </c>
      <c r="AK11" s="54" t="s">
        <v>36</v>
      </c>
    </row>
    <row r="12" spans="1:38">
      <c r="A12" s="52">
        <v>6</v>
      </c>
      <c r="B12" s="54" t="s">
        <v>38</v>
      </c>
      <c r="C12" s="56">
        <f>+C6*C37</f>
        <v>627455.5</v>
      </c>
      <c r="D12" s="56">
        <f t="shared" ref="D12:H12" si="3">+D6*D37</f>
        <v>384144.25000000006</v>
      </c>
      <c r="E12" s="56">
        <f t="shared" si="3"/>
        <v>313727.75</v>
      </c>
      <c r="F12" s="56">
        <f t="shared" si="3"/>
        <v>0</v>
      </c>
      <c r="G12" s="56">
        <f t="shared" si="3"/>
        <v>0</v>
      </c>
      <c r="H12" s="56">
        <f t="shared" si="3"/>
        <v>0</v>
      </c>
      <c r="I12" s="56">
        <f t="shared" si="2"/>
        <v>1325327.5</v>
      </c>
      <c r="T12" s="54" t="s">
        <v>38</v>
      </c>
      <c r="AJ12" s="54" t="s">
        <v>39</v>
      </c>
      <c r="AK12" s="54" t="s">
        <v>38</v>
      </c>
    </row>
    <row r="13" spans="1:38">
      <c r="A13" s="52">
        <v>7</v>
      </c>
      <c r="B13" s="54" t="s">
        <v>40</v>
      </c>
      <c r="C13" s="56">
        <f>+C6*C38</f>
        <v>867449.99999999988</v>
      </c>
      <c r="D13" s="56">
        <f t="shared" ref="D13:H13" si="4">+D6*D38</f>
        <v>531075</v>
      </c>
      <c r="E13" s="56">
        <f t="shared" si="4"/>
        <v>433724.99999999994</v>
      </c>
      <c r="F13" s="56">
        <f t="shared" si="4"/>
        <v>0</v>
      </c>
      <c r="G13" s="56">
        <f t="shared" si="4"/>
        <v>0</v>
      </c>
      <c r="H13" s="56">
        <f t="shared" si="4"/>
        <v>0</v>
      </c>
      <c r="I13" s="56">
        <f t="shared" si="2"/>
        <v>1832250</v>
      </c>
      <c r="T13" s="54" t="s">
        <v>40</v>
      </c>
      <c r="AJ13" s="54" t="s">
        <v>41</v>
      </c>
      <c r="AK13" s="54" t="s">
        <v>40</v>
      </c>
      <c r="AL13" s="50" t="s">
        <v>24</v>
      </c>
    </row>
    <row r="14" spans="1:38">
      <c r="A14" s="52">
        <v>8</v>
      </c>
      <c r="B14" s="57" t="s">
        <v>42</v>
      </c>
      <c r="C14" s="56">
        <f>SUM(C11:C13)</f>
        <v>2741141.9999999995</v>
      </c>
      <c r="D14" s="56">
        <f t="shared" ref="D14:H14" si="5">SUM(D11:D13)</f>
        <v>1678197</v>
      </c>
      <c r="E14" s="56">
        <f t="shared" si="5"/>
        <v>1370570.9999999998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2"/>
        <v>5789910</v>
      </c>
      <c r="T14" s="57" t="s">
        <v>42</v>
      </c>
      <c r="AJ14" s="54" t="s">
        <v>43</v>
      </c>
      <c r="AK14" s="57" t="s">
        <v>42</v>
      </c>
    </row>
    <row r="15" spans="1:38">
      <c r="A15" s="52">
        <v>9</v>
      </c>
      <c r="B15" s="57" t="s">
        <v>44</v>
      </c>
      <c r="C15" s="56">
        <f>+C9-C10-C14</f>
        <v>3041857.9999999967</v>
      </c>
      <c r="D15" s="56">
        <f t="shared" ref="D15:H15" si="6">+D9-D10-D14</f>
        <v>1862303</v>
      </c>
      <c r="E15" s="56">
        <f t="shared" si="6"/>
        <v>2039928.9999999984</v>
      </c>
      <c r="F15" s="56">
        <f t="shared" si="6"/>
        <v>0</v>
      </c>
      <c r="G15" s="56">
        <f t="shared" si="6"/>
        <v>0</v>
      </c>
      <c r="H15" s="56">
        <f t="shared" si="6"/>
        <v>0</v>
      </c>
      <c r="I15" s="56">
        <f t="shared" si="2"/>
        <v>6944089.9999999944</v>
      </c>
      <c r="T15" s="57" t="s">
        <v>44</v>
      </c>
      <c r="AJ15" s="54" t="s">
        <v>45</v>
      </c>
      <c r="AK15" s="57" t="s">
        <v>44</v>
      </c>
    </row>
    <row r="16" spans="1:38">
      <c r="A16" s="52">
        <v>10</v>
      </c>
      <c r="B16" s="54" t="s">
        <v>46</v>
      </c>
      <c r="C16" s="58">
        <f>+C15/C9</f>
        <v>0.1051999999999999</v>
      </c>
      <c r="D16" s="58">
        <f t="shared" ref="D16:H16" si="7">+D15/D9</f>
        <v>0.1052</v>
      </c>
      <c r="E16" s="58">
        <f t="shared" si="7"/>
        <v>0.11962638909250833</v>
      </c>
      <c r="F16" s="58" t="e">
        <f t="shared" si="7"/>
        <v>#DIV/0!</v>
      </c>
      <c r="G16" s="58" t="e">
        <f t="shared" si="7"/>
        <v>#DIV/0!</v>
      </c>
      <c r="H16" s="58" t="e">
        <f t="shared" si="7"/>
        <v>#DIV/0!</v>
      </c>
      <c r="I16" s="58">
        <f t="shared" ref="I16" si="8">+I15/I9</f>
        <v>0.10906376629495829</v>
      </c>
      <c r="T16" s="54" t="s">
        <v>46</v>
      </c>
      <c r="AJ16" s="54" t="s">
        <v>47</v>
      </c>
      <c r="AK16" s="54" t="s">
        <v>46</v>
      </c>
    </row>
    <row r="17" spans="1:38">
      <c r="A17" s="52">
        <v>11</v>
      </c>
      <c r="B17" s="54" t="s">
        <v>48</v>
      </c>
      <c r="C17" s="56">
        <f>C6*C43+C18</f>
        <v>755566.66666666663</v>
      </c>
      <c r="D17" s="56">
        <f t="shared" ref="D17:H17" si="9">D6*D43+D18</f>
        <v>377783.33333333331</v>
      </c>
      <c r="E17" s="56">
        <f t="shared" si="9"/>
        <v>377783.33333333331</v>
      </c>
      <c r="F17" s="56">
        <f t="shared" si="9"/>
        <v>0</v>
      </c>
      <c r="G17" s="56">
        <f t="shared" si="9"/>
        <v>0</v>
      </c>
      <c r="H17" s="56">
        <f t="shared" si="9"/>
        <v>0</v>
      </c>
      <c r="I17" s="56">
        <f>SUM(C17:H17)</f>
        <v>1511133.3333333333</v>
      </c>
      <c r="J17" s="174"/>
      <c r="K17" s="175"/>
      <c r="L17" s="175"/>
      <c r="T17" s="54" t="s">
        <v>48</v>
      </c>
      <c r="AJ17" s="54" t="s">
        <v>49</v>
      </c>
      <c r="AK17" s="54" t="s">
        <v>48</v>
      </c>
    </row>
    <row r="18" spans="1:38" s="48" customFormat="1">
      <c r="A18" s="52">
        <v>12</v>
      </c>
      <c r="B18" s="59" t="s">
        <v>154</v>
      </c>
      <c r="C18" s="60">
        <f>$I$18/$I$6*C6</f>
        <v>755566.66666666663</v>
      </c>
      <c r="D18" s="60">
        <f t="shared" ref="D18:H18" si="10">$I$18/$I$6*D6</f>
        <v>377783.33333333331</v>
      </c>
      <c r="E18" s="60">
        <f t="shared" si="10"/>
        <v>377783.33333333331</v>
      </c>
      <c r="F18" s="60">
        <f t="shared" si="10"/>
        <v>0</v>
      </c>
      <c r="G18" s="60">
        <f t="shared" si="10"/>
        <v>0</v>
      </c>
      <c r="H18" s="60">
        <f t="shared" si="10"/>
        <v>0</v>
      </c>
      <c r="I18" s="60">
        <f>项目投资!D26</f>
        <v>1511133.3333333333</v>
      </c>
      <c r="J18" s="176" t="s">
        <v>155</v>
      </c>
      <c r="K18" s="176"/>
      <c r="L18" s="176"/>
    </row>
    <row r="19" spans="1:38">
      <c r="A19" s="52">
        <v>13</v>
      </c>
      <c r="B19" s="54" t="s">
        <v>50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>F6*F44</f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177"/>
      <c r="K19" s="175"/>
      <c r="L19" s="175"/>
      <c r="T19" s="54" t="s">
        <v>50</v>
      </c>
      <c r="AJ19" s="54" t="s">
        <v>51</v>
      </c>
      <c r="AK19" s="54" t="s">
        <v>50</v>
      </c>
      <c r="AL19" s="50" t="s">
        <v>24</v>
      </c>
    </row>
    <row r="20" spans="1:38">
      <c r="A20" s="52">
        <v>14</v>
      </c>
      <c r="B20" s="54" t="s">
        <v>52</v>
      </c>
      <c r="C20" s="56">
        <f>C6*C45</f>
        <v>983109.99999999988</v>
      </c>
      <c r="D20" s="56">
        <f t="shared" ref="D20:H20" si="12">D6*D45</f>
        <v>601885</v>
      </c>
      <c r="E20" s="56">
        <f t="shared" si="12"/>
        <v>579785</v>
      </c>
      <c r="F20" s="56">
        <f t="shared" si="12"/>
        <v>0</v>
      </c>
      <c r="G20" s="56">
        <f t="shared" si="12"/>
        <v>0</v>
      </c>
      <c r="H20" s="56">
        <f t="shared" si="12"/>
        <v>0</v>
      </c>
      <c r="I20" s="56">
        <f>SUM(C20:H20)</f>
        <v>2164780</v>
      </c>
      <c r="T20" s="54" t="s">
        <v>52</v>
      </c>
      <c r="AJ20" s="54" t="s">
        <v>53</v>
      </c>
      <c r="AK20" s="54" t="s">
        <v>52</v>
      </c>
    </row>
    <row r="21" spans="1:38">
      <c r="A21" s="52">
        <v>15</v>
      </c>
      <c r="B21" s="54" t="s">
        <v>54</v>
      </c>
      <c r="C21" s="61">
        <f>$I$21/$I$6*C6</f>
        <v>466666.66666666669</v>
      </c>
      <c r="D21" s="61">
        <f t="shared" ref="D21:H21" si="13">$I$21/$I$6*D6</f>
        <v>233333.33333333334</v>
      </c>
      <c r="E21" s="61">
        <f t="shared" si="13"/>
        <v>233333.33333333334</v>
      </c>
      <c r="F21" s="61">
        <f t="shared" si="13"/>
        <v>0</v>
      </c>
      <c r="G21" s="61">
        <f t="shared" si="13"/>
        <v>0</v>
      </c>
      <c r="H21" s="61">
        <f t="shared" si="13"/>
        <v>0</v>
      </c>
      <c r="I21" s="56">
        <f>项目投资!D27</f>
        <v>933333.33333333337</v>
      </c>
      <c r="T21" s="54" t="s">
        <v>54</v>
      </c>
      <c r="AJ21" s="54"/>
      <c r="AK21" s="54"/>
    </row>
    <row r="22" spans="1:38">
      <c r="A22" s="52">
        <v>16</v>
      </c>
      <c r="B22" s="54" t="s">
        <v>55</v>
      </c>
      <c r="C22" s="56">
        <f>C6*C47</f>
        <v>578300</v>
      </c>
      <c r="D22" s="56">
        <f t="shared" ref="D22:H22" si="14">D6*D47</f>
        <v>354050</v>
      </c>
      <c r="E22" s="56">
        <f t="shared" si="14"/>
        <v>289150</v>
      </c>
      <c r="F22" s="56">
        <f t="shared" si="14"/>
        <v>0</v>
      </c>
      <c r="G22" s="56">
        <f t="shared" si="14"/>
        <v>0</v>
      </c>
      <c r="H22" s="56">
        <f t="shared" si="14"/>
        <v>0</v>
      </c>
      <c r="I22" s="56">
        <f>SUM(C22:H22)</f>
        <v>1221500</v>
      </c>
      <c r="T22" s="54" t="s">
        <v>55</v>
      </c>
      <c r="AJ22" s="54" t="s">
        <v>56</v>
      </c>
      <c r="AK22" s="54" t="s">
        <v>55</v>
      </c>
    </row>
    <row r="23" spans="1:38">
      <c r="A23" s="52">
        <v>17</v>
      </c>
      <c r="B23" s="57" t="s">
        <v>57</v>
      </c>
      <c r="C23" s="61">
        <f>+C22+C21+C20+C19+C17</f>
        <v>2783643.333333333</v>
      </c>
      <c r="D23" s="61">
        <f t="shared" ref="D23:H23" si="15">+D22+D21+D20+D19+D17</f>
        <v>1567051.6666666667</v>
      </c>
      <c r="E23" s="61">
        <f t="shared" si="15"/>
        <v>1480051.6666666667</v>
      </c>
      <c r="F23" s="61">
        <f t="shared" si="15"/>
        <v>0</v>
      </c>
      <c r="G23" s="61">
        <f t="shared" si="15"/>
        <v>0</v>
      </c>
      <c r="H23" s="61">
        <f t="shared" si="15"/>
        <v>0</v>
      </c>
      <c r="I23" s="61">
        <f t="shared" ref="I23" si="16">+I22+I21+I20+I19+I17</f>
        <v>5830746.666666667</v>
      </c>
      <c r="T23" s="57" t="s">
        <v>57</v>
      </c>
      <c r="AJ23" s="54" t="s">
        <v>58</v>
      </c>
      <c r="AK23" s="57" t="s">
        <v>57</v>
      </c>
    </row>
    <row r="24" spans="1:38">
      <c r="A24" s="52">
        <v>18</v>
      </c>
      <c r="B24" s="62" t="s">
        <v>59</v>
      </c>
      <c r="C24" s="61">
        <f>+C15-C23</f>
        <v>258214.66666666372</v>
      </c>
      <c r="D24" s="61">
        <f t="shared" ref="D24:H24" si="17">+D15-D23</f>
        <v>295251.33333333326</v>
      </c>
      <c r="E24" s="61">
        <f t="shared" si="17"/>
        <v>559877.33333333163</v>
      </c>
      <c r="F24" s="61">
        <f t="shared" si="17"/>
        <v>0</v>
      </c>
      <c r="G24" s="61">
        <f t="shared" si="17"/>
        <v>0</v>
      </c>
      <c r="H24" s="61">
        <f t="shared" si="17"/>
        <v>0</v>
      </c>
      <c r="I24" s="61">
        <f t="shared" ref="I24" si="18">+I15-I23</f>
        <v>1113343.3333333274</v>
      </c>
      <c r="K24" s="73"/>
      <c r="T24" s="54" t="s">
        <v>59</v>
      </c>
      <c r="AJ24" s="54" t="s">
        <v>60</v>
      </c>
      <c r="AK24" s="54" t="s">
        <v>59</v>
      </c>
    </row>
    <row r="25" spans="1:38">
      <c r="A25" s="52">
        <v>19</v>
      </c>
      <c r="B25" s="54" t="s">
        <v>156</v>
      </c>
      <c r="C25" s="61">
        <f>IF(C24&lt;0,0,C24*0.25)</f>
        <v>64553.666666665929</v>
      </c>
      <c r="D25" s="61">
        <f t="shared" ref="D25:H25" si="19">IF(D24&lt;0,0,D24*0.25)</f>
        <v>73812.833333333314</v>
      </c>
      <c r="E25" s="61">
        <f t="shared" si="19"/>
        <v>139969.33333333291</v>
      </c>
      <c r="F25" s="61">
        <f t="shared" si="19"/>
        <v>0</v>
      </c>
      <c r="G25" s="61">
        <f t="shared" si="19"/>
        <v>0</v>
      </c>
      <c r="H25" s="61">
        <f t="shared" si="19"/>
        <v>0</v>
      </c>
      <c r="I25" s="61">
        <f t="shared" ref="I25" si="20">IF(I24&lt;0,0,I24*0.25)</f>
        <v>278335.83333333186</v>
      </c>
      <c r="J25" s="69"/>
      <c r="K25" s="69"/>
      <c r="L25" s="69"/>
      <c r="T25" s="54" t="s">
        <v>61</v>
      </c>
      <c r="AJ25" s="54" t="s">
        <v>62</v>
      </c>
      <c r="AK25" s="54" t="s">
        <v>61</v>
      </c>
    </row>
    <row r="26" spans="1:38">
      <c r="A26" s="52">
        <v>20</v>
      </c>
      <c r="B26" s="54" t="s">
        <v>63</v>
      </c>
      <c r="C26" s="61">
        <f t="shared" ref="C26:H26" si="21">C24-C25</f>
        <v>193660.99999999779</v>
      </c>
      <c r="D26" s="61">
        <f t="shared" si="21"/>
        <v>221438.49999999994</v>
      </c>
      <c r="E26" s="61">
        <f t="shared" si="21"/>
        <v>419907.99999999872</v>
      </c>
      <c r="F26" s="61">
        <f t="shared" si="21"/>
        <v>0</v>
      </c>
      <c r="G26" s="61">
        <f t="shared" si="21"/>
        <v>0</v>
      </c>
      <c r="H26" s="61">
        <f t="shared" si="21"/>
        <v>0</v>
      </c>
      <c r="I26" s="56">
        <f>SUM(C26:H26)</f>
        <v>835007.49999999651</v>
      </c>
      <c r="J26" s="69"/>
      <c r="K26" s="69"/>
      <c r="L26" s="69"/>
      <c r="T26" s="54" t="s">
        <v>63</v>
      </c>
      <c r="AJ26" s="54" t="s">
        <v>64</v>
      </c>
      <c r="AK26" s="54" t="s">
        <v>63</v>
      </c>
    </row>
    <row r="27" spans="1:38">
      <c r="A27" s="52">
        <v>21</v>
      </c>
      <c r="B27" s="54" t="s">
        <v>67</v>
      </c>
      <c r="C27" s="63">
        <f t="shared" ref="C27:I27" si="22">C26/C7</f>
        <v>6.6975964032508321E-3</v>
      </c>
      <c r="D27" s="63">
        <f t="shared" ref="D27:H27" si="23">D26/D7</f>
        <v>1.2508882926140372E-2</v>
      </c>
      <c r="E27" s="63">
        <f t="shared" si="23"/>
        <v>2.462442457117717E-2</v>
      </c>
      <c r="F27" s="63" t="e">
        <f t="shared" si="23"/>
        <v>#DIV/0!</v>
      </c>
      <c r="G27" s="63" t="e">
        <f t="shared" si="23"/>
        <v>#DIV/0!</v>
      </c>
      <c r="H27" s="63" t="e">
        <f t="shared" si="23"/>
        <v>#DIV/0!</v>
      </c>
      <c r="I27" s="63">
        <f t="shared" si="22"/>
        <v>1.3114614418093239E-2</v>
      </c>
      <c r="J27" s="69"/>
      <c r="K27" s="69"/>
      <c r="L27" s="69"/>
      <c r="T27" s="54" t="s">
        <v>67</v>
      </c>
      <c r="AJ27" s="54" t="s">
        <v>66</v>
      </c>
      <c r="AK27" s="54" t="s">
        <v>67</v>
      </c>
    </row>
    <row r="28" spans="1:38">
      <c r="J28" s="69"/>
      <c r="K28" s="69"/>
      <c r="L28" s="69"/>
      <c r="T28" s="54"/>
    </row>
    <row r="29" spans="1:38">
      <c r="A29" s="50" t="s">
        <v>68</v>
      </c>
      <c r="I29" s="51" t="s">
        <v>157</v>
      </c>
      <c r="J29" s="69"/>
      <c r="K29" s="69"/>
      <c r="L29" s="69"/>
      <c r="T29" s="54"/>
      <c r="AJ29" s="50" t="s">
        <v>68</v>
      </c>
    </row>
    <row r="30" spans="1:38">
      <c r="A30" s="54" t="s">
        <v>73</v>
      </c>
      <c r="B30" s="57" t="s">
        <v>74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74</v>
      </c>
      <c r="AJ30" s="54" t="s">
        <v>75</v>
      </c>
      <c r="AK30" s="57" t="s">
        <v>74</v>
      </c>
    </row>
    <row r="31" spans="1:38">
      <c r="A31" s="64">
        <v>1</v>
      </c>
      <c r="B31" s="59" t="s">
        <v>76</v>
      </c>
      <c r="C31" s="65">
        <f>销量!C8</f>
        <v>578.29999999999995</v>
      </c>
      <c r="D31" s="65">
        <f>销量!D8</f>
        <v>708.1</v>
      </c>
      <c r="E31" s="65">
        <f>销量!E8</f>
        <v>682.1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76</v>
      </c>
      <c r="AJ31" s="54" t="s">
        <v>26</v>
      </c>
      <c r="AK31" s="54" t="s">
        <v>76</v>
      </c>
    </row>
    <row r="32" spans="1:38">
      <c r="A32" s="64">
        <v>2</v>
      </c>
      <c r="B32" s="54" t="s">
        <v>158</v>
      </c>
      <c r="C32" s="56">
        <f>C31*1</f>
        <v>578.29999999999995</v>
      </c>
      <c r="D32" s="56">
        <f t="shared" ref="D32:H32" si="24">D31*1</f>
        <v>708.1</v>
      </c>
      <c r="E32" s="56">
        <f t="shared" si="24"/>
        <v>682.1</v>
      </c>
      <c r="F32" s="56">
        <f t="shared" si="24"/>
        <v>0</v>
      </c>
      <c r="G32" s="56">
        <f t="shared" si="24"/>
        <v>0</v>
      </c>
      <c r="H32" s="56">
        <f t="shared" si="24"/>
        <v>0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64">
        <v>3</v>
      </c>
      <c r="B33" s="59" t="s">
        <v>77</v>
      </c>
      <c r="C33" s="56">
        <f>材料成本!E41</f>
        <v>462.64</v>
      </c>
      <c r="D33" s="56">
        <f>材料成本!E42</f>
        <v>566.48</v>
      </c>
      <c r="E33" s="56">
        <f>材料成本!E43</f>
        <v>545.68000000000006</v>
      </c>
      <c r="F33" s="56">
        <f>材料成本!E44</f>
        <v>0</v>
      </c>
      <c r="G33" s="56">
        <f>材料成本!E45</f>
        <v>0</v>
      </c>
      <c r="H33" s="56">
        <f>材料成本!E46</f>
        <v>0</v>
      </c>
      <c r="I33" s="61"/>
      <c r="K33" s="69"/>
      <c r="L33" s="69"/>
      <c r="M33" s="69"/>
      <c r="N33" s="69"/>
      <c r="O33" s="69"/>
      <c r="P33" s="69"/>
      <c r="T33" s="54" t="s">
        <v>77</v>
      </c>
      <c r="AJ33" s="54" t="s">
        <v>28</v>
      </c>
      <c r="AK33" s="54" t="s">
        <v>77</v>
      </c>
    </row>
    <row r="34" spans="1:37" ht="17.25" customHeight="1">
      <c r="A34" s="64">
        <v>4</v>
      </c>
      <c r="B34" s="54" t="s">
        <v>79</v>
      </c>
      <c r="C34" s="66">
        <f>C32-C33</f>
        <v>115.65999999999997</v>
      </c>
      <c r="D34" s="66">
        <f t="shared" ref="D34:H34" si="25">D32-D33</f>
        <v>141.62</v>
      </c>
      <c r="E34" s="66">
        <f t="shared" si="25"/>
        <v>136.41999999999996</v>
      </c>
      <c r="F34" s="66">
        <f t="shared" si="25"/>
        <v>0</v>
      </c>
      <c r="G34" s="66">
        <f t="shared" si="25"/>
        <v>0</v>
      </c>
      <c r="H34" s="66">
        <f t="shared" si="25"/>
        <v>0</v>
      </c>
      <c r="I34" s="61"/>
      <c r="K34" s="69"/>
      <c r="L34" s="69"/>
      <c r="M34" s="69"/>
      <c r="N34" s="69"/>
      <c r="O34" s="69"/>
      <c r="P34" s="69"/>
      <c r="T34" s="54" t="s">
        <v>79</v>
      </c>
      <c r="AJ34" s="54" t="s">
        <v>78</v>
      </c>
      <c r="AK34" s="54" t="s">
        <v>79</v>
      </c>
    </row>
    <row r="35" spans="1:37">
      <c r="A35" s="54" t="s">
        <v>75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81</v>
      </c>
      <c r="AK35" s="57" t="s">
        <v>10</v>
      </c>
    </row>
    <row r="36" spans="1:37">
      <c r="A36" s="64">
        <v>1</v>
      </c>
      <c r="B36" s="54" t="s">
        <v>82</v>
      </c>
      <c r="C36" s="60">
        <f>标准成本!E4</f>
        <v>24.924729999999997</v>
      </c>
      <c r="D36" s="60">
        <f>标准成本!E18</f>
        <v>30.519110000000001</v>
      </c>
      <c r="E36" s="60">
        <f>标准成本!E32</f>
        <v>24.924729999999997</v>
      </c>
      <c r="F36" s="60">
        <f>标准成本!E45</f>
        <v>0</v>
      </c>
      <c r="G36" s="60">
        <f>标准成本!E58</f>
        <v>0</v>
      </c>
      <c r="H36" s="60">
        <f>标准成本!E71</f>
        <v>0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82</v>
      </c>
      <c r="AJ36" s="54" t="s">
        <v>78</v>
      </c>
      <c r="AK36" s="54" t="s">
        <v>82</v>
      </c>
    </row>
    <row r="37" spans="1:37">
      <c r="A37" s="64">
        <v>2</v>
      </c>
      <c r="B37" s="54" t="s">
        <v>83</v>
      </c>
      <c r="C37" s="60">
        <f>标准成本!E6</f>
        <v>12.549109999999999</v>
      </c>
      <c r="D37" s="60">
        <f>标准成本!E20</f>
        <v>15.365770000000001</v>
      </c>
      <c r="E37" s="60">
        <f>标准成本!E34</f>
        <v>12.549109999999999</v>
      </c>
      <c r="F37" s="60">
        <f>标准成本!E47</f>
        <v>0</v>
      </c>
      <c r="G37" s="60">
        <f>标准成本!E60</f>
        <v>0</v>
      </c>
      <c r="H37" s="60">
        <f>标准成本!E73</f>
        <v>0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83</v>
      </c>
      <c r="AJ37" s="54" t="s">
        <v>31</v>
      </c>
      <c r="AK37" s="54" t="s">
        <v>83</v>
      </c>
    </row>
    <row r="38" spans="1:37">
      <c r="A38" s="64">
        <v>3</v>
      </c>
      <c r="B38" s="54" t="s">
        <v>84</v>
      </c>
      <c r="C38" s="60">
        <f>标准成本!E10</f>
        <v>17.348999999999997</v>
      </c>
      <c r="D38" s="60">
        <f>标准成本!E24</f>
        <v>21.242999999999999</v>
      </c>
      <c r="E38" s="60">
        <f>标准成本!E38</f>
        <v>17.348999999999997</v>
      </c>
      <c r="F38" s="60">
        <f>标准成本!E51</f>
        <v>0</v>
      </c>
      <c r="G38" s="60">
        <f>标准成本!E64</f>
        <v>0</v>
      </c>
      <c r="H38" s="60">
        <f>标准成本!E77</f>
        <v>0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84</v>
      </c>
      <c r="AJ38" s="54" t="s">
        <v>37</v>
      </c>
      <c r="AK38" s="54" t="s">
        <v>84</v>
      </c>
    </row>
    <row r="39" spans="1:37">
      <c r="A39" s="54" t="s">
        <v>81</v>
      </c>
      <c r="B39" s="57" t="s">
        <v>86</v>
      </c>
      <c r="C39" s="61"/>
      <c r="D39" s="61"/>
      <c r="E39" s="61"/>
      <c r="F39" s="61"/>
      <c r="G39" s="61"/>
      <c r="H39" s="61"/>
      <c r="I39" s="61"/>
      <c r="T39" s="57" t="s">
        <v>86</v>
      </c>
      <c r="AJ39" s="54" t="s">
        <v>85</v>
      </c>
      <c r="AK39" s="57" t="s">
        <v>86</v>
      </c>
    </row>
    <row r="40" spans="1:37">
      <c r="A40" s="64">
        <v>1</v>
      </c>
      <c r="B40" s="54" t="s">
        <v>88</v>
      </c>
      <c r="C40" s="61">
        <f>C34-C36-C37-C38</f>
        <v>60.837159999999976</v>
      </c>
      <c r="D40" s="61">
        <f t="shared" ref="D40:H40" si="26">D34-D36-D37-D38</f>
        <v>74.492120000000014</v>
      </c>
      <c r="E40" s="61">
        <f t="shared" si="26"/>
        <v>81.597159999999974</v>
      </c>
      <c r="F40" s="61">
        <f t="shared" si="26"/>
        <v>0</v>
      </c>
      <c r="G40" s="61">
        <f t="shared" si="26"/>
        <v>0</v>
      </c>
      <c r="H40" s="61">
        <f t="shared" si="26"/>
        <v>0</v>
      </c>
      <c r="I40" s="61"/>
      <c r="T40" s="54" t="s">
        <v>88</v>
      </c>
      <c r="AJ40" s="54" t="s">
        <v>26</v>
      </c>
      <c r="AK40" s="54" t="s">
        <v>88</v>
      </c>
    </row>
    <row r="41" spans="1:37">
      <c r="A41" s="64">
        <v>2</v>
      </c>
      <c r="B41" s="54" t="s">
        <v>89</v>
      </c>
      <c r="C41" s="61"/>
      <c r="D41" s="61"/>
      <c r="E41" s="61"/>
      <c r="F41" s="61"/>
      <c r="G41" s="61"/>
      <c r="H41" s="61"/>
      <c r="I41" s="61"/>
      <c r="T41" s="54" t="s">
        <v>89</v>
      </c>
      <c r="AJ41" s="54" t="s">
        <v>28</v>
      </c>
      <c r="AK41" s="54" t="s">
        <v>89</v>
      </c>
    </row>
    <row r="42" spans="1:37">
      <c r="A42" s="54" t="s">
        <v>85</v>
      </c>
      <c r="B42" s="57" t="s">
        <v>91</v>
      </c>
      <c r="C42" s="61"/>
      <c r="D42" s="61"/>
      <c r="E42" s="61"/>
      <c r="F42" s="61"/>
      <c r="G42" s="61"/>
      <c r="H42" s="61"/>
      <c r="I42" s="61"/>
      <c r="T42" s="57" t="s">
        <v>91</v>
      </c>
      <c r="AJ42" s="54" t="s">
        <v>90</v>
      </c>
      <c r="AK42" s="57" t="s">
        <v>91</v>
      </c>
    </row>
    <row r="43" spans="1:37">
      <c r="A43" s="64">
        <v>1</v>
      </c>
      <c r="B43" s="62" t="s">
        <v>92</v>
      </c>
      <c r="C43" s="60"/>
      <c r="D43" s="60"/>
      <c r="E43" s="60"/>
      <c r="F43" s="60"/>
      <c r="G43" s="60"/>
      <c r="H43" s="60"/>
      <c r="I43" s="61"/>
      <c r="T43" s="54" t="s">
        <v>92</v>
      </c>
      <c r="AJ43" s="54" t="s">
        <v>26</v>
      </c>
      <c r="AK43" s="54" t="s">
        <v>92</v>
      </c>
    </row>
    <row r="44" spans="1:37">
      <c r="A44" s="64">
        <v>2</v>
      </c>
      <c r="B44" s="62" t="s">
        <v>93</v>
      </c>
      <c r="C44" s="60"/>
      <c r="D44" s="60"/>
      <c r="E44" s="60"/>
      <c r="F44" s="60"/>
      <c r="G44" s="60"/>
      <c r="H44" s="60"/>
      <c r="I44" s="61"/>
      <c r="T44" s="54" t="s">
        <v>93</v>
      </c>
      <c r="AJ44" s="54" t="s">
        <v>28</v>
      </c>
      <c r="AK44" s="54" t="s">
        <v>93</v>
      </c>
    </row>
    <row r="45" spans="1:37">
      <c r="A45" s="64">
        <v>3</v>
      </c>
      <c r="B45" s="62" t="s">
        <v>94</v>
      </c>
      <c r="C45" s="60">
        <f>C32*0.034</f>
        <v>19.662199999999999</v>
      </c>
      <c r="D45" s="60">
        <f t="shared" ref="D45:H45" si="27">D32*0.034</f>
        <v>24.075400000000002</v>
      </c>
      <c r="E45" s="60">
        <f t="shared" si="27"/>
        <v>23.191400000000002</v>
      </c>
      <c r="F45" s="60">
        <f t="shared" si="27"/>
        <v>0</v>
      </c>
      <c r="G45" s="60">
        <f t="shared" si="27"/>
        <v>0</v>
      </c>
      <c r="H45" s="60">
        <f t="shared" si="27"/>
        <v>0</v>
      </c>
      <c r="I45" s="61"/>
      <c r="T45" s="54" t="s">
        <v>94</v>
      </c>
      <c r="AJ45" s="54" t="s">
        <v>78</v>
      </c>
      <c r="AK45" s="54" t="s">
        <v>94</v>
      </c>
    </row>
    <row r="46" spans="1:37" s="49" customFormat="1">
      <c r="A46" s="64">
        <v>4</v>
      </c>
      <c r="B46" s="62" t="s">
        <v>95</v>
      </c>
      <c r="C46" s="67">
        <f>C21/C6</f>
        <v>9.3333333333333339</v>
      </c>
      <c r="D46" s="67">
        <f t="shared" ref="D46:H46" si="28">D21/D6</f>
        <v>9.3333333333333339</v>
      </c>
      <c r="E46" s="67">
        <f t="shared" si="28"/>
        <v>9.3333333333333339</v>
      </c>
      <c r="F46" s="67" t="e">
        <f t="shared" si="28"/>
        <v>#DIV/0!</v>
      </c>
      <c r="G46" s="67" t="e">
        <f t="shared" si="28"/>
        <v>#DIV/0!</v>
      </c>
      <c r="H46" s="67" t="e">
        <f t="shared" si="28"/>
        <v>#DIV/0!</v>
      </c>
      <c r="I46" s="67"/>
      <c r="T46" s="62" t="s">
        <v>97</v>
      </c>
      <c r="AJ46" s="62" t="s">
        <v>34</v>
      </c>
      <c r="AK46" s="62" t="s">
        <v>97</v>
      </c>
    </row>
    <row r="47" spans="1:37" s="49" customFormat="1">
      <c r="A47" s="64">
        <v>5</v>
      </c>
      <c r="B47" s="62" t="s">
        <v>97</v>
      </c>
      <c r="C47" s="67">
        <f>标准成本!E11</f>
        <v>11.565999999999999</v>
      </c>
      <c r="D47" s="67">
        <f>标准成本!E25</f>
        <v>14.162000000000001</v>
      </c>
      <c r="E47" s="67">
        <f>标准成本!E39</f>
        <v>11.565999999999999</v>
      </c>
      <c r="F47" s="67">
        <f>标准成本!E52</f>
        <v>0</v>
      </c>
      <c r="G47" s="67">
        <f>标准成本!E65</f>
        <v>0</v>
      </c>
      <c r="H47" s="67">
        <f>标准成本!E78</f>
        <v>0</v>
      </c>
      <c r="I47" s="67"/>
      <c r="T47" s="62" t="s">
        <v>97</v>
      </c>
      <c r="AJ47" s="62" t="s">
        <v>34</v>
      </c>
      <c r="AK47" s="62" t="s">
        <v>97</v>
      </c>
    </row>
    <row r="48" spans="1:37">
      <c r="A48" s="54" t="s">
        <v>90</v>
      </c>
      <c r="B48" s="57" t="s">
        <v>108</v>
      </c>
      <c r="C48" s="61">
        <f>C40-C43-C44-C45-C47-C46</f>
        <v>20.275626666666646</v>
      </c>
      <c r="D48" s="61">
        <f t="shared" ref="D48:H48" si="29">D40-D43-D44-D45-D47-D46</f>
        <v>26.921386666666677</v>
      </c>
      <c r="E48" s="61">
        <f t="shared" si="29"/>
        <v>37.506426666666634</v>
      </c>
      <c r="F48" s="61" t="e">
        <f t="shared" si="29"/>
        <v>#DIV/0!</v>
      </c>
      <c r="G48" s="61" t="e">
        <f t="shared" si="29"/>
        <v>#DIV/0!</v>
      </c>
      <c r="H48" s="61" t="e">
        <f t="shared" si="29"/>
        <v>#DIV/0!</v>
      </c>
      <c r="I48" s="61"/>
      <c r="T48" s="57" t="s">
        <v>108</v>
      </c>
      <c r="AJ48" s="54" t="s">
        <v>107</v>
      </c>
      <c r="AK48" s="57" t="s">
        <v>108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F21" sqref="F21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148</v>
      </c>
      <c r="B1" s="193"/>
      <c r="C1" s="197" t="s">
        <v>271</v>
      </c>
      <c r="D1" s="198"/>
      <c r="E1" s="198"/>
      <c r="F1" s="198"/>
      <c r="G1" s="198"/>
      <c r="H1" s="198"/>
      <c r="I1" s="199"/>
    </row>
    <row r="2" spans="1:38">
      <c r="A2" s="193" t="s">
        <v>149</v>
      </c>
      <c r="B2" s="193"/>
      <c r="C2" s="200" t="str">
        <f>'2022年'!C2:I2</f>
        <v>一汽解放</v>
      </c>
      <c r="D2" s="200"/>
      <c r="E2" s="200"/>
      <c r="F2" s="200"/>
      <c r="G2" s="200"/>
      <c r="H2" s="200"/>
      <c r="I2" s="200"/>
    </row>
    <row r="3" spans="1:38">
      <c r="A3" s="193" t="s">
        <v>150</v>
      </c>
      <c r="B3" s="193"/>
      <c r="C3" s="163" t="str">
        <f>销量!C5</f>
        <v>驾驶员座椅</v>
      </c>
      <c r="D3" s="163" t="str">
        <f>销量!D5</f>
        <v>副驾驶员座椅</v>
      </c>
      <c r="E3" s="163" t="str">
        <f>销量!E5</f>
        <v>副驾驶员座椅</v>
      </c>
      <c r="F3" s="163">
        <f>销量!F5</f>
        <v>0</v>
      </c>
      <c r="G3" s="163">
        <f>销量!G5</f>
        <v>0</v>
      </c>
      <c r="H3" s="163">
        <f>销量!H5</f>
        <v>0</v>
      </c>
      <c r="I3" s="194" t="s">
        <v>22</v>
      </c>
    </row>
    <row r="4" spans="1:38" ht="28.5">
      <c r="A4" s="193" t="s">
        <v>151</v>
      </c>
      <c r="B4" s="193"/>
      <c r="C4" s="163" t="str">
        <f>销量!C6</f>
        <v>L168100000146</v>
      </c>
      <c r="D4" s="163" t="str">
        <f>销量!D6</f>
        <v>L168100000147（2060）</v>
      </c>
      <c r="E4" s="163" t="str">
        <f>销量!E6</f>
        <v>L168100000149（1880）</v>
      </c>
      <c r="F4" s="163">
        <f>销量!F6</f>
        <v>0</v>
      </c>
      <c r="G4" s="163">
        <f>销量!G6</f>
        <v>0</v>
      </c>
      <c r="H4" s="163">
        <f>销量!H6</f>
        <v>0</v>
      </c>
      <c r="I4" s="195"/>
    </row>
    <row r="5" spans="1:38">
      <c r="A5" s="193" t="s">
        <v>152</v>
      </c>
      <c r="B5" s="193"/>
      <c r="C5" s="53"/>
      <c r="D5" s="53"/>
      <c r="E5" s="53"/>
      <c r="F5" s="53"/>
      <c r="G5" s="53"/>
      <c r="H5" s="53"/>
      <c r="I5" s="196"/>
      <c r="AL5" s="50" t="s">
        <v>23</v>
      </c>
    </row>
    <row r="6" spans="1:38" ht="17.25">
      <c r="A6" s="54" t="s">
        <v>19</v>
      </c>
      <c r="B6" s="55" t="s">
        <v>153</v>
      </c>
      <c r="C6" s="23">
        <f>销量!C10</f>
        <v>100000</v>
      </c>
      <c r="D6" s="23">
        <f>销量!D10</f>
        <v>50000</v>
      </c>
      <c r="E6" s="23">
        <f>销量!E10</f>
        <v>50000</v>
      </c>
      <c r="F6" s="23">
        <f>销量!F10</f>
        <v>0</v>
      </c>
      <c r="G6" s="23">
        <f>销量!G10</f>
        <v>0</v>
      </c>
      <c r="H6" s="23">
        <f>销量!H10</f>
        <v>0</v>
      </c>
      <c r="I6" s="56">
        <f>SUM(C6:H6)</f>
        <v>200000</v>
      </c>
      <c r="T6" s="55" t="s">
        <v>3</v>
      </c>
      <c r="AJ6" s="54" t="s">
        <v>19</v>
      </c>
      <c r="AK6" s="55" t="s">
        <v>3</v>
      </c>
      <c r="AL6" s="50" t="s">
        <v>24</v>
      </c>
    </row>
    <row r="7" spans="1:38">
      <c r="A7" s="162">
        <v>1</v>
      </c>
      <c r="B7" s="55" t="s">
        <v>25</v>
      </c>
      <c r="C7" s="56">
        <f>C6*销量!C8</f>
        <v>57829999.999999993</v>
      </c>
      <c r="D7" s="56">
        <f>D6*销量!D8</f>
        <v>35405000</v>
      </c>
      <c r="E7" s="56">
        <f>E6*销量!E8</f>
        <v>34105000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>SUM(C7:H7)</f>
        <v>127340000</v>
      </c>
      <c r="J7" s="51"/>
      <c r="T7" s="55" t="s">
        <v>25</v>
      </c>
      <c r="AJ7" s="54" t="s">
        <v>26</v>
      </c>
      <c r="AK7" s="55" t="s">
        <v>25</v>
      </c>
      <c r="AL7" s="50" t="s">
        <v>24</v>
      </c>
    </row>
    <row r="8" spans="1:38">
      <c r="A8" s="162">
        <v>2</v>
      </c>
      <c r="B8" s="162" t="s">
        <v>27</v>
      </c>
      <c r="C8" s="56">
        <f>C7*(1-销量!$L$7)</f>
        <v>1734900.0000000014</v>
      </c>
      <c r="D8" s="56">
        <f>D7*(1-销量!$L$7)</f>
        <v>1062150.0000000009</v>
      </c>
      <c r="E8" s="56">
        <f>E7*(1-销量!$L$7)</f>
        <v>1023150.0000000009</v>
      </c>
      <c r="F8" s="56">
        <f>F7*(1-销量!$L$7)</f>
        <v>0</v>
      </c>
      <c r="G8" s="56">
        <f>G7*(1-销量!$L$7)</f>
        <v>0</v>
      </c>
      <c r="H8" s="56">
        <f>H7*(1-销量!$L$7)</f>
        <v>0</v>
      </c>
      <c r="I8" s="56">
        <f t="shared" ref="I8:I20" si="0">SUM(C8:H8)</f>
        <v>3820200.0000000033</v>
      </c>
      <c r="J8" s="71"/>
      <c r="T8" s="162" t="s">
        <v>29</v>
      </c>
      <c r="AJ8" s="54" t="s">
        <v>28</v>
      </c>
      <c r="AK8" s="162" t="s">
        <v>29</v>
      </c>
      <c r="AL8" s="50" t="s">
        <v>24</v>
      </c>
    </row>
    <row r="9" spans="1:38">
      <c r="A9" s="162">
        <v>3</v>
      </c>
      <c r="B9" s="55" t="s">
        <v>30</v>
      </c>
      <c r="C9" s="56">
        <f>+C7-C8</f>
        <v>56095099.999999993</v>
      </c>
      <c r="D9" s="56">
        <f t="shared" ref="D9:H9" si="1">+D7-D8</f>
        <v>34342850</v>
      </c>
      <c r="E9" s="56">
        <f t="shared" si="1"/>
        <v>33081850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123519800</v>
      </c>
      <c r="T9" s="55" t="s">
        <v>30</v>
      </c>
      <c r="AJ9" s="54" t="s">
        <v>31</v>
      </c>
      <c r="AK9" s="55" t="s">
        <v>30</v>
      </c>
      <c r="AL9" s="50" t="s">
        <v>32</v>
      </c>
    </row>
    <row r="10" spans="1:38">
      <c r="A10" s="162">
        <v>4</v>
      </c>
      <c r="B10" s="54" t="s">
        <v>33</v>
      </c>
      <c r="C10" s="56">
        <f>C6*材料成本!F41</f>
        <v>44876079.999999993</v>
      </c>
      <c r="D10" s="56">
        <f>D6*材料成本!F42</f>
        <v>27474280</v>
      </c>
      <c r="E10" s="56">
        <f>E6*材料成本!F43</f>
        <v>26465480.000000004</v>
      </c>
      <c r="F10" s="56">
        <f>F6*材料成本!F44</f>
        <v>0</v>
      </c>
      <c r="G10" s="56">
        <f>G6*材料成本!F45</f>
        <v>0</v>
      </c>
      <c r="H10" s="56">
        <f>H6*材料成本!F46</f>
        <v>0</v>
      </c>
      <c r="I10" s="56">
        <f t="shared" si="0"/>
        <v>98815840</v>
      </c>
      <c r="T10" s="54" t="s">
        <v>33</v>
      </c>
      <c r="AJ10" s="54" t="s">
        <v>34</v>
      </c>
      <c r="AK10" s="54" t="s">
        <v>33</v>
      </c>
      <c r="AL10" s="50" t="s">
        <v>35</v>
      </c>
    </row>
    <row r="11" spans="1:38">
      <c r="A11" s="162">
        <v>5</v>
      </c>
      <c r="B11" s="54" t="s">
        <v>36</v>
      </c>
      <c r="C11" s="56">
        <f>+C6*C36</f>
        <v>2068799.9999999998</v>
      </c>
      <c r="D11" s="56">
        <f>+D6*D36</f>
        <v>3258359.9999999995</v>
      </c>
      <c r="E11" s="56">
        <f t="shared" ref="E11:H11" si="2">+E6*E36</f>
        <v>1034399.9999999999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0"/>
        <v>6361559.9999999991</v>
      </c>
      <c r="T11" s="54" t="s">
        <v>36</v>
      </c>
      <c r="AJ11" s="54" t="s">
        <v>37</v>
      </c>
      <c r="AK11" s="54" t="s">
        <v>36</v>
      </c>
    </row>
    <row r="12" spans="1:38">
      <c r="A12" s="162">
        <v>6</v>
      </c>
      <c r="B12" s="54" t="s">
        <v>38</v>
      </c>
      <c r="C12" s="56">
        <f>+C6*C37</f>
        <v>1041600</v>
      </c>
      <c r="D12" s="56">
        <f t="shared" ref="D12:H12" si="3">+D6*D37</f>
        <v>1640520</v>
      </c>
      <c r="E12" s="56">
        <f t="shared" si="3"/>
        <v>520800</v>
      </c>
      <c r="F12" s="56">
        <f t="shared" si="3"/>
        <v>0</v>
      </c>
      <c r="G12" s="56">
        <f t="shared" si="3"/>
        <v>0</v>
      </c>
      <c r="H12" s="56">
        <f t="shared" si="3"/>
        <v>0</v>
      </c>
      <c r="I12" s="56">
        <f t="shared" si="0"/>
        <v>3202920</v>
      </c>
      <c r="T12" s="54" t="s">
        <v>38</v>
      </c>
      <c r="AJ12" s="54" t="s">
        <v>39</v>
      </c>
      <c r="AK12" s="54" t="s">
        <v>38</v>
      </c>
    </row>
    <row r="13" spans="1:38">
      <c r="A13" s="162">
        <v>7</v>
      </c>
      <c r="B13" s="54" t="s">
        <v>40</v>
      </c>
      <c r="C13" s="56">
        <f>+C6*C38</f>
        <v>1919999.9999999995</v>
      </c>
      <c r="D13" s="56">
        <f t="shared" ref="D13:H13" si="4">+D6*D38</f>
        <v>3023999.9999999995</v>
      </c>
      <c r="E13" s="56">
        <f t="shared" si="4"/>
        <v>959999.99999999977</v>
      </c>
      <c r="F13" s="56">
        <f t="shared" si="4"/>
        <v>0</v>
      </c>
      <c r="G13" s="56">
        <f t="shared" si="4"/>
        <v>0</v>
      </c>
      <c r="H13" s="56">
        <f t="shared" si="4"/>
        <v>0</v>
      </c>
      <c r="I13" s="56">
        <f t="shared" si="0"/>
        <v>5903999.9999999991</v>
      </c>
      <c r="T13" s="54" t="s">
        <v>40</v>
      </c>
      <c r="AJ13" s="54" t="s">
        <v>41</v>
      </c>
      <c r="AK13" s="54" t="s">
        <v>40</v>
      </c>
      <c r="AL13" s="50" t="s">
        <v>24</v>
      </c>
    </row>
    <row r="14" spans="1:38">
      <c r="A14" s="162">
        <v>8</v>
      </c>
      <c r="B14" s="57" t="s">
        <v>42</v>
      </c>
      <c r="C14" s="56">
        <f>SUM(C11:C13)</f>
        <v>5030400</v>
      </c>
      <c r="D14" s="56">
        <f t="shared" ref="D14:H14" si="5">SUM(D11:D13)</f>
        <v>7922880</v>
      </c>
      <c r="E14" s="56">
        <f t="shared" si="5"/>
        <v>2515200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0"/>
        <v>15468480</v>
      </c>
      <c r="T14" s="57" t="s">
        <v>42</v>
      </c>
      <c r="AJ14" s="54" t="s">
        <v>43</v>
      </c>
      <c r="AK14" s="57" t="s">
        <v>42</v>
      </c>
    </row>
    <row r="15" spans="1:38">
      <c r="A15" s="162">
        <v>9</v>
      </c>
      <c r="B15" s="57" t="s">
        <v>44</v>
      </c>
      <c r="C15" s="56">
        <f>+C9-C10-C14</f>
        <v>6188620</v>
      </c>
      <c r="D15" s="56">
        <f t="shared" ref="D15:H15" si="6">+D9-D10-D14</f>
        <v>-1054310</v>
      </c>
      <c r="E15" s="56">
        <f t="shared" si="6"/>
        <v>4101169.9999999963</v>
      </c>
      <c r="F15" s="56">
        <f t="shared" si="6"/>
        <v>0</v>
      </c>
      <c r="G15" s="56">
        <f t="shared" si="6"/>
        <v>0</v>
      </c>
      <c r="H15" s="56">
        <f t="shared" si="6"/>
        <v>0</v>
      </c>
      <c r="I15" s="56">
        <f t="shared" si="0"/>
        <v>9235479.9999999963</v>
      </c>
      <c r="T15" s="57" t="s">
        <v>44</v>
      </c>
      <c r="AJ15" s="54" t="s">
        <v>45</v>
      </c>
      <c r="AK15" s="57" t="s">
        <v>44</v>
      </c>
    </row>
    <row r="16" spans="1:38">
      <c r="A16" s="162">
        <v>10</v>
      </c>
      <c r="B16" s="54" t="s">
        <v>46</v>
      </c>
      <c r="C16" s="58">
        <f>+C15/C9</f>
        <v>0.11032371811441642</v>
      </c>
      <c r="D16" s="58">
        <f t="shared" ref="D16:H16" si="7">+D15/D9</f>
        <v>-3.0699548814382034E-2</v>
      </c>
      <c r="E16" s="58">
        <f t="shared" si="7"/>
        <v>0.12397039464237931</v>
      </c>
      <c r="F16" s="58" t="e">
        <f t="shared" si="7"/>
        <v>#DIV/0!</v>
      </c>
      <c r="G16" s="58" t="e">
        <f t="shared" si="7"/>
        <v>#DIV/0!</v>
      </c>
      <c r="H16" s="58" t="e">
        <f t="shared" si="7"/>
        <v>#DIV/0!</v>
      </c>
      <c r="I16" s="58">
        <f t="shared" ref="I16" si="8">+I15/I9</f>
        <v>7.4769227281779899E-2</v>
      </c>
      <c r="T16" s="54" t="s">
        <v>46</v>
      </c>
      <c r="AJ16" s="54" t="s">
        <v>47</v>
      </c>
      <c r="AK16" s="54" t="s">
        <v>46</v>
      </c>
    </row>
    <row r="17" spans="1:38">
      <c r="A17" s="162">
        <v>11</v>
      </c>
      <c r="B17" s="54" t="s">
        <v>48</v>
      </c>
      <c r="C17" s="56">
        <f>C6*C43+C18</f>
        <v>755566.66666666663</v>
      </c>
      <c r="D17" s="56">
        <f t="shared" ref="D17:H17" si="9">D6*D43+D18</f>
        <v>377783.33333333331</v>
      </c>
      <c r="E17" s="56">
        <f t="shared" si="9"/>
        <v>377783.33333333331</v>
      </c>
      <c r="F17" s="56">
        <f t="shared" si="9"/>
        <v>0</v>
      </c>
      <c r="G17" s="56">
        <f t="shared" si="9"/>
        <v>0</v>
      </c>
      <c r="H17" s="56">
        <f t="shared" si="9"/>
        <v>0</v>
      </c>
      <c r="I17" s="56">
        <f t="shared" si="0"/>
        <v>1511133.3333333333</v>
      </c>
      <c r="J17" s="71"/>
      <c r="T17" s="54" t="s">
        <v>48</v>
      </c>
      <c r="AJ17" s="54" t="s">
        <v>49</v>
      </c>
      <c r="AK17" s="54" t="s">
        <v>48</v>
      </c>
    </row>
    <row r="18" spans="1:38" s="48" customFormat="1">
      <c r="A18" s="162">
        <v>12</v>
      </c>
      <c r="B18" s="59" t="s">
        <v>154</v>
      </c>
      <c r="C18" s="60">
        <f>$I$18/$I$6*C6</f>
        <v>755566.66666666663</v>
      </c>
      <c r="D18" s="60">
        <f t="shared" ref="D18:H18" si="10">$I$18/$I$6*D6</f>
        <v>377783.33333333331</v>
      </c>
      <c r="E18" s="60">
        <f t="shared" si="10"/>
        <v>377783.33333333331</v>
      </c>
      <c r="F18" s="60">
        <f t="shared" si="10"/>
        <v>0</v>
      </c>
      <c r="G18" s="60">
        <f t="shared" si="10"/>
        <v>0</v>
      </c>
      <c r="H18" s="60">
        <f t="shared" si="10"/>
        <v>0</v>
      </c>
      <c r="I18" s="60">
        <f>项目投资!D26</f>
        <v>1511133.3333333333</v>
      </c>
      <c r="J18" s="72" t="s">
        <v>155</v>
      </c>
      <c r="K18" s="72"/>
      <c r="L18" s="72"/>
    </row>
    <row r="19" spans="1:38">
      <c r="A19" s="162">
        <v>13</v>
      </c>
      <c r="B19" s="54" t="s">
        <v>50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48"/>
      <c r="T19" s="54" t="s">
        <v>50</v>
      </c>
      <c r="AJ19" s="54" t="s">
        <v>51</v>
      </c>
      <c r="AK19" s="54" t="s">
        <v>50</v>
      </c>
      <c r="AL19" s="50" t="s">
        <v>24</v>
      </c>
    </row>
    <row r="20" spans="1:38">
      <c r="A20" s="162">
        <v>14</v>
      </c>
      <c r="B20" s="54" t="s">
        <v>52</v>
      </c>
      <c r="C20" s="56">
        <f>C6*C45</f>
        <v>1907233.3999999997</v>
      </c>
      <c r="D20" s="56">
        <f t="shared" ref="D20:H20" si="12">D6*D45</f>
        <v>1167656.9000000001</v>
      </c>
      <c r="E20" s="56">
        <f t="shared" si="12"/>
        <v>1124782.8999999999</v>
      </c>
      <c r="F20" s="258"/>
      <c r="G20" s="56"/>
      <c r="H20" s="56"/>
      <c r="I20" s="56">
        <f t="shared" si="0"/>
        <v>4199673.1999999993</v>
      </c>
      <c r="T20" s="54" t="s">
        <v>52</v>
      </c>
      <c r="AJ20" s="54" t="s">
        <v>53</v>
      </c>
      <c r="AK20" s="54" t="s">
        <v>52</v>
      </c>
    </row>
    <row r="21" spans="1:38">
      <c r="A21" s="162">
        <v>15</v>
      </c>
      <c r="B21" s="54" t="s">
        <v>54</v>
      </c>
      <c r="C21" s="61">
        <f>$I$21/$I$6*C6</f>
        <v>466666.66666666669</v>
      </c>
      <c r="D21" s="61">
        <f t="shared" ref="D21:H21" si="13">$I$21/$I$6*D6</f>
        <v>233333.33333333334</v>
      </c>
      <c r="E21" s="61">
        <f t="shared" si="13"/>
        <v>233333.33333333334</v>
      </c>
      <c r="F21" s="61">
        <f t="shared" si="13"/>
        <v>0</v>
      </c>
      <c r="G21" s="61">
        <f t="shared" si="13"/>
        <v>0</v>
      </c>
      <c r="H21" s="61">
        <f t="shared" si="13"/>
        <v>0</v>
      </c>
      <c r="I21" s="56">
        <f>项目投资!D27</f>
        <v>933333.33333333337</v>
      </c>
      <c r="T21" s="54" t="s">
        <v>54</v>
      </c>
      <c r="AJ21" s="54"/>
      <c r="AK21" s="54"/>
    </row>
    <row r="22" spans="1:38">
      <c r="A22" s="162">
        <v>16</v>
      </c>
      <c r="B22" s="54" t="s">
        <v>55</v>
      </c>
      <c r="C22" s="56">
        <f>C6*C47</f>
        <v>1439999.9999999998</v>
      </c>
      <c r="D22" s="56">
        <f t="shared" ref="D22:H22" si="14">D6*D47</f>
        <v>2268000</v>
      </c>
      <c r="E22" s="56">
        <f t="shared" si="14"/>
        <v>719999.99999999988</v>
      </c>
      <c r="F22" s="56">
        <f t="shared" si="14"/>
        <v>0</v>
      </c>
      <c r="G22" s="56">
        <f t="shared" si="14"/>
        <v>0</v>
      </c>
      <c r="H22" s="56">
        <f t="shared" si="14"/>
        <v>0</v>
      </c>
      <c r="I22" s="56">
        <f>SUM(C22:H22)</f>
        <v>4428000</v>
      </c>
      <c r="T22" s="54" t="s">
        <v>55</v>
      </c>
      <c r="AJ22" s="54" t="s">
        <v>56</v>
      </c>
      <c r="AK22" s="54" t="s">
        <v>55</v>
      </c>
    </row>
    <row r="23" spans="1:38">
      <c r="A23" s="162">
        <v>17</v>
      </c>
      <c r="B23" s="57" t="s">
        <v>57</v>
      </c>
      <c r="C23" s="61">
        <f>+C22+C21+C20+C19+C17</f>
        <v>4569466.7333333334</v>
      </c>
      <c r="D23" s="61">
        <f t="shared" ref="D23:H23" si="15">+D22+D21+D20+D19+D17</f>
        <v>4046773.5666666669</v>
      </c>
      <c r="E23" s="61">
        <f t="shared" si="15"/>
        <v>2455899.5666666664</v>
      </c>
      <c r="F23" s="61">
        <f t="shared" si="15"/>
        <v>0</v>
      </c>
      <c r="G23" s="61">
        <f t="shared" si="15"/>
        <v>0</v>
      </c>
      <c r="H23" s="61">
        <f t="shared" si="15"/>
        <v>0</v>
      </c>
      <c r="I23" s="61">
        <f t="shared" ref="I23" si="16">+I22+I21+I20+I19+I17</f>
        <v>11072139.866666665</v>
      </c>
      <c r="T23" s="57" t="s">
        <v>57</v>
      </c>
      <c r="AJ23" s="54" t="s">
        <v>58</v>
      </c>
      <c r="AK23" s="57" t="s">
        <v>57</v>
      </c>
    </row>
    <row r="24" spans="1:38">
      <c r="A24" s="162">
        <v>18</v>
      </c>
      <c r="B24" s="62" t="s">
        <v>59</v>
      </c>
      <c r="C24" s="61">
        <f>+C15-C23</f>
        <v>1619153.2666666666</v>
      </c>
      <c r="D24" s="61">
        <f t="shared" ref="D24:H24" si="17">+D15-D23</f>
        <v>-5101083.5666666664</v>
      </c>
      <c r="E24" s="61">
        <f t="shared" si="17"/>
        <v>1645270.4333333299</v>
      </c>
      <c r="F24" s="61">
        <f t="shared" si="17"/>
        <v>0</v>
      </c>
      <c r="G24" s="61">
        <f t="shared" si="17"/>
        <v>0</v>
      </c>
      <c r="H24" s="61">
        <f t="shared" si="17"/>
        <v>0</v>
      </c>
      <c r="I24" s="61">
        <f t="shared" ref="I24" si="18">+I15-I23</f>
        <v>-1836659.866666669</v>
      </c>
      <c r="K24" s="73"/>
      <c r="T24" s="54" t="s">
        <v>59</v>
      </c>
      <c r="AJ24" s="54" t="s">
        <v>60</v>
      </c>
      <c r="AK24" s="54" t="s">
        <v>59</v>
      </c>
    </row>
    <row r="25" spans="1:38">
      <c r="A25" s="162">
        <v>19</v>
      </c>
      <c r="B25" s="54" t="s">
        <v>156</v>
      </c>
      <c r="C25" s="61">
        <f>IF(C24&lt;0,0,C24*0.25)</f>
        <v>404788.31666666665</v>
      </c>
      <c r="D25" s="61">
        <f t="shared" ref="D25:H25" si="19">IF(D24&lt;0,0,D24*0.25)</f>
        <v>0</v>
      </c>
      <c r="E25" s="61">
        <f t="shared" si="19"/>
        <v>411317.60833333246</v>
      </c>
      <c r="F25" s="61">
        <f t="shared" si="19"/>
        <v>0</v>
      </c>
      <c r="G25" s="61">
        <f t="shared" si="19"/>
        <v>0</v>
      </c>
      <c r="H25" s="61">
        <f t="shared" si="19"/>
        <v>0</v>
      </c>
      <c r="I25" s="61">
        <f t="shared" ref="I25" si="20">IF(I24&lt;0,0,I24*0.25)</f>
        <v>0</v>
      </c>
      <c r="J25" s="69"/>
      <c r="K25" s="69"/>
      <c r="L25" s="69"/>
      <c r="T25" s="54" t="s">
        <v>61</v>
      </c>
      <c r="AJ25" s="54" t="s">
        <v>62</v>
      </c>
      <c r="AK25" s="54" t="s">
        <v>61</v>
      </c>
    </row>
    <row r="26" spans="1:38">
      <c r="A26" s="162">
        <v>20</v>
      </c>
      <c r="B26" s="54" t="s">
        <v>63</v>
      </c>
      <c r="C26" s="61">
        <f t="shared" ref="C26:H26" si="21">C24-C25</f>
        <v>1214364.95</v>
      </c>
      <c r="D26" s="61">
        <f t="shared" si="21"/>
        <v>-5101083.5666666664</v>
      </c>
      <c r="E26" s="61">
        <f t="shared" si="21"/>
        <v>1233952.8249999974</v>
      </c>
      <c r="F26" s="61">
        <f t="shared" si="21"/>
        <v>0</v>
      </c>
      <c r="G26" s="61">
        <f t="shared" si="21"/>
        <v>0</v>
      </c>
      <c r="H26" s="61">
        <f t="shared" si="21"/>
        <v>0</v>
      </c>
      <c r="I26" s="56">
        <f>SUM(C26:H26)</f>
        <v>-2652765.7916666688</v>
      </c>
      <c r="J26" s="69"/>
      <c r="K26" s="69"/>
      <c r="L26" s="69"/>
      <c r="T26" s="54" t="s">
        <v>63</v>
      </c>
      <c r="AJ26" s="54" t="s">
        <v>64</v>
      </c>
      <c r="AK26" s="54" t="s">
        <v>63</v>
      </c>
    </row>
    <row r="27" spans="1:38">
      <c r="A27" s="162">
        <v>21</v>
      </c>
      <c r="B27" s="54" t="s">
        <v>67</v>
      </c>
      <c r="C27" s="63">
        <f t="shared" ref="C27:I27" si="22">C26/C7</f>
        <v>2.0998875151305552E-2</v>
      </c>
      <c r="D27" s="63">
        <f t="shared" ref="D27:H27" si="23">D26/D7</f>
        <v>-0.14407805583015582</v>
      </c>
      <c r="E27" s="63">
        <f t="shared" si="23"/>
        <v>3.618099472218142E-2</v>
      </c>
      <c r="F27" s="63" t="e">
        <f t="shared" si="23"/>
        <v>#DIV/0!</v>
      </c>
      <c r="G27" s="63" t="e">
        <f t="shared" si="23"/>
        <v>#DIV/0!</v>
      </c>
      <c r="H27" s="63" t="e">
        <f t="shared" si="23"/>
        <v>#DIV/0!</v>
      </c>
      <c r="I27" s="63">
        <f t="shared" si="22"/>
        <v>-2.0832148513166868E-2</v>
      </c>
      <c r="J27" s="69"/>
      <c r="K27" s="69"/>
      <c r="L27" s="69"/>
      <c r="T27" s="54" t="s">
        <v>67</v>
      </c>
      <c r="AJ27" s="54" t="s">
        <v>66</v>
      </c>
      <c r="AK27" s="54" t="s">
        <v>67</v>
      </c>
    </row>
    <row r="28" spans="1:38">
      <c r="J28" s="69"/>
      <c r="K28" s="69"/>
      <c r="L28" s="69"/>
      <c r="T28" s="54"/>
    </row>
    <row r="29" spans="1:38">
      <c r="A29" s="50" t="s">
        <v>68</v>
      </c>
      <c r="I29" s="51" t="s">
        <v>157</v>
      </c>
      <c r="J29" s="69"/>
      <c r="K29" s="69"/>
      <c r="L29" s="69"/>
      <c r="T29" s="54"/>
      <c r="AJ29" s="50" t="s">
        <v>68</v>
      </c>
    </row>
    <row r="30" spans="1:38">
      <c r="A30" s="54" t="s">
        <v>73</v>
      </c>
      <c r="B30" s="57" t="s">
        <v>74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74</v>
      </c>
      <c r="AJ30" s="54" t="s">
        <v>75</v>
      </c>
      <c r="AK30" s="57" t="s">
        <v>74</v>
      </c>
    </row>
    <row r="31" spans="1:38">
      <c r="A31" s="162">
        <v>1</v>
      </c>
      <c r="B31" s="59" t="s">
        <v>76</v>
      </c>
      <c r="C31" s="65">
        <f>销量!C8</f>
        <v>578.29999999999995</v>
      </c>
      <c r="D31" s="65">
        <f>销量!D8</f>
        <v>708.1</v>
      </c>
      <c r="E31" s="65">
        <f>销量!E8</f>
        <v>682.1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76</v>
      </c>
      <c r="AJ31" s="54" t="s">
        <v>26</v>
      </c>
      <c r="AK31" s="54" t="s">
        <v>76</v>
      </c>
    </row>
    <row r="32" spans="1:38">
      <c r="A32" s="162">
        <v>2</v>
      </c>
      <c r="B32" s="54" t="s">
        <v>158</v>
      </c>
      <c r="C32" s="56">
        <f>C9/C6</f>
        <v>560.95099999999991</v>
      </c>
      <c r="D32" s="56">
        <f t="shared" ref="D32:H32" si="24">D9/D6</f>
        <v>686.85699999999997</v>
      </c>
      <c r="E32" s="56">
        <f t="shared" si="24"/>
        <v>661.63699999999994</v>
      </c>
      <c r="F32" s="56" t="e">
        <f t="shared" si="24"/>
        <v>#DIV/0!</v>
      </c>
      <c r="G32" s="56" t="e">
        <f t="shared" si="24"/>
        <v>#DIV/0!</v>
      </c>
      <c r="H32" s="56" t="e">
        <f t="shared" si="24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77</v>
      </c>
      <c r="C33" s="56">
        <f>材料成本!F41</f>
        <v>448.76079999999996</v>
      </c>
      <c r="D33" s="56">
        <f>材料成本!F42</f>
        <v>549.48559999999998</v>
      </c>
      <c r="E33" s="56">
        <f>材料成本!F43</f>
        <v>529.30960000000005</v>
      </c>
      <c r="F33" s="56">
        <f>材料成本!F44</f>
        <v>0</v>
      </c>
      <c r="G33" s="56">
        <f>材料成本!F45</f>
        <v>0</v>
      </c>
      <c r="H33" s="56">
        <f>材料成本!F46</f>
        <v>0</v>
      </c>
      <c r="I33" s="61"/>
      <c r="K33" s="69"/>
      <c r="L33" s="69"/>
      <c r="M33" s="69"/>
      <c r="N33" s="69"/>
      <c r="O33" s="69"/>
      <c r="P33" s="69"/>
      <c r="T33" s="54" t="s">
        <v>77</v>
      </c>
      <c r="AJ33" s="54" t="s">
        <v>28</v>
      </c>
      <c r="AK33" s="54" t="s">
        <v>77</v>
      </c>
    </row>
    <row r="34" spans="1:37" ht="17.25" customHeight="1">
      <c r="A34" s="162">
        <v>4</v>
      </c>
      <c r="B34" s="54" t="s">
        <v>79</v>
      </c>
      <c r="C34" s="66">
        <f>C32-C33</f>
        <v>112.19019999999995</v>
      </c>
      <c r="D34" s="66">
        <f t="shared" ref="D34:H34" si="25">D32-D33</f>
        <v>137.37139999999999</v>
      </c>
      <c r="E34" s="66">
        <f t="shared" si="25"/>
        <v>132.3273999999999</v>
      </c>
      <c r="F34" s="66" t="e">
        <f t="shared" si="25"/>
        <v>#DIV/0!</v>
      </c>
      <c r="G34" s="66" t="e">
        <f t="shared" si="25"/>
        <v>#DIV/0!</v>
      </c>
      <c r="H34" s="66" t="e">
        <f t="shared" si="25"/>
        <v>#DIV/0!</v>
      </c>
      <c r="I34" s="61"/>
      <c r="K34" s="69"/>
      <c r="L34" s="69"/>
      <c r="M34" s="69"/>
      <c r="N34" s="69"/>
      <c r="O34" s="69"/>
      <c r="P34" s="69"/>
      <c r="T34" s="54" t="s">
        <v>79</v>
      </c>
      <c r="AJ34" s="54" t="s">
        <v>78</v>
      </c>
      <c r="AK34" s="54" t="s">
        <v>79</v>
      </c>
    </row>
    <row r="35" spans="1:37">
      <c r="A35" s="54" t="s">
        <v>75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81</v>
      </c>
      <c r="AK35" s="57" t="s">
        <v>10</v>
      </c>
    </row>
    <row r="36" spans="1:37">
      <c r="A36" s="162">
        <v>1</v>
      </c>
      <c r="B36" s="54" t="s">
        <v>82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82</v>
      </c>
      <c r="AJ36" s="54" t="s">
        <v>78</v>
      </c>
      <c r="AK36" s="54" t="s">
        <v>82</v>
      </c>
    </row>
    <row r="37" spans="1:37">
      <c r="A37" s="162">
        <v>2</v>
      </c>
      <c r="B37" s="54" t="s">
        <v>83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83</v>
      </c>
      <c r="AJ37" s="54" t="s">
        <v>31</v>
      </c>
      <c r="AK37" s="54" t="s">
        <v>83</v>
      </c>
    </row>
    <row r="38" spans="1:37">
      <c r="A38" s="162">
        <v>3</v>
      </c>
      <c r="B38" s="54" t="s">
        <v>84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84</v>
      </c>
      <c r="AJ38" s="54" t="s">
        <v>37</v>
      </c>
      <c r="AK38" s="54" t="s">
        <v>84</v>
      </c>
    </row>
    <row r="39" spans="1:37">
      <c r="A39" s="54" t="s">
        <v>81</v>
      </c>
      <c r="B39" s="57" t="s">
        <v>86</v>
      </c>
      <c r="C39" s="61"/>
      <c r="D39" s="61"/>
      <c r="E39" s="61"/>
      <c r="F39" s="61"/>
      <c r="G39" s="61"/>
      <c r="H39" s="61"/>
      <c r="I39" s="61"/>
      <c r="T39" s="57" t="s">
        <v>86</v>
      </c>
      <c r="AJ39" s="54" t="s">
        <v>85</v>
      </c>
      <c r="AK39" s="57" t="s">
        <v>86</v>
      </c>
    </row>
    <row r="40" spans="1:37">
      <c r="A40" s="162">
        <v>1</v>
      </c>
      <c r="B40" s="54" t="s">
        <v>88</v>
      </c>
      <c r="C40" s="61">
        <f>C34-C36-C37-C38</f>
        <v>61.886199999999953</v>
      </c>
      <c r="D40" s="61">
        <f t="shared" ref="D40:H40" si="26">D34-D36-D37-D38</f>
        <v>-21.086199999999991</v>
      </c>
      <c r="E40" s="61">
        <f t="shared" si="26"/>
        <v>82.023399999999896</v>
      </c>
      <c r="F40" s="61" t="e">
        <f t="shared" si="26"/>
        <v>#DIV/0!</v>
      </c>
      <c r="G40" s="61" t="e">
        <f t="shared" si="26"/>
        <v>#DIV/0!</v>
      </c>
      <c r="H40" s="61" t="e">
        <f t="shared" si="26"/>
        <v>#DIV/0!</v>
      </c>
      <c r="I40" s="61"/>
      <c r="T40" s="54" t="s">
        <v>88</v>
      </c>
      <c r="AJ40" s="54" t="s">
        <v>26</v>
      </c>
      <c r="AK40" s="54" t="s">
        <v>88</v>
      </c>
    </row>
    <row r="41" spans="1:37">
      <c r="A41" s="162">
        <v>2</v>
      </c>
      <c r="B41" s="54" t="s">
        <v>89</v>
      </c>
      <c r="C41" s="61"/>
      <c r="D41" s="61"/>
      <c r="E41" s="61"/>
      <c r="F41" s="61"/>
      <c r="G41" s="61"/>
      <c r="H41" s="61"/>
      <c r="I41" s="61"/>
      <c r="T41" s="54" t="s">
        <v>89</v>
      </c>
      <c r="AJ41" s="54" t="s">
        <v>28</v>
      </c>
      <c r="AK41" s="54" t="s">
        <v>89</v>
      </c>
    </row>
    <row r="42" spans="1:37">
      <c r="A42" s="54" t="s">
        <v>85</v>
      </c>
      <c r="B42" s="57" t="s">
        <v>91</v>
      </c>
      <c r="C42" s="61"/>
      <c r="D42" s="61"/>
      <c r="E42" s="61"/>
      <c r="F42" s="61"/>
      <c r="G42" s="61"/>
      <c r="H42" s="61"/>
      <c r="I42" s="61"/>
      <c r="T42" s="57" t="s">
        <v>91</v>
      </c>
      <c r="AJ42" s="54" t="s">
        <v>90</v>
      </c>
      <c r="AK42" s="57" t="s">
        <v>91</v>
      </c>
    </row>
    <row r="43" spans="1:37">
      <c r="A43" s="162">
        <v>1</v>
      </c>
      <c r="B43" s="62" t="s">
        <v>92</v>
      </c>
      <c r="C43" s="60"/>
      <c r="D43" s="60"/>
      <c r="E43" s="60"/>
      <c r="F43" s="60"/>
      <c r="G43" s="60"/>
      <c r="H43" s="60"/>
      <c r="I43" s="61"/>
      <c r="T43" s="54" t="s">
        <v>92</v>
      </c>
      <c r="AJ43" s="54" t="s">
        <v>26</v>
      </c>
      <c r="AK43" s="54" t="s">
        <v>92</v>
      </c>
    </row>
    <row r="44" spans="1:37">
      <c r="A44" s="162">
        <v>2</v>
      </c>
      <c r="B44" s="62" t="s">
        <v>93</v>
      </c>
      <c r="C44" s="60"/>
      <c r="D44" s="60"/>
      <c r="E44" s="60"/>
      <c r="F44" s="60"/>
      <c r="G44" s="60"/>
      <c r="H44" s="60"/>
      <c r="I44" s="61"/>
      <c r="T44" s="54" t="s">
        <v>93</v>
      </c>
      <c r="AJ44" s="54" t="s">
        <v>28</v>
      </c>
      <c r="AK44" s="54" t="s">
        <v>93</v>
      </c>
    </row>
    <row r="45" spans="1:37">
      <c r="A45" s="162">
        <v>3</v>
      </c>
      <c r="B45" s="62" t="s">
        <v>94</v>
      </c>
      <c r="C45" s="60">
        <f t="shared" ref="C45:H45" si="27">C32*0.034</f>
        <v>19.072333999999998</v>
      </c>
      <c r="D45" s="60">
        <f t="shared" si="27"/>
        <v>23.353138000000001</v>
      </c>
      <c r="E45" s="60">
        <f t="shared" si="27"/>
        <v>22.495657999999999</v>
      </c>
      <c r="F45" s="60" t="e">
        <f t="shared" si="27"/>
        <v>#DIV/0!</v>
      </c>
      <c r="G45" s="60" t="e">
        <f t="shared" si="27"/>
        <v>#DIV/0!</v>
      </c>
      <c r="H45" s="60" t="e">
        <f t="shared" si="27"/>
        <v>#DIV/0!</v>
      </c>
      <c r="I45" s="61"/>
      <c r="T45" s="54" t="s">
        <v>94</v>
      </c>
      <c r="AJ45" s="54" t="s">
        <v>78</v>
      </c>
      <c r="AK45" s="54" t="s">
        <v>94</v>
      </c>
    </row>
    <row r="46" spans="1:37" s="49" customFormat="1">
      <c r="A46" s="162">
        <v>4</v>
      </c>
      <c r="B46" s="62" t="s">
        <v>95</v>
      </c>
      <c r="C46" s="67">
        <f>C21/C6</f>
        <v>4.666666666666667</v>
      </c>
      <c r="D46" s="67">
        <f t="shared" ref="D46:H46" si="28">D21/D6</f>
        <v>4.666666666666667</v>
      </c>
      <c r="E46" s="67">
        <f t="shared" si="28"/>
        <v>4.666666666666667</v>
      </c>
      <c r="F46" s="67" t="e">
        <f t="shared" si="28"/>
        <v>#DIV/0!</v>
      </c>
      <c r="G46" s="67" t="e">
        <f t="shared" si="28"/>
        <v>#DIV/0!</v>
      </c>
      <c r="H46" s="67" t="e">
        <f t="shared" si="28"/>
        <v>#DIV/0!</v>
      </c>
      <c r="I46" s="67"/>
      <c r="T46" s="62" t="s">
        <v>97</v>
      </c>
      <c r="AJ46" s="62" t="s">
        <v>34</v>
      </c>
      <c r="AK46" s="62" t="s">
        <v>97</v>
      </c>
    </row>
    <row r="47" spans="1:37" s="49" customFormat="1">
      <c r="A47" s="162">
        <v>5</v>
      </c>
      <c r="B47" s="62" t="s">
        <v>97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97</v>
      </c>
      <c r="AJ47" s="62" t="s">
        <v>34</v>
      </c>
      <c r="AK47" s="62" t="s">
        <v>97</v>
      </c>
    </row>
    <row r="48" spans="1:37">
      <c r="A48" s="54" t="s">
        <v>90</v>
      </c>
      <c r="B48" s="57" t="s">
        <v>108</v>
      </c>
      <c r="C48" s="61">
        <f>C40-C43-C44-C45-C47-C46</f>
        <v>23.747199333333288</v>
      </c>
      <c r="D48" s="61">
        <f t="shared" ref="D48:H48" si="29">D40-D43-D44-D45-D47-D46</f>
        <v>-94.466004666666663</v>
      </c>
      <c r="E48" s="61">
        <f t="shared" si="29"/>
        <v>40.461075333333234</v>
      </c>
      <c r="F48" s="61" t="e">
        <f t="shared" si="29"/>
        <v>#DIV/0!</v>
      </c>
      <c r="G48" s="61" t="e">
        <f t="shared" si="29"/>
        <v>#DIV/0!</v>
      </c>
      <c r="H48" s="61" t="e">
        <f t="shared" si="29"/>
        <v>#DIV/0!</v>
      </c>
      <c r="I48" s="61"/>
      <c r="T48" s="57" t="s">
        <v>108</v>
      </c>
      <c r="AJ48" s="54" t="s">
        <v>107</v>
      </c>
      <c r="AK48" s="57" t="s">
        <v>108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G24" sqref="G24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148</v>
      </c>
      <c r="B1" s="193"/>
      <c r="C1" s="197" t="s">
        <v>272</v>
      </c>
      <c r="D1" s="198"/>
      <c r="E1" s="198"/>
      <c r="F1" s="198"/>
      <c r="G1" s="198"/>
      <c r="H1" s="198"/>
      <c r="I1" s="199"/>
    </row>
    <row r="2" spans="1:38">
      <c r="A2" s="193" t="s">
        <v>149</v>
      </c>
      <c r="B2" s="193"/>
      <c r="C2" s="200" t="str">
        <f>'2022年'!C2:I2</f>
        <v>一汽解放</v>
      </c>
      <c r="D2" s="200"/>
      <c r="E2" s="200"/>
      <c r="F2" s="200"/>
      <c r="G2" s="200"/>
      <c r="H2" s="200"/>
      <c r="I2" s="200"/>
    </row>
    <row r="3" spans="1:38">
      <c r="A3" s="193" t="s">
        <v>150</v>
      </c>
      <c r="B3" s="193"/>
      <c r="C3" s="163" t="str">
        <f>销量!C5</f>
        <v>驾驶员座椅</v>
      </c>
      <c r="D3" s="163" t="str">
        <f>销量!D5</f>
        <v>副驾驶员座椅</v>
      </c>
      <c r="E3" s="163" t="str">
        <f>销量!E5</f>
        <v>副驾驶员座椅</v>
      </c>
      <c r="F3" s="163">
        <f>销量!F5</f>
        <v>0</v>
      </c>
      <c r="G3" s="163">
        <f>销量!G5</f>
        <v>0</v>
      </c>
      <c r="H3" s="163">
        <f>销量!H5</f>
        <v>0</v>
      </c>
      <c r="I3" s="194" t="s">
        <v>22</v>
      </c>
    </row>
    <row r="4" spans="1:38" ht="28.5">
      <c r="A4" s="193" t="s">
        <v>151</v>
      </c>
      <c r="B4" s="193"/>
      <c r="C4" s="163" t="str">
        <f>销量!C6</f>
        <v>L168100000146</v>
      </c>
      <c r="D4" s="163" t="str">
        <f>销量!D6</f>
        <v>L168100000147（2060）</v>
      </c>
      <c r="E4" s="163" t="str">
        <f>销量!E6</f>
        <v>L168100000149（1880）</v>
      </c>
      <c r="F4" s="163">
        <f>销量!F6</f>
        <v>0</v>
      </c>
      <c r="G4" s="163">
        <f>销量!G6</f>
        <v>0</v>
      </c>
      <c r="H4" s="163">
        <f>销量!H6</f>
        <v>0</v>
      </c>
      <c r="I4" s="195"/>
    </row>
    <row r="5" spans="1:38">
      <c r="A5" s="193" t="s">
        <v>152</v>
      </c>
      <c r="B5" s="193"/>
      <c r="C5" s="53"/>
      <c r="D5" s="53"/>
      <c r="E5" s="53"/>
      <c r="F5" s="53"/>
      <c r="G5" s="53"/>
      <c r="H5" s="53"/>
      <c r="I5" s="196"/>
      <c r="AL5" s="50" t="s">
        <v>23</v>
      </c>
    </row>
    <row r="6" spans="1:38" ht="17.25">
      <c r="A6" s="54" t="s">
        <v>19</v>
      </c>
      <c r="B6" s="55" t="s">
        <v>153</v>
      </c>
      <c r="C6" s="23">
        <f>销量!C11</f>
        <v>150000</v>
      </c>
      <c r="D6" s="23">
        <f>销量!D11</f>
        <v>75000</v>
      </c>
      <c r="E6" s="23">
        <f>销量!E11</f>
        <v>75000</v>
      </c>
      <c r="F6" s="23">
        <f>销量!F11</f>
        <v>0</v>
      </c>
      <c r="G6" s="23">
        <f>销量!G11</f>
        <v>0</v>
      </c>
      <c r="H6" s="23">
        <f>销量!H11</f>
        <v>0</v>
      </c>
      <c r="I6" s="56">
        <f>SUM(C6:H6)</f>
        <v>300000</v>
      </c>
      <c r="T6" s="55" t="s">
        <v>3</v>
      </c>
      <c r="AJ6" s="54" t="s">
        <v>19</v>
      </c>
      <c r="AK6" s="55" t="s">
        <v>3</v>
      </c>
      <c r="AL6" s="50" t="s">
        <v>24</v>
      </c>
    </row>
    <row r="7" spans="1:38">
      <c r="A7" s="162">
        <v>1</v>
      </c>
      <c r="B7" s="55" t="s">
        <v>25</v>
      </c>
      <c r="C7" s="56">
        <f>C6*销量!C8</f>
        <v>86745000</v>
      </c>
      <c r="D7" s="56">
        <f>D6*销量!D8</f>
        <v>53107500</v>
      </c>
      <c r="E7" s="56">
        <f>E6*销量!E8</f>
        <v>51157500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>SUM(C7:H7)</f>
        <v>191010000</v>
      </c>
      <c r="J7" s="51"/>
      <c r="T7" s="55" t="s">
        <v>25</v>
      </c>
      <c r="AJ7" s="54" t="s">
        <v>26</v>
      </c>
      <c r="AK7" s="55" t="s">
        <v>25</v>
      </c>
      <c r="AL7" s="50" t="s">
        <v>24</v>
      </c>
    </row>
    <row r="8" spans="1:38">
      <c r="A8" s="162">
        <v>2</v>
      </c>
      <c r="B8" s="162" t="s">
        <v>27</v>
      </c>
      <c r="C8" s="56">
        <f>C7*(1-销量!$L$8)</f>
        <v>5126629.4999999944</v>
      </c>
      <c r="D8" s="56">
        <f>D7*(1-销量!$L$8)</f>
        <v>3138653.2499999963</v>
      </c>
      <c r="E8" s="56">
        <f>E7*(1-销量!$L$8)</f>
        <v>3023408.2499999963</v>
      </c>
      <c r="F8" s="56">
        <f>F7*(1-销量!$L$8)</f>
        <v>0</v>
      </c>
      <c r="G8" s="56">
        <f>G7*(1-销量!$L$8)</f>
        <v>0</v>
      </c>
      <c r="H8" s="56">
        <f>H7*(1-销量!$L$8)</f>
        <v>0</v>
      </c>
      <c r="I8" s="56">
        <f t="shared" ref="I8:I15" si="0">SUM(C8:H8)</f>
        <v>11288690.999999987</v>
      </c>
      <c r="J8" s="71"/>
      <c r="T8" s="162" t="s">
        <v>29</v>
      </c>
      <c r="AJ8" s="54" t="s">
        <v>28</v>
      </c>
      <c r="AK8" s="162" t="s">
        <v>29</v>
      </c>
      <c r="AL8" s="50" t="s">
        <v>24</v>
      </c>
    </row>
    <row r="9" spans="1:38">
      <c r="A9" s="162">
        <v>3</v>
      </c>
      <c r="B9" s="55" t="s">
        <v>30</v>
      </c>
      <c r="C9" s="56">
        <f>+C7-C8</f>
        <v>81618370.5</v>
      </c>
      <c r="D9" s="56">
        <f t="shared" ref="D9:H9" si="1">+D7-D8</f>
        <v>49968846.75</v>
      </c>
      <c r="E9" s="56">
        <f t="shared" si="1"/>
        <v>48134091.75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179721309</v>
      </c>
      <c r="T9" s="55" t="s">
        <v>30</v>
      </c>
      <c r="AJ9" s="54" t="s">
        <v>31</v>
      </c>
      <c r="AK9" s="55" t="s">
        <v>30</v>
      </c>
      <c r="AL9" s="50" t="s">
        <v>32</v>
      </c>
    </row>
    <row r="10" spans="1:38">
      <c r="A10" s="162">
        <v>4</v>
      </c>
      <c r="B10" s="54" t="s">
        <v>33</v>
      </c>
      <c r="C10" s="56">
        <f>C6*材料成本!G41</f>
        <v>65294696.399999991</v>
      </c>
      <c r="D10" s="56">
        <f>D6*材料成本!G42</f>
        <v>39975077.399999999</v>
      </c>
      <c r="E10" s="56">
        <f>E6*材料成本!G43</f>
        <v>38507273.400000006</v>
      </c>
      <c r="F10" s="56">
        <f>F6*材料成本!G44</f>
        <v>0</v>
      </c>
      <c r="G10" s="56">
        <f>G6*材料成本!G45</f>
        <v>0</v>
      </c>
      <c r="H10" s="56">
        <f>H6*材料成本!G46</f>
        <v>0</v>
      </c>
      <c r="I10" s="56">
        <f t="shared" si="0"/>
        <v>143777047.19999999</v>
      </c>
      <c r="T10" s="54" t="s">
        <v>33</v>
      </c>
      <c r="AJ10" s="54" t="s">
        <v>34</v>
      </c>
      <c r="AK10" s="54" t="s">
        <v>33</v>
      </c>
      <c r="AL10" s="50" t="s">
        <v>35</v>
      </c>
    </row>
    <row r="11" spans="1:38">
      <c r="A11" s="162">
        <v>5</v>
      </c>
      <c r="B11" s="54" t="s">
        <v>36</v>
      </c>
      <c r="C11" s="56">
        <f>+C6*C36</f>
        <v>3103200</v>
      </c>
      <c r="D11" s="56">
        <f t="shared" ref="D11:H11" si="2">+D6*D36</f>
        <v>4887540</v>
      </c>
      <c r="E11" s="56">
        <f t="shared" si="2"/>
        <v>1551600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0"/>
        <v>9542340</v>
      </c>
      <c r="T11" s="54" t="s">
        <v>36</v>
      </c>
      <c r="AJ11" s="54" t="s">
        <v>37</v>
      </c>
      <c r="AK11" s="54" t="s">
        <v>36</v>
      </c>
    </row>
    <row r="12" spans="1:38">
      <c r="A12" s="162">
        <v>6</v>
      </c>
      <c r="B12" s="54" t="s">
        <v>38</v>
      </c>
      <c r="C12" s="56">
        <f>+C6*C37</f>
        <v>1562400</v>
      </c>
      <c r="D12" s="56">
        <f t="shared" ref="D12:H12" si="3">+D6*D37</f>
        <v>2460780</v>
      </c>
      <c r="E12" s="56">
        <f t="shared" si="3"/>
        <v>781200</v>
      </c>
      <c r="F12" s="56">
        <f t="shared" si="3"/>
        <v>0</v>
      </c>
      <c r="G12" s="56">
        <f t="shared" si="3"/>
        <v>0</v>
      </c>
      <c r="H12" s="56">
        <f t="shared" si="3"/>
        <v>0</v>
      </c>
      <c r="I12" s="56">
        <f t="shared" si="0"/>
        <v>4804380</v>
      </c>
      <c r="T12" s="54" t="s">
        <v>38</v>
      </c>
      <c r="AJ12" s="54" t="s">
        <v>39</v>
      </c>
      <c r="AK12" s="54" t="s">
        <v>38</v>
      </c>
    </row>
    <row r="13" spans="1:38">
      <c r="A13" s="162">
        <v>7</v>
      </c>
      <c r="B13" s="54" t="s">
        <v>40</v>
      </c>
      <c r="C13" s="56">
        <f>+C6*C38</f>
        <v>2879999.9999999995</v>
      </c>
      <c r="D13" s="56">
        <f t="shared" ref="D13:H13" si="4">+D6*D38</f>
        <v>4535999.9999999991</v>
      </c>
      <c r="E13" s="56">
        <f t="shared" si="4"/>
        <v>1439999.9999999998</v>
      </c>
      <c r="F13" s="56">
        <f t="shared" si="4"/>
        <v>0</v>
      </c>
      <c r="G13" s="56">
        <f t="shared" si="4"/>
        <v>0</v>
      </c>
      <c r="H13" s="56">
        <f t="shared" si="4"/>
        <v>0</v>
      </c>
      <c r="I13" s="56">
        <f t="shared" si="0"/>
        <v>8855999.9999999981</v>
      </c>
      <c r="T13" s="54" t="s">
        <v>40</v>
      </c>
      <c r="AJ13" s="54" t="s">
        <v>41</v>
      </c>
      <c r="AK13" s="54" t="s">
        <v>40</v>
      </c>
      <c r="AL13" s="50" t="s">
        <v>24</v>
      </c>
    </row>
    <row r="14" spans="1:38">
      <c r="A14" s="162">
        <v>8</v>
      </c>
      <c r="B14" s="57" t="s">
        <v>42</v>
      </c>
      <c r="C14" s="56">
        <f>SUM(C11:C13)</f>
        <v>7545600</v>
      </c>
      <c r="D14" s="56">
        <f t="shared" ref="D14:H14" si="5">SUM(D11:D13)</f>
        <v>11884320</v>
      </c>
      <c r="E14" s="56">
        <f t="shared" si="5"/>
        <v>3772800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0"/>
        <v>23202720</v>
      </c>
      <c r="T14" s="57" t="s">
        <v>42</v>
      </c>
      <c r="AJ14" s="54" t="s">
        <v>43</v>
      </c>
      <c r="AK14" s="57" t="s">
        <v>42</v>
      </c>
    </row>
    <row r="15" spans="1:38">
      <c r="A15" s="162">
        <v>9</v>
      </c>
      <c r="B15" s="57" t="s">
        <v>44</v>
      </c>
      <c r="C15" s="56">
        <f>+C9-C10-C14</f>
        <v>8778074.1000000089</v>
      </c>
      <c r="D15" s="56">
        <f t="shared" ref="D15:H15" si="6">+D9-D10-D14</f>
        <v>-1890550.6499999985</v>
      </c>
      <c r="E15" s="56">
        <f t="shared" si="6"/>
        <v>5854018.349999994</v>
      </c>
      <c r="F15" s="56">
        <f t="shared" si="6"/>
        <v>0</v>
      </c>
      <c r="G15" s="56">
        <f t="shared" si="6"/>
        <v>0</v>
      </c>
      <c r="H15" s="56">
        <f t="shared" si="6"/>
        <v>0</v>
      </c>
      <c r="I15" s="56">
        <f t="shared" si="0"/>
        <v>12741541.800000004</v>
      </c>
      <c r="T15" s="57" t="s">
        <v>44</v>
      </c>
      <c r="AJ15" s="54" t="s">
        <v>45</v>
      </c>
      <c r="AK15" s="57" t="s">
        <v>44</v>
      </c>
    </row>
    <row r="16" spans="1:38">
      <c r="A16" s="162">
        <v>10</v>
      </c>
      <c r="B16" s="54" t="s">
        <v>46</v>
      </c>
      <c r="C16" s="58">
        <f>+C15/C9</f>
        <v>0.10755022486022321</v>
      </c>
      <c r="D16" s="58">
        <f t="shared" ref="D16:H16" si="7">+D15/D9</f>
        <v>-3.7834586406579385E-2</v>
      </c>
      <c r="E16" s="58">
        <f t="shared" si="7"/>
        <v>0.12161896354884465</v>
      </c>
      <c r="F16" s="58" t="e">
        <f t="shared" si="7"/>
        <v>#DIV/0!</v>
      </c>
      <c r="G16" s="58" t="e">
        <f t="shared" si="7"/>
        <v>#DIV/0!</v>
      </c>
      <c r="H16" s="58" t="e">
        <f t="shared" si="7"/>
        <v>#DIV/0!</v>
      </c>
      <c r="I16" s="58">
        <f t="shared" ref="I16" si="8">+I15/I9</f>
        <v>7.0896110599773146E-2</v>
      </c>
      <c r="T16" s="54" t="s">
        <v>46</v>
      </c>
      <c r="AJ16" s="54" t="s">
        <v>47</v>
      </c>
      <c r="AK16" s="54" t="s">
        <v>46</v>
      </c>
    </row>
    <row r="17" spans="1:38">
      <c r="A17" s="162">
        <v>11</v>
      </c>
      <c r="B17" s="54" t="s">
        <v>48</v>
      </c>
      <c r="C17" s="56">
        <f>C6*C43+C18</f>
        <v>755566.66666666663</v>
      </c>
      <c r="D17" s="56">
        <f t="shared" ref="D17:H17" si="9">D6*D43+D18</f>
        <v>377783.33333333331</v>
      </c>
      <c r="E17" s="56">
        <f t="shared" si="9"/>
        <v>377783.33333333331</v>
      </c>
      <c r="F17" s="56">
        <f t="shared" si="9"/>
        <v>0</v>
      </c>
      <c r="G17" s="56">
        <f t="shared" si="9"/>
        <v>0</v>
      </c>
      <c r="H17" s="56">
        <f t="shared" si="9"/>
        <v>0</v>
      </c>
      <c r="I17" s="56">
        <f>SUM(C17:H17)</f>
        <v>1511133.3333333333</v>
      </c>
      <c r="J17" s="71"/>
      <c r="T17" s="54" t="s">
        <v>48</v>
      </c>
      <c r="AJ17" s="54" t="s">
        <v>49</v>
      </c>
      <c r="AK17" s="54" t="s">
        <v>48</v>
      </c>
    </row>
    <row r="18" spans="1:38" s="48" customFormat="1">
      <c r="A18" s="162">
        <v>12</v>
      </c>
      <c r="B18" s="59" t="s">
        <v>154</v>
      </c>
      <c r="C18" s="60">
        <f>$I$18/$I$6*C6</f>
        <v>755566.66666666663</v>
      </c>
      <c r="D18" s="60">
        <f t="shared" ref="D18:H18" si="10">$I$18/$I$6*D6</f>
        <v>377783.33333333331</v>
      </c>
      <c r="E18" s="60">
        <f t="shared" si="10"/>
        <v>377783.33333333331</v>
      </c>
      <c r="F18" s="60">
        <f t="shared" si="10"/>
        <v>0</v>
      </c>
      <c r="G18" s="60">
        <f t="shared" si="10"/>
        <v>0</v>
      </c>
      <c r="H18" s="60">
        <f t="shared" si="10"/>
        <v>0</v>
      </c>
      <c r="I18" s="60">
        <f>项目投资!D26</f>
        <v>1511133.3333333333</v>
      </c>
      <c r="J18" s="72" t="s">
        <v>155</v>
      </c>
      <c r="K18" s="72"/>
      <c r="L18" s="72"/>
    </row>
    <row r="19" spans="1:38">
      <c r="A19" s="162">
        <v>13</v>
      </c>
      <c r="B19" s="54" t="s">
        <v>50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48"/>
      <c r="T19" s="54" t="s">
        <v>50</v>
      </c>
      <c r="AJ19" s="54" t="s">
        <v>51</v>
      </c>
      <c r="AK19" s="54" t="s">
        <v>50</v>
      </c>
      <c r="AL19" s="50" t="s">
        <v>24</v>
      </c>
    </row>
    <row r="20" spans="1:38">
      <c r="A20" s="162">
        <v>14</v>
      </c>
      <c r="B20" s="54" t="s">
        <v>52</v>
      </c>
      <c r="C20" s="56">
        <f>C6*C45</f>
        <v>2775024.5970000005</v>
      </c>
      <c r="D20" s="56">
        <f t="shared" ref="D20:H20" si="12">D6*D45</f>
        <v>1698940.7895000002</v>
      </c>
      <c r="E20" s="56">
        <f t="shared" si="12"/>
        <v>1636559.1195</v>
      </c>
      <c r="F20" s="56"/>
      <c r="G20" s="56"/>
      <c r="H20" s="56"/>
      <c r="I20" s="56">
        <f>SUM(C20:H20)</f>
        <v>6110524.506000001</v>
      </c>
      <c r="T20" s="54" t="s">
        <v>52</v>
      </c>
      <c r="AJ20" s="54" t="s">
        <v>53</v>
      </c>
      <c r="AK20" s="54" t="s">
        <v>52</v>
      </c>
    </row>
    <row r="21" spans="1:38">
      <c r="A21" s="162">
        <v>15</v>
      </c>
      <c r="B21" s="54" t="s">
        <v>54</v>
      </c>
      <c r="C21" s="61">
        <f>$I$21/$I$6*C6</f>
        <v>466666.66666666669</v>
      </c>
      <c r="D21" s="61">
        <f t="shared" ref="D21:H21" si="13">$I$21/$I$6*D6</f>
        <v>233333.33333333334</v>
      </c>
      <c r="E21" s="61">
        <f t="shared" si="13"/>
        <v>233333.33333333334</v>
      </c>
      <c r="F21" s="61">
        <f t="shared" si="13"/>
        <v>0</v>
      </c>
      <c r="G21" s="61">
        <f t="shared" si="13"/>
        <v>0</v>
      </c>
      <c r="H21" s="61">
        <f t="shared" si="13"/>
        <v>0</v>
      </c>
      <c r="I21" s="56">
        <f>项目投资!D27</f>
        <v>933333.33333333337</v>
      </c>
      <c r="T21" s="54" t="s">
        <v>54</v>
      </c>
      <c r="AJ21" s="54"/>
      <c r="AK21" s="54"/>
    </row>
    <row r="22" spans="1:38">
      <c r="A22" s="162">
        <v>16</v>
      </c>
      <c r="B22" s="54" t="s">
        <v>55</v>
      </c>
      <c r="C22" s="56">
        <f>C6*C47</f>
        <v>2160000</v>
      </c>
      <c r="D22" s="56">
        <f t="shared" ref="D22:H22" si="14">D6*D47</f>
        <v>3402000</v>
      </c>
      <c r="E22" s="56">
        <f t="shared" si="14"/>
        <v>1080000</v>
      </c>
      <c r="F22" s="56">
        <f t="shared" si="14"/>
        <v>0</v>
      </c>
      <c r="G22" s="56">
        <f t="shared" si="14"/>
        <v>0</v>
      </c>
      <c r="H22" s="56">
        <f t="shared" si="14"/>
        <v>0</v>
      </c>
      <c r="I22" s="56">
        <f>SUM(C22:H22)</f>
        <v>6642000</v>
      </c>
      <c r="T22" s="54" t="s">
        <v>55</v>
      </c>
      <c r="AJ22" s="54" t="s">
        <v>56</v>
      </c>
      <c r="AK22" s="54" t="s">
        <v>55</v>
      </c>
    </row>
    <row r="23" spans="1:38">
      <c r="A23" s="162">
        <v>17</v>
      </c>
      <c r="B23" s="57" t="s">
        <v>57</v>
      </c>
      <c r="C23" s="61">
        <f>+C22+C21+C20+C19+C17</f>
        <v>6157257.930333334</v>
      </c>
      <c r="D23" s="61">
        <f t="shared" ref="D23:H23" si="15">+D22+D21+D20+D19+D17</f>
        <v>5712057.4561666669</v>
      </c>
      <c r="E23" s="61">
        <f t="shared" si="15"/>
        <v>3327675.7861666665</v>
      </c>
      <c r="F23" s="61">
        <f t="shared" si="15"/>
        <v>0</v>
      </c>
      <c r="G23" s="61">
        <f t="shared" si="15"/>
        <v>0</v>
      </c>
      <c r="H23" s="61">
        <f t="shared" si="15"/>
        <v>0</v>
      </c>
      <c r="I23" s="61">
        <f t="shared" ref="I23" si="16">+I22+I21+I20+I19+I17</f>
        <v>15196991.172666667</v>
      </c>
      <c r="T23" s="57" t="s">
        <v>57</v>
      </c>
      <c r="AJ23" s="54" t="s">
        <v>58</v>
      </c>
      <c r="AK23" s="57" t="s">
        <v>57</v>
      </c>
    </row>
    <row r="24" spans="1:38">
      <c r="A24" s="162">
        <v>18</v>
      </c>
      <c r="B24" s="62" t="s">
        <v>59</v>
      </c>
      <c r="C24" s="61">
        <f>+C15-C23</f>
        <v>2620816.1696666749</v>
      </c>
      <c r="D24" s="61">
        <f t="shared" ref="D24:H24" si="17">+D15-D23</f>
        <v>-7602608.1061666654</v>
      </c>
      <c r="E24" s="61">
        <f t="shared" si="17"/>
        <v>2526342.5638333275</v>
      </c>
      <c r="F24" s="61">
        <f t="shared" si="17"/>
        <v>0</v>
      </c>
      <c r="G24" s="61">
        <f t="shared" si="17"/>
        <v>0</v>
      </c>
      <c r="H24" s="61">
        <f t="shared" si="17"/>
        <v>0</v>
      </c>
      <c r="I24" s="61">
        <f t="shared" ref="I24" si="18">+I15-I23</f>
        <v>-2455449.3726666626</v>
      </c>
      <c r="K24" s="73"/>
      <c r="T24" s="54" t="s">
        <v>59</v>
      </c>
      <c r="AJ24" s="54" t="s">
        <v>60</v>
      </c>
      <c r="AK24" s="54" t="s">
        <v>59</v>
      </c>
    </row>
    <row r="25" spans="1:38">
      <c r="A25" s="162">
        <v>19</v>
      </c>
      <c r="B25" s="54" t="s">
        <v>156</v>
      </c>
      <c r="C25" s="61">
        <f>IF(C24&lt;0,0,C24*0.25)</f>
        <v>655204.04241666873</v>
      </c>
      <c r="D25" s="61">
        <f t="shared" ref="D25:H25" si="19">IF(D24&lt;0,0,D24*0.25)</f>
        <v>0</v>
      </c>
      <c r="E25" s="61">
        <f t="shared" si="19"/>
        <v>631585.64095833187</v>
      </c>
      <c r="F25" s="61">
        <f t="shared" si="19"/>
        <v>0</v>
      </c>
      <c r="G25" s="61">
        <f t="shared" si="19"/>
        <v>0</v>
      </c>
      <c r="H25" s="61">
        <f t="shared" si="19"/>
        <v>0</v>
      </c>
      <c r="I25" s="61">
        <f t="shared" ref="I25" si="20">IF(I24&lt;0,0,I24*0.25)</f>
        <v>0</v>
      </c>
      <c r="J25" s="69"/>
      <c r="K25" s="69"/>
      <c r="L25" s="69"/>
      <c r="T25" s="54" t="s">
        <v>61</v>
      </c>
      <c r="AJ25" s="54" t="s">
        <v>62</v>
      </c>
      <c r="AK25" s="54" t="s">
        <v>61</v>
      </c>
    </row>
    <row r="26" spans="1:38">
      <c r="A26" s="162">
        <v>20</v>
      </c>
      <c r="B26" s="54" t="s">
        <v>63</v>
      </c>
      <c r="C26" s="61">
        <f t="shared" ref="C26:H26" si="21">C24-C25</f>
        <v>1965612.1272500062</v>
      </c>
      <c r="D26" s="61">
        <f t="shared" si="21"/>
        <v>-7602608.1061666654</v>
      </c>
      <c r="E26" s="61">
        <f t="shared" si="21"/>
        <v>1894756.9228749955</v>
      </c>
      <c r="F26" s="61">
        <f t="shared" si="21"/>
        <v>0</v>
      </c>
      <c r="G26" s="61">
        <f t="shared" si="21"/>
        <v>0</v>
      </c>
      <c r="H26" s="61">
        <f t="shared" si="21"/>
        <v>0</v>
      </c>
      <c r="I26" s="56">
        <f>+SUM(C26:C26)</f>
        <v>1965612.1272500062</v>
      </c>
      <c r="J26" s="69"/>
      <c r="K26" s="69"/>
      <c r="L26" s="69"/>
      <c r="T26" s="54" t="s">
        <v>63</v>
      </c>
      <c r="AJ26" s="54" t="s">
        <v>64</v>
      </c>
      <c r="AK26" s="54" t="s">
        <v>63</v>
      </c>
    </row>
    <row r="27" spans="1:38">
      <c r="A27" s="162">
        <v>21</v>
      </c>
      <c r="B27" s="54" t="s">
        <v>67</v>
      </c>
      <c r="C27" s="63">
        <f t="shared" ref="C27:I27" si="22">C26/C7</f>
        <v>2.2659659084097138E-2</v>
      </c>
      <c r="D27" s="63">
        <f t="shared" ref="D27:H27" si="23">D26/D7</f>
        <v>-0.14315507425818699</v>
      </c>
      <c r="E27" s="63">
        <f t="shared" si="23"/>
        <v>3.7037715347211952E-2</v>
      </c>
      <c r="F27" s="63" t="e">
        <f t="shared" si="23"/>
        <v>#DIV/0!</v>
      </c>
      <c r="G27" s="63" t="e">
        <f t="shared" si="23"/>
        <v>#DIV/0!</v>
      </c>
      <c r="H27" s="63" t="e">
        <f t="shared" si="23"/>
        <v>#DIV/0!</v>
      </c>
      <c r="I27" s="63">
        <f t="shared" si="22"/>
        <v>1.0290624193759522E-2</v>
      </c>
      <c r="J27" s="69"/>
      <c r="K27" s="69"/>
      <c r="L27" s="69"/>
      <c r="T27" s="54" t="s">
        <v>67</v>
      </c>
      <c r="AJ27" s="54" t="s">
        <v>66</v>
      </c>
      <c r="AK27" s="54" t="s">
        <v>67</v>
      </c>
    </row>
    <row r="28" spans="1:38">
      <c r="J28" s="69"/>
      <c r="K28" s="69"/>
      <c r="L28" s="69"/>
      <c r="T28" s="54"/>
    </row>
    <row r="29" spans="1:38">
      <c r="A29" s="50" t="s">
        <v>68</v>
      </c>
      <c r="I29" s="51" t="s">
        <v>157</v>
      </c>
      <c r="J29" s="69"/>
      <c r="K29" s="69"/>
      <c r="L29" s="69"/>
      <c r="T29" s="54"/>
      <c r="AJ29" s="50" t="s">
        <v>68</v>
      </c>
    </row>
    <row r="30" spans="1:38">
      <c r="A30" s="54" t="s">
        <v>73</v>
      </c>
      <c r="B30" s="57" t="s">
        <v>74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74</v>
      </c>
      <c r="AJ30" s="54" t="s">
        <v>75</v>
      </c>
      <c r="AK30" s="57" t="s">
        <v>74</v>
      </c>
    </row>
    <row r="31" spans="1:38">
      <c r="A31" s="162">
        <v>1</v>
      </c>
      <c r="B31" s="59" t="s">
        <v>76</v>
      </c>
      <c r="C31" s="65">
        <f>销量!C8</f>
        <v>578.29999999999995</v>
      </c>
      <c r="D31" s="65">
        <f>销量!D8</f>
        <v>708.1</v>
      </c>
      <c r="E31" s="65">
        <f>销量!E8</f>
        <v>682.1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76</v>
      </c>
      <c r="AJ31" s="54" t="s">
        <v>26</v>
      </c>
      <c r="AK31" s="54" t="s">
        <v>76</v>
      </c>
    </row>
    <row r="32" spans="1:38">
      <c r="A32" s="162">
        <v>2</v>
      </c>
      <c r="B32" s="54" t="s">
        <v>158</v>
      </c>
      <c r="C32" s="56">
        <f>C9/C6</f>
        <v>544.12247000000002</v>
      </c>
      <c r="D32" s="56">
        <f t="shared" ref="D32:H32" si="24">D9/D6</f>
        <v>666.25129000000004</v>
      </c>
      <c r="E32" s="56">
        <f t="shared" si="24"/>
        <v>641.78788999999995</v>
      </c>
      <c r="F32" s="56" t="e">
        <f t="shared" si="24"/>
        <v>#DIV/0!</v>
      </c>
      <c r="G32" s="56" t="e">
        <f t="shared" si="24"/>
        <v>#DIV/0!</v>
      </c>
      <c r="H32" s="56" t="e">
        <f t="shared" si="24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77</v>
      </c>
      <c r="C33" s="56">
        <f>材料成本!G41</f>
        <v>435.29797599999995</v>
      </c>
      <c r="D33" s="56">
        <f>材料成本!G42</f>
        <v>533.00103200000001</v>
      </c>
      <c r="E33" s="56">
        <f>材料成本!G43</f>
        <v>513.43031200000007</v>
      </c>
      <c r="F33" s="56">
        <f>材料成本!G44</f>
        <v>0</v>
      </c>
      <c r="G33" s="56">
        <f>材料成本!G45</f>
        <v>0</v>
      </c>
      <c r="H33" s="56">
        <f>材料成本!G46</f>
        <v>0</v>
      </c>
      <c r="I33" s="61"/>
      <c r="K33" s="69"/>
      <c r="L33" s="69"/>
      <c r="M33" s="69"/>
      <c r="N33" s="69"/>
      <c r="O33" s="69"/>
      <c r="P33" s="69"/>
      <c r="T33" s="54" t="s">
        <v>77</v>
      </c>
      <c r="AJ33" s="54" t="s">
        <v>28</v>
      </c>
      <c r="AK33" s="54" t="s">
        <v>77</v>
      </c>
    </row>
    <row r="34" spans="1:37" ht="17.25" customHeight="1">
      <c r="A34" s="162">
        <v>4</v>
      </c>
      <c r="B34" s="54" t="s">
        <v>79</v>
      </c>
      <c r="C34" s="66">
        <f>C32-C33</f>
        <v>108.82449400000007</v>
      </c>
      <c r="D34" s="66">
        <f t="shared" ref="D34:H34" si="25">D32-D33</f>
        <v>133.25025800000003</v>
      </c>
      <c r="E34" s="66">
        <f t="shared" si="25"/>
        <v>128.35757799999988</v>
      </c>
      <c r="F34" s="66" t="e">
        <f t="shared" si="25"/>
        <v>#DIV/0!</v>
      </c>
      <c r="G34" s="66" t="e">
        <f t="shared" si="25"/>
        <v>#DIV/0!</v>
      </c>
      <c r="H34" s="66" t="e">
        <f t="shared" si="25"/>
        <v>#DIV/0!</v>
      </c>
      <c r="I34" s="61"/>
      <c r="K34" s="69"/>
      <c r="L34" s="69"/>
      <c r="M34" s="69"/>
      <c r="N34" s="69"/>
      <c r="O34" s="69"/>
      <c r="P34" s="69"/>
      <c r="T34" s="54" t="s">
        <v>79</v>
      </c>
      <c r="AJ34" s="54" t="s">
        <v>78</v>
      </c>
      <c r="AK34" s="54" t="s">
        <v>79</v>
      </c>
    </row>
    <row r="35" spans="1:37">
      <c r="A35" s="54" t="s">
        <v>75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81</v>
      </c>
      <c r="AK35" s="57" t="s">
        <v>10</v>
      </c>
    </row>
    <row r="36" spans="1:37">
      <c r="A36" s="162">
        <v>1</v>
      </c>
      <c r="B36" s="54" t="s">
        <v>82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82</v>
      </c>
      <c r="AJ36" s="54" t="s">
        <v>78</v>
      </c>
      <c r="AK36" s="54" t="s">
        <v>82</v>
      </c>
    </row>
    <row r="37" spans="1:37">
      <c r="A37" s="162">
        <v>2</v>
      </c>
      <c r="B37" s="54" t="s">
        <v>83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83</v>
      </c>
      <c r="AJ37" s="54" t="s">
        <v>31</v>
      </c>
      <c r="AK37" s="54" t="s">
        <v>83</v>
      </c>
    </row>
    <row r="38" spans="1:37">
      <c r="A38" s="162">
        <v>3</v>
      </c>
      <c r="B38" s="54" t="s">
        <v>84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84</v>
      </c>
      <c r="AJ38" s="54" t="s">
        <v>37</v>
      </c>
      <c r="AK38" s="54" t="s">
        <v>84</v>
      </c>
    </row>
    <row r="39" spans="1:37">
      <c r="A39" s="54" t="s">
        <v>81</v>
      </c>
      <c r="B39" s="57" t="s">
        <v>86</v>
      </c>
      <c r="C39" s="61"/>
      <c r="D39" s="61"/>
      <c r="E39" s="61"/>
      <c r="F39" s="61"/>
      <c r="G39" s="61"/>
      <c r="H39" s="61"/>
      <c r="I39" s="61"/>
      <c r="T39" s="57" t="s">
        <v>86</v>
      </c>
      <c r="AJ39" s="54" t="s">
        <v>85</v>
      </c>
      <c r="AK39" s="57" t="s">
        <v>86</v>
      </c>
    </row>
    <row r="40" spans="1:37">
      <c r="A40" s="162">
        <v>1</v>
      </c>
      <c r="B40" s="54" t="s">
        <v>88</v>
      </c>
      <c r="C40" s="61">
        <f>C34-C36-C37-C38</f>
        <v>58.520494000000078</v>
      </c>
      <c r="D40" s="61">
        <f t="shared" ref="D40:H40" si="26">D34-D36-D37-D38</f>
        <v>-25.207341999999954</v>
      </c>
      <c r="E40" s="61">
        <f t="shared" si="26"/>
        <v>78.053577999999874</v>
      </c>
      <c r="F40" s="61" t="e">
        <f t="shared" si="26"/>
        <v>#DIV/0!</v>
      </c>
      <c r="G40" s="61" t="e">
        <f t="shared" si="26"/>
        <v>#DIV/0!</v>
      </c>
      <c r="H40" s="61" t="e">
        <f t="shared" si="26"/>
        <v>#DIV/0!</v>
      </c>
      <c r="I40" s="61"/>
      <c r="T40" s="54" t="s">
        <v>88</v>
      </c>
      <c r="AJ40" s="54" t="s">
        <v>26</v>
      </c>
      <c r="AK40" s="54" t="s">
        <v>88</v>
      </c>
    </row>
    <row r="41" spans="1:37">
      <c r="A41" s="162">
        <v>2</v>
      </c>
      <c r="B41" s="54" t="s">
        <v>89</v>
      </c>
      <c r="C41" s="61"/>
      <c r="D41" s="61"/>
      <c r="E41" s="61"/>
      <c r="F41" s="61"/>
      <c r="G41" s="61"/>
      <c r="H41" s="61"/>
      <c r="I41" s="61"/>
      <c r="T41" s="54" t="s">
        <v>89</v>
      </c>
      <c r="AJ41" s="54" t="s">
        <v>28</v>
      </c>
      <c r="AK41" s="54" t="s">
        <v>89</v>
      </c>
    </row>
    <row r="42" spans="1:37">
      <c r="A42" s="54" t="s">
        <v>85</v>
      </c>
      <c r="B42" s="57" t="s">
        <v>91</v>
      </c>
      <c r="C42" s="61"/>
      <c r="D42" s="61"/>
      <c r="E42" s="61"/>
      <c r="F42" s="61"/>
      <c r="G42" s="61"/>
      <c r="H42" s="61"/>
      <c r="I42" s="61"/>
      <c r="T42" s="57" t="s">
        <v>91</v>
      </c>
      <c r="AJ42" s="54" t="s">
        <v>90</v>
      </c>
      <c r="AK42" s="57" t="s">
        <v>91</v>
      </c>
    </row>
    <row r="43" spans="1:37">
      <c r="A43" s="162">
        <v>1</v>
      </c>
      <c r="B43" s="62" t="s">
        <v>92</v>
      </c>
      <c r="C43" s="60"/>
      <c r="D43" s="60"/>
      <c r="E43" s="60"/>
      <c r="F43" s="60"/>
      <c r="G43" s="60"/>
      <c r="H43" s="60"/>
      <c r="I43" s="61"/>
      <c r="T43" s="54" t="s">
        <v>92</v>
      </c>
      <c r="AJ43" s="54" t="s">
        <v>26</v>
      </c>
      <c r="AK43" s="54" t="s">
        <v>92</v>
      </c>
    </row>
    <row r="44" spans="1:37">
      <c r="A44" s="162">
        <v>2</v>
      </c>
      <c r="B44" s="62" t="s">
        <v>93</v>
      </c>
      <c r="C44" s="60"/>
      <c r="D44" s="60"/>
      <c r="E44" s="60"/>
      <c r="F44" s="60"/>
      <c r="G44" s="60"/>
      <c r="H44" s="60"/>
      <c r="I44" s="61"/>
      <c r="T44" s="54" t="s">
        <v>93</v>
      </c>
      <c r="AJ44" s="54" t="s">
        <v>28</v>
      </c>
      <c r="AK44" s="54" t="s">
        <v>93</v>
      </c>
    </row>
    <row r="45" spans="1:37">
      <c r="A45" s="162">
        <v>3</v>
      </c>
      <c r="B45" s="62" t="s">
        <v>94</v>
      </c>
      <c r="C45" s="60">
        <f>C32*0.034</f>
        <v>18.500163980000004</v>
      </c>
      <c r="D45" s="60">
        <f t="shared" ref="D45:H45" si="27">D32*0.034</f>
        <v>22.652543860000002</v>
      </c>
      <c r="E45" s="60">
        <f t="shared" si="27"/>
        <v>21.82078826</v>
      </c>
      <c r="F45" s="60" t="e">
        <f t="shared" si="27"/>
        <v>#DIV/0!</v>
      </c>
      <c r="G45" s="60" t="e">
        <f t="shared" si="27"/>
        <v>#DIV/0!</v>
      </c>
      <c r="H45" s="60" t="e">
        <f t="shared" si="27"/>
        <v>#DIV/0!</v>
      </c>
      <c r="I45" s="61"/>
      <c r="T45" s="54" t="s">
        <v>94</v>
      </c>
      <c r="AJ45" s="54" t="s">
        <v>78</v>
      </c>
      <c r="AK45" s="54" t="s">
        <v>94</v>
      </c>
    </row>
    <row r="46" spans="1:37" s="49" customFormat="1">
      <c r="A46" s="162">
        <v>4</v>
      </c>
      <c r="B46" s="62" t="s">
        <v>95</v>
      </c>
      <c r="C46" s="67">
        <f>C21/C6</f>
        <v>3.1111111111111112</v>
      </c>
      <c r="D46" s="67">
        <f t="shared" ref="D46:H46" si="28">D21/D6</f>
        <v>3.1111111111111112</v>
      </c>
      <c r="E46" s="67">
        <f t="shared" si="28"/>
        <v>3.1111111111111112</v>
      </c>
      <c r="F46" s="67" t="e">
        <f t="shared" si="28"/>
        <v>#DIV/0!</v>
      </c>
      <c r="G46" s="67" t="e">
        <f t="shared" si="28"/>
        <v>#DIV/0!</v>
      </c>
      <c r="H46" s="67" t="e">
        <f t="shared" si="28"/>
        <v>#DIV/0!</v>
      </c>
      <c r="I46" s="67"/>
      <c r="T46" s="62" t="s">
        <v>97</v>
      </c>
      <c r="AJ46" s="62" t="s">
        <v>34</v>
      </c>
      <c r="AK46" s="62" t="s">
        <v>97</v>
      </c>
    </row>
    <row r="47" spans="1:37" s="49" customFormat="1">
      <c r="A47" s="162">
        <v>5</v>
      </c>
      <c r="B47" s="62" t="s">
        <v>97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97</v>
      </c>
      <c r="AJ47" s="62" t="s">
        <v>34</v>
      </c>
      <c r="AK47" s="62" t="s">
        <v>97</v>
      </c>
    </row>
    <row r="48" spans="1:37">
      <c r="A48" s="54" t="s">
        <v>90</v>
      </c>
      <c r="B48" s="57" t="s">
        <v>108</v>
      </c>
      <c r="C48" s="61">
        <f>C40-C43-C44-C45-C47-C46</f>
        <v>22.509218908888965</v>
      </c>
      <c r="D48" s="61">
        <f t="shared" ref="D48:H48" si="29">D40-D43-D44-D45-D47-D46</f>
        <v>-96.330996971111063</v>
      </c>
      <c r="E48" s="61">
        <f t="shared" si="29"/>
        <v>38.72167862888876</v>
      </c>
      <c r="F48" s="61" t="e">
        <f t="shared" si="29"/>
        <v>#DIV/0!</v>
      </c>
      <c r="G48" s="61" t="e">
        <f t="shared" si="29"/>
        <v>#DIV/0!</v>
      </c>
      <c r="H48" s="61" t="e">
        <f t="shared" si="29"/>
        <v>#DIV/0!</v>
      </c>
      <c r="I48" s="61"/>
      <c r="T48" s="57" t="s">
        <v>108</v>
      </c>
      <c r="AJ48" s="54" t="s">
        <v>107</v>
      </c>
      <c r="AK48" s="57" t="s">
        <v>108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H20" sqref="H20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148</v>
      </c>
      <c r="B1" s="193"/>
      <c r="C1" s="197" t="s">
        <v>273</v>
      </c>
      <c r="D1" s="198"/>
      <c r="E1" s="198"/>
      <c r="F1" s="198"/>
      <c r="G1" s="198"/>
      <c r="H1" s="198"/>
      <c r="I1" s="199"/>
    </row>
    <row r="2" spans="1:38">
      <c r="A2" s="193" t="s">
        <v>149</v>
      </c>
      <c r="B2" s="193"/>
      <c r="C2" s="201" t="str">
        <f>'2022年'!C2:I2</f>
        <v>一汽解放</v>
      </c>
      <c r="D2" s="202"/>
      <c r="E2" s="202"/>
      <c r="F2" s="202"/>
      <c r="G2" s="202"/>
      <c r="H2" s="202"/>
      <c r="I2" s="203"/>
    </row>
    <row r="3" spans="1:38">
      <c r="A3" s="193" t="s">
        <v>150</v>
      </c>
      <c r="B3" s="193"/>
      <c r="C3" s="163" t="str">
        <f>销量!C5</f>
        <v>驾驶员座椅</v>
      </c>
      <c r="D3" s="163" t="str">
        <f>销量!D5</f>
        <v>副驾驶员座椅</v>
      </c>
      <c r="E3" s="163" t="str">
        <f>销量!E5</f>
        <v>副驾驶员座椅</v>
      </c>
      <c r="F3" s="163">
        <f>销量!F5</f>
        <v>0</v>
      </c>
      <c r="G3" s="163">
        <f>销量!G5</f>
        <v>0</v>
      </c>
      <c r="H3" s="163">
        <f>销量!H5</f>
        <v>0</v>
      </c>
      <c r="I3" s="194" t="s">
        <v>22</v>
      </c>
    </row>
    <row r="4" spans="1:38" ht="16.5" customHeight="1">
      <c r="A4" s="193" t="s">
        <v>151</v>
      </c>
      <c r="B4" s="193"/>
      <c r="C4" s="163" t="str">
        <f>销量!C6</f>
        <v>L168100000146</v>
      </c>
      <c r="D4" s="163" t="str">
        <f>销量!D6</f>
        <v>L168100000147（2060）</v>
      </c>
      <c r="E4" s="163" t="str">
        <f>销量!E6</f>
        <v>L168100000149（1880）</v>
      </c>
      <c r="F4" s="163">
        <f>销量!F6</f>
        <v>0</v>
      </c>
      <c r="G4" s="163">
        <f>销量!G6</f>
        <v>0</v>
      </c>
      <c r="H4" s="163">
        <f>销量!H6</f>
        <v>0</v>
      </c>
      <c r="I4" s="195"/>
    </row>
    <row r="5" spans="1:38">
      <c r="A5" s="193" t="s">
        <v>152</v>
      </c>
      <c r="B5" s="193"/>
      <c r="C5" s="53"/>
      <c r="D5" s="53"/>
      <c r="E5" s="53"/>
      <c r="F5" s="53"/>
      <c r="G5" s="53"/>
      <c r="H5" s="53"/>
      <c r="I5" s="196"/>
      <c r="AL5" s="50" t="s">
        <v>23</v>
      </c>
    </row>
    <row r="6" spans="1:38" ht="17.25">
      <c r="A6" s="54" t="s">
        <v>19</v>
      </c>
      <c r="B6" s="55" t="s">
        <v>153</v>
      </c>
      <c r="C6" s="23">
        <f>销量!C12</f>
        <v>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6">
        <f>SUM(C6:H6)</f>
        <v>0</v>
      </c>
      <c r="T6" s="55" t="s">
        <v>3</v>
      </c>
      <c r="AJ6" s="54" t="s">
        <v>19</v>
      </c>
      <c r="AK6" s="55" t="s">
        <v>3</v>
      </c>
      <c r="AL6" s="50" t="s">
        <v>24</v>
      </c>
    </row>
    <row r="7" spans="1:38">
      <c r="A7" s="162">
        <v>1</v>
      </c>
      <c r="B7" s="55" t="s">
        <v>25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17" si="0">SUM(C7:H7)</f>
        <v>0</v>
      </c>
      <c r="J7" s="51"/>
      <c r="T7" s="55" t="s">
        <v>25</v>
      </c>
      <c r="AJ7" s="54" t="s">
        <v>26</v>
      </c>
      <c r="AK7" s="55" t="s">
        <v>25</v>
      </c>
      <c r="AL7" s="50" t="s">
        <v>24</v>
      </c>
    </row>
    <row r="8" spans="1:38">
      <c r="A8" s="162">
        <v>2</v>
      </c>
      <c r="B8" s="162" t="s">
        <v>27</v>
      </c>
      <c r="C8" s="56">
        <f>C7*(1-销量!$L$9)</f>
        <v>0</v>
      </c>
      <c r="D8" s="56">
        <f>D7*(1-销量!$L$9)</f>
        <v>0</v>
      </c>
      <c r="E8" s="56">
        <f>E7*(1-销量!$L$9)</f>
        <v>0</v>
      </c>
      <c r="F8" s="56">
        <f>F7*(1-销量!$L$9)</f>
        <v>0</v>
      </c>
      <c r="G8" s="56">
        <f>G7*(1-销量!$L$9)</f>
        <v>0</v>
      </c>
      <c r="H8" s="56">
        <f>H7*(1-销量!$L$9)</f>
        <v>0</v>
      </c>
      <c r="I8" s="56">
        <f t="shared" si="0"/>
        <v>0</v>
      </c>
      <c r="J8" s="71"/>
      <c r="T8" s="162" t="s">
        <v>29</v>
      </c>
      <c r="AJ8" s="54" t="s">
        <v>28</v>
      </c>
      <c r="AK8" s="162" t="s">
        <v>29</v>
      </c>
      <c r="AL8" s="50" t="s">
        <v>24</v>
      </c>
    </row>
    <row r="9" spans="1:38">
      <c r="A9" s="162">
        <v>3</v>
      </c>
      <c r="B9" s="55" t="s">
        <v>30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30</v>
      </c>
      <c r="AJ9" s="54" t="s">
        <v>31</v>
      </c>
      <c r="AK9" s="55" t="s">
        <v>30</v>
      </c>
      <c r="AL9" s="50" t="s">
        <v>32</v>
      </c>
    </row>
    <row r="10" spans="1:38">
      <c r="A10" s="162">
        <v>4</v>
      </c>
      <c r="B10" s="54" t="s">
        <v>33</v>
      </c>
      <c r="C10" s="56">
        <f>C6*材料成本!H41</f>
        <v>0</v>
      </c>
      <c r="D10" s="56">
        <f>D6*材料成本!H42</f>
        <v>0</v>
      </c>
      <c r="E10" s="56">
        <f>E6*材料成本!H43</f>
        <v>0</v>
      </c>
      <c r="F10" s="56">
        <f>F6*材料成本!H44</f>
        <v>0</v>
      </c>
      <c r="G10" s="56">
        <f>G6*材料成本!H45</f>
        <v>0</v>
      </c>
      <c r="H10" s="56">
        <f>H6*材料成本!H46</f>
        <v>0</v>
      </c>
      <c r="I10" s="56">
        <f t="shared" si="0"/>
        <v>0</v>
      </c>
      <c r="T10" s="54" t="s">
        <v>33</v>
      </c>
      <c r="AJ10" s="54" t="s">
        <v>34</v>
      </c>
      <c r="AK10" s="54" t="s">
        <v>33</v>
      </c>
      <c r="AL10" s="50" t="s">
        <v>35</v>
      </c>
    </row>
    <row r="11" spans="1:38">
      <c r="A11" s="162">
        <v>5</v>
      </c>
      <c r="B11" s="54" t="s">
        <v>36</v>
      </c>
      <c r="C11" s="56">
        <f>+C6*C36</f>
        <v>0</v>
      </c>
      <c r="D11" s="56">
        <f t="shared" ref="D11:H11" si="2">+D6*D36</f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0"/>
        <v>0</v>
      </c>
      <c r="T11" s="54" t="s">
        <v>36</v>
      </c>
      <c r="AJ11" s="54" t="s">
        <v>37</v>
      </c>
      <c r="AK11" s="54" t="s">
        <v>36</v>
      </c>
    </row>
    <row r="12" spans="1:38">
      <c r="A12" s="162">
        <v>6</v>
      </c>
      <c r="B12" s="54" t="s">
        <v>38</v>
      </c>
      <c r="C12" s="56">
        <f>+C6*C37</f>
        <v>0</v>
      </c>
      <c r="D12" s="56">
        <f t="shared" ref="D12:H12" si="3">+D6*D37</f>
        <v>0</v>
      </c>
      <c r="E12" s="56">
        <f t="shared" si="3"/>
        <v>0</v>
      </c>
      <c r="F12" s="56">
        <f t="shared" si="3"/>
        <v>0</v>
      </c>
      <c r="G12" s="56">
        <f t="shared" si="3"/>
        <v>0</v>
      </c>
      <c r="H12" s="56">
        <f t="shared" si="3"/>
        <v>0</v>
      </c>
      <c r="I12" s="56">
        <f t="shared" si="0"/>
        <v>0</v>
      </c>
      <c r="T12" s="54" t="s">
        <v>38</v>
      </c>
      <c r="AJ12" s="54" t="s">
        <v>39</v>
      </c>
      <c r="AK12" s="54" t="s">
        <v>38</v>
      </c>
    </row>
    <row r="13" spans="1:38">
      <c r="A13" s="162">
        <v>7</v>
      </c>
      <c r="B13" s="54" t="s">
        <v>40</v>
      </c>
      <c r="C13" s="56">
        <f>+C6*C38</f>
        <v>0</v>
      </c>
      <c r="D13" s="56">
        <f t="shared" ref="D13:H13" si="4">+D6*D38</f>
        <v>0</v>
      </c>
      <c r="E13" s="56">
        <f t="shared" si="4"/>
        <v>0</v>
      </c>
      <c r="F13" s="56">
        <f t="shared" si="4"/>
        <v>0</v>
      </c>
      <c r="G13" s="56">
        <f t="shared" si="4"/>
        <v>0</v>
      </c>
      <c r="H13" s="56">
        <f t="shared" si="4"/>
        <v>0</v>
      </c>
      <c r="I13" s="56">
        <f t="shared" si="0"/>
        <v>0</v>
      </c>
      <c r="T13" s="54" t="s">
        <v>40</v>
      </c>
      <c r="AJ13" s="54" t="s">
        <v>41</v>
      </c>
      <c r="AK13" s="54" t="s">
        <v>40</v>
      </c>
      <c r="AL13" s="50" t="s">
        <v>24</v>
      </c>
    </row>
    <row r="14" spans="1:38">
      <c r="A14" s="162">
        <v>8</v>
      </c>
      <c r="B14" s="57" t="s">
        <v>42</v>
      </c>
      <c r="C14" s="56">
        <f>SUM(C11:C13)</f>
        <v>0</v>
      </c>
      <c r="D14" s="56">
        <f t="shared" ref="D14:H14" si="5">SUM(D11:D13)</f>
        <v>0</v>
      </c>
      <c r="E14" s="56">
        <f t="shared" si="5"/>
        <v>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0"/>
        <v>0</v>
      </c>
      <c r="T14" s="57" t="s">
        <v>42</v>
      </c>
      <c r="AJ14" s="54" t="s">
        <v>43</v>
      </c>
      <c r="AK14" s="57" t="s">
        <v>42</v>
      </c>
    </row>
    <row r="15" spans="1:38">
      <c r="A15" s="162">
        <v>9</v>
      </c>
      <c r="B15" s="57" t="s">
        <v>44</v>
      </c>
      <c r="C15" s="56">
        <f>+C9-C10-C14</f>
        <v>0</v>
      </c>
      <c r="D15" s="56">
        <f t="shared" ref="D15:H15" si="6">+D9-D10-D14</f>
        <v>0</v>
      </c>
      <c r="E15" s="56">
        <f t="shared" si="6"/>
        <v>0</v>
      </c>
      <c r="F15" s="56">
        <f t="shared" si="6"/>
        <v>0</v>
      </c>
      <c r="G15" s="56">
        <f t="shared" si="6"/>
        <v>0</v>
      </c>
      <c r="H15" s="56">
        <f t="shared" si="6"/>
        <v>0</v>
      </c>
      <c r="I15" s="56">
        <f t="shared" si="0"/>
        <v>0</v>
      </c>
      <c r="T15" s="57" t="s">
        <v>44</v>
      </c>
      <c r="AJ15" s="54" t="s">
        <v>45</v>
      </c>
      <c r="AK15" s="57" t="s">
        <v>44</v>
      </c>
    </row>
    <row r="16" spans="1:38">
      <c r="A16" s="162">
        <v>10</v>
      </c>
      <c r="B16" s="54" t="s">
        <v>46</v>
      </c>
      <c r="C16" s="58" t="e">
        <f>+C15/C9</f>
        <v>#DIV/0!</v>
      </c>
      <c r="D16" s="58" t="e">
        <f t="shared" ref="D16:H16" si="7">+D15/D9</f>
        <v>#DIV/0!</v>
      </c>
      <c r="E16" s="58" t="e">
        <f t="shared" si="7"/>
        <v>#DIV/0!</v>
      </c>
      <c r="F16" s="58" t="e">
        <f t="shared" si="7"/>
        <v>#DIV/0!</v>
      </c>
      <c r="G16" s="58" t="e">
        <f t="shared" si="7"/>
        <v>#DIV/0!</v>
      </c>
      <c r="H16" s="58" t="e">
        <f t="shared" si="7"/>
        <v>#DIV/0!</v>
      </c>
      <c r="I16" s="58"/>
      <c r="T16" s="54" t="s">
        <v>46</v>
      </c>
      <c r="AJ16" s="54" t="s">
        <v>47</v>
      </c>
      <c r="AK16" s="54" t="s">
        <v>46</v>
      </c>
    </row>
    <row r="17" spans="1:38">
      <c r="A17" s="162">
        <v>11</v>
      </c>
      <c r="B17" s="54" t="s">
        <v>48</v>
      </c>
      <c r="C17" s="56" t="e">
        <f>C6*C43+C18</f>
        <v>#DIV/0!</v>
      </c>
      <c r="D17" s="56" t="e">
        <f t="shared" ref="D17:H17" si="8">D6*D43+D18</f>
        <v>#DIV/0!</v>
      </c>
      <c r="E17" s="56" t="e">
        <f t="shared" si="8"/>
        <v>#DIV/0!</v>
      </c>
      <c r="F17" s="56" t="e">
        <f t="shared" si="8"/>
        <v>#DIV/0!</v>
      </c>
      <c r="G17" s="56" t="e">
        <f t="shared" si="8"/>
        <v>#DIV/0!</v>
      </c>
      <c r="H17" s="56" t="e">
        <f t="shared" si="8"/>
        <v>#DIV/0!</v>
      </c>
      <c r="I17" s="56"/>
      <c r="J17" s="71"/>
      <c r="T17" s="54" t="s">
        <v>48</v>
      </c>
      <c r="AJ17" s="54" t="s">
        <v>49</v>
      </c>
      <c r="AK17" s="54" t="s">
        <v>48</v>
      </c>
    </row>
    <row r="18" spans="1:38" s="48" customFormat="1">
      <c r="A18" s="162">
        <v>12</v>
      </c>
      <c r="B18" s="59" t="s">
        <v>154</v>
      </c>
      <c r="C18" s="60" t="e">
        <f>$I$18/$I$6*C6</f>
        <v>#DIV/0!</v>
      </c>
      <c r="D18" s="60" t="e">
        <f t="shared" ref="D18:H18" si="9">$I$18/$I$6*D6</f>
        <v>#DIV/0!</v>
      </c>
      <c r="E18" s="60" t="e">
        <f t="shared" si="9"/>
        <v>#DIV/0!</v>
      </c>
      <c r="F18" s="60" t="e">
        <f t="shared" si="9"/>
        <v>#DIV/0!</v>
      </c>
      <c r="G18" s="60" t="e">
        <f t="shared" si="9"/>
        <v>#DIV/0!</v>
      </c>
      <c r="H18" s="60" t="e">
        <f t="shared" si="9"/>
        <v>#DIV/0!</v>
      </c>
      <c r="I18" s="60"/>
      <c r="J18" s="72" t="s">
        <v>155</v>
      </c>
      <c r="K18" s="72"/>
      <c r="L18" s="72"/>
    </row>
    <row r="19" spans="1:38">
      <c r="A19" s="162">
        <v>13</v>
      </c>
      <c r="B19" s="54" t="s">
        <v>50</v>
      </c>
      <c r="C19" s="56">
        <f>C6*C44</f>
        <v>0</v>
      </c>
      <c r="D19" s="56">
        <f t="shared" ref="D19:H19" si="10">D6*D44</f>
        <v>0</v>
      </c>
      <c r="E19" s="56">
        <f t="shared" si="10"/>
        <v>0</v>
      </c>
      <c r="F19" s="56">
        <f t="shared" si="10"/>
        <v>0</v>
      </c>
      <c r="G19" s="56">
        <f t="shared" si="10"/>
        <v>0</v>
      </c>
      <c r="H19" s="56">
        <f t="shared" si="10"/>
        <v>0</v>
      </c>
      <c r="I19" s="56">
        <f>SUM(C19:C19)</f>
        <v>0</v>
      </c>
      <c r="J19" s="48"/>
      <c r="T19" s="54" t="s">
        <v>50</v>
      </c>
      <c r="AJ19" s="54" t="s">
        <v>51</v>
      </c>
      <c r="AK19" s="54" t="s">
        <v>50</v>
      </c>
      <c r="AL19" s="50" t="s">
        <v>24</v>
      </c>
    </row>
    <row r="20" spans="1:38">
      <c r="A20" s="162">
        <v>14</v>
      </c>
      <c r="B20" s="54" t="s">
        <v>52</v>
      </c>
      <c r="C20" s="56" t="e">
        <f>C6*C45</f>
        <v>#DIV/0!</v>
      </c>
      <c r="D20" s="56" t="e">
        <f t="shared" ref="D20:H20" si="11">D6*D45</f>
        <v>#DIV/0!</v>
      </c>
      <c r="E20" s="56" t="e">
        <f t="shared" si="11"/>
        <v>#DIV/0!</v>
      </c>
      <c r="F20" s="56" t="e">
        <f t="shared" si="11"/>
        <v>#DIV/0!</v>
      </c>
      <c r="G20" s="56" t="e">
        <f t="shared" si="11"/>
        <v>#DIV/0!</v>
      </c>
      <c r="H20" s="56" t="e">
        <f t="shared" si="11"/>
        <v>#DIV/0!</v>
      </c>
      <c r="I20" s="56"/>
      <c r="T20" s="54" t="s">
        <v>52</v>
      </c>
      <c r="AJ20" s="54" t="s">
        <v>53</v>
      </c>
      <c r="AK20" s="54" t="s">
        <v>52</v>
      </c>
    </row>
    <row r="21" spans="1:38">
      <c r="A21" s="162">
        <v>15</v>
      </c>
      <c r="B21" s="54" t="s">
        <v>54</v>
      </c>
      <c r="C21" s="61" t="e">
        <f>$I$21/$I$6*C6</f>
        <v>#DIV/0!</v>
      </c>
      <c r="D21" s="61" t="e">
        <f t="shared" ref="D21:H21" si="12">$I$21/$I$6*D6</f>
        <v>#DIV/0!</v>
      </c>
      <c r="E21" s="61" t="e">
        <f t="shared" si="12"/>
        <v>#DIV/0!</v>
      </c>
      <c r="F21" s="61" t="e">
        <f t="shared" si="12"/>
        <v>#DIV/0!</v>
      </c>
      <c r="G21" s="61" t="e">
        <f t="shared" si="12"/>
        <v>#DIV/0!</v>
      </c>
      <c r="H21" s="61" t="e">
        <f t="shared" si="12"/>
        <v>#DIV/0!</v>
      </c>
      <c r="I21" s="56"/>
      <c r="T21" s="54" t="s">
        <v>54</v>
      </c>
      <c r="AJ21" s="54"/>
      <c r="AK21" s="54"/>
    </row>
    <row r="22" spans="1:38">
      <c r="A22" s="162">
        <v>16</v>
      </c>
      <c r="B22" s="54" t="s">
        <v>55</v>
      </c>
      <c r="C22" s="56">
        <f>C6*C47</f>
        <v>0</v>
      </c>
      <c r="D22" s="56">
        <f t="shared" ref="D22:H22" si="13">D6*D47</f>
        <v>0</v>
      </c>
      <c r="E22" s="56">
        <f t="shared" si="13"/>
        <v>0</v>
      </c>
      <c r="F22" s="56">
        <f t="shared" si="13"/>
        <v>0</v>
      </c>
      <c r="G22" s="56">
        <f t="shared" si="13"/>
        <v>0</v>
      </c>
      <c r="H22" s="56">
        <f t="shared" si="13"/>
        <v>0</v>
      </c>
      <c r="I22" s="56">
        <f t="shared" ref="I22" si="14">SUM(C22:H22)</f>
        <v>0</v>
      </c>
      <c r="T22" s="54" t="s">
        <v>55</v>
      </c>
      <c r="AJ22" s="54" t="s">
        <v>56</v>
      </c>
      <c r="AK22" s="54" t="s">
        <v>55</v>
      </c>
    </row>
    <row r="23" spans="1:38">
      <c r="A23" s="162">
        <v>17</v>
      </c>
      <c r="B23" s="57" t="s">
        <v>57</v>
      </c>
      <c r="C23" s="61" t="e">
        <f>+C22+C21+C20+C19+C17</f>
        <v>#DIV/0!</v>
      </c>
      <c r="D23" s="61" t="e">
        <f t="shared" ref="D23:H23" si="15">+D22+D21+D20+D19+D17</f>
        <v>#DIV/0!</v>
      </c>
      <c r="E23" s="61" t="e">
        <f t="shared" si="15"/>
        <v>#DIV/0!</v>
      </c>
      <c r="F23" s="61" t="e">
        <f t="shared" si="15"/>
        <v>#DIV/0!</v>
      </c>
      <c r="G23" s="61" t="e">
        <f t="shared" si="15"/>
        <v>#DIV/0!</v>
      </c>
      <c r="H23" s="61" t="e">
        <f t="shared" si="15"/>
        <v>#DIV/0!</v>
      </c>
      <c r="I23" s="61">
        <f t="shared" ref="I23" si="16">+I22+I21+I20+I19+I17</f>
        <v>0</v>
      </c>
      <c r="T23" s="57" t="s">
        <v>57</v>
      </c>
      <c r="AJ23" s="54" t="s">
        <v>58</v>
      </c>
      <c r="AK23" s="57" t="s">
        <v>57</v>
      </c>
    </row>
    <row r="24" spans="1:38">
      <c r="A24" s="162">
        <v>18</v>
      </c>
      <c r="B24" s="62" t="s">
        <v>59</v>
      </c>
      <c r="C24" s="61" t="e">
        <f>+C15-C23</f>
        <v>#DIV/0!</v>
      </c>
      <c r="D24" s="61" t="e">
        <f t="shared" ref="D24:H24" si="17">+D15-D23</f>
        <v>#DIV/0!</v>
      </c>
      <c r="E24" s="61" t="e">
        <f t="shared" si="17"/>
        <v>#DIV/0!</v>
      </c>
      <c r="F24" s="61" t="e">
        <f t="shared" si="17"/>
        <v>#DIV/0!</v>
      </c>
      <c r="G24" s="61" t="e">
        <f t="shared" si="17"/>
        <v>#DIV/0!</v>
      </c>
      <c r="H24" s="61" t="e">
        <f t="shared" si="17"/>
        <v>#DIV/0!</v>
      </c>
      <c r="I24" s="61">
        <f t="shared" ref="I24" si="18">+I15-I23</f>
        <v>0</v>
      </c>
      <c r="K24" s="73"/>
      <c r="T24" s="54" t="s">
        <v>59</v>
      </c>
      <c r="AJ24" s="54" t="s">
        <v>60</v>
      </c>
      <c r="AK24" s="54" t="s">
        <v>59</v>
      </c>
    </row>
    <row r="25" spans="1:38">
      <c r="A25" s="162">
        <v>19</v>
      </c>
      <c r="B25" s="54" t="s">
        <v>156</v>
      </c>
      <c r="C25" s="61" t="e">
        <f>IF(C24&lt;0,0,C24*0.25)</f>
        <v>#DIV/0!</v>
      </c>
      <c r="D25" s="61" t="e">
        <f t="shared" ref="D25:H25" si="19">IF(D24&lt;0,0,D24*0.25)</f>
        <v>#DIV/0!</v>
      </c>
      <c r="E25" s="61" t="e">
        <f t="shared" si="19"/>
        <v>#DIV/0!</v>
      </c>
      <c r="F25" s="61" t="e">
        <f t="shared" si="19"/>
        <v>#DIV/0!</v>
      </c>
      <c r="G25" s="61" t="e">
        <f t="shared" si="19"/>
        <v>#DIV/0!</v>
      </c>
      <c r="H25" s="61" t="e">
        <f t="shared" si="19"/>
        <v>#DIV/0!</v>
      </c>
      <c r="I25" s="61">
        <f t="shared" ref="I25" si="20">IF(I24&lt;0,0,I24*0.25)</f>
        <v>0</v>
      </c>
      <c r="J25" s="69"/>
      <c r="K25" s="69"/>
      <c r="L25" s="69"/>
      <c r="T25" s="54" t="s">
        <v>61</v>
      </c>
      <c r="AJ25" s="54" t="s">
        <v>62</v>
      </c>
      <c r="AK25" s="54" t="s">
        <v>61</v>
      </c>
    </row>
    <row r="26" spans="1:38">
      <c r="A26" s="162">
        <v>20</v>
      </c>
      <c r="B26" s="54" t="s">
        <v>63</v>
      </c>
      <c r="C26" s="61" t="e">
        <f t="shared" ref="C26:H26" si="21">C24-C25</f>
        <v>#DIV/0!</v>
      </c>
      <c r="D26" s="61" t="e">
        <f t="shared" si="21"/>
        <v>#DIV/0!</v>
      </c>
      <c r="E26" s="61" t="e">
        <f t="shared" si="21"/>
        <v>#DIV/0!</v>
      </c>
      <c r="F26" s="61" t="e">
        <f t="shared" si="21"/>
        <v>#DIV/0!</v>
      </c>
      <c r="G26" s="61" t="e">
        <f t="shared" si="21"/>
        <v>#DIV/0!</v>
      </c>
      <c r="H26" s="61" t="e">
        <f t="shared" si="21"/>
        <v>#DIV/0!</v>
      </c>
      <c r="I26" s="56" t="e">
        <f>+SUM(C26:C26)</f>
        <v>#DIV/0!</v>
      </c>
      <c r="J26" s="69"/>
      <c r="K26" s="69"/>
      <c r="L26" s="69"/>
      <c r="T26" s="54" t="s">
        <v>63</v>
      </c>
      <c r="AJ26" s="54" t="s">
        <v>64</v>
      </c>
      <c r="AK26" s="54" t="s">
        <v>63</v>
      </c>
    </row>
    <row r="27" spans="1:38">
      <c r="A27" s="162">
        <v>21</v>
      </c>
      <c r="B27" s="54" t="s">
        <v>67</v>
      </c>
      <c r="C27" s="63" t="e">
        <f t="shared" ref="C27:I27" si="22">C26/C7</f>
        <v>#DIV/0!</v>
      </c>
      <c r="D27" s="63" t="e">
        <f t="shared" ref="D27:H27" si="23">D26/D7</f>
        <v>#DIV/0!</v>
      </c>
      <c r="E27" s="63" t="e">
        <f t="shared" si="23"/>
        <v>#DIV/0!</v>
      </c>
      <c r="F27" s="63" t="e">
        <f t="shared" si="23"/>
        <v>#DIV/0!</v>
      </c>
      <c r="G27" s="63" t="e">
        <f t="shared" si="23"/>
        <v>#DIV/0!</v>
      </c>
      <c r="H27" s="63" t="e">
        <f t="shared" si="23"/>
        <v>#DIV/0!</v>
      </c>
      <c r="I27" s="63" t="e">
        <f t="shared" si="22"/>
        <v>#DIV/0!</v>
      </c>
      <c r="J27" s="69"/>
      <c r="K27" s="69"/>
      <c r="L27" s="69"/>
      <c r="T27" s="54" t="s">
        <v>67</v>
      </c>
      <c r="AJ27" s="54" t="s">
        <v>66</v>
      </c>
      <c r="AK27" s="54" t="s">
        <v>67</v>
      </c>
    </row>
    <row r="28" spans="1:38">
      <c r="J28" s="69"/>
      <c r="K28" s="69"/>
      <c r="L28" s="69"/>
      <c r="T28" s="54"/>
    </row>
    <row r="29" spans="1:38">
      <c r="A29" s="50" t="s">
        <v>68</v>
      </c>
      <c r="I29" s="51" t="s">
        <v>157</v>
      </c>
      <c r="J29" s="69"/>
      <c r="K29" s="69"/>
      <c r="L29" s="69"/>
      <c r="T29" s="54"/>
      <c r="AJ29" s="50" t="s">
        <v>68</v>
      </c>
    </row>
    <row r="30" spans="1:38">
      <c r="A30" s="54" t="s">
        <v>73</v>
      </c>
      <c r="B30" s="57" t="s">
        <v>74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74</v>
      </c>
      <c r="AJ30" s="54" t="s">
        <v>75</v>
      </c>
      <c r="AK30" s="57" t="s">
        <v>74</v>
      </c>
    </row>
    <row r="31" spans="1:38">
      <c r="A31" s="162">
        <v>1</v>
      </c>
      <c r="B31" s="59" t="s">
        <v>76</v>
      </c>
      <c r="C31" s="65">
        <f>销量!C8</f>
        <v>578.29999999999995</v>
      </c>
      <c r="D31" s="65">
        <f>销量!D8</f>
        <v>708.1</v>
      </c>
      <c r="E31" s="65">
        <f>销量!E8</f>
        <v>682.1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76</v>
      </c>
      <c r="AJ31" s="54" t="s">
        <v>26</v>
      </c>
      <c r="AK31" s="54" t="s">
        <v>76</v>
      </c>
    </row>
    <row r="32" spans="1:38">
      <c r="A32" s="162">
        <v>2</v>
      </c>
      <c r="B32" s="54" t="s">
        <v>158</v>
      </c>
      <c r="C32" s="56" t="e">
        <f>C9/C6</f>
        <v>#DIV/0!</v>
      </c>
      <c r="D32" s="56" t="e">
        <f t="shared" ref="D32:H32" si="24">D9/D6</f>
        <v>#DIV/0!</v>
      </c>
      <c r="E32" s="56" t="e">
        <f t="shared" si="24"/>
        <v>#DIV/0!</v>
      </c>
      <c r="F32" s="56" t="e">
        <f t="shared" si="24"/>
        <v>#DIV/0!</v>
      </c>
      <c r="G32" s="56" t="e">
        <f t="shared" si="24"/>
        <v>#DIV/0!</v>
      </c>
      <c r="H32" s="56" t="e">
        <f t="shared" si="24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77</v>
      </c>
      <c r="C33" s="56">
        <f>材料成本!H41</f>
        <v>422.23903671999994</v>
      </c>
      <c r="D33" s="56">
        <f>材料成本!I41</f>
        <v>409.57186561839995</v>
      </c>
      <c r="E33" s="56">
        <f>材料成本!J41</f>
        <v>397.28470964984797</v>
      </c>
      <c r="F33" s="56">
        <f>材料成本!K41</f>
        <v>0</v>
      </c>
      <c r="G33" s="56">
        <f>材料成本!L41</f>
        <v>0</v>
      </c>
      <c r="H33" s="56">
        <f>材料成本!M41</f>
        <v>0</v>
      </c>
      <c r="I33" s="61"/>
      <c r="K33" s="69"/>
      <c r="L33" s="69"/>
      <c r="M33" s="69"/>
      <c r="N33" s="69"/>
      <c r="O33" s="69"/>
      <c r="P33" s="69"/>
      <c r="T33" s="54" t="s">
        <v>77</v>
      </c>
      <c r="AJ33" s="54" t="s">
        <v>28</v>
      </c>
      <c r="AK33" s="54" t="s">
        <v>77</v>
      </c>
    </row>
    <row r="34" spans="1:37" ht="17.25" customHeight="1">
      <c r="A34" s="162">
        <v>4</v>
      </c>
      <c r="B34" s="54" t="s">
        <v>79</v>
      </c>
      <c r="C34" s="66" t="e">
        <f>C32-C33</f>
        <v>#DIV/0!</v>
      </c>
      <c r="D34" s="66" t="e">
        <f t="shared" ref="D34:H34" si="25">D32-D33</f>
        <v>#DIV/0!</v>
      </c>
      <c r="E34" s="66" t="e">
        <f t="shared" si="25"/>
        <v>#DIV/0!</v>
      </c>
      <c r="F34" s="66" t="e">
        <f t="shared" si="25"/>
        <v>#DIV/0!</v>
      </c>
      <c r="G34" s="66" t="e">
        <f t="shared" si="25"/>
        <v>#DIV/0!</v>
      </c>
      <c r="H34" s="66" t="e">
        <f t="shared" si="25"/>
        <v>#DIV/0!</v>
      </c>
      <c r="I34" s="61"/>
      <c r="K34" s="69"/>
      <c r="L34" s="69"/>
      <c r="M34" s="69"/>
      <c r="N34" s="69"/>
      <c r="O34" s="69"/>
      <c r="P34" s="69"/>
      <c r="T34" s="54" t="s">
        <v>79</v>
      </c>
      <c r="AJ34" s="54" t="s">
        <v>78</v>
      </c>
      <c r="AK34" s="54" t="s">
        <v>79</v>
      </c>
    </row>
    <row r="35" spans="1:37">
      <c r="A35" s="54" t="s">
        <v>75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81</v>
      </c>
      <c r="AK35" s="57" t="s">
        <v>10</v>
      </c>
    </row>
    <row r="36" spans="1:37">
      <c r="A36" s="162">
        <v>1</v>
      </c>
      <c r="B36" s="54" t="s">
        <v>82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82</v>
      </c>
      <c r="AJ36" s="54" t="s">
        <v>78</v>
      </c>
      <c r="AK36" s="54" t="s">
        <v>82</v>
      </c>
    </row>
    <row r="37" spans="1:37">
      <c r="A37" s="162">
        <v>2</v>
      </c>
      <c r="B37" s="54" t="s">
        <v>83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83</v>
      </c>
      <c r="AJ37" s="54" t="s">
        <v>31</v>
      </c>
      <c r="AK37" s="54" t="s">
        <v>83</v>
      </c>
    </row>
    <row r="38" spans="1:37">
      <c r="A38" s="162">
        <v>3</v>
      </c>
      <c r="B38" s="54" t="s">
        <v>84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84</v>
      </c>
      <c r="AJ38" s="54" t="s">
        <v>37</v>
      </c>
      <c r="AK38" s="54" t="s">
        <v>84</v>
      </c>
    </row>
    <row r="39" spans="1:37">
      <c r="A39" s="54" t="s">
        <v>81</v>
      </c>
      <c r="B39" s="57" t="s">
        <v>86</v>
      </c>
      <c r="C39" s="61"/>
      <c r="D39" s="61"/>
      <c r="E39" s="61"/>
      <c r="F39" s="61"/>
      <c r="G39" s="61"/>
      <c r="H39" s="61"/>
      <c r="I39" s="61"/>
      <c r="T39" s="57" t="s">
        <v>86</v>
      </c>
      <c r="AJ39" s="54" t="s">
        <v>85</v>
      </c>
      <c r="AK39" s="57" t="s">
        <v>86</v>
      </c>
    </row>
    <row r="40" spans="1:37">
      <c r="A40" s="162">
        <v>1</v>
      </c>
      <c r="B40" s="54" t="s">
        <v>88</v>
      </c>
      <c r="C40" s="61" t="e">
        <f>C34-C36-C37-C38</f>
        <v>#DIV/0!</v>
      </c>
      <c r="D40" s="61" t="e">
        <f t="shared" ref="D40:H40" si="26">D34-D36-D37-D38</f>
        <v>#DIV/0!</v>
      </c>
      <c r="E40" s="61" t="e">
        <f t="shared" si="26"/>
        <v>#DIV/0!</v>
      </c>
      <c r="F40" s="61" t="e">
        <f t="shared" si="26"/>
        <v>#DIV/0!</v>
      </c>
      <c r="G40" s="61" t="e">
        <f t="shared" si="26"/>
        <v>#DIV/0!</v>
      </c>
      <c r="H40" s="61" t="e">
        <f t="shared" si="26"/>
        <v>#DIV/0!</v>
      </c>
      <c r="I40" s="61"/>
      <c r="T40" s="54" t="s">
        <v>88</v>
      </c>
      <c r="AJ40" s="54" t="s">
        <v>26</v>
      </c>
      <c r="AK40" s="54" t="s">
        <v>88</v>
      </c>
    </row>
    <row r="41" spans="1:37">
      <c r="A41" s="162">
        <v>2</v>
      </c>
      <c r="B41" s="54" t="s">
        <v>89</v>
      </c>
      <c r="C41" s="61"/>
      <c r="D41" s="61"/>
      <c r="E41" s="61"/>
      <c r="F41" s="61"/>
      <c r="G41" s="61"/>
      <c r="H41" s="61"/>
      <c r="I41" s="61"/>
      <c r="T41" s="54" t="s">
        <v>89</v>
      </c>
      <c r="AJ41" s="54" t="s">
        <v>28</v>
      </c>
      <c r="AK41" s="54" t="s">
        <v>89</v>
      </c>
    </row>
    <row r="42" spans="1:37">
      <c r="A42" s="54" t="s">
        <v>85</v>
      </c>
      <c r="B42" s="57" t="s">
        <v>91</v>
      </c>
      <c r="C42" s="61"/>
      <c r="D42" s="61"/>
      <c r="E42" s="61"/>
      <c r="F42" s="61"/>
      <c r="G42" s="61"/>
      <c r="H42" s="61"/>
      <c r="I42" s="61"/>
      <c r="T42" s="57" t="s">
        <v>91</v>
      </c>
      <c r="AJ42" s="54" t="s">
        <v>90</v>
      </c>
      <c r="AK42" s="57" t="s">
        <v>91</v>
      </c>
    </row>
    <row r="43" spans="1:37">
      <c r="A43" s="162">
        <v>1</v>
      </c>
      <c r="B43" s="62" t="s">
        <v>92</v>
      </c>
      <c r="C43" s="60"/>
      <c r="D43" s="60"/>
      <c r="E43" s="60"/>
      <c r="F43" s="60"/>
      <c r="G43" s="60"/>
      <c r="H43" s="60"/>
      <c r="I43" s="61"/>
      <c r="T43" s="54" t="s">
        <v>92</v>
      </c>
      <c r="AJ43" s="54" t="s">
        <v>26</v>
      </c>
      <c r="AK43" s="54" t="s">
        <v>92</v>
      </c>
    </row>
    <row r="44" spans="1:37">
      <c r="A44" s="162">
        <v>2</v>
      </c>
      <c r="B44" s="62" t="s">
        <v>93</v>
      </c>
      <c r="C44" s="60"/>
      <c r="D44" s="60"/>
      <c r="E44" s="60"/>
      <c r="F44" s="60"/>
      <c r="G44" s="60"/>
      <c r="H44" s="60"/>
      <c r="I44" s="61"/>
      <c r="T44" s="54" t="s">
        <v>93</v>
      </c>
      <c r="AJ44" s="54" t="s">
        <v>28</v>
      </c>
      <c r="AK44" s="54" t="s">
        <v>93</v>
      </c>
    </row>
    <row r="45" spans="1:37">
      <c r="A45" s="162">
        <v>3</v>
      </c>
      <c r="B45" s="62" t="s">
        <v>94</v>
      </c>
      <c r="C45" s="60" t="e">
        <f>C32*0.034</f>
        <v>#DIV/0!</v>
      </c>
      <c r="D45" s="60" t="e">
        <f t="shared" ref="D45:H45" si="27">D32*0.034</f>
        <v>#DIV/0!</v>
      </c>
      <c r="E45" s="60" t="e">
        <f t="shared" si="27"/>
        <v>#DIV/0!</v>
      </c>
      <c r="F45" s="60" t="e">
        <f t="shared" si="27"/>
        <v>#DIV/0!</v>
      </c>
      <c r="G45" s="60" t="e">
        <f t="shared" si="27"/>
        <v>#DIV/0!</v>
      </c>
      <c r="H45" s="60" t="e">
        <f t="shared" si="27"/>
        <v>#DIV/0!</v>
      </c>
      <c r="I45" s="61"/>
      <c r="T45" s="54" t="s">
        <v>94</v>
      </c>
      <c r="AJ45" s="54" t="s">
        <v>78</v>
      </c>
      <c r="AK45" s="54" t="s">
        <v>94</v>
      </c>
    </row>
    <row r="46" spans="1:37" s="49" customFormat="1">
      <c r="A46" s="162">
        <v>4</v>
      </c>
      <c r="B46" s="62" t="s">
        <v>95</v>
      </c>
      <c r="C46" s="67" t="e">
        <f>C21/C6</f>
        <v>#DIV/0!</v>
      </c>
      <c r="D46" s="67" t="e">
        <f t="shared" ref="D46:H46" si="28">D21/D6</f>
        <v>#DIV/0!</v>
      </c>
      <c r="E46" s="67" t="e">
        <f t="shared" si="28"/>
        <v>#DIV/0!</v>
      </c>
      <c r="F46" s="67" t="e">
        <f t="shared" si="28"/>
        <v>#DIV/0!</v>
      </c>
      <c r="G46" s="67" t="e">
        <f t="shared" si="28"/>
        <v>#DIV/0!</v>
      </c>
      <c r="H46" s="67" t="e">
        <f t="shared" si="28"/>
        <v>#DIV/0!</v>
      </c>
      <c r="I46" s="67"/>
      <c r="T46" s="62" t="s">
        <v>97</v>
      </c>
      <c r="AJ46" s="62" t="s">
        <v>34</v>
      </c>
      <c r="AK46" s="62" t="s">
        <v>97</v>
      </c>
    </row>
    <row r="47" spans="1:37" s="49" customFormat="1">
      <c r="A47" s="162">
        <v>5</v>
      </c>
      <c r="B47" s="62" t="s">
        <v>97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97</v>
      </c>
      <c r="AJ47" s="62" t="s">
        <v>34</v>
      </c>
      <c r="AK47" s="62" t="s">
        <v>97</v>
      </c>
    </row>
    <row r="48" spans="1:37">
      <c r="A48" s="54" t="s">
        <v>90</v>
      </c>
      <c r="B48" s="57" t="s">
        <v>108</v>
      </c>
      <c r="C48" s="61" t="e">
        <f>C40-C43-C44-C45-C47-C46</f>
        <v>#DIV/0!</v>
      </c>
      <c r="D48" s="61" t="e">
        <f t="shared" ref="D48:H48" si="29">D40-D43-D44-D45-D47-D46</f>
        <v>#DIV/0!</v>
      </c>
      <c r="E48" s="61" t="e">
        <f t="shared" si="29"/>
        <v>#DIV/0!</v>
      </c>
      <c r="F48" s="61" t="e">
        <f t="shared" si="29"/>
        <v>#DIV/0!</v>
      </c>
      <c r="G48" s="61" t="e">
        <f t="shared" si="29"/>
        <v>#DIV/0!</v>
      </c>
      <c r="H48" s="61" t="e">
        <f t="shared" si="29"/>
        <v>#DIV/0!</v>
      </c>
      <c r="I48" s="61"/>
      <c r="T48" s="57" t="s">
        <v>108</v>
      </c>
      <c r="AJ48" s="54" t="s">
        <v>107</v>
      </c>
      <c r="AK48" s="57" t="s">
        <v>108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21" sqref="I21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148</v>
      </c>
      <c r="B1" s="193"/>
      <c r="C1" s="197" t="s">
        <v>274</v>
      </c>
      <c r="D1" s="198"/>
      <c r="E1" s="198"/>
      <c r="F1" s="198"/>
      <c r="G1" s="198"/>
      <c r="H1" s="198"/>
      <c r="I1" s="199"/>
    </row>
    <row r="2" spans="1:38">
      <c r="A2" s="193" t="s">
        <v>149</v>
      </c>
      <c r="B2" s="193"/>
      <c r="C2" s="200" t="str">
        <f>'2022年'!C2:I2</f>
        <v>一汽解放</v>
      </c>
      <c r="D2" s="200"/>
      <c r="E2" s="200"/>
      <c r="F2" s="200"/>
      <c r="G2" s="200"/>
      <c r="H2" s="200"/>
      <c r="I2" s="200"/>
    </row>
    <row r="3" spans="1:38">
      <c r="A3" s="193" t="s">
        <v>150</v>
      </c>
      <c r="B3" s="193"/>
      <c r="C3" s="163" t="str">
        <f>销量!C5</f>
        <v>驾驶员座椅</v>
      </c>
      <c r="D3" s="163" t="str">
        <f>销量!D5</f>
        <v>副驾驶员座椅</v>
      </c>
      <c r="E3" s="163" t="str">
        <f>销量!E5</f>
        <v>副驾驶员座椅</v>
      </c>
      <c r="F3" s="163">
        <f>销量!F5</f>
        <v>0</v>
      </c>
      <c r="G3" s="163">
        <f>销量!G5</f>
        <v>0</v>
      </c>
      <c r="H3" s="163">
        <f>销量!H5</f>
        <v>0</v>
      </c>
      <c r="I3" s="194" t="s">
        <v>22</v>
      </c>
    </row>
    <row r="4" spans="1:38" ht="28.5">
      <c r="A4" s="193" t="s">
        <v>151</v>
      </c>
      <c r="B4" s="193"/>
      <c r="C4" s="163" t="str">
        <f>销量!C6</f>
        <v>L168100000146</v>
      </c>
      <c r="D4" s="163" t="str">
        <f>销量!D6</f>
        <v>L168100000147（2060）</v>
      </c>
      <c r="E4" s="163" t="str">
        <f>销量!E6</f>
        <v>L168100000149（1880）</v>
      </c>
      <c r="F4" s="163">
        <f>销量!F6</f>
        <v>0</v>
      </c>
      <c r="G4" s="163">
        <f>销量!G6</f>
        <v>0</v>
      </c>
      <c r="H4" s="163">
        <f>销量!H6</f>
        <v>0</v>
      </c>
      <c r="I4" s="195"/>
    </row>
    <row r="5" spans="1:38">
      <c r="A5" s="193" t="s">
        <v>152</v>
      </c>
      <c r="B5" s="193"/>
      <c r="C5" s="53"/>
      <c r="D5" s="53"/>
      <c r="E5" s="53"/>
      <c r="F5" s="53"/>
      <c r="G5" s="53"/>
      <c r="H5" s="53"/>
      <c r="I5" s="196"/>
      <c r="AL5" s="50" t="s">
        <v>23</v>
      </c>
    </row>
    <row r="6" spans="1:38" ht="17.25">
      <c r="A6" s="54" t="s">
        <v>19</v>
      </c>
      <c r="B6" s="55" t="s">
        <v>153</v>
      </c>
      <c r="C6" s="23">
        <f>销量!C13</f>
        <v>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6">
        <f>SUM(C6:H6)</f>
        <v>0</v>
      </c>
      <c r="T6" s="55" t="s">
        <v>3</v>
      </c>
      <c r="AJ6" s="54" t="s">
        <v>19</v>
      </c>
      <c r="AK6" s="55" t="s">
        <v>3</v>
      </c>
      <c r="AL6" s="50" t="s">
        <v>24</v>
      </c>
    </row>
    <row r="7" spans="1:38">
      <c r="A7" s="162">
        <v>1</v>
      </c>
      <c r="B7" s="55" t="s">
        <v>25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22" si="0">SUM(C7:H7)</f>
        <v>0</v>
      </c>
      <c r="J7" s="51"/>
      <c r="T7" s="55" t="s">
        <v>25</v>
      </c>
      <c r="AJ7" s="54" t="s">
        <v>26</v>
      </c>
      <c r="AK7" s="55" t="s">
        <v>25</v>
      </c>
      <c r="AL7" s="50" t="s">
        <v>24</v>
      </c>
    </row>
    <row r="8" spans="1:38">
      <c r="A8" s="162">
        <v>2</v>
      </c>
      <c r="B8" s="162" t="s">
        <v>27</v>
      </c>
      <c r="C8" s="56">
        <f>C7*(1-销量!$L$10)</f>
        <v>0</v>
      </c>
      <c r="D8" s="56">
        <f>D7*(1-销量!$L$10)</f>
        <v>0</v>
      </c>
      <c r="E8" s="56">
        <f>E7*(1-销量!$L$10)</f>
        <v>0</v>
      </c>
      <c r="F8" s="56">
        <f>F7*(1-销量!$L$10)</f>
        <v>0</v>
      </c>
      <c r="G8" s="56">
        <f>G7*(1-销量!$L$10)</f>
        <v>0</v>
      </c>
      <c r="H8" s="56">
        <f>H7*(1-销量!$L$10)</f>
        <v>0</v>
      </c>
      <c r="I8" s="56">
        <f t="shared" si="0"/>
        <v>0</v>
      </c>
      <c r="J8" s="71"/>
      <c r="T8" s="162" t="s">
        <v>29</v>
      </c>
      <c r="AJ8" s="54" t="s">
        <v>28</v>
      </c>
      <c r="AK8" s="162" t="s">
        <v>29</v>
      </c>
      <c r="AL8" s="50" t="s">
        <v>24</v>
      </c>
    </row>
    <row r="9" spans="1:38">
      <c r="A9" s="162">
        <v>3</v>
      </c>
      <c r="B9" s="55" t="s">
        <v>30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30</v>
      </c>
      <c r="AJ9" s="54" t="s">
        <v>31</v>
      </c>
      <c r="AK9" s="55" t="s">
        <v>30</v>
      </c>
      <c r="AL9" s="50" t="s">
        <v>32</v>
      </c>
    </row>
    <row r="10" spans="1:38">
      <c r="A10" s="162">
        <v>4</v>
      </c>
      <c r="B10" s="54" t="s">
        <v>33</v>
      </c>
      <c r="C10" s="56">
        <f>C6*材料成本!J41</f>
        <v>0</v>
      </c>
      <c r="D10" s="56">
        <f>D6*材料成本!J42</f>
        <v>0</v>
      </c>
      <c r="E10" s="56">
        <f>E6*材料成本!J43</f>
        <v>0</v>
      </c>
      <c r="F10" s="56">
        <f>F6*材料成本!J44</f>
        <v>0</v>
      </c>
      <c r="G10" s="56">
        <f>G6*材料成本!J45</f>
        <v>0</v>
      </c>
      <c r="H10" s="56">
        <f>H6*材料成本!J46</f>
        <v>0</v>
      </c>
      <c r="I10" s="56">
        <f t="shared" si="0"/>
        <v>0</v>
      </c>
      <c r="T10" s="54" t="s">
        <v>33</v>
      </c>
      <c r="AJ10" s="54" t="s">
        <v>34</v>
      </c>
      <c r="AK10" s="54" t="s">
        <v>33</v>
      </c>
      <c r="AL10" s="50" t="s">
        <v>35</v>
      </c>
    </row>
    <row r="11" spans="1:38">
      <c r="A11" s="162">
        <v>5</v>
      </c>
      <c r="B11" s="54" t="s">
        <v>36</v>
      </c>
      <c r="C11" s="56">
        <f>+C6*C36</f>
        <v>0</v>
      </c>
      <c r="D11" s="56">
        <f t="shared" ref="D11:H11" si="2">+D6*D36</f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0"/>
        <v>0</v>
      </c>
      <c r="T11" s="54" t="s">
        <v>36</v>
      </c>
      <c r="AJ11" s="54" t="s">
        <v>37</v>
      </c>
      <c r="AK11" s="54" t="s">
        <v>36</v>
      </c>
    </row>
    <row r="12" spans="1:38">
      <c r="A12" s="162">
        <v>6</v>
      </c>
      <c r="B12" s="54" t="s">
        <v>38</v>
      </c>
      <c r="C12" s="56">
        <f>+C6*C37</f>
        <v>0</v>
      </c>
      <c r="D12" s="56">
        <f t="shared" ref="D12:H12" si="3">+D6*D37</f>
        <v>0</v>
      </c>
      <c r="E12" s="56">
        <f t="shared" si="3"/>
        <v>0</v>
      </c>
      <c r="F12" s="56">
        <f t="shared" si="3"/>
        <v>0</v>
      </c>
      <c r="G12" s="56">
        <f t="shared" si="3"/>
        <v>0</v>
      </c>
      <c r="H12" s="56">
        <f t="shared" si="3"/>
        <v>0</v>
      </c>
      <c r="I12" s="56">
        <f t="shared" si="0"/>
        <v>0</v>
      </c>
      <c r="T12" s="54" t="s">
        <v>38</v>
      </c>
      <c r="AJ12" s="54" t="s">
        <v>39</v>
      </c>
      <c r="AK12" s="54" t="s">
        <v>38</v>
      </c>
    </row>
    <row r="13" spans="1:38">
      <c r="A13" s="162">
        <v>7</v>
      </c>
      <c r="B13" s="54" t="s">
        <v>40</v>
      </c>
      <c r="C13" s="56">
        <f>+C6*C38</f>
        <v>0</v>
      </c>
      <c r="D13" s="56">
        <f t="shared" ref="D13:H13" si="4">+D6*D38</f>
        <v>0</v>
      </c>
      <c r="E13" s="56">
        <f t="shared" si="4"/>
        <v>0</v>
      </c>
      <c r="F13" s="56">
        <f t="shared" si="4"/>
        <v>0</v>
      </c>
      <c r="G13" s="56">
        <f t="shared" si="4"/>
        <v>0</v>
      </c>
      <c r="H13" s="56">
        <f t="shared" si="4"/>
        <v>0</v>
      </c>
      <c r="I13" s="56">
        <f t="shared" si="0"/>
        <v>0</v>
      </c>
      <c r="T13" s="54" t="s">
        <v>40</v>
      </c>
      <c r="AJ13" s="54" t="s">
        <v>41</v>
      </c>
      <c r="AK13" s="54" t="s">
        <v>40</v>
      </c>
      <c r="AL13" s="50" t="s">
        <v>24</v>
      </c>
    </row>
    <row r="14" spans="1:38">
      <c r="A14" s="162">
        <v>8</v>
      </c>
      <c r="B14" s="57" t="s">
        <v>42</v>
      </c>
      <c r="C14" s="56">
        <f>SUM(C11:C13)</f>
        <v>0</v>
      </c>
      <c r="D14" s="56">
        <f t="shared" ref="D14:H14" si="5">SUM(D11:D13)</f>
        <v>0</v>
      </c>
      <c r="E14" s="56">
        <f t="shared" si="5"/>
        <v>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0"/>
        <v>0</v>
      </c>
      <c r="T14" s="57" t="s">
        <v>42</v>
      </c>
      <c r="AJ14" s="54" t="s">
        <v>43</v>
      </c>
      <c r="AK14" s="57" t="s">
        <v>42</v>
      </c>
    </row>
    <row r="15" spans="1:38">
      <c r="A15" s="162">
        <v>9</v>
      </c>
      <c r="B15" s="57" t="s">
        <v>44</v>
      </c>
      <c r="C15" s="56">
        <f>+C9-C10-C14</f>
        <v>0</v>
      </c>
      <c r="D15" s="56">
        <f t="shared" ref="D15:H15" si="6">+D9-D10-D14</f>
        <v>0</v>
      </c>
      <c r="E15" s="56">
        <f t="shared" si="6"/>
        <v>0</v>
      </c>
      <c r="F15" s="56">
        <f t="shared" si="6"/>
        <v>0</v>
      </c>
      <c r="G15" s="56">
        <f t="shared" si="6"/>
        <v>0</v>
      </c>
      <c r="H15" s="56">
        <f t="shared" si="6"/>
        <v>0</v>
      </c>
      <c r="I15" s="56">
        <f t="shared" si="0"/>
        <v>0</v>
      </c>
      <c r="T15" s="57" t="s">
        <v>44</v>
      </c>
      <c r="AJ15" s="54" t="s">
        <v>45</v>
      </c>
      <c r="AK15" s="57" t="s">
        <v>44</v>
      </c>
    </row>
    <row r="16" spans="1:38">
      <c r="A16" s="162">
        <v>10</v>
      </c>
      <c r="B16" s="54" t="s">
        <v>46</v>
      </c>
      <c r="C16" s="58" t="e">
        <f>+C15/C9</f>
        <v>#DIV/0!</v>
      </c>
      <c r="D16" s="58" t="e">
        <f t="shared" ref="D16:H16" si="7">+D15/D9</f>
        <v>#DIV/0!</v>
      </c>
      <c r="E16" s="58" t="e">
        <f t="shared" si="7"/>
        <v>#DIV/0!</v>
      </c>
      <c r="F16" s="58" t="e">
        <f t="shared" si="7"/>
        <v>#DIV/0!</v>
      </c>
      <c r="G16" s="58" t="e">
        <f t="shared" si="7"/>
        <v>#DIV/0!</v>
      </c>
      <c r="H16" s="58" t="e">
        <f t="shared" si="7"/>
        <v>#DIV/0!</v>
      </c>
      <c r="I16" s="58"/>
      <c r="T16" s="54" t="s">
        <v>46</v>
      </c>
      <c r="AJ16" s="54" t="s">
        <v>47</v>
      </c>
      <c r="AK16" s="54" t="s">
        <v>46</v>
      </c>
    </row>
    <row r="17" spans="1:38">
      <c r="A17" s="162">
        <v>11</v>
      </c>
      <c r="B17" s="54" t="s">
        <v>48</v>
      </c>
      <c r="C17" s="56" t="e">
        <f>C6*C43+C18</f>
        <v>#DIV/0!</v>
      </c>
      <c r="D17" s="56" t="e">
        <f t="shared" ref="D17:H17" si="8">D6*D43+D18</f>
        <v>#DIV/0!</v>
      </c>
      <c r="E17" s="56" t="e">
        <f t="shared" si="8"/>
        <v>#DIV/0!</v>
      </c>
      <c r="F17" s="56" t="e">
        <f t="shared" si="8"/>
        <v>#DIV/0!</v>
      </c>
      <c r="G17" s="56" t="e">
        <f t="shared" si="8"/>
        <v>#DIV/0!</v>
      </c>
      <c r="H17" s="56" t="e">
        <f t="shared" si="8"/>
        <v>#DIV/0!</v>
      </c>
      <c r="I17" s="56"/>
      <c r="J17" s="71"/>
      <c r="T17" s="54" t="s">
        <v>48</v>
      </c>
      <c r="AJ17" s="54" t="s">
        <v>49</v>
      </c>
      <c r="AK17" s="54" t="s">
        <v>48</v>
      </c>
    </row>
    <row r="18" spans="1:38" s="48" customFormat="1">
      <c r="A18" s="162">
        <v>12</v>
      </c>
      <c r="B18" s="59" t="s">
        <v>154</v>
      </c>
      <c r="C18" s="60" t="e">
        <f>$I$18/$I$6*C6</f>
        <v>#DIV/0!</v>
      </c>
      <c r="D18" s="60" t="e">
        <f t="shared" ref="D18:H18" si="9">$I$18/$I$6*D6</f>
        <v>#DIV/0!</v>
      </c>
      <c r="E18" s="60" t="e">
        <f t="shared" si="9"/>
        <v>#DIV/0!</v>
      </c>
      <c r="F18" s="60" t="e">
        <f t="shared" si="9"/>
        <v>#DIV/0!</v>
      </c>
      <c r="G18" s="60" t="e">
        <f t="shared" si="9"/>
        <v>#DIV/0!</v>
      </c>
      <c r="H18" s="60" t="e">
        <f t="shared" si="9"/>
        <v>#DIV/0!</v>
      </c>
      <c r="I18" s="60"/>
      <c r="J18" s="72" t="s">
        <v>155</v>
      </c>
      <c r="K18" s="72"/>
      <c r="L18" s="72"/>
    </row>
    <row r="19" spans="1:38">
      <c r="A19" s="162">
        <v>13</v>
      </c>
      <c r="B19" s="54" t="s">
        <v>50</v>
      </c>
      <c r="C19" s="56">
        <f>C6*C44</f>
        <v>0</v>
      </c>
      <c r="D19" s="56">
        <f t="shared" ref="D19:H19" si="10">D6*D44</f>
        <v>0</v>
      </c>
      <c r="E19" s="56">
        <f t="shared" si="10"/>
        <v>0</v>
      </c>
      <c r="F19" s="56">
        <f t="shared" si="10"/>
        <v>0</v>
      </c>
      <c r="G19" s="56">
        <f t="shared" si="10"/>
        <v>0</v>
      </c>
      <c r="H19" s="56">
        <f t="shared" si="10"/>
        <v>0</v>
      </c>
      <c r="I19" s="56">
        <f t="shared" si="0"/>
        <v>0</v>
      </c>
      <c r="J19" s="48"/>
      <c r="T19" s="54" t="s">
        <v>50</v>
      </c>
      <c r="AJ19" s="54" t="s">
        <v>51</v>
      </c>
      <c r="AK19" s="54" t="s">
        <v>50</v>
      </c>
      <c r="AL19" s="50" t="s">
        <v>24</v>
      </c>
    </row>
    <row r="20" spans="1:38">
      <c r="A20" s="162">
        <v>14</v>
      </c>
      <c r="B20" s="54" t="s">
        <v>52</v>
      </c>
      <c r="C20" s="56" t="e">
        <f>C6*C45</f>
        <v>#DIV/0!</v>
      </c>
      <c r="D20" s="56" t="e">
        <f t="shared" ref="D20:H20" si="11">D6*D45</f>
        <v>#DIV/0!</v>
      </c>
      <c r="E20" s="56" t="e">
        <f t="shared" si="11"/>
        <v>#DIV/0!</v>
      </c>
      <c r="F20" s="56" t="e">
        <f t="shared" si="11"/>
        <v>#DIV/0!</v>
      </c>
      <c r="G20" s="56" t="e">
        <f t="shared" si="11"/>
        <v>#DIV/0!</v>
      </c>
      <c r="H20" s="56" t="e">
        <f t="shared" si="11"/>
        <v>#DIV/0!</v>
      </c>
      <c r="I20" s="56"/>
      <c r="T20" s="54" t="s">
        <v>52</v>
      </c>
      <c r="AJ20" s="54" t="s">
        <v>53</v>
      </c>
      <c r="AK20" s="54" t="s">
        <v>52</v>
      </c>
    </row>
    <row r="21" spans="1:38">
      <c r="A21" s="162">
        <v>15</v>
      </c>
      <c r="B21" s="54" t="s">
        <v>54</v>
      </c>
      <c r="C21" s="61" t="e">
        <f>$I$21/$I$6*C6</f>
        <v>#DIV/0!</v>
      </c>
      <c r="D21" s="61" t="e">
        <f t="shared" ref="D21:H21" si="12">$I$21/$I$6*D6</f>
        <v>#DIV/0!</v>
      </c>
      <c r="E21" s="61" t="e">
        <f t="shared" si="12"/>
        <v>#DIV/0!</v>
      </c>
      <c r="F21" s="61" t="e">
        <f t="shared" si="12"/>
        <v>#DIV/0!</v>
      </c>
      <c r="G21" s="61" t="e">
        <f t="shared" si="12"/>
        <v>#DIV/0!</v>
      </c>
      <c r="H21" s="61" t="e">
        <f t="shared" si="12"/>
        <v>#DIV/0!</v>
      </c>
      <c r="I21" s="56"/>
      <c r="T21" s="54" t="s">
        <v>54</v>
      </c>
      <c r="AJ21" s="54"/>
      <c r="AK21" s="54"/>
    </row>
    <row r="22" spans="1:38">
      <c r="A22" s="162">
        <v>16</v>
      </c>
      <c r="B22" s="54" t="s">
        <v>55</v>
      </c>
      <c r="C22" s="56">
        <f>C6*C47</f>
        <v>0</v>
      </c>
      <c r="D22" s="56">
        <f t="shared" ref="D22:H22" si="13">D6*D47</f>
        <v>0</v>
      </c>
      <c r="E22" s="56">
        <f t="shared" si="13"/>
        <v>0</v>
      </c>
      <c r="F22" s="56">
        <f t="shared" si="13"/>
        <v>0</v>
      </c>
      <c r="G22" s="56">
        <f t="shared" si="13"/>
        <v>0</v>
      </c>
      <c r="H22" s="56">
        <f t="shared" si="13"/>
        <v>0</v>
      </c>
      <c r="I22" s="56">
        <f t="shared" si="0"/>
        <v>0</v>
      </c>
      <c r="T22" s="54" t="s">
        <v>55</v>
      </c>
      <c r="AJ22" s="54" t="s">
        <v>56</v>
      </c>
      <c r="AK22" s="54" t="s">
        <v>55</v>
      </c>
    </row>
    <row r="23" spans="1:38">
      <c r="A23" s="162">
        <v>17</v>
      </c>
      <c r="B23" s="57" t="s">
        <v>57</v>
      </c>
      <c r="C23" s="61" t="e">
        <f>+C22+C21+C20+C19+C17</f>
        <v>#DIV/0!</v>
      </c>
      <c r="D23" s="61" t="e">
        <f t="shared" ref="D23:H23" si="14">+D22+D21+D20+D19+D17</f>
        <v>#DIV/0!</v>
      </c>
      <c r="E23" s="61" t="e">
        <f t="shared" si="14"/>
        <v>#DIV/0!</v>
      </c>
      <c r="F23" s="61" t="e">
        <f t="shared" si="14"/>
        <v>#DIV/0!</v>
      </c>
      <c r="G23" s="61" t="e">
        <f t="shared" si="14"/>
        <v>#DIV/0!</v>
      </c>
      <c r="H23" s="61" t="e">
        <f t="shared" si="14"/>
        <v>#DIV/0!</v>
      </c>
      <c r="I23" s="61">
        <f t="shared" ref="I23" si="15">+I22+I21+I20+I19+I17</f>
        <v>0</v>
      </c>
      <c r="T23" s="57" t="s">
        <v>57</v>
      </c>
      <c r="AJ23" s="54" t="s">
        <v>58</v>
      </c>
      <c r="AK23" s="57" t="s">
        <v>57</v>
      </c>
    </row>
    <row r="24" spans="1:38">
      <c r="A24" s="162">
        <v>18</v>
      </c>
      <c r="B24" s="62" t="s">
        <v>59</v>
      </c>
      <c r="C24" s="61" t="e">
        <f>+C15-C23</f>
        <v>#DIV/0!</v>
      </c>
      <c r="D24" s="61" t="e">
        <f t="shared" ref="D24:H24" si="16">+D15-D23</f>
        <v>#DIV/0!</v>
      </c>
      <c r="E24" s="61" t="e">
        <f t="shared" si="16"/>
        <v>#DIV/0!</v>
      </c>
      <c r="F24" s="61" t="e">
        <f t="shared" si="16"/>
        <v>#DIV/0!</v>
      </c>
      <c r="G24" s="61" t="e">
        <f t="shared" si="16"/>
        <v>#DIV/0!</v>
      </c>
      <c r="H24" s="61" t="e">
        <f t="shared" si="16"/>
        <v>#DIV/0!</v>
      </c>
      <c r="I24" s="61">
        <f t="shared" ref="I24" si="17">+I15-I23</f>
        <v>0</v>
      </c>
      <c r="K24" s="73"/>
      <c r="T24" s="54" t="s">
        <v>59</v>
      </c>
      <c r="AJ24" s="54" t="s">
        <v>60</v>
      </c>
      <c r="AK24" s="54" t="s">
        <v>59</v>
      </c>
    </row>
    <row r="25" spans="1:38">
      <c r="A25" s="162">
        <v>19</v>
      </c>
      <c r="B25" s="54" t="s">
        <v>156</v>
      </c>
      <c r="C25" s="61" t="e">
        <f>IF(C24&lt;0,0,C24*0.25)</f>
        <v>#DIV/0!</v>
      </c>
      <c r="D25" s="61" t="e">
        <f t="shared" ref="D25:H25" si="18">IF(D24&lt;0,0,D24*0.25)</f>
        <v>#DIV/0!</v>
      </c>
      <c r="E25" s="61" t="e">
        <f t="shared" si="18"/>
        <v>#DIV/0!</v>
      </c>
      <c r="F25" s="61" t="e">
        <f t="shared" si="18"/>
        <v>#DIV/0!</v>
      </c>
      <c r="G25" s="61" t="e">
        <f t="shared" si="18"/>
        <v>#DIV/0!</v>
      </c>
      <c r="H25" s="61" t="e">
        <f t="shared" si="18"/>
        <v>#DIV/0!</v>
      </c>
      <c r="I25" s="61">
        <f t="shared" ref="I25" si="19">IF(I24&lt;0,0,I24*0.25)</f>
        <v>0</v>
      </c>
      <c r="J25" s="69"/>
      <c r="K25" s="69"/>
      <c r="L25" s="69"/>
      <c r="T25" s="54" t="s">
        <v>61</v>
      </c>
      <c r="AJ25" s="54" t="s">
        <v>62</v>
      </c>
      <c r="AK25" s="54" t="s">
        <v>61</v>
      </c>
    </row>
    <row r="26" spans="1:38">
      <c r="A26" s="162">
        <v>20</v>
      </c>
      <c r="B26" s="54" t="s">
        <v>63</v>
      </c>
      <c r="C26" s="61" t="e">
        <f t="shared" ref="C26:H26" si="20">C24-C25</f>
        <v>#DIV/0!</v>
      </c>
      <c r="D26" s="61" t="e">
        <f t="shared" si="20"/>
        <v>#DIV/0!</v>
      </c>
      <c r="E26" s="61" t="e">
        <f t="shared" si="20"/>
        <v>#DIV/0!</v>
      </c>
      <c r="F26" s="61" t="e">
        <f t="shared" si="20"/>
        <v>#DIV/0!</v>
      </c>
      <c r="G26" s="61" t="e">
        <f t="shared" si="20"/>
        <v>#DIV/0!</v>
      </c>
      <c r="H26" s="61" t="e">
        <f t="shared" si="20"/>
        <v>#DIV/0!</v>
      </c>
      <c r="I26" s="56" t="e">
        <f>+SUM(C26:C26)</f>
        <v>#DIV/0!</v>
      </c>
      <c r="J26" s="69"/>
      <c r="K26" s="69"/>
      <c r="L26" s="69"/>
      <c r="T26" s="54" t="s">
        <v>63</v>
      </c>
      <c r="AJ26" s="54" t="s">
        <v>64</v>
      </c>
      <c r="AK26" s="54" t="s">
        <v>63</v>
      </c>
    </row>
    <row r="27" spans="1:38">
      <c r="A27" s="162">
        <v>21</v>
      </c>
      <c r="B27" s="54" t="s">
        <v>67</v>
      </c>
      <c r="C27" s="63" t="e">
        <f t="shared" ref="C27:I27" si="21">C26/C7</f>
        <v>#DIV/0!</v>
      </c>
      <c r="D27" s="63" t="e">
        <f t="shared" ref="D27:H27" si="22">D26/D7</f>
        <v>#DIV/0!</v>
      </c>
      <c r="E27" s="63" t="e">
        <f t="shared" si="22"/>
        <v>#DIV/0!</v>
      </c>
      <c r="F27" s="63" t="e">
        <f t="shared" si="22"/>
        <v>#DIV/0!</v>
      </c>
      <c r="G27" s="63" t="e">
        <f t="shared" si="22"/>
        <v>#DIV/0!</v>
      </c>
      <c r="H27" s="63" t="e">
        <f t="shared" si="22"/>
        <v>#DIV/0!</v>
      </c>
      <c r="I27" s="63" t="e">
        <f t="shared" si="21"/>
        <v>#DIV/0!</v>
      </c>
      <c r="J27" s="69"/>
      <c r="K27" s="69"/>
      <c r="L27" s="69"/>
      <c r="T27" s="54" t="s">
        <v>67</v>
      </c>
      <c r="AJ27" s="54" t="s">
        <v>66</v>
      </c>
      <c r="AK27" s="54" t="s">
        <v>67</v>
      </c>
    </row>
    <row r="28" spans="1:38">
      <c r="J28" s="69"/>
      <c r="K28" s="69"/>
      <c r="L28" s="69"/>
      <c r="T28" s="54"/>
    </row>
    <row r="29" spans="1:38">
      <c r="A29" s="50" t="s">
        <v>68</v>
      </c>
      <c r="I29" s="51" t="s">
        <v>157</v>
      </c>
      <c r="J29" s="69"/>
      <c r="K29" s="69"/>
      <c r="L29" s="69"/>
      <c r="T29" s="54"/>
      <c r="AJ29" s="50" t="s">
        <v>68</v>
      </c>
    </row>
    <row r="30" spans="1:38">
      <c r="A30" s="54" t="s">
        <v>73</v>
      </c>
      <c r="B30" s="57" t="s">
        <v>74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74</v>
      </c>
      <c r="AJ30" s="54" t="s">
        <v>75</v>
      </c>
      <c r="AK30" s="57" t="s">
        <v>74</v>
      </c>
    </row>
    <row r="31" spans="1:38">
      <c r="A31" s="162">
        <v>1</v>
      </c>
      <c r="B31" s="59" t="s">
        <v>76</v>
      </c>
      <c r="C31" s="65">
        <f>销量!C8</f>
        <v>578.29999999999995</v>
      </c>
      <c r="D31" s="65">
        <f>销量!D8</f>
        <v>708.1</v>
      </c>
      <c r="E31" s="65">
        <f>销量!E8</f>
        <v>682.1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76</v>
      </c>
      <c r="AJ31" s="54" t="s">
        <v>26</v>
      </c>
      <c r="AK31" s="54" t="s">
        <v>76</v>
      </c>
    </row>
    <row r="32" spans="1:38">
      <c r="A32" s="162">
        <v>2</v>
      </c>
      <c r="B32" s="54" t="s">
        <v>158</v>
      </c>
      <c r="C32" s="56" t="e">
        <f>C9/C6</f>
        <v>#DIV/0!</v>
      </c>
      <c r="D32" s="56" t="e">
        <f t="shared" ref="D32:H32" si="23">D9/D6</f>
        <v>#DIV/0!</v>
      </c>
      <c r="E32" s="56" t="e">
        <f t="shared" si="23"/>
        <v>#DIV/0!</v>
      </c>
      <c r="F32" s="56" t="e">
        <f t="shared" si="23"/>
        <v>#DIV/0!</v>
      </c>
      <c r="G32" s="56" t="e">
        <f t="shared" si="23"/>
        <v>#DIV/0!</v>
      </c>
      <c r="H32" s="56" t="e">
        <f t="shared" si="23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77</v>
      </c>
      <c r="C33" s="56">
        <f>材料成本!J41</f>
        <v>397.28470964984797</v>
      </c>
      <c r="D33" s="56">
        <f>材料成本!K41</f>
        <v>0</v>
      </c>
      <c r="E33" s="56">
        <f>材料成本!L41</f>
        <v>0</v>
      </c>
      <c r="F33" s="56">
        <f>材料成本!M41</f>
        <v>0</v>
      </c>
      <c r="G33" s="56">
        <f>材料成本!N41</f>
        <v>0</v>
      </c>
      <c r="H33" s="56">
        <f>材料成本!O41</f>
        <v>0</v>
      </c>
      <c r="I33" s="61"/>
      <c r="K33" s="69"/>
      <c r="L33" s="69"/>
      <c r="M33" s="69"/>
      <c r="N33" s="69"/>
      <c r="O33" s="69"/>
      <c r="P33" s="69"/>
      <c r="T33" s="54" t="s">
        <v>77</v>
      </c>
      <c r="AJ33" s="54" t="s">
        <v>28</v>
      </c>
      <c r="AK33" s="54" t="s">
        <v>77</v>
      </c>
    </row>
    <row r="34" spans="1:37" ht="17.25" customHeight="1">
      <c r="A34" s="162">
        <v>4</v>
      </c>
      <c r="B34" s="54" t="s">
        <v>79</v>
      </c>
      <c r="C34" s="66" t="e">
        <f>C32-C33</f>
        <v>#DIV/0!</v>
      </c>
      <c r="D34" s="66" t="e">
        <f t="shared" ref="D34:H34" si="24">D32-D33</f>
        <v>#DIV/0!</v>
      </c>
      <c r="E34" s="66" t="e">
        <f t="shared" si="24"/>
        <v>#DIV/0!</v>
      </c>
      <c r="F34" s="66" t="e">
        <f t="shared" si="24"/>
        <v>#DIV/0!</v>
      </c>
      <c r="G34" s="66" t="e">
        <f t="shared" si="24"/>
        <v>#DIV/0!</v>
      </c>
      <c r="H34" s="66" t="e">
        <f t="shared" si="24"/>
        <v>#DIV/0!</v>
      </c>
      <c r="I34" s="61"/>
      <c r="K34" s="69"/>
      <c r="L34" s="69"/>
      <c r="M34" s="69"/>
      <c r="N34" s="69"/>
      <c r="O34" s="69"/>
      <c r="P34" s="69"/>
      <c r="T34" s="54" t="s">
        <v>79</v>
      </c>
      <c r="AJ34" s="54" t="s">
        <v>78</v>
      </c>
      <c r="AK34" s="54" t="s">
        <v>79</v>
      </c>
    </row>
    <row r="35" spans="1:37">
      <c r="A35" s="54" t="s">
        <v>75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81</v>
      </c>
      <c r="AK35" s="57" t="s">
        <v>10</v>
      </c>
    </row>
    <row r="36" spans="1:37">
      <c r="A36" s="162">
        <v>1</v>
      </c>
      <c r="B36" s="54" t="s">
        <v>82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82</v>
      </c>
      <c r="AJ36" s="54" t="s">
        <v>78</v>
      </c>
      <c r="AK36" s="54" t="s">
        <v>82</v>
      </c>
    </row>
    <row r="37" spans="1:37">
      <c r="A37" s="162">
        <v>2</v>
      </c>
      <c r="B37" s="54" t="s">
        <v>83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83</v>
      </c>
      <c r="AJ37" s="54" t="s">
        <v>31</v>
      </c>
      <c r="AK37" s="54" t="s">
        <v>83</v>
      </c>
    </row>
    <row r="38" spans="1:37">
      <c r="A38" s="162">
        <v>3</v>
      </c>
      <c r="B38" s="54" t="s">
        <v>84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84</v>
      </c>
      <c r="AJ38" s="54" t="s">
        <v>37</v>
      </c>
      <c r="AK38" s="54" t="s">
        <v>84</v>
      </c>
    </row>
    <row r="39" spans="1:37">
      <c r="A39" s="54" t="s">
        <v>81</v>
      </c>
      <c r="B39" s="57" t="s">
        <v>86</v>
      </c>
      <c r="C39" s="61"/>
      <c r="D39" s="61"/>
      <c r="E39" s="61"/>
      <c r="F39" s="61"/>
      <c r="G39" s="61"/>
      <c r="H39" s="61"/>
      <c r="I39" s="61"/>
      <c r="T39" s="57" t="s">
        <v>86</v>
      </c>
      <c r="AJ39" s="54" t="s">
        <v>85</v>
      </c>
      <c r="AK39" s="57" t="s">
        <v>86</v>
      </c>
    </row>
    <row r="40" spans="1:37">
      <c r="A40" s="162">
        <v>1</v>
      </c>
      <c r="B40" s="54" t="s">
        <v>88</v>
      </c>
      <c r="C40" s="61" t="e">
        <f>C34-C36-C37-C38</f>
        <v>#DIV/0!</v>
      </c>
      <c r="D40" s="61" t="e">
        <f t="shared" ref="D40:H40" si="25">D34-D36-D37-D38</f>
        <v>#DIV/0!</v>
      </c>
      <c r="E40" s="61" t="e">
        <f t="shared" si="25"/>
        <v>#DIV/0!</v>
      </c>
      <c r="F40" s="61" t="e">
        <f t="shared" si="25"/>
        <v>#DIV/0!</v>
      </c>
      <c r="G40" s="61" t="e">
        <f t="shared" si="25"/>
        <v>#DIV/0!</v>
      </c>
      <c r="H40" s="61" t="e">
        <f t="shared" si="25"/>
        <v>#DIV/0!</v>
      </c>
      <c r="I40" s="61"/>
      <c r="T40" s="54" t="s">
        <v>88</v>
      </c>
      <c r="AJ40" s="54" t="s">
        <v>26</v>
      </c>
      <c r="AK40" s="54" t="s">
        <v>88</v>
      </c>
    </row>
    <row r="41" spans="1:37">
      <c r="A41" s="162">
        <v>2</v>
      </c>
      <c r="B41" s="54" t="s">
        <v>89</v>
      </c>
      <c r="C41" s="61"/>
      <c r="D41" s="61"/>
      <c r="E41" s="61"/>
      <c r="F41" s="61"/>
      <c r="G41" s="61"/>
      <c r="H41" s="61"/>
      <c r="I41" s="61"/>
      <c r="T41" s="54" t="s">
        <v>89</v>
      </c>
      <c r="AJ41" s="54" t="s">
        <v>28</v>
      </c>
      <c r="AK41" s="54" t="s">
        <v>89</v>
      </c>
    </row>
    <row r="42" spans="1:37">
      <c r="A42" s="54" t="s">
        <v>85</v>
      </c>
      <c r="B42" s="57" t="s">
        <v>91</v>
      </c>
      <c r="C42" s="61"/>
      <c r="D42" s="61"/>
      <c r="E42" s="61"/>
      <c r="F42" s="61"/>
      <c r="G42" s="61"/>
      <c r="H42" s="61"/>
      <c r="I42" s="61"/>
      <c r="T42" s="57" t="s">
        <v>91</v>
      </c>
      <c r="AJ42" s="54" t="s">
        <v>90</v>
      </c>
      <c r="AK42" s="57" t="s">
        <v>91</v>
      </c>
    </row>
    <row r="43" spans="1:37">
      <c r="A43" s="162">
        <v>1</v>
      </c>
      <c r="B43" s="62" t="s">
        <v>92</v>
      </c>
      <c r="C43" s="60"/>
      <c r="D43" s="60"/>
      <c r="E43" s="60"/>
      <c r="F43" s="60"/>
      <c r="G43" s="60"/>
      <c r="H43" s="60"/>
      <c r="I43" s="61"/>
      <c r="T43" s="54" t="s">
        <v>92</v>
      </c>
      <c r="AJ43" s="54" t="s">
        <v>26</v>
      </c>
      <c r="AK43" s="54" t="s">
        <v>92</v>
      </c>
    </row>
    <row r="44" spans="1:37">
      <c r="A44" s="162">
        <v>2</v>
      </c>
      <c r="B44" s="62" t="s">
        <v>93</v>
      </c>
      <c r="C44" s="60"/>
      <c r="D44" s="60"/>
      <c r="E44" s="60"/>
      <c r="F44" s="60"/>
      <c r="G44" s="60"/>
      <c r="H44" s="60"/>
      <c r="I44" s="61"/>
      <c r="T44" s="54" t="s">
        <v>93</v>
      </c>
      <c r="AJ44" s="54" t="s">
        <v>28</v>
      </c>
      <c r="AK44" s="54" t="s">
        <v>93</v>
      </c>
    </row>
    <row r="45" spans="1:37">
      <c r="A45" s="162">
        <v>3</v>
      </c>
      <c r="B45" s="62" t="s">
        <v>94</v>
      </c>
      <c r="C45" s="60" t="e">
        <f>C32*0.034</f>
        <v>#DIV/0!</v>
      </c>
      <c r="D45" s="60" t="e">
        <f t="shared" ref="D45:H45" si="26">D32*0.034</f>
        <v>#DIV/0!</v>
      </c>
      <c r="E45" s="60" t="e">
        <f t="shared" si="26"/>
        <v>#DIV/0!</v>
      </c>
      <c r="F45" s="60" t="e">
        <f t="shared" si="26"/>
        <v>#DIV/0!</v>
      </c>
      <c r="G45" s="60" t="e">
        <f t="shared" si="26"/>
        <v>#DIV/0!</v>
      </c>
      <c r="H45" s="60" t="e">
        <f t="shared" si="26"/>
        <v>#DIV/0!</v>
      </c>
      <c r="I45" s="61"/>
      <c r="T45" s="54" t="s">
        <v>94</v>
      </c>
      <c r="AJ45" s="54" t="s">
        <v>78</v>
      </c>
      <c r="AK45" s="54" t="s">
        <v>94</v>
      </c>
    </row>
    <row r="46" spans="1:37" s="49" customFormat="1">
      <c r="A46" s="162">
        <v>4</v>
      </c>
      <c r="B46" s="62" t="s">
        <v>95</v>
      </c>
      <c r="C46" s="67" t="e">
        <f>C21/C6</f>
        <v>#DIV/0!</v>
      </c>
      <c r="D46" s="67" t="e">
        <f t="shared" ref="D46:H46" si="27">D21/D6</f>
        <v>#DIV/0!</v>
      </c>
      <c r="E46" s="67" t="e">
        <f t="shared" si="27"/>
        <v>#DIV/0!</v>
      </c>
      <c r="F46" s="67" t="e">
        <f t="shared" si="27"/>
        <v>#DIV/0!</v>
      </c>
      <c r="G46" s="67" t="e">
        <f t="shared" si="27"/>
        <v>#DIV/0!</v>
      </c>
      <c r="H46" s="67" t="e">
        <f t="shared" si="27"/>
        <v>#DIV/0!</v>
      </c>
      <c r="I46" s="67"/>
      <c r="T46" s="62" t="s">
        <v>97</v>
      </c>
      <c r="AJ46" s="62" t="s">
        <v>34</v>
      </c>
      <c r="AK46" s="62" t="s">
        <v>97</v>
      </c>
    </row>
    <row r="47" spans="1:37" s="49" customFormat="1">
      <c r="A47" s="162">
        <v>5</v>
      </c>
      <c r="B47" s="62" t="s">
        <v>97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97</v>
      </c>
      <c r="AJ47" s="62" t="s">
        <v>34</v>
      </c>
      <c r="AK47" s="62" t="s">
        <v>97</v>
      </c>
    </row>
    <row r="48" spans="1:37">
      <c r="A48" s="54" t="s">
        <v>90</v>
      </c>
      <c r="B48" s="57" t="s">
        <v>108</v>
      </c>
      <c r="C48" s="61" t="e">
        <f>C40-C43-C44-C45-C47-C46</f>
        <v>#DIV/0!</v>
      </c>
      <c r="D48" s="61" t="e">
        <f t="shared" ref="D48:H48" si="28">D40-D43-D44-D45-D47-D46</f>
        <v>#DIV/0!</v>
      </c>
      <c r="E48" s="61" t="e">
        <f t="shared" si="28"/>
        <v>#DIV/0!</v>
      </c>
      <c r="F48" s="61" t="e">
        <f t="shared" si="28"/>
        <v>#DIV/0!</v>
      </c>
      <c r="G48" s="61" t="e">
        <f t="shared" si="28"/>
        <v>#DIV/0!</v>
      </c>
      <c r="H48" s="61" t="e">
        <f t="shared" si="28"/>
        <v>#DIV/0!</v>
      </c>
      <c r="I48" s="61"/>
      <c r="T48" s="57" t="s">
        <v>108</v>
      </c>
      <c r="AJ48" s="54" t="s">
        <v>107</v>
      </c>
      <c r="AK48" s="57" t="s">
        <v>108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5" activePane="bottomRight" state="frozen"/>
      <selection pane="topRight"/>
      <selection pane="bottomLeft"/>
      <selection pane="bottomRight" activeCell="G12" sqref="G12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8" width="14.5" customWidth="1"/>
    <col min="9" max="9" width="24.75" customWidth="1"/>
    <col min="10" max="10" width="14.125" customWidth="1"/>
  </cols>
  <sheetData>
    <row r="1" spans="1:8" ht="20.25">
      <c r="A1" s="204" t="s">
        <v>159</v>
      </c>
      <c r="B1" s="204"/>
      <c r="C1" s="204"/>
      <c r="E1" s="205" t="s">
        <v>248</v>
      </c>
      <c r="F1" s="206"/>
      <c r="G1" s="206"/>
      <c r="H1" s="207"/>
    </row>
    <row r="2" spans="1:8" ht="23.45" customHeight="1">
      <c r="A2" s="28" t="s">
        <v>1</v>
      </c>
      <c r="B2" s="29" t="s">
        <v>160</v>
      </c>
      <c r="C2" s="30" t="s">
        <v>161</v>
      </c>
      <c r="E2" s="1" t="s">
        <v>162</v>
      </c>
      <c r="F2" s="1" t="s">
        <v>1</v>
      </c>
      <c r="G2" s="31" t="s">
        <v>163</v>
      </c>
      <c r="H2" s="1" t="s">
        <v>161</v>
      </c>
    </row>
    <row r="3" spans="1:8" ht="15.75" customHeight="1">
      <c r="A3" s="32" t="s">
        <v>164</v>
      </c>
      <c r="B3" s="33"/>
      <c r="C3" s="34"/>
      <c r="E3" s="212" t="s">
        <v>165</v>
      </c>
      <c r="F3" s="2" t="s">
        <v>166</v>
      </c>
      <c r="G3" s="35"/>
      <c r="H3" s="2"/>
    </row>
    <row r="4" spans="1:8" ht="15.75" customHeight="1">
      <c r="A4" s="32" t="s">
        <v>167</v>
      </c>
      <c r="B4" s="33"/>
      <c r="C4" s="36"/>
      <c r="E4" s="213"/>
      <c r="F4" s="2" t="s">
        <v>168</v>
      </c>
      <c r="G4" s="35"/>
      <c r="H4" s="2"/>
    </row>
    <row r="5" spans="1:8" ht="15.75" customHeight="1">
      <c r="A5" s="32" t="s">
        <v>169</v>
      </c>
      <c r="B5" s="37">
        <f>SUM(G3:G4)</f>
        <v>0</v>
      </c>
      <c r="C5" s="34"/>
      <c r="E5" s="214" t="s">
        <v>170</v>
      </c>
      <c r="F5" s="38" t="s">
        <v>171</v>
      </c>
      <c r="G5" s="179">
        <v>91</v>
      </c>
      <c r="H5" s="38"/>
    </row>
    <row r="6" spans="1:8" ht="15.75" customHeight="1">
      <c r="A6" s="32" t="s">
        <v>172</v>
      </c>
      <c r="B6" s="33"/>
      <c r="C6" s="34"/>
      <c r="E6" s="215"/>
      <c r="F6" s="38" t="s">
        <v>173</v>
      </c>
      <c r="G6" s="179">
        <v>236.2</v>
      </c>
      <c r="H6" s="2"/>
    </row>
    <row r="7" spans="1:8" ht="15.75" customHeight="1">
      <c r="A7" s="39" t="s">
        <v>174</v>
      </c>
      <c r="B7" s="37">
        <f>SUM(B3:B6)</f>
        <v>0</v>
      </c>
      <c r="C7" s="34"/>
      <c r="E7" s="215"/>
      <c r="F7" s="38" t="s">
        <v>175</v>
      </c>
      <c r="G7" s="179">
        <v>35</v>
      </c>
      <c r="H7" s="2"/>
    </row>
    <row r="8" spans="1:8" ht="15.75" customHeight="1">
      <c r="A8" s="40" t="s">
        <v>176</v>
      </c>
      <c r="B8" s="37">
        <f>SUM(G5:G12)</f>
        <v>477.2</v>
      </c>
      <c r="C8" s="41"/>
      <c r="E8" s="215"/>
      <c r="F8" s="38" t="s">
        <v>177</v>
      </c>
      <c r="G8" s="179"/>
      <c r="H8" s="2"/>
    </row>
    <row r="9" spans="1:8" ht="15.75" customHeight="1">
      <c r="A9" s="32" t="s">
        <v>178</v>
      </c>
      <c r="B9" s="37">
        <f>SUM(G13:G21)</f>
        <v>280</v>
      </c>
      <c r="C9" s="34"/>
      <c r="E9" s="215"/>
      <c r="F9" s="2" t="s">
        <v>179</v>
      </c>
      <c r="G9" s="179">
        <v>65</v>
      </c>
      <c r="H9" s="164"/>
    </row>
    <row r="10" spans="1:8" ht="15.75" customHeight="1">
      <c r="A10" s="36" t="s">
        <v>22</v>
      </c>
      <c r="B10" s="37">
        <f>B7+B8+B9</f>
        <v>757.2</v>
      </c>
      <c r="C10" s="34"/>
      <c r="E10" s="215"/>
      <c r="F10" s="2" t="s">
        <v>180</v>
      </c>
      <c r="G10" s="180">
        <v>30</v>
      </c>
      <c r="H10" s="2"/>
    </row>
    <row r="11" spans="1:8" ht="15.75" customHeight="1">
      <c r="E11" s="215"/>
      <c r="F11" s="2" t="s">
        <v>181</v>
      </c>
      <c r="G11" s="180">
        <v>20</v>
      </c>
      <c r="H11" s="2"/>
    </row>
    <row r="12" spans="1:8" ht="15.75" customHeight="1">
      <c r="E12" s="216"/>
      <c r="F12" s="2" t="s">
        <v>182</v>
      </c>
      <c r="G12" s="179" t="s">
        <v>129</v>
      </c>
      <c r="H12" s="164"/>
    </row>
    <row r="13" spans="1:8" ht="15.75" customHeight="1">
      <c r="E13" s="212" t="s">
        <v>54</v>
      </c>
      <c r="F13" s="2" t="s">
        <v>183</v>
      </c>
      <c r="G13" s="179">
        <v>30</v>
      </c>
      <c r="H13" s="42"/>
    </row>
    <row r="14" spans="1:8" ht="15.75" customHeight="1">
      <c r="E14" s="213"/>
      <c r="F14" s="2" t="s">
        <v>184</v>
      </c>
      <c r="G14" s="179">
        <v>30</v>
      </c>
      <c r="H14" s="2"/>
    </row>
    <row r="15" spans="1:8" ht="15.75" customHeight="1">
      <c r="E15" s="213"/>
      <c r="F15" s="2" t="s">
        <v>185</v>
      </c>
      <c r="G15" s="179"/>
      <c r="H15" s="2"/>
    </row>
    <row r="16" spans="1:8" ht="15.75" customHeight="1">
      <c r="E16" s="213"/>
      <c r="F16" s="2" t="s">
        <v>186</v>
      </c>
      <c r="G16" s="179">
        <v>5</v>
      </c>
      <c r="H16" s="2"/>
    </row>
    <row r="17" spans="1:10" ht="15.75" customHeight="1">
      <c r="E17" s="213"/>
      <c r="F17" s="2" t="s">
        <v>187</v>
      </c>
      <c r="G17" s="179">
        <v>120</v>
      </c>
      <c r="H17" s="2"/>
    </row>
    <row r="18" spans="1:10" ht="15.75" customHeight="1">
      <c r="E18" s="213"/>
      <c r="F18" s="2" t="s">
        <v>188</v>
      </c>
      <c r="G18" s="179">
        <v>30</v>
      </c>
      <c r="H18" s="2"/>
    </row>
    <row r="19" spans="1:10" ht="15.75" customHeight="1">
      <c r="E19" s="213"/>
      <c r="F19" s="2" t="s">
        <v>189</v>
      </c>
      <c r="G19" s="179">
        <v>65</v>
      </c>
      <c r="H19" s="2"/>
    </row>
    <row r="20" spans="1:10" ht="15.75" customHeight="1">
      <c r="E20" s="213"/>
      <c r="F20" s="2" t="s">
        <v>190</v>
      </c>
      <c r="G20" s="35"/>
      <c r="H20" s="2"/>
    </row>
    <row r="21" spans="1:10" ht="15.75" customHeight="1">
      <c r="E21" s="217"/>
      <c r="F21" s="2" t="s">
        <v>136</v>
      </c>
      <c r="G21" s="35"/>
      <c r="H21" s="2"/>
    </row>
    <row r="22" spans="1:10" ht="15.75" customHeight="1">
      <c r="E22" s="1" t="s">
        <v>22</v>
      </c>
      <c r="F22" s="2"/>
      <c r="G22" s="31">
        <f>SUM(G3:G21)</f>
        <v>757.2</v>
      </c>
      <c r="H22" s="2"/>
    </row>
    <row r="23" spans="1:10" ht="30.75" customHeight="1">
      <c r="E23" s="208" t="s">
        <v>191</v>
      </c>
      <c r="F23" s="208"/>
      <c r="G23" s="208"/>
      <c r="H23" s="208"/>
    </row>
    <row r="25" spans="1:10" ht="17.25">
      <c r="A25" s="19" t="s">
        <v>1</v>
      </c>
      <c r="B25" s="19" t="s">
        <v>160</v>
      </c>
      <c r="C25" s="19" t="s">
        <v>192</v>
      </c>
      <c r="D25" s="181" t="s">
        <v>268</v>
      </c>
      <c r="E25" s="181" t="s">
        <v>277</v>
      </c>
      <c r="F25" s="181" t="s">
        <v>278</v>
      </c>
      <c r="G25" s="181" t="s">
        <v>279</v>
      </c>
      <c r="H25" s="181" t="s">
        <v>280</v>
      </c>
      <c r="I25" s="22" t="s">
        <v>22</v>
      </c>
      <c r="J25" s="46" t="s">
        <v>196</v>
      </c>
    </row>
    <row r="26" spans="1:10" ht="16.5">
      <c r="A26" s="43" t="s">
        <v>154</v>
      </c>
      <c r="B26" s="44">
        <f>(B5+B8)*10000</f>
        <v>4772000</v>
      </c>
      <c r="C26" s="45">
        <v>0.05</v>
      </c>
      <c r="D26" s="13">
        <f>B26*(1-C26)/3</f>
        <v>1511133.3333333333</v>
      </c>
      <c r="E26" s="13">
        <f t="shared" ref="E26:H27" si="0">D26</f>
        <v>1511133.3333333333</v>
      </c>
      <c r="F26" s="13">
        <f t="shared" si="0"/>
        <v>1511133.3333333333</v>
      </c>
      <c r="G26" s="13"/>
      <c r="H26" s="13"/>
      <c r="I26" s="13">
        <f>SUM(D26:H26)</f>
        <v>4533400</v>
      </c>
      <c r="J26" s="13">
        <f>B26*0.05</f>
        <v>238600</v>
      </c>
    </row>
    <row r="27" spans="1:10" ht="16.5">
      <c r="A27" s="43" t="s">
        <v>197</v>
      </c>
      <c r="B27" s="44">
        <f>B9*10000</f>
        <v>2800000</v>
      </c>
      <c r="C27" s="13"/>
      <c r="D27" s="13">
        <f>B27/3</f>
        <v>933333.33333333337</v>
      </c>
      <c r="E27" s="13">
        <f t="shared" si="0"/>
        <v>933333.33333333337</v>
      </c>
      <c r="F27" s="13">
        <f t="shared" si="0"/>
        <v>933333.33333333337</v>
      </c>
      <c r="G27" s="13"/>
      <c r="H27" s="13"/>
      <c r="I27" s="13">
        <f>SUM(D27:H27)</f>
        <v>2800000</v>
      </c>
      <c r="J27" s="13"/>
    </row>
    <row r="28" spans="1:10" ht="16.5">
      <c r="A28" s="209" t="s">
        <v>116</v>
      </c>
      <c r="B28" s="210"/>
      <c r="C28" s="211"/>
      <c r="D28" s="13">
        <f>SUM(D26:D27)</f>
        <v>2444466.6666666665</v>
      </c>
      <c r="E28" s="13">
        <f t="shared" ref="E28:H28" si="1">SUM(E26:E27)</f>
        <v>2444466.6666666665</v>
      </c>
      <c r="F28" s="13">
        <f t="shared" si="1"/>
        <v>2444466.6666666665</v>
      </c>
      <c r="G28" s="13">
        <f t="shared" si="1"/>
        <v>0</v>
      </c>
      <c r="H28" s="13">
        <f t="shared" si="1"/>
        <v>0</v>
      </c>
      <c r="I28" s="47"/>
      <c r="J28" s="47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2021-12-14T07:12:56Z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